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18195" windowHeight="10800" tabRatio="786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PRICES'!$A$17:$K$1131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C1050" i="3"/>
  <c r="D1050" i="3"/>
  <c r="E1050" i="3"/>
  <c r="B1051" i="3"/>
  <c r="D1051" i="3"/>
  <c r="E1051" i="3"/>
  <c r="B1052" i="3"/>
  <c r="C1052" i="3"/>
  <c r="D1052" i="3"/>
  <c r="E1052" i="3"/>
  <c r="B1053" i="3"/>
  <c r="D1053" i="3"/>
  <c r="B1054" i="3"/>
  <c r="C1054" i="3"/>
  <c r="D1054" i="3"/>
  <c r="E1054" i="3"/>
  <c r="B1055" i="3"/>
  <c r="D1055" i="3"/>
  <c r="B1056" i="3"/>
  <c r="C1056" i="3"/>
  <c r="D1056" i="3"/>
  <c r="E1056" i="3"/>
  <c r="B1057" i="3"/>
  <c r="D1057" i="3"/>
  <c r="E1057" i="3"/>
  <c r="B1058" i="3"/>
  <c r="D1058" i="3"/>
  <c r="E1058" i="3"/>
  <c r="B1059" i="3"/>
  <c r="D1059" i="3"/>
  <c r="E1059" i="3"/>
  <c r="B1060" i="3"/>
  <c r="D1060" i="3"/>
  <c r="E1060" i="3"/>
  <c r="B1061" i="3"/>
  <c r="D1061" i="3"/>
  <c r="E1061" i="3"/>
  <c r="B1062" i="3"/>
  <c r="C1062" i="3"/>
  <c r="D1062" i="3"/>
  <c r="B1063" i="3"/>
  <c r="D1063" i="3"/>
  <c r="E1063" i="3"/>
  <c r="B1064" i="3"/>
  <c r="C1064" i="3"/>
  <c r="D1064" i="3"/>
  <c r="B1065" i="3"/>
  <c r="D1065" i="3"/>
  <c r="E1065" i="3"/>
  <c r="B1066" i="3"/>
  <c r="C1066" i="3"/>
  <c r="D1066" i="3"/>
  <c r="E1066" i="3"/>
  <c r="B1067" i="3"/>
  <c r="D1067" i="3"/>
  <c r="E1067" i="3"/>
  <c r="B1068" i="3"/>
  <c r="C1068" i="3"/>
  <c r="D1068" i="3"/>
  <c r="E1068" i="3"/>
  <c r="B1069" i="3"/>
  <c r="D1069" i="3"/>
  <c r="B1070" i="3"/>
  <c r="D1070" i="3"/>
  <c r="E1070" i="3"/>
  <c r="B1071" i="3"/>
  <c r="D1071" i="3"/>
  <c r="B1072" i="3"/>
  <c r="C1072" i="3"/>
  <c r="D1072" i="3"/>
  <c r="A1073" i="3"/>
  <c r="B1073" i="3"/>
  <c r="C1073" i="3"/>
  <c r="D1073" i="3"/>
  <c r="A1074" i="3"/>
  <c r="B1074" i="3"/>
  <c r="C1074" i="3"/>
  <c r="D1074" i="3"/>
  <c r="A1075" i="3"/>
  <c r="A1076" i="3" s="1"/>
  <c r="A1077" i="3" s="1"/>
  <c r="A1078" i="3" s="1"/>
  <c r="B1075" i="3"/>
  <c r="D1075" i="3"/>
  <c r="B1076" i="3"/>
  <c r="D1076" i="3"/>
  <c r="E1076" i="3"/>
  <c r="B1077" i="3"/>
  <c r="D1077" i="3"/>
  <c r="B1078" i="3"/>
  <c r="D1078" i="3"/>
  <c r="E1078" i="3"/>
  <c r="A1079" i="3"/>
  <c r="A1080" i="3" s="1"/>
  <c r="A1081" i="3" s="1"/>
  <c r="A1082" i="3" s="1"/>
  <c r="A1083" i="3" s="1"/>
  <c r="A1084" i="3" s="1"/>
  <c r="A1085" i="3" s="1"/>
  <c r="A1086" i="3" s="1"/>
  <c r="A1087" i="3" s="1"/>
  <c r="B1079" i="3"/>
  <c r="D1079" i="3"/>
  <c r="B1080" i="3"/>
  <c r="C1080" i="3"/>
  <c r="D1080" i="3"/>
  <c r="E1080" i="3"/>
  <c r="B1081" i="3"/>
  <c r="C1081" i="3"/>
  <c r="D1081" i="3"/>
  <c r="B1082" i="3"/>
  <c r="C1082" i="3"/>
  <c r="D1082" i="3"/>
  <c r="B1083" i="3"/>
  <c r="D1083" i="3"/>
  <c r="E1083" i="3"/>
  <c r="B1084" i="3"/>
  <c r="D1084" i="3"/>
  <c r="E1084" i="3"/>
  <c r="B1085" i="3"/>
  <c r="C1085" i="3"/>
  <c r="D1085" i="3"/>
  <c r="B1086" i="3"/>
  <c r="D1086" i="3"/>
  <c r="E1086" i="3"/>
  <c r="B1087" i="3"/>
  <c r="D1087" i="3"/>
  <c r="E1087" i="3"/>
  <c r="A1088" i="3"/>
  <c r="A1089" i="3" s="1"/>
  <c r="A1090" i="3" s="1"/>
  <c r="B1088" i="3"/>
  <c r="D1088" i="3"/>
  <c r="E1088" i="3"/>
  <c r="B1089" i="3"/>
  <c r="C1089" i="3"/>
  <c r="D1089" i="3"/>
  <c r="B1090" i="3"/>
  <c r="D1090" i="3"/>
  <c r="A1091" i="3"/>
  <c r="A1092" i="3" s="1"/>
  <c r="A1093" i="3" s="1"/>
  <c r="A1094" i="3" s="1"/>
  <c r="A1095" i="3" s="1"/>
  <c r="A1096" i="3" s="1"/>
  <c r="A1097" i="3" s="1"/>
  <c r="B1091" i="3"/>
  <c r="D1091" i="3"/>
  <c r="E1091" i="3"/>
  <c r="B1092" i="3"/>
  <c r="D1092" i="3"/>
  <c r="E1092" i="3"/>
  <c r="B1093" i="3"/>
  <c r="C1093" i="3"/>
  <c r="D1093" i="3"/>
  <c r="B1094" i="3"/>
  <c r="C1094" i="3"/>
  <c r="D1094" i="3"/>
  <c r="B1095" i="3"/>
  <c r="D1095" i="3"/>
  <c r="E1095" i="3"/>
  <c r="B1096" i="3"/>
  <c r="D1096" i="3"/>
  <c r="E1096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B1073" i="2"/>
  <c r="C1073" i="2"/>
  <c r="D1073" i="2"/>
  <c r="E1073" i="2"/>
  <c r="F1073" i="2"/>
  <c r="G1073" i="2"/>
  <c r="H1073" i="2"/>
  <c r="I1073" i="2"/>
  <c r="J1073" i="2"/>
  <c r="A1074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I1052" i="1" s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50" i="1"/>
  <c r="C1050" i="1"/>
  <c r="L1050" i="1"/>
  <c r="M1050" i="1"/>
  <c r="N1050" i="1"/>
  <c r="O1050" i="1"/>
  <c r="P1050" i="1"/>
  <c r="S1050" i="1"/>
  <c r="C1051" i="1"/>
  <c r="G1051" i="1"/>
  <c r="L1051" i="1"/>
  <c r="M1051" i="1"/>
  <c r="N1051" i="1"/>
  <c r="O1051" i="1"/>
  <c r="P1051" i="1"/>
  <c r="R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F1054" i="1"/>
  <c r="G1054" i="1"/>
  <c r="L1054" i="1"/>
  <c r="M1054" i="1"/>
  <c r="N1054" i="1"/>
  <c r="O1054" i="1"/>
  <c r="P1054" i="1"/>
  <c r="Q1054" i="1"/>
  <c r="D1055" i="1"/>
  <c r="I1055" i="1"/>
  <c r="J1055" i="1"/>
  <c r="L1055" i="1"/>
  <c r="M1055" i="1"/>
  <c r="N1055" i="1"/>
  <c r="O1055" i="1"/>
  <c r="P1055" i="1"/>
  <c r="Q1055" i="1"/>
  <c r="B1056" i="1"/>
  <c r="C1056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J1058" i="1"/>
  <c r="L1058" i="1"/>
  <c r="M1058" i="1"/>
  <c r="N1058" i="1"/>
  <c r="O1058" i="1"/>
  <c r="P1058" i="1"/>
  <c r="Q1058" i="1"/>
  <c r="C1059" i="1"/>
  <c r="I1059" i="1"/>
  <c r="J1059" i="1"/>
  <c r="L1059" i="1"/>
  <c r="M1059" i="1"/>
  <c r="N1059" i="1"/>
  <c r="O1059" i="1"/>
  <c r="P1059" i="1"/>
  <c r="Q1059" i="1"/>
  <c r="B1060" i="1"/>
  <c r="C1060" i="1"/>
  <c r="L1060" i="1"/>
  <c r="M1060" i="1"/>
  <c r="N1060" i="1"/>
  <c r="O1060" i="1"/>
  <c r="P1060" i="1"/>
  <c r="Q1060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E1063" i="1"/>
  <c r="J1063" i="1"/>
  <c r="L1063" i="1"/>
  <c r="M1063" i="1"/>
  <c r="N1063" i="1"/>
  <c r="O1063" i="1"/>
  <c r="P1063" i="1"/>
  <c r="Q1063" i="1"/>
  <c r="C1064" i="1"/>
  <c r="E1064" i="1"/>
  <c r="F1064" i="1"/>
  <c r="L1064" i="1"/>
  <c r="M1064" i="1"/>
  <c r="N1064" i="1"/>
  <c r="O1064" i="1"/>
  <c r="P1064" i="1"/>
  <c r="Q1064" i="1"/>
  <c r="F1065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D1067" i="1"/>
  <c r="L1067" i="1"/>
  <c r="M1067" i="1"/>
  <c r="N1067" i="1"/>
  <c r="O1067" i="1"/>
  <c r="P1067" i="1"/>
  <c r="Q1067" i="1"/>
  <c r="C1068" i="1"/>
  <c r="E1068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F1071" i="1"/>
  <c r="L1071" i="1"/>
  <c r="M1071" i="1"/>
  <c r="N1071" i="1"/>
  <c r="O1071" i="1"/>
  <c r="P1071" i="1"/>
  <c r="Q1071" i="1"/>
  <c r="F1072" i="1"/>
  <c r="G1072" i="1"/>
  <c r="H1072" i="1"/>
  <c r="L1072" i="1"/>
  <c r="M1072" i="1"/>
  <c r="N1072" i="1"/>
  <c r="O1072" i="1"/>
  <c r="P1072" i="1"/>
  <c r="Q1072" i="1"/>
  <c r="A1073" i="1"/>
  <c r="F1073" i="1"/>
  <c r="L1073" i="1"/>
  <c r="M1073" i="1"/>
  <c r="N1073" i="1"/>
  <c r="O1073" i="1"/>
  <c r="P1073" i="1"/>
  <c r="Q1073" i="1"/>
  <c r="A1074" i="1"/>
  <c r="J1074" i="1"/>
  <c r="L1074" i="1"/>
  <c r="M1074" i="1"/>
  <c r="N1074" i="1"/>
  <c r="O1074" i="1"/>
  <c r="P1074" i="1"/>
  <c r="Q1074" i="1"/>
  <c r="A1075" i="1"/>
  <c r="B1075" i="1"/>
  <c r="H1075" i="1"/>
  <c r="L1075" i="1"/>
  <c r="M1075" i="1"/>
  <c r="N1075" i="1"/>
  <c r="O1075" i="1"/>
  <c r="P1075" i="1"/>
  <c r="Q1075" i="1"/>
  <c r="A1076" i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L1076" i="1"/>
  <c r="M1076" i="1"/>
  <c r="N1076" i="1"/>
  <c r="O1076" i="1"/>
  <c r="P1076" i="1"/>
  <c r="Q1076" i="1"/>
  <c r="E1077" i="1"/>
  <c r="J1077" i="1"/>
  <c r="L1077" i="1"/>
  <c r="M1077" i="1"/>
  <c r="N1077" i="1"/>
  <c r="O1077" i="1"/>
  <c r="P1077" i="1"/>
  <c r="Q1077" i="1"/>
  <c r="B1078" i="1"/>
  <c r="C1078" i="1"/>
  <c r="L1078" i="1"/>
  <c r="M1078" i="1"/>
  <c r="N1078" i="1"/>
  <c r="O1078" i="1"/>
  <c r="P1078" i="1"/>
  <c r="Q1078" i="1"/>
  <c r="C1079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H1081" i="1"/>
  <c r="I1081" i="1"/>
  <c r="L1081" i="1"/>
  <c r="M1081" i="1"/>
  <c r="N1081" i="1"/>
  <c r="O1081" i="1"/>
  <c r="P1081" i="1"/>
  <c r="Q1081" i="1"/>
  <c r="G1082" i="1"/>
  <c r="H1082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C1084" i="1"/>
  <c r="I1084" i="1"/>
  <c r="J1084" i="1"/>
  <c r="L1084" i="1"/>
  <c r="M1084" i="1"/>
  <c r="N1084" i="1"/>
  <c r="O1084" i="1"/>
  <c r="P1084" i="1"/>
  <c r="Q1084" i="1"/>
  <c r="B1085" i="1"/>
  <c r="L1085" i="1"/>
  <c r="M1085" i="1"/>
  <c r="N1085" i="1"/>
  <c r="O1085" i="1"/>
  <c r="P1085" i="1"/>
  <c r="Q1085" i="1"/>
  <c r="L1086" i="1"/>
  <c r="M1086" i="1"/>
  <c r="N1086" i="1"/>
  <c r="O1086" i="1"/>
  <c r="P1086" i="1"/>
  <c r="Q1086" i="1"/>
  <c r="F1087" i="1"/>
  <c r="G1087" i="1"/>
  <c r="L1087" i="1"/>
  <c r="M1087" i="1"/>
  <c r="N1087" i="1"/>
  <c r="O1087" i="1"/>
  <c r="P1087" i="1"/>
  <c r="Q1087" i="1"/>
  <c r="E1088" i="1"/>
  <c r="F1088" i="1"/>
  <c r="G1088" i="1"/>
  <c r="L1088" i="1"/>
  <c r="M1088" i="1"/>
  <c r="N1088" i="1"/>
  <c r="O1088" i="1"/>
  <c r="P1088" i="1"/>
  <c r="Q1088" i="1"/>
  <c r="F1089" i="1"/>
  <c r="L1089" i="1"/>
  <c r="M1089" i="1"/>
  <c r="N1089" i="1"/>
  <c r="O1089" i="1"/>
  <c r="P1089" i="1"/>
  <c r="Q1089" i="1"/>
  <c r="J1090" i="1"/>
  <c r="L1090" i="1"/>
  <c r="M1090" i="1"/>
  <c r="N1090" i="1"/>
  <c r="O1090" i="1"/>
  <c r="P1090" i="1"/>
  <c r="Q1090" i="1"/>
  <c r="B1091" i="1"/>
  <c r="H1091" i="1"/>
  <c r="I1091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E1093" i="1"/>
  <c r="J1093" i="1"/>
  <c r="L1093" i="1"/>
  <c r="M1093" i="1"/>
  <c r="N1093" i="1"/>
  <c r="O1093" i="1"/>
  <c r="P1093" i="1"/>
  <c r="Q1093" i="1"/>
  <c r="E1094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C1095" i="1" l="1"/>
  <c r="B1094" i="1"/>
  <c r="C1094" i="1"/>
  <c r="C1077" i="3"/>
  <c r="C1070" i="3"/>
  <c r="I1128" i="4"/>
  <c r="I1124" i="4"/>
  <c r="I1120" i="4"/>
  <c r="I1116" i="4"/>
  <c r="I1112" i="4"/>
  <c r="I1104" i="4"/>
  <c r="I1096" i="4"/>
  <c r="I1088" i="4"/>
  <c r="I1080" i="4"/>
  <c r="I1072" i="4"/>
  <c r="I1064" i="4"/>
  <c r="E1069" i="1"/>
  <c r="D1068" i="1"/>
  <c r="J1067" i="1"/>
  <c r="C1058" i="1"/>
  <c r="D1058" i="1"/>
  <c r="E1058" i="1"/>
  <c r="G1057" i="1"/>
  <c r="H1057" i="1"/>
  <c r="I1057" i="1"/>
  <c r="J1057" i="1"/>
  <c r="B1057" i="1"/>
  <c r="E1056" i="1"/>
  <c r="F1056" i="1"/>
  <c r="G1055" i="1"/>
  <c r="H1055" i="1"/>
  <c r="C1054" i="1"/>
  <c r="D1054" i="1"/>
  <c r="E1054" i="1"/>
  <c r="G1053" i="1"/>
  <c r="I1053" i="1"/>
  <c r="J1053" i="1"/>
  <c r="B1053" i="1"/>
  <c r="C1052" i="1"/>
  <c r="E1052" i="1"/>
  <c r="H1050" i="1"/>
  <c r="K1050" i="1"/>
  <c r="F1050" i="1"/>
  <c r="J1126" i="4"/>
  <c r="H1125" i="4"/>
  <c r="H1121" i="4"/>
  <c r="E1078" i="1"/>
  <c r="I1075" i="1"/>
  <c r="E1079" i="3"/>
  <c r="E1072" i="3"/>
  <c r="C1107" i="4"/>
  <c r="G1105" i="4"/>
  <c r="C1091" i="4"/>
  <c r="G1065" i="4"/>
  <c r="C1092" i="1"/>
  <c r="H1089" i="1"/>
  <c r="C1086" i="1"/>
  <c r="H1083" i="1"/>
  <c r="G1079" i="1"/>
  <c r="C1076" i="1"/>
  <c r="H1073" i="1"/>
  <c r="C1070" i="1"/>
  <c r="G1069" i="1"/>
  <c r="H1069" i="1"/>
  <c r="D1097" i="1"/>
  <c r="M1097" i="1"/>
  <c r="J1097" i="1"/>
  <c r="L1097" i="1"/>
  <c r="C1097" i="1"/>
  <c r="E1097" i="1"/>
  <c r="B1097" i="1"/>
  <c r="O1097" i="1"/>
  <c r="N1097" i="1"/>
  <c r="Q1097" i="1"/>
  <c r="A1098" i="1"/>
  <c r="F1097" i="1"/>
  <c r="G1097" i="1"/>
  <c r="I1097" i="1"/>
  <c r="P1097" i="1"/>
  <c r="H1097" i="1"/>
  <c r="H1130" i="4"/>
  <c r="F1128" i="4"/>
  <c r="H1127" i="4"/>
  <c r="H1120" i="4"/>
  <c r="F1119" i="4"/>
  <c r="F1118" i="4"/>
  <c r="H1116" i="4"/>
  <c r="F1113" i="4"/>
  <c r="H1112" i="4"/>
  <c r="F1111" i="4"/>
  <c r="H1108" i="4"/>
  <c r="F1107" i="4"/>
  <c r="H1103" i="4"/>
  <c r="H1102" i="4"/>
  <c r="H1099" i="4"/>
  <c r="H1098" i="4"/>
  <c r="H1097" i="4"/>
  <c r="F1096" i="4"/>
  <c r="F1095" i="4"/>
  <c r="H1094" i="4"/>
  <c r="F1093" i="4"/>
  <c r="F1091" i="4"/>
  <c r="F1090" i="4"/>
  <c r="H1089" i="4"/>
  <c r="F1088" i="4"/>
  <c r="F1087" i="4"/>
  <c r="H1086" i="4"/>
  <c r="H1083" i="4"/>
  <c r="F1082" i="4"/>
  <c r="F1081" i="4"/>
  <c r="H1080" i="4"/>
  <c r="H1078" i="4"/>
  <c r="H1077" i="4"/>
  <c r="H1076" i="4"/>
  <c r="D1075" i="4"/>
  <c r="H1071" i="4"/>
  <c r="F1070" i="4"/>
  <c r="J1068" i="4"/>
  <c r="H1068" i="4"/>
  <c r="H1067" i="4"/>
  <c r="H1064" i="4"/>
  <c r="H1063" i="4"/>
  <c r="H1061" i="4"/>
  <c r="J1060" i="4"/>
  <c r="D1059" i="4"/>
  <c r="H1058" i="4"/>
  <c r="F1056" i="4"/>
  <c r="F1055" i="4"/>
  <c r="F1053" i="4"/>
  <c r="J1052" i="4"/>
  <c r="H1052" i="4"/>
  <c r="D1051" i="4"/>
  <c r="F1049" i="4"/>
  <c r="F1048" i="4"/>
  <c r="H1047" i="4"/>
  <c r="H1046" i="4"/>
  <c r="I1130" i="4"/>
  <c r="E1130" i="4"/>
  <c r="K1129" i="4"/>
  <c r="G1129" i="4"/>
  <c r="C1128" i="4"/>
  <c r="E1127" i="4"/>
  <c r="E1126" i="4"/>
  <c r="I1125" i="4"/>
  <c r="C1125" i="4"/>
  <c r="E1124" i="4"/>
  <c r="C1123" i="4"/>
  <c r="I1122" i="4"/>
  <c r="C1122" i="4"/>
  <c r="E1121" i="4"/>
  <c r="K1120" i="4"/>
  <c r="C1120" i="4"/>
  <c r="C1119" i="4"/>
  <c r="K1118" i="4"/>
  <c r="G1118" i="4"/>
  <c r="C1117" i="4"/>
  <c r="E1116" i="4"/>
  <c r="I1115" i="4"/>
  <c r="G1115" i="4"/>
  <c r="C1114" i="4"/>
  <c r="C1113" i="4"/>
  <c r="K1112" i="4"/>
  <c r="G1112" i="4"/>
  <c r="E1111" i="4"/>
  <c r="C1110" i="4"/>
  <c r="C1109" i="4"/>
  <c r="I1108" i="4"/>
  <c r="E1108" i="4"/>
  <c r="G1107" i="4"/>
  <c r="G1106" i="4"/>
  <c r="I1105" i="4"/>
  <c r="E1105" i="4"/>
  <c r="K1104" i="4"/>
  <c r="G1104" i="4"/>
  <c r="K1103" i="4"/>
  <c r="G1103" i="4"/>
  <c r="C1102" i="4"/>
  <c r="I1101" i="4"/>
  <c r="E1101" i="4"/>
  <c r="C1100" i="4"/>
  <c r="E1099" i="4"/>
  <c r="K1098" i="4"/>
  <c r="G1098" i="4"/>
  <c r="I1097" i="4"/>
  <c r="E1097" i="4"/>
  <c r="E1096" i="4"/>
  <c r="E1095" i="4"/>
  <c r="K1094" i="4"/>
  <c r="G1094" i="4"/>
  <c r="K1093" i="4"/>
  <c r="G1093" i="4"/>
  <c r="K1092" i="4"/>
  <c r="G1092" i="4"/>
  <c r="E1091" i="4"/>
  <c r="K1090" i="4"/>
  <c r="G1090" i="4"/>
  <c r="E1089" i="4"/>
  <c r="C1088" i="4"/>
  <c r="C1087" i="4"/>
  <c r="K1086" i="4"/>
  <c r="E1086" i="4"/>
  <c r="K1084" i="4"/>
  <c r="C1084" i="4"/>
  <c r="E1083" i="4"/>
  <c r="K1082" i="4"/>
  <c r="G1082" i="4"/>
  <c r="K1081" i="4"/>
  <c r="G1081" i="4"/>
  <c r="K1080" i="4"/>
  <c r="E1080" i="4"/>
  <c r="E1079" i="4"/>
  <c r="C1078" i="4"/>
  <c r="I1077" i="4"/>
  <c r="E1077" i="4"/>
  <c r="K1076" i="4"/>
  <c r="G1076" i="4"/>
  <c r="C1075" i="4"/>
  <c r="E1074" i="4"/>
  <c r="I1073" i="4"/>
  <c r="C1096" i="1"/>
  <c r="G1095" i="1"/>
  <c r="J1096" i="1"/>
  <c r="B1096" i="1"/>
  <c r="F1095" i="1"/>
  <c r="J1094" i="1"/>
  <c r="F1093" i="1"/>
  <c r="J1092" i="1"/>
  <c r="B1092" i="1"/>
  <c r="F1091" i="1"/>
  <c r="B1090" i="1"/>
  <c r="J1088" i="1"/>
  <c r="B1088" i="1"/>
  <c r="J1086" i="1"/>
  <c r="B1086" i="1"/>
  <c r="F1085" i="1"/>
  <c r="B1084" i="1"/>
  <c r="F1083" i="1"/>
  <c r="J1082" i="1"/>
  <c r="B1082" i="1"/>
  <c r="F1081" i="1"/>
  <c r="J1080" i="1"/>
  <c r="B1080" i="1"/>
  <c r="F1079" i="1"/>
  <c r="J1078" i="1"/>
  <c r="F1077" i="1"/>
  <c r="J1076" i="1"/>
  <c r="B1076" i="1"/>
  <c r="F1075" i="1"/>
  <c r="B1074" i="1"/>
  <c r="J1072" i="1"/>
  <c r="B1072" i="1"/>
  <c r="J1070" i="1"/>
  <c r="B1070" i="1"/>
  <c r="F1069" i="1"/>
  <c r="J1068" i="1"/>
  <c r="B1068" i="1"/>
  <c r="F1067" i="1"/>
  <c r="J1066" i="1"/>
  <c r="B1066" i="1"/>
  <c r="J1064" i="1"/>
  <c r="B1064" i="1"/>
  <c r="F1063" i="1"/>
  <c r="J1062" i="1"/>
  <c r="B1062" i="1"/>
  <c r="F1061" i="1"/>
  <c r="J1060" i="1"/>
  <c r="F1059" i="1"/>
  <c r="G1058" i="1"/>
  <c r="H1058" i="1"/>
  <c r="I1058" i="1"/>
  <c r="B1058" i="1"/>
  <c r="C1057" i="1"/>
  <c r="D1057" i="1"/>
  <c r="F1057" i="1"/>
  <c r="G1056" i="1"/>
  <c r="H1056" i="1"/>
  <c r="I1056" i="1"/>
  <c r="J1056" i="1"/>
  <c r="E1055" i="1"/>
  <c r="F1055" i="1"/>
  <c r="J1054" i="1"/>
  <c r="B1054" i="1"/>
  <c r="C1053" i="1"/>
  <c r="D1053" i="1"/>
  <c r="E1053" i="1"/>
  <c r="F1053" i="1"/>
  <c r="H1052" i="1"/>
  <c r="J1052" i="1"/>
  <c r="B1052" i="1"/>
  <c r="D1052" i="1"/>
  <c r="F1052" i="1"/>
  <c r="H1051" i="1"/>
  <c r="J1051" i="1"/>
  <c r="B1051" i="1"/>
  <c r="D1051" i="1"/>
  <c r="F1051" i="1"/>
  <c r="R1050" i="1"/>
  <c r="D1050" i="1"/>
  <c r="G1050" i="1"/>
  <c r="J1050" i="1"/>
  <c r="B1130" i="4"/>
  <c r="H1129" i="4"/>
  <c r="H1128" i="4"/>
  <c r="F1127" i="4"/>
  <c r="H1126" i="4"/>
  <c r="F1125" i="4"/>
  <c r="F1124" i="4"/>
  <c r="H1123" i="4"/>
  <c r="J1122" i="4"/>
  <c r="H1122" i="4"/>
  <c r="F1121" i="4"/>
  <c r="H1119" i="4"/>
  <c r="H1118" i="4"/>
  <c r="F1117" i="4"/>
  <c r="F1116" i="4"/>
  <c r="H1115" i="4"/>
  <c r="H1114" i="4"/>
  <c r="H1110" i="4"/>
  <c r="H1109" i="4"/>
  <c r="F1106" i="4"/>
  <c r="H1105" i="4"/>
  <c r="H1104" i="4"/>
  <c r="F1102" i="4"/>
  <c r="F1101" i="4"/>
  <c r="F1100" i="4"/>
  <c r="D1099" i="4"/>
  <c r="H1096" i="4"/>
  <c r="F1094" i="4"/>
  <c r="H1092" i="4"/>
  <c r="H1090" i="4"/>
  <c r="H1084" i="4"/>
  <c r="F1083" i="4"/>
  <c r="H1081" i="4"/>
  <c r="H1079" i="4"/>
  <c r="F1077" i="4"/>
  <c r="H1075" i="4"/>
  <c r="F1074" i="4"/>
  <c r="H1073" i="4"/>
  <c r="H1072" i="4"/>
  <c r="H1070" i="4"/>
  <c r="H1069" i="4"/>
  <c r="F1067" i="4"/>
  <c r="H1066" i="4"/>
  <c r="H1065" i="4"/>
  <c r="B1064" i="4"/>
  <c r="F1063" i="4"/>
  <c r="F1062" i="4"/>
  <c r="F1061" i="4"/>
  <c r="F1060" i="4"/>
  <c r="H1059" i="4"/>
  <c r="F1058" i="4"/>
  <c r="F1057" i="4"/>
  <c r="H1056" i="4"/>
  <c r="H1055" i="4"/>
  <c r="F1054" i="4"/>
  <c r="H1053" i="4"/>
  <c r="H1051" i="4"/>
  <c r="H1050" i="4"/>
  <c r="H1048" i="4"/>
  <c r="F1045" i="4"/>
  <c r="F1085" i="4"/>
  <c r="C1130" i="4"/>
  <c r="C1129" i="4"/>
  <c r="E1128" i="4"/>
  <c r="I1127" i="4"/>
  <c r="C1127" i="4"/>
  <c r="K1126" i="4"/>
  <c r="G1126" i="4"/>
  <c r="E1125" i="4"/>
  <c r="C1124" i="4"/>
  <c r="K1123" i="4"/>
  <c r="G1123" i="4"/>
  <c r="K1122" i="4"/>
  <c r="G1122" i="4"/>
  <c r="K1121" i="4"/>
  <c r="G1121" i="4"/>
  <c r="E1120" i="4"/>
  <c r="I1119" i="4"/>
  <c r="G1119" i="4"/>
  <c r="C1118" i="4"/>
  <c r="K1117" i="4"/>
  <c r="G1117" i="4"/>
  <c r="K1116" i="4"/>
  <c r="G1116" i="4"/>
  <c r="C1115" i="4"/>
  <c r="I1114" i="4"/>
  <c r="E1114" i="4"/>
  <c r="I1113" i="4"/>
  <c r="E1113" i="4"/>
  <c r="E1112" i="4"/>
  <c r="K1111" i="4"/>
  <c r="G1111" i="4"/>
  <c r="E1110" i="4"/>
  <c r="I1109" i="4"/>
  <c r="E1109" i="4"/>
  <c r="C1108" i="4"/>
  <c r="K1107" i="4"/>
  <c r="K1106" i="4"/>
  <c r="E1106" i="4"/>
  <c r="K1105" i="4"/>
  <c r="C1104" i="4"/>
  <c r="C1103" i="4"/>
  <c r="K1102" i="4"/>
  <c r="G1102" i="4"/>
  <c r="K1101" i="4"/>
  <c r="G1101" i="4"/>
  <c r="K1100" i="4"/>
  <c r="G1100" i="4"/>
  <c r="C1099" i="4"/>
  <c r="E1098" i="4"/>
  <c r="C1097" i="4"/>
  <c r="C1096" i="4"/>
  <c r="C1095" i="4"/>
  <c r="E1094" i="4"/>
  <c r="C1093" i="4"/>
  <c r="E1092" i="4"/>
  <c r="E1090" i="4"/>
  <c r="I1089" i="4"/>
  <c r="C1089" i="4"/>
  <c r="E1088" i="4"/>
  <c r="G1087" i="4"/>
  <c r="G1086" i="4"/>
  <c r="E1084" i="4"/>
  <c r="C1083" i="4"/>
  <c r="C1082" i="4"/>
  <c r="I1081" i="4"/>
  <c r="E1081" i="4"/>
  <c r="C1080" i="4"/>
  <c r="C1079" i="4"/>
  <c r="K1078" i="4"/>
  <c r="G1078" i="4"/>
  <c r="C1077" i="4"/>
  <c r="I1076" i="4"/>
  <c r="E1076" i="4"/>
  <c r="K1075" i="4"/>
  <c r="G1075" i="4"/>
  <c r="K1074" i="4"/>
  <c r="G1074" i="4"/>
  <c r="K1073" i="4"/>
  <c r="G1096" i="1"/>
  <c r="I1096" i="1"/>
  <c r="J1095" i="1"/>
  <c r="E1095" i="1"/>
  <c r="I1094" i="1"/>
  <c r="C1093" i="1"/>
  <c r="F1092" i="1"/>
  <c r="H1092" i="1"/>
  <c r="D1091" i="1"/>
  <c r="F1090" i="1"/>
  <c r="H1090" i="1"/>
  <c r="G1089" i="1"/>
  <c r="C1089" i="1"/>
  <c r="I1088" i="1"/>
  <c r="I1087" i="1"/>
  <c r="B1087" i="1"/>
  <c r="D1087" i="1"/>
  <c r="E1086" i="1"/>
  <c r="I1086" i="1"/>
  <c r="J1085" i="1"/>
  <c r="D1085" i="1"/>
  <c r="F1084" i="1"/>
  <c r="H1084" i="1"/>
  <c r="I1083" i="1"/>
  <c r="B1083" i="1"/>
  <c r="D1083" i="1"/>
  <c r="E1082" i="1"/>
  <c r="C1081" i="1"/>
  <c r="E1081" i="1"/>
  <c r="F1080" i="1"/>
  <c r="I1080" i="1"/>
  <c r="I1079" i="1"/>
  <c r="B1079" i="1"/>
  <c r="D1079" i="1"/>
  <c r="F1078" i="1"/>
  <c r="H1078" i="1"/>
  <c r="I1077" i="1"/>
  <c r="C1077" i="1"/>
  <c r="G1076" i="1"/>
  <c r="H1076" i="1"/>
  <c r="I1076" i="1"/>
  <c r="J1075" i="1"/>
  <c r="D1075" i="1"/>
  <c r="E1075" i="1"/>
  <c r="E1074" i="1"/>
  <c r="F1074" i="1"/>
  <c r="G1074" i="1"/>
  <c r="H1074" i="1"/>
  <c r="I1074" i="1"/>
  <c r="G1073" i="1"/>
  <c r="I1073" i="1"/>
  <c r="B1073" i="1"/>
  <c r="C1073" i="1"/>
  <c r="D1073" i="1"/>
  <c r="E1073" i="1"/>
  <c r="E1072" i="1"/>
  <c r="I1072" i="1"/>
  <c r="I1071" i="1"/>
  <c r="J1071" i="1"/>
  <c r="B1071" i="1"/>
  <c r="D1071" i="1"/>
  <c r="E1071" i="1"/>
  <c r="E1070" i="1"/>
  <c r="F1070" i="1"/>
  <c r="G1070" i="1"/>
  <c r="H1070" i="1"/>
  <c r="I1070" i="1"/>
  <c r="J1069" i="1"/>
  <c r="B1069" i="1"/>
  <c r="C1069" i="1"/>
  <c r="D1069" i="1"/>
  <c r="F1068" i="1"/>
  <c r="G1068" i="1"/>
  <c r="H1068" i="1"/>
  <c r="I1068" i="1"/>
  <c r="I1067" i="1"/>
  <c r="B1067" i="1"/>
  <c r="C1067" i="1"/>
  <c r="E1067" i="1"/>
  <c r="E1066" i="1"/>
  <c r="G1066" i="1"/>
  <c r="H1066" i="1"/>
  <c r="I1066" i="1"/>
  <c r="G1065" i="1"/>
  <c r="H1065" i="1"/>
  <c r="I1065" i="1"/>
  <c r="J1065" i="1"/>
  <c r="B1065" i="1"/>
  <c r="C1065" i="1"/>
  <c r="D1065" i="1"/>
  <c r="E1065" i="1"/>
  <c r="G1064" i="1"/>
  <c r="H1064" i="1"/>
  <c r="I1064" i="1"/>
  <c r="G1063" i="1"/>
  <c r="H1063" i="1"/>
  <c r="I1063" i="1"/>
  <c r="B1063" i="1"/>
  <c r="D1063" i="1"/>
  <c r="C1062" i="1"/>
  <c r="D1062" i="1"/>
  <c r="E1062" i="1"/>
  <c r="F1062" i="1"/>
  <c r="G1062" i="1"/>
  <c r="H1062" i="1"/>
  <c r="I1062" i="1"/>
  <c r="G1061" i="1"/>
  <c r="H1061" i="1"/>
  <c r="J1061" i="1"/>
  <c r="B1061" i="1"/>
  <c r="C1061" i="1"/>
  <c r="D1061" i="1"/>
  <c r="E1061" i="1"/>
  <c r="D1060" i="1"/>
  <c r="E1060" i="1"/>
  <c r="F1060" i="1"/>
  <c r="G1060" i="1"/>
  <c r="H1060" i="1"/>
  <c r="I1060" i="1"/>
  <c r="H1059" i="1"/>
  <c r="B1059" i="1"/>
  <c r="D1059" i="1"/>
  <c r="E1059" i="1"/>
  <c r="E1057" i="1"/>
  <c r="H1054" i="1"/>
  <c r="F1130" i="4"/>
  <c r="F1129" i="4"/>
  <c r="F1126" i="4"/>
  <c r="H1124" i="4"/>
  <c r="F1123" i="4"/>
  <c r="F1122" i="4"/>
  <c r="F1120" i="4"/>
  <c r="H1117" i="4"/>
  <c r="F1115" i="4"/>
  <c r="F1114" i="4"/>
  <c r="H1113" i="4"/>
  <c r="F1112" i="4"/>
  <c r="H1111" i="4"/>
  <c r="F1110" i="4"/>
  <c r="F1109" i="4"/>
  <c r="F1108" i="4"/>
  <c r="H1107" i="4"/>
  <c r="H1106" i="4"/>
  <c r="F1105" i="4"/>
  <c r="F1104" i="4"/>
  <c r="F1103" i="4"/>
  <c r="H1101" i="4"/>
  <c r="H1100" i="4"/>
  <c r="F1099" i="4"/>
  <c r="F1098" i="4"/>
  <c r="F1097" i="4"/>
  <c r="H1095" i="4"/>
  <c r="H1093" i="4"/>
  <c r="F1092" i="4"/>
  <c r="H1091" i="4"/>
  <c r="F1089" i="4"/>
  <c r="H1088" i="4"/>
  <c r="H1087" i="4"/>
  <c r="F1086" i="4"/>
  <c r="F1084" i="4"/>
  <c r="H1082" i="4"/>
  <c r="F1080" i="4"/>
  <c r="F1079" i="4"/>
  <c r="F1078" i="4"/>
  <c r="F1076" i="4"/>
  <c r="F1075" i="4"/>
  <c r="H1074" i="4"/>
  <c r="F1073" i="4"/>
  <c r="F1072" i="4"/>
  <c r="F1071" i="4"/>
  <c r="F1069" i="4"/>
  <c r="F1068" i="4"/>
  <c r="D1067" i="4"/>
  <c r="F1066" i="4"/>
  <c r="F1065" i="4"/>
  <c r="F1064" i="4"/>
  <c r="H1062" i="4"/>
  <c r="H1060" i="4"/>
  <c r="F1059" i="4"/>
  <c r="H1057" i="4"/>
  <c r="B1056" i="4"/>
  <c r="H1054" i="4"/>
  <c r="F1052" i="4"/>
  <c r="F1051" i="4"/>
  <c r="F1050" i="4"/>
  <c r="H1049" i="4"/>
  <c r="B1048" i="4"/>
  <c r="F1047" i="4"/>
  <c r="F1046" i="4"/>
  <c r="D1045" i="4"/>
  <c r="D1085" i="4"/>
  <c r="K1130" i="4"/>
  <c r="G1130" i="4"/>
  <c r="I1129" i="4"/>
  <c r="E1129" i="4"/>
  <c r="K1128" i="4"/>
  <c r="G1128" i="4"/>
  <c r="K1127" i="4"/>
  <c r="G1127" i="4"/>
  <c r="I1126" i="4"/>
  <c r="C1126" i="4"/>
  <c r="K1125" i="4"/>
  <c r="G1125" i="4"/>
  <c r="K1124" i="4"/>
  <c r="G1124" i="4"/>
  <c r="I1123" i="4"/>
  <c r="E1123" i="4"/>
  <c r="E1122" i="4"/>
  <c r="I1121" i="4"/>
  <c r="C1121" i="4"/>
  <c r="G1120" i="4"/>
  <c r="K1119" i="4"/>
  <c r="E1119" i="4"/>
  <c r="I1118" i="4"/>
  <c r="E1118" i="4"/>
  <c r="I1117" i="4"/>
  <c r="E1117" i="4"/>
  <c r="C1116" i="4"/>
  <c r="K1115" i="4"/>
  <c r="E1115" i="4"/>
  <c r="K1114" i="4"/>
  <c r="G1114" i="4"/>
  <c r="K1113" i="4"/>
  <c r="G1113" i="4"/>
  <c r="C1112" i="4"/>
  <c r="C1111" i="4"/>
  <c r="K1110" i="4"/>
  <c r="G1110" i="4"/>
  <c r="K1109" i="4"/>
  <c r="G1109" i="4"/>
  <c r="K1108" i="4"/>
  <c r="G1108" i="4"/>
  <c r="E1107" i="4"/>
  <c r="C1106" i="4"/>
  <c r="C1105" i="4"/>
  <c r="E1104" i="4"/>
  <c r="E1103" i="4"/>
  <c r="E1102" i="4"/>
  <c r="C1101" i="4"/>
  <c r="I1100" i="4"/>
  <c r="E1100" i="4"/>
  <c r="K1099" i="4"/>
  <c r="G1099" i="4"/>
  <c r="C1098" i="4"/>
  <c r="K1097" i="4"/>
  <c r="G1097" i="4"/>
  <c r="K1096" i="4"/>
  <c r="G1096" i="4"/>
  <c r="K1095" i="4"/>
  <c r="G1095" i="4"/>
  <c r="C1094" i="4"/>
  <c r="I1093" i="4"/>
  <c r="E1093" i="4"/>
  <c r="I1092" i="4"/>
  <c r="C1092" i="4"/>
  <c r="K1091" i="4"/>
  <c r="G1091" i="4"/>
  <c r="C1090" i="4"/>
  <c r="K1089" i="4"/>
  <c r="G1089" i="4"/>
  <c r="K1088" i="4"/>
  <c r="G1088" i="4"/>
  <c r="K1087" i="4"/>
  <c r="E1087" i="4"/>
  <c r="C1086" i="4"/>
  <c r="I1084" i="4"/>
  <c r="G1084" i="4"/>
  <c r="K1083" i="4"/>
  <c r="G1083" i="4"/>
  <c r="E1082" i="4"/>
  <c r="C1081" i="4"/>
  <c r="G1080" i="4"/>
  <c r="K1079" i="4"/>
  <c r="G1079" i="4"/>
  <c r="E1078" i="4"/>
  <c r="K1077" i="4"/>
  <c r="G1077" i="4"/>
  <c r="C1076" i="4"/>
  <c r="E1075" i="4"/>
  <c r="C1074" i="4"/>
  <c r="E1096" i="1"/>
  <c r="F1096" i="1"/>
  <c r="H1096" i="1"/>
  <c r="B1095" i="1"/>
  <c r="D1095" i="1"/>
  <c r="F1094" i="1"/>
  <c r="H1094" i="1"/>
  <c r="I1093" i="1"/>
  <c r="B1093" i="1"/>
  <c r="D1093" i="1"/>
  <c r="G1092" i="1"/>
  <c r="I1092" i="1"/>
  <c r="J1091" i="1"/>
  <c r="E1091" i="1"/>
  <c r="E1090" i="1"/>
  <c r="G1090" i="1"/>
  <c r="I1090" i="1"/>
  <c r="I1089" i="1"/>
  <c r="B1089" i="1"/>
  <c r="D1089" i="1"/>
  <c r="E1089" i="1"/>
  <c r="H1088" i="1"/>
  <c r="J1087" i="1"/>
  <c r="C1087" i="1"/>
  <c r="E1087" i="1"/>
  <c r="F1086" i="1"/>
  <c r="H1086" i="1"/>
  <c r="I1085" i="1"/>
  <c r="C1085" i="1"/>
  <c r="E1085" i="1"/>
  <c r="G1084" i="1"/>
  <c r="J1083" i="1"/>
  <c r="E1083" i="1"/>
  <c r="F1082" i="1"/>
  <c r="I1082" i="1"/>
  <c r="G1081" i="1"/>
  <c r="B1081" i="1"/>
  <c r="D1081" i="1"/>
  <c r="E1080" i="1"/>
  <c r="G1080" i="1"/>
  <c r="H1080" i="1"/>
  <c r="J1079" i="1"/>
  <c r="E1079" i="1"/>
  <c r="I1078" i="1"/>
  <c r="B1077" i="1"/>
  <c r="D1077" i="1"/>
  <c r="F1076" i="1"/>
  <c r="E1073" i="4"/>
  <c r="C1072" i="4"/>
  <c r="C1071" i="4"/>
  <c r="E1070" i="4"/>
  <c r="C1069" i="4"/>
  <c r="I1068" i="4"/>
  <c r="E1068" i="4"/>
  <c r="K1067" i="4"/>
  <c r="G1067" i="4"/>
  <c r="K1066" i="4"/>
  <c r="E1066" i="4"/>
  <c r="I1065" i="4"/>
  <c r="E1065" i="4"/>
  <c r="K1064" i="4"/>
  <c r="E1064" i="4"/>
  <c r="K1063" i="4"/>
  <c r="C1063" i="4"/>
  <c r="E1062" i="4"/>
  <c r="C1061" i="4"/>
  <c r="I1060" i="4"/>
  <c r="C1060" i="4"/>
  <c r="E1059" i="4"/>
  <c r="K1058" i="4"/>
  <c r="C1058" i="4"/>
  <c r="C1057" i="4"/>
  <c r="C1056" i="4"/>
  <c r="K1055" i="4"/>
  <c r="G1055" i="4"/>
  <c r="C1054" i="4"/>
  <c r="K1053" i="4"/>
  <c r="G1053" i="4"/>
  <c r="I1052" i="4"/>
  <c r="E1052" i="4"/>
  <c r="E1051" i="4"/>
  <c r="C1050" i="4"/>
  <c r="K1049" i="4"/>
  <c r="G1049" i="4"/>
  <c r="I1048" i="4"/>
  <c r="C1048" i="4"/>
  <c r="K1047" i="4"/>
  <c r="G1047" i="4"/>
  <c r="C1046" i="4"/>
  <c r="G1046" i="4"/>
  <c r="G1045" i="4"/>
  <c r="G1085" i="4"/>
  <c r="C1045" i="4"/>
  <c r="C1085" i="4"/>
  <c r="I1095" i="1"/>
  <c r="G1094" i="1"/>
  <c r="C1091" i="1"/>
  <c r="G1086" i="1"/>
  <c r="C1083" i="1"/>
  <c r="C1075" i="1"/>
  <c r="G1073" i="4"/>
  <c r="K1072" i="4"/>
  <c r="G1072" i="4"/>
  <c r="E1071" i="4"/>
  <c r="C1070" i="4"/>
  <c r="I1069" i="4"/>
  <c r="E1069" i="4"/>
  <c r="K1068" i="4"/>
  <c r="G1068" i="4"/>
  <c r="C1067" i="4"/>
  <c r="C1066" i="4"/>
  <c r="C1065" i="4"/>
  <c r="G1064" i="4"/>
  <c r="G1063" i="4"/>
  <c r="C1062" i="4"/>
  <c r="I1061" i="4"/>
  <c r="E1061" i="4"/>
  <c r="K1060" i="4"/>
  <c r="G1060" i="4"/>
  <c r="C1059" i="4"/>
  <c r="E1058" i="4"/>
  <c r="K1057" i="4"/>
  <c r="G1057" i="4"/>
  <c r="K1056" i="4"/>
  <c r="G1056" i="4"/>
  <c r="E1055" i="4"/>
  <c r="K1054" i="4"/>
  <c r="G1054" i="4"/>
  <c r="C1053" i="4"/>
  <c r="K1052" i="4"/>
  <c r="G1052" i="4"/>
  <c r="C1051" i="4"/>
  <c r="E1050" i="4"/>
  <c r="C1049" i="4"/>
  <c r="E1048" i="4"/>
  <c r="C1047" i="4"/>
  <c r="K1046" i="4"/>
  <c r="E1046" i="4"/>
  <c r="I1045" i="4"/>
  <c r="I1085" i="4"/>
  <c r="K1045" i="4"/>
  <c r="K1085" i="4"/>
  <c r="E1092" i="1"/>
  <c r="J1089" i="1"/>
  <c r="E1084" i="1"/>
  <c r="J1081" i="1"/>
  <c r="G1078" i="1"/>
  <c r="E1076" i="1"/>
  <c r="J1073" i="1"/>
  <c r="C1073" i="4"/>
  <c r="E1072" i="4"/>
  <c r="K1071" i="4"/>
  <c r="G1071" i="4"/>
  <c r="K1070" i="4"/>
  <c r="G1070" i="4"/>
  <c r="K1069" i="4"/>
  <c r="G1069" i="4"/>
  <c r="C1068" i="4"/>
  <c r="E1067" i="4"/>
  <c r="G1066" i="4"/>
  <c r="K1065" i="4"/>
  <c r="C1064" i="4"/>
  <c r="E1063" i="4"/>
  <c r="K1062" i="4"/>
  <c r="G1062" i="4"/>
  <c r="K1061" i="4"/>
  <c r="G1061" i="4"/>
  <c r="E1060" i="4"/>
  <c r="K1059" i="4"/>
  <c r="G1059" i="4"/>
  <c r="G1058" i="4"/>
  <c r="I1057" i="4"/>
  <c r="E1057" i="4"/>
  <c r="I1056" i="4"/>
  <c r="E1056" i="4"/>
  <c r="C1055" i="4"/>
  <c r="E1054" i="4"/>
  <c r="I1053" i="4"/>
  <c r="E1053" i="4"/>
  <c r="C1052" i="4"/>
  <c r="K1051" i="4"/>
  <c r="G1051" i="4"/>
  <c r="K1050" i="4"/>
  <c r="G1050" i="4"/>
  <c r="I1049" i="4"/>
  <c r="E1049" i="4"/>
  <c r="K1048" i="4"/>
  <c r="G1048" i="4"/>
  <c r="E1047" i="4"/>
  <c r="E1045" i="4"/>
  <c r="E1085" i="4"/>
  <c r="D1096" i="1"/>
  <c r="H1095" i="1"/>
  <c r="D1094" i="1"/>
  <c r="G1093" i="1"/>
  <c r="H1093" i="1"/>
  <c r="D1092" i="1"/>
  <c r="G1091" i="1"/>
  <c r="C1090" i="1"/>
  <c r="D1090" i="1"/>
  <c r="C1088" i="1"/>
  <c r="D1088" i="1"/>
  <c r="H1087" i="1"/>
  <c r="D1086" i="1"/>
  <c r="G1085" i="1"/>
  <c r="H1085" i="1"/>
  <c r="D1084" i="1"/>
  <c r="G1083" i="1"/>
  <c r="C1082" i="1"/>
  <c r="D1082" i="1"/>
  <c r="C1080" i="1"/>
  <c r="D1080" i="1"/>
  <c r="H1079" i="1"/>
  <c r="D1078" i="1"/>
  <c r="G1077" i="1"/>
  <c r="H1077" i="1"/>
  <c r="D1076" i="1"/>
  <c r="G1075" i="1"/>
  <c r="C1074" i="1"/>
  <c r="D1074" i="1"/>
  <c r="C1072" i="1"/>
  <c r="D1072" i="1"/>
  <c r="G1071" i="1"/>
  <c r="H1071" i="1"/>
  <c r="D1070" i="1"/>
  <c r="G1067" i="1"/>
  <c r="H1067" i="1"/>
  <c r="C1066" i="1"/>
  <c r="D1066" i="1"/>
  <c r="B1097" i="3"/>
  <c r="E1097" i="3"/>
  <c r="C1097" i="3"/>
  <c r="D1097" i="3"/>
  <c r="A1098" i="3"/>
  <c r="C1071" i="1"/>
  <c r="I1069" i="1"/>
  <c r="F1066" i="1"/>
  <c r="D1064" i="1"/>
  <c r="C1063" i="1"/>
  <c r="I1061" i="1"/>
  <c r="G1059" i="1"/>
  <c r="F1058" i="1"/>
  <c r="D1056" i="1"/>
  <c r="B1055" i="1"/>
  <c r="C1055" i="1"/>
  <c r="H1053" i="1"/>
  <c r="B1128" i="4"/>
  <c r="D1125" i="4"/>
  <c r="B1124" i="4"/>
  <c r="J1118" i="4"/>
  <c r="D1113" i="4"/>
  <c r="J1092" i="4"/>
  <c r="D1091" i="4"/>
  <c r="J1084" i="4"/>
  <c r="G1052" i="1"/>
  <c r="E1050" i="1"/>
  <c r="J1130" i="4"/>
  <c r="D1130" i="4"/>
  <c r="J1129" i="4"/>
  <c r="B1129" i="4"/>
  <c r="D1129" i="4"/>
  <c r="J1128" i="4"/>
  <c r="D1128" i="4"/>
  <c r="J1127" i="4"/>
  <c r="B1127" i="4"/>
  <c r="D1127" i="4"/>
  <c r="B1126" i="4"/>
  <c r="D1126" i="4"/>
  <c r="J1125" i="4"/>
  <c r="B1125" i="4"/>
  <c r="J1124" i="4"/>
  <c r="D1124" i="4"/>
  <c r="J1123" i="4"/>
  <c r="B1123" i="4"/>
  <c r="D1123" i="4"/>
  <c r="B1122" i="4"/>
  <c r="D1122" i="4"/>
  <c r="J1121" i="4"/>
  <c r="B1121" i="4"/>
  <c r="D1121" i="4"/>
  <c r="J1120" i="4"/>
  <c r="B1120" i="4"/>
  <c r="D1120" i="4"/>
  <c r="J1119" i="4"/>
  <c r="B1119" i="4"/>
  <c r="D1119" i="4"/>
  <c r="B1118" i="4"/>
  <c r="D1118" i="4"/>
  <c r="J1117" i="4"/>
  <c r="B1117" i="4"/>
  <c r="D1117" i="4"/>
  <c r="J1116" i="4"/>
  <c r="B1116" i="4"/>
  <c r="D1116" i="4"/>
  <c r="J1115" i="4"/>
  <c r="B1115" i="4"/>
  <c r="D1115" i="4"/>
  <c r="J1114" i="4"/>
  <c r="B1114" i="4"/>
  <c r="D1114" i="4"/>
  <c r="J1113" i="4"/>
  <c r="B1113" i="4"/>
  <c r="J1112" i="4"/>
  <c r="B1112" i="4"/>
  <c r="D1112" i="4"/>
  <c r="J1111" i="4"/>
  <c r="B1111" i="4"/>
  <c r="D1111" i="4"/>
  <c r="J1110" i="4"/>
  <c r="B1110" i="4"/>
  <c r="D1110" i="4"/>
  <c r="J1109" i="4"/>
  <c r="B1109" i="4"/>
  <c r="D1109" i="4"/>
  <c r="J1108" i="4"/>
  <c r="B1108" i="4"/>
  <c r="D1108" i="4"/>
  <c r="J1107" i="4"/>
  <c r="B1107" i="4"/>
  <c r="D1107" i="4"/>
  <c r="J1106" i="4"/>
  <c r="B1106" i="4"/>
  <c r="D1106" i="4"/>
  <c r="J1105" i="4"/>
  <c r="B1105" i="4"/>
  <c r="D1105" i="4"/>
  <c r="J1104" i="4"/>
  <c r="B1104" i="4"/>
  <c r="D1104" i="4"/>
  <c r="J1103" i="4"/>
  <c r="B1103" i="4"/>
  <c r="D1103" i="4"/>
  <c r="J1102" i="4"/>
  <c r="B1102" i="4"/>
  <c r="D1102" i="4"/>
  <c r="J1101" i="4"/>
  <c r="B1101" i="4"/>
  <c r="D1101" i="4"/>
  <c r="J1100" i="4"/>
  <c r="B1100" i="4"/>
  <c r="D1100" i="4"/>
  <c r="J1099" i="4"/>
  <c r="B1099" i="4"/>
  <c r="J1098" i="4"/>
  <c r="B1098" i="4"/>
  <c r="D1098" i="4"/>
  <c r="J1097" i="4"/>
  <c r="B1097" i="4"/>
  <c r="D1097" i="4"/>
  <c r="J1096" i="4"/>
  <c r="B1096" i="4"/>
  <c r="D1096" i="4"/>
  <c r="J1095" i="4"/>
  <c r="B1095" i="4"/>
  <c r="D1095" i="4"/>
  <c r="J1094" i="4"/>
  <c r="B1094" i="4"/>
  <c r="D1094" i="4"/>
  <c r="J1093" i="4"/>
  <c r="B1093" i="4"/>
  <c r="D1093" i="4"/>
  <c r="B1092" i="4"/>
  <c r="D1092" i="4"/>
  <c r="J1091" i="4"/>
  <c r="B1091" i="4"/>
  <c r="J1090" i="4"/>
  <c r="B1090" i="4"/>
  <c r="D1090" i="4"/>
  <c r="J1089" i="4"/>
  <c r="B1089" i="4"/>
  <c r="D1089" i="4"/>
  <c r="J1088" i="4"/>
  <c r="B1088" i="4"/>
  <c r="D1088" i="4"/>
  <c r="J1087" i="4"/>
  <c r="B1087" i="4"/>
  <c r="D1087" i="4"/>
  <c r="J1086" i="4"/>
  <c r="B1086" i="4"/>
  <c r="D1086" i="4"/>
  <c r="B1084" i="4"/>
  <c r="D1084" i="4"/>
  <c r="J1083" i="4"/>
  <c r="B1083" i="4"/>
  <c r="D1083" i="4"/>
  <c r="J1082" i="4"/>
  <c r="B1082" i="4"/>
  <c r="D1082" i="4"/>
  <c r="J1081" i="4"/>
  <c r="B1081" i="4"/>
  <c r="D1081" i="4"/>
  <c r="J1080" i="4"/>
  <c r="B1080" i="4"/>
  <c r="D1080" i="4"/>
  <c r="J1079" i="4"/>
  <c r="B1079" i="4"/>
  <c r="D1079" i="4"/>
  <c r="J1078" i="4"/>
  <c r="B1078" i="4"/>
  <c r="D1078" i="4"/>
  <c r="J1076" i="4"/>
  <c r="B1072" i="4"/>
  <c r="I1054" i="1"/>
  <c r="E1051" i="1"/>
  <c r="A1075" i="2"/>
  <c r="B1074" i="2"/>
  <c r="E1094" i="3"/>
  <c r="E1093" i="3"/>
  <c r="E1090" i="3"/>
  <c r="E1089" i="3"/>
  <c r="E1085" i="3"/>
  <c r="E1082" i="3"/>
  <c r="E1081" i="3"/>
  <c r="E1077" i="3"/>
  <c r="E1075" i="3"/>
  <c r="E1074" i="3"/>
  <c r="E1073" i="3"/>
  <c r="E1071" i="3"/>
  <c r="E1069" i="3"/>
  <c r="E1064" i="3"/>
  <c r="E1062" i="3"/>
  <c r="E1055" i="3"/>
  <c r="E1053" i="3"/>
  <c r="C1096" i="3"/>
  <c r="C1095" i="3"/>
  <c r="C1092" i="3"/>
  <c r="C1091" i="3"/>
  <c r="C1090" i="3"/>
  <c r="C1088" i="3"/>
  <c r="C1087" i="3"/>
  <c r="C1086" i="3"/>
  <c r="C1084" i="3"/>
  <c r="C1083" i="3"/>
  <c r="C1079" i="3"/>
  <c r="C1078" i="3"/>
  <c r="C1076" i="3"/>
  <c r="C1075" i="3"/>
  <c r="C1071" i="3"/>
  <c r="C1069" i="3"/>
  <c r="C1067" i="3"/>
  <c r="C1065" i="3"/>
  <c r="C1063" i="3"/>
  <c r="C1061" i="3"/>
  <c r="C1060" i="3"/>
  <c r="C1059" i="3"/>
  <c r="C1058" i="3"/>
  <c r="C1057" i="3"/>
  <c r="C1055" i="3"/>
  <c r="C1053" i="3"/>
  <c r="C1051" i="3"/>
  <c r="J1077" i="4"/>
  <c r="B1077" i="4"/>
  <c r="D1077" i="4"/>
  <c r="B1076" i="4"/>
  <c r="D1076" i="4"/>
  <c r="J1075" i="4"/>
  <c r="B1075" i="4"/>
  <c r="J1074" i="4"/>
  <c r="B1074" i="4"/>
  <c r="D1074" i="4"/>
  <c r="J1073" i="4"/>
  <c r="B1073" i="4"/>
  <c r="D1073" i="4"/>
  <c r="J1072" i="4"/>
  <c r="D1072" i="4"/>
  <c r="J1071" i="4"/>
  <c r="B1071" i="4"/>
  <c r="D1071" i="4"/>
  <c r="J1070" i="4"/>
  <c r="B1070" i="4"/>
  <c r="D1070" i="4"/>
  <c r="J1069" i="4"/>
  <c r="B1069" i="4"/>
  <c r="D1069" i="4"/>
  <c r="B1068" i="4"/>
  <c r="D1068" i="4"/>
  <c r="J1067" i="4"/>
  <c r="B1067" i="4"/>
  <c r="J1066" i="4"/>
  <c r="B1066" i="4"/>
  <c r="D1066" i="4"/>
  <c r="J1065" i="4"/>
  <c r="B1065" i="4"/>
  <c r="D1065" i="4"/>
  <c r="J1064" i="4"/>
  <c r="D1064" i="4"/>
  <c r="J1063" i="4"/>
  <c r="B1063" i="4"/>
  <c r="D1063" i="4"/>
  <c r="J1062" i="4"/>
  <c r="B1062" i="4"/>
  <c r="D1062" i="4"/>
  <c r="J1061" i="4"/>
  <c r="B1061" i="4"/>
  <c r="D1061" i="4"/>
  <c r="B1060" i="4"/>
  <c r="D1060" i="4"/>
  <c r="J1059" i="4"/>
  <c r="B1059" i="4"/>
  <c r="J1058" i="4"/>
  <c r="B1058" i="4"/>
  <c r="D1058" i="4"/>
  <c r="J1057" i="4"/>
  <c r="B1057" i="4"/>
  <c r="D1057" i="4"/>
  <c r="J1056" i="4"/>
  <c r="D1056" i="4"/>
  <c r="J1055" i="4"/>
  <c r="B1055" i="4"/>
  <c r="D1055" i="4"/>
  <c r="J1054" i="4"/>
  <c r="B1054" i="4"/>
  <c r="D1054" i="4"/>
  <c r="J1053" i="4"/>
  <c r="B1053" i="4"/>
  <c r="D1053" i="4"/>
  <c r="B1052" i="4"/>
  <c r="D1052" i="4"/>
  <c r="J1051" i="4"/>
  <c r="B1051" i="4"/>
  <c r="J1050" i="4"/>
  <c r="B1050" i="4"/>
  <c r="D1050" i="4"/>
  <c r="J1049" i="4"/>
  <c r="B1049" i="4"/>
  <c r="D1049" i="4"/>
  <c r="J1048" i="4"/>
  <c r="D1048" i="4"/>
  <c r="J1047" i="4"/>
  <c r="B1047" i="4"/>
  <c r="D1047" i="4"/>
  <c r="J1046" i="4"/>
  <c r="B1046" i="4"/>
  <c r="D1046" i="4"/>
  <c r="H1045" i="4"/>
  <c r="H1085" i="4"/>
  <c r="J1045" i="4"/>
  <c r="J1085" i="4"/>
  <c r="B1045" i="4"/>
  <c r="B1085" i="4"/>
  <c r="I1111" i="4"/>
  <c r="I1110" i="4"/>
  <c r="I1107" i="4"/>
  <c r="I1106" i="4"/>
  <c r="I1103" i="4"/>
  <c r="I1102" i="4"/>
  <c r="I1099" i="4"/>
  <c r="I1098" i="4"/>
  <c r="I1095" i="4"/>
  <c r="I1094" i="4"/>
  <c r="I1091" i="4"/>
  <c r="I1090" i="4"/>
  <c r="I1087" i="4"/>
  <c r="I1086" i="4"/>
  <c r="I1083" i="4"/>
  <c r="I1082" i="4"/>
  <c r="I1079" i="4"/>
  <c r="I1078" i="4"/>
  <c r="I1075" i="4"/>
  <c r="I1074" i="4"/>
  <c r="I1071" i="4"/>
  <c r="I1070" i="4"/>
  <c r="I1067" i="4"/>
  <c r="I1066" i="4"/>
  <c r="I1063" i="4"/>
  <c r="I1062" i="4"/>
  <c r="I1059" i="4"/>
  <c r="I1058" i="4"/>
  <c r="I1055" i="4"/>
  <c r="I1054" i="4"/>
  <c r="I1051" i="4"/>
  <c r="I1050" i="4"/>
  <c r="I1047" i="4"/>
  <c r="I1046" i="4"/>
  <c r="D1098" i="1" l="1"/>
  <c r="M1098" i="1"/>
  <c r="C1098" i="1"/>
  <c r="N1098" i="1"/>
  <c r="O1098" i="1"/>
  <c r="P1098" i="1"/>
  <c r="E1098" i="1"/>
  <c r="F1098" i="1"/>
  <c r="Q1098" i="1"/>
  <c r="G1098" i="1"/>
  <c r="H1098" i="1"/>
  <c r="B1098" i="1"/>
  <c r="I1098" i="1"/>
  <c r="L1098" i="1"/>
  <c r="A1099" i="1"/>
  <c r="J1098" i="1"/>
  <c r="B1075" i="2"/>
  <c r="A1076" i="2"/>
  <c r="D1098" i="3"/>
  <c r="E1098" i="3"/>
  <c r="A1099" i="3"/>
  <c r="C1098" i="3"/>
  <c r="B1098" i="3"/>
  <c r="C1099" i="3" l="1"/>
  <c r="B1099" i="3"/>
  <c r="D1099" i="3"/>
  <c r="A1100" i="3"/>
  <c r="E1099" i="3"/>
  <c r="D1099" i="1"/>
  <c r="M1099" i="1"/>
  <c r="F1099" i="1"/>
  <c r="P1099" i="1"/>
  <c r="Q1099" i="1"/>
  <c r="I1099" i="1"/>
  <c r="G1099" i="1"/>
  <c r="H1099" i="1"/>
  <c r="A1100" i="1"/>
  <c r="B1099" i="1"/>
  <c r="C1099" i="1"/>
  <c r="L1099" i="1"/>
  <c r="E1099" i="1"/>
  <c r="J1099" i="1"/>
  <c r="O1099" i="1"/>
  <c r="N1099" i="1"/>
  <c r="A1077" i="2"/>
  <c r="B1076" i="2"/>
  <c r="B1077" i="2" l="1"/>
  <c r="A1078" i="2"/>
  <c r="D1100" i="1"/>
  <c r="M1100" i="1"/>
  <c r="H1100" i="1"/>
  <c r="A1101" i="1"/>
  <c r="J1100" i="1"/>
  <c r="I1100" i="1"/>
  <c r="L1100" i="1"/>
  <c r="B1100" i="1"/>
  <c r="E1100" i="1"/>
  <c r="O1100" i="1"/>
  <c r="F1100" i="1"/>
  <c r="N1100" i="1"/>
  <c r="G1100" i="1"/>
  <c r="P1100" i="1"/>
  <c r="Q1100" i="1"/>
  <c r="C1100" i="1"/>
  <c r="B1100" i="3"/>
  <c r="C1100" i="3"/>
  <c r="A1101" i="3"/>
  <c r="D1100" i="3"/>
  <c r="E1100" i="3"/>
  <c r="D1101" i="1" l="1"/>
  <c r="M1101" i="1"/>
  <c r="J1101" i="1"/>
  <c r="B1101" i="1"/>
  <c r="L1101" i="1"/>
  <c r="E1101" i="1"/>
  <c r="C1101" i="1"/>
  <c r="N1101" i="1"/>
  <c r="O1101" i="1"/>
  <c r="G1101" i="1"/>
  <c r="H1101" i="1"/>
  <c r="P1101" i="1"/>
  <c r="Q1101" i="1"/>
  <c r="I1101" i="1"/>
  <c r="F1101" i="1"/>
  <c r="A1102" i="1"/>
  <c r="E1101" i="3"/>
  <c r="A1102" i="3"/>
  <c r="C1101" i="3"/>
  <c r="D1101" i="3"/>
  <c r="B1101" i="3"/>
  <c r="A1079" i="2"/>
  <c r="B1078" i="2"/>
  <c r="D1102" i="1" l="1"/>
  <c r="M1102" i="1"/>
  <c r="C1102" i="1"/>
  <c r="N1102" i="1"/>
  <c r="O1102" i="1"/>
  <c r="F1102" i="1"/>
  <c r="Q1102" i="1"/>
  <c r="E1102" i="1"/>
  <c r="P1102" i="1"/>
  <c r="G1102" i="1"/>
  <c r="I1102" i="1"/>
  <c r="J1102" i="1"/>
  <c r="L1102" i="1"/>
  <c r="A1103" i="1"/>
  <c r="B1102" i="1"/>
  <c r="H1102" i="1"/>
  <c r="B1079" i="2"/>
  <c r="A1080" i="2"/>
  <c r="D1102" i="3"/>
  <c r="C1102" i="3"/>
  <c r="E1102" i="3"/>
  <c r="B1102" i="3"/>
  <c r="A1103" i="3"/>
  <c r="C1103" i="3" l="1"/>
  <c r="D1103" i="3"/>
  <c r="A1104" i="3"/>
  <c r="B1103" i="3"/>
  <c r="E1103" i="3"/>
  <c r="D1103" i="1"/>
  <c r="M1103" i="1"/>
  <c r="F1103" i="1"/>
  <c r="P1103" i="1"/>
  <c r="Q1103" i="1"/>
  <c r="H1103" i="1"/>
  <c r="G1103" i="1"/>
  <c r="A1104" i="1"/>
  <c r="I1103" i="1"/>
  <c r="L1103" i="1"/>
  <c r="N1103" i="1"/>
  <c r="O1103" i="1"/>
  <c r="B1103" i="1"/>
  <c r="J1103" i="1"/>
  <c r="C1103" i="1"/>
  <c r="E1103" i="1"/>
  <c r="A1081" i="2"/>
  <c r="B1080" i="2"/>
  <c r="A1082" i="2" l="1"/>
  <c r="B1081" i="2"/>
  <c r="D1104" i="1"/>
  <c r="M1104" i="1"/>
  <c r="H1104" i="1"/>
  <c r="A1105" i="1"/>
  <c r="I1104" i="1"/>
  <c r="L1104" i="1"/>
  <c r="J1104" i="1"/>
  <c r="B1104" i="1"/>
  <c r="O1104" i="1"/>
  <c r="P1104" i="1"/>
  <c r="C1104" i="1"/>
  <c r="E1104" i="1"/>
  <c r="Q1104" i="1"/>
  <c r="F1104" i="1"/>
  <c r="N1104" i="1"/>
  <c r="G1104" i="1"/>
  <c r="A1105" i="3"/>
  <c r="B1104" i="3"/>
  <c r="C1104" i="3"/>
  <c r="E1104" i="3"/>
  <c r="D1104" i="3"/>
  <c r="D1105" i="1" l="1"/>
  <c r="M1105" i="1"/>
  <c r="J1105" i="1"/>
  <c r="L1105" i="1"/>
  <c r="C1105" i="1"/>
  <c r="B1105" i="1"/>
  <c r="O1105" i="1"/>
  <c r="N1105" i="1"/>
  <c r="E1105" i="1"/>
  <c r="Q1105" i="1"/>
  <c r="A1106" i="1"/>
  <c r="F1105" i="1"/>
  <c r="G1105" i="1"/>
  <c r="I1105" i="1"/>
  <c r="P1105" i="1"/>
  <c r="H1105" i="1"/>
  <c r="B1105" i="3"/>
  <c r="E1105" i="3"/>
  <c r="D1105" i="3"/>
  <c r="A1106" i="3"/>
  <c r="C1105" i="3"/>
  <c r="A1083" i="2"/>
  <c r="B1082" i="2"/>
  <c r="D1106" i="3" l="1"/>
  <c r="E1106" i="3"/>
  <c r="C1106" i="3"/>
  <c r="A1107" i="3"/>
  <c r="B1106" i="3"/>
  <c r="D1106" i="1"/>
  <c r="M1106" i="1"/>
  <c r="C1106" i="1"/>
  <c r="N1106" i="1"/>
  <c r="O1106" i="1"/>
  <c r="P1106" i="1"/>
  <c r="G1106" i="1"/>
  <c r="E1106" i="1"/>
  <c r="F1106" i="1"/>
  <c r="Q1106" i="1"/>
  <c r="H1106" i="1"/>
  <c r="I1106" i="1"/>
  <c r="B1106" i="1"/>
  <c r="L1106" i="1"/>
  <c r="A1107" i="1"/>
  <c r="J1106" i="1"/>
  <c r="B1083" i="2"/>
  <c r="A1084" i="2"/>
  <c r="D1107" i="1" l="1"/>
  <c r="M1107" i="1"/>
  <c r="F1107" i="1"/>
  <c r="P1107" i="1"/>
  <c r="Q1107" i="1"/>
  <c r="G1107" i="1"/>
  <c r="H1107" i="1"/>
  <c r="I1107" i="1"/>
  <c r="A1108" i="1"/>
  <c r="B1107" i="1"/>
  <c r="L1107" i="1"/>
  <c r="C1107" i="1"/>
  <c r="J1107" i="1"/>
  <c r="E1107" i="1"/>
  <c r="O1107" i="1"/>
  <c r="N1107" i="1"/>
  <c r="C1107" i="3"/>
  <c r="B1107" i="3"/>
  <c r="D1107" i="3"/>
  <c r="E1107" i="3"/>
  <c r="A1108" i="3"/>
  <c r="A1085" i="2"/>
  <c r="B1084" i="2"/>
  <c r="B1108" i="3" l="1"/>
  <c r="C1108" i="3"/>
  <c r="A1109" i="3"/>
  <c r="E1108" i="3"/>
  <c r="D1108" i="3"/>
  <c r="B1085" i="2"/>
  <c r="A1086" i="2"/>
  <c r="D1108" i="1"/>
  <c r="M1108" i="1"/>
  <c r="H1108" i="1"/>
  <c r="A1109" i="1"/>
  <c r="J1108" i="1"/>
  <c r="B1108" i="1"/>
  <c r="I1108" i="1"/>
  <c r="L1108" i="1"/>
  <c r="E1108" i="1"/>
  <c r="F1108" i="1"/>
  <c r="O1108" i="1"/>
  <c r="G1108" i="1"/>
  <c r="N1108" i="1"/>
  <c r="Q1108" i="1"/>
  <c r="C1108" i="1"/>
  <c r="P1108" i="1"/>
  <c r="A1087" i="2" l="1"/>
  <c r="B1086" i="2"/>
  <c r="D1109" i="1"/>
  <c r="M1109" i="1"/>
  <c r="J1109" i="1"/>
  <c r="B1109" i="1"/>
  <c r="O1109" i="1"/>
  <c r="L1109" i="1"/>
  <c r="C1109" i="1"/>
  <c r="N1109" i="1"/>
  <c r="E1109" i="1"/>
  <c r="G1109" i="1"/>
  <c r="H1109" i="1"/>
  <c r="P1109" i="1"/>
  <c r="I1109" i="1"/>
  <c r="Q1109" i="1"/>
  <c r="A1110" i="1"/>
  <c r="F1109" i="1"/>
  <c r="E1109" i="3"/>
  <c r="A1110" i="3"/>
  <c r="B1109" i="3"/>
  <c r="C1109" i="3"/>
  <c r="D1109" i="3"/>
  <c r="D1110" i="3" l="1"/>
  <c r="C1110" i="3"/>
  <c r="E1110" i="3"/>
  <c r="A1111" i="3"/>
  <c r="B1110" i="3"/>
  <c r="D1110" i="1"/>
  <c r="M1110" i="1"/>
  <c r="C1110" i="1"/>
  <c r="N1110" i="1"/>
  <c r="E1110" i="1"/>
  <c r="O1110" i="1"/>
  <c r="F1110" i="1"/>
  <c r="P1110" i="1"/>
  <c r="G1110" i="1"/>
  <c r="Q1110" i="1"/>
  <c r="I1110" i="1"/>
  <c r="J1110" i="1"/>
  <c r="L1110" i="1"/>
  <c r="A1111" i="1"/>
  <c r="H1110" i="1"/>
  <c r="B1110" i="1"/>
  <c r="B1087" i="2"/>
  <c r="A1088" i="2"/>
  <c r="A1089" i="2" l="1"/>
  <c r="B1088" i="2"/>
  <c r="C1111" i="3"/>
  <c r="D1111" i="3"/>
  <c r="E1111" i="3"/>
  <c r="A1112" i="3"/>
  <c r="B1111" i="3"/>
  <c r="D1111" i="1"/>
  <c r="M1111" i="1"/>
  <c r="F1111" i="1"/>
  <c r="P1111" i="1"/>
  <c r="Q1111" i="1"/>
  <c r="H1111" i="1"/>
  <c r="I1111" i="1"/>
  <c r="G1111" i="1"/>
  <c r="A1112" i="1"/>
  <c r="L1111" i="1"/>
  <c r="N1111" i="1"/>
  <c r="B1111" i="1"/>
  <c r="O1111" i="1"/>
  <c r="C1111" i="1"/>
  <c r="E1111" i="1"/>
  <c r="J1111" i="1"/>
  <c r="A1113" i="3" l="1"/>
  <c r="B1112" i="3"/>
  <c r="D1112" i="3"/>
  <c r="E1112" i="3"/>
  <c r="C1112" i="3"/>
  <c r="D1112" i="1"/>
  <c r="M1112" i="1"/>
  <c r="H1112" i="1"/>
  <c r="A1113" i="1"/>
  <c r="I1112" i="1"/>
  <c r="J1112" i="1"/>
  <c r="B1112" i="1"/>
  <c r="L1112" i="1"/>
  <c r="O1112" i="1"/>
  <c r="E1112" i="1"/>
  <c r="P1112" i="1"/>
  <c r="Q1112" i="1"/>
  <c r="C1112" i="1"/>
  <c r="N1112" i="1"/>
  <c r="F1112" i="1"/>
  <c r="G1112" i="1"/>
  <c r="A1090" i="2"/>
  <c r="B1089" i="2"/>
  <c r="A1091" i="2" l="1"/>
  <c r="B1090" i="2"/>
  <c r="D1113" i="1"/>
  <c r="M1113" i="1"/>
  <c r="J1113" i="1"/>
  <c r="B1113" i="1"/>
  <c r="C1113" i="1"/>
  <c r="E1113" i="1"/>
  <c r="L1113" i="1"/>
  <c r="N1113" i="1"/>
  <c r="O1113" i="1"/>
  <c r="Q1113" i="1"/>
  <c r="A1114" i="1"/>
  <c r="F1113" i="1"/>
  <c r="G1113" i="1"/>
  <c r="H1113" i="1"/>
  <c r="I1113" i="1"/>
  <c r="P1113" i="1"/>
  <c r="B1113" i="3"/>
  <c r="E1113" i="3"/>
  <c r="D1113" i="3"/>
  <c r="C1113" i="3"/>
  <c r="A1114" i="3"/>
  <c r="D1114" i="3" l="1"/>
  <c r="E1114" i="3"/>
  <c r="B1114" i="3"/>
  <c r="C1114" i="3"/>
  <c r="A1115" i="3"/>
  <c r="D1114" i="1"/>
  <c r="M1114" i="1"/>
  <c r="C1114" i="1"/>
  <c r="N1114" i="1"/>
  <c r="E1114" i="1"/>
  <c r="P1114" i="1"/>
  <c r="Q1114" i="1"/>
  <c r="O1114" i="1"/>
  <c r="F1114" i="1"/>
  <c r="G1114" i="1"/>
  <c r="B1114" i="1"/>
  <c r="I1114" i="1"/>
  <c r="H1114" i="1"/>
  <c r="A1115" i="1"/>
  <c r="J1114" i="1"/>
  <c r="L1114" i="1"/>
  <c r="B1091" i="2"/>
  <c r="A1092" i="2"/>
  <c r="A1093" i="2" l="1"/>
  <c r="B1092" i="2"/>
  <c r="C1115" i="3"/>
  <c r="E1115" i="3"/>
  <c r="A1116" i="3"/>
  <c r="D1115" i="3"/>
  <c r="B1115" i="3"/>
  <c r="D1115" i="1"/>
  <c r="M1115" i="1"/>
  <c r="F1115" i="1"/>
  <c r="P1115" i="1"/>
  <c r="G1115" i="1"/>
  <c r="Q1115" i="1"/>
  <c r="H1115" i="1"/>
  <c r="A1116" i="1"/>
  <c r="I1115" i="1"/>
  <c r="B1115" i="1"/>
  <c r="L1115" i="1"/>
  <c r="C1115" i="1"/>
  <c r="J1115" i="1"/>
  <c r="E1115" i="1"/>
  <c r="O1115" i="1"/>
  <c r="N1115" i="1"/>
  <c r="B1116" i="3" l="1"/>
  <c r="C1116" i="3"/>
  <c r="A1117" i="3"/>
  <c r="E1116" i="3"/>
  <c r="D1116" i="3"/>
  <c r="D1116" i="1"/>
  <c r="M1116" i="1"/>
  <c r="H1116" i="1"/>
  <c r="A1117" i="1"/>
  <c r="L1116" i="1"/>
  <c r="I1116" i="1"/>
  <c r="J1116" i="1"/>
  <c r="B1116" i="1"/>
  <c r="E1116" i="1"/>
  <c r="O1116" i="1"/>
  <c r="F1116" i="1"/>
  <c r="G1116" i="1"/>
  <c r="N1116" i="1"/>
  <c r="C1116" i="1"/>
  <c r="Q1116" i="1"/>
  <c r="P1116" i="1"/>
  <c r="A1094" i="2"/>
  <c r="B1093" i="2"/>
  <c r="E1117" i="3" l="1"/>
  <c r="A1118" i="3"/>
  <c r="B1117" i="3"/>
  <c r="C1117" i="3"/>
  <c r="D1117" i="3"/>
  <c r="B1094" i="2"/>
  <c r="A1095" i="2"/>
  <c r="D1117" i="1"/>
  <c r="M1117" i="1"/>
  <c r="J1117" i="1"/>
  <c r="B1117" i="1"/>
  <c r="L1117" i="1"/>
  <c r="C1117" i="1"/>
  <c r="O1117" i="1"/>
  <c r="N1117" i="1"/>
  <c r="E1117" i="1"/>
  <c r="G1117" i="1"/>
  <c r="H1117" i="1"/>
  <c r="I1117" i="1"/>
  <c r="P1117" i="1"/>
  <c r="Q1117" i="1"/>
  <c r="F1117" i="1"/>
  <c r="A1118" i="1"/>
  <c r="B1095" i="2" l="1"/>
  <c r="A1096" i="2"/>
  <c r="D1118" i="3"/>
  <c r="A1119" i="3"/>
  <c r="B1118" i="3"/>
  <c r="C1118" i="3"/>
  <c r="E1118" i="3"/>
  <c r="D1118" i="1"/>
  <c r="M1118" i="1"/>
  <c r="C1118" i="1"/>
  <c r="N1118" i="1"/>
  <c r="O1118" i="1"/>
  <c r="F1118" i="1"/>
  <c r="E1118" i="1"/>
  <c r="Q1118" i="1"/>
  <c r="P1118" i="1"/>
  <c r="G1118" i="1"/>
  <c r="I1118" i="1"/>
  <c r="J1118" i="1"/>
  <c r="L1118" i="1"/>
  <c r="A1119" i="1"/>
  <c r="B1118" i="1"/>
  <c r="H1118" i="1"/>
  <c r="D1119" i="1" l="1"/>
  <c r="M1119" i="1"/>
  <c r="F1119" i="1"/>
  <c r="P1119" i="1"/>
  <c r="Q1119" i="1"/>
  <c r="A1120" i="1"/>
  <c r="I1119" i="1"/>
  <c r="G1119" i="1"/>
  <c r="H1119" i="1"/>
  <c r="L1119" i="1"/>
  <c r="N1119" i="1"/>
  <c r="O1119" i="1"/>
  <c r="B1119" i="1"/>
  <c r="C1119" i="1"/>
  <c r="J1119" i="1"/>
  <c r="E1119" i="1"/>
  <c r="C1119" i="3"/>
  <c r="D1119" i="3"/>
  <c r="B1119" i="3"/>
  <c r="E1119" i="3"/>
  <c r="A1120" i="3"/>
  <c r="A1097" i="2"/>
  <c r="B1096" i="2"/>
  <c r="C1097" i="2" l="1"/>
  <c r="A1098" i="2"/>
  <c r="D1097" i="2"/>
  <c r="E1097" i="2"/>
  <c r="G1097" i="2"/>
  <c r="J1097" i="2"/>
  <c r="I1097" i="2"/>
  <c r="F1097" i="2"/>
  <c r="H1097" i="2"/>
  <c r="B1097" i="2"/>
  <c r="D1120" i="1"/>
  <c r="M1120" i="1"/>
  <c r="H1120" i="1"/>
  <c r="A1121" i="1"/>
  <c r="I1120" i="1"/>
  <c r="J1120" i="1"/>
  <c r="L1120" i="1"/>
  <c r="B1120" i="1"/>
  <c r="O1120" i="1"/>
  <c r="E1120" i="1"/>
  <c r="P1120" i="1"/>
  <c r="Q1120" i="1"/>
  <c r="C1120" i="1"/>
  <c r="G1120" i="1"/>
  <c r="F1120" i="1"/>
  <c r="N1120" i="1"/>
  <c r="A1121" i="3"/>
  <c r="B1120" i="3"/>
  <c r="D1120" i="3"/>
  <c r="E1120" i="3"/>
  <c r="C1120" i="3"/>
  <c r="D1121" i="1" l="1"/>
  <c r="M1121" i="1"/>
  <c r="J1121" i="1"/>
  <c r="L1121" i="1"/>
  <c r="N1121" i="1"/>
  <c r="E1121" i="1"/>
  <c r="B1121" i="1"/>
  <c r="C1121" i="1"/>
  <c r="O1121" i="1"/>
  <c r="Q1121" i="1"/>
  <c r="A1122" i="1"/>
  <c r="F1121" i="1"/>
  <c r="G1121" i="1"/>
  <c r="P1121" i="1"/>
  <c r="H1121" i="1"/>
  <c r="I1121" i="1"/>
  <c r="I1098" i="2"/>
  <c r="C1098" i="2"/>
  <c r="D1098" i="2"/>
  <c r="F1098" i="2"/>
  <c r="B1098" i="2"/>
  <c r="G1098" i="2"/>
  <c r="E1098" i="2"/>
  <c r="A1099" i="2"/>
  <c r="H1098" i="2"/>
  <c r="J1098" i="2"/>
  <c r="B1121" i="3"/>
  <c r="E1121" i="3"/>
  <c r="A1122" i="3"/>
  <c r="C1121" i="3"/>
  <c r="D1121" i="3"/>
  <c r="G1099" i="2" l="1"/>
  <c r="B1099" i="2"/>
  <c r="A1100" i="2"/>
  <c r="C1099" i="2"/>
  <c r="E1099" i="2"/>
  <c r="F1099" i="2"/>
  <c r="H1099" i="2"/>
  <c r="J1099" i="2"/>
  <c r="D1099" i="2"/>
  <c r="I1099" i="2"/>
  <c r="D1122" i="3"/>
  <c r="E1122" i="3"/>
  <c r="B1122" i="3"/>
  <c r="A1123" i="3"/>
  <c r="C1122" i="3"/>
  <c r="D1122" i="1"/>
  <c r="M1122" i="1"/>
  <c r="C1122" i="1"/>
  <c r="N1122" i="1"/>
  <c r="E1122" i="1"/>
  <c r="P1122" i="1"/>
  <c r="Q1122" i="1"/>
  <c r="O1122" i="1"/>
  <c r="F1122" i="1"/>
  <c r="G1122" i="1"/>
  <c r="I1122" i="1"/>
  <c r="H1122" i="1"/>
  <c r="B1122" i="1"/>
  <c r="J1122" i="1"/>
  <c r="A1123" i="1"/>
  <c r="L1122" i="1"/>
  <c r="E1100" i="2" l="1"/>
  <c r="J1100" i="2"/>
  <c r="B1100" i="2"/>
  <c r="A1101" i="2"/>
  <c r="D1100" i="2"/>
  <c r="I1100" i="2"/>
  <c r="F1100" i="2"/>
  <c r="G1100" i="2"/>
  <c r="H1100" i="2"/>
  <c r="C1100" i="2"/>
  <c r="C1123" i="3"/>
  <c r="B1123" i="3"/>
  <c r="E1123" i="3"/>
  <c r="D1123" i="3"/>
  <c r="A1124" i="3"/>
  <c r="D1123" i="1"/>
  <c r="M1123" i="1"/>
  <c r="F1123" i="1"/>
  <c r="P1123" i="1"/>
  <c r="G1123" i="1"/>
  <c r="Q1123" i="1"/>
  <c r="A1124" i="1"/>
  <c r="H1123" i="1"/>
  <c r="I1123" i="1"/>
  <c r="B1123" i="1"/>
  <c r="C1123" i="1"/>
  <c r="E1123" i="1"/>
  <c r="L1123" i="1"/>
  <c r="J1123" i="1"/>
  <c r="N1123" i="1"/>
  <c r="O1123" i="1"/>
  <c r="C1101" i="2" l="1"/>
  <c r="A1102" i="2"/>
  <c r="I1101" i="2"/>
  <c r="J1101" i="2"/>
  <c r="D1101" i="2"/>
  <c r="B1101" i="2"/>
  <c r="F1101" i="2"/>
  <c r="G1101" i="2"/>
  <c r="E1101" i="2"/>
  <c r="H1101" i="2"/>
  <c r="B1124" i="3"/>
  <c r="C1124" i="3"/>
  <c r="A1125" i="3"/>
  <c r="D1124" i="3"/>
  <c r="E1124" i="3"/>
  <c r="D1124" i="1"/>
  <c r="M1124" i="1"/>
  <c r="H1124" i="1"/>
  <c r="A1125" i="1"/>
  <c r="J1124" i="1"/>
  <c r="B1124" i="1"/>
  <c r="I1124" i="1"/>
  <c r="L1124" i="1"/>
  <c r="E1124" i="1"/>
  <c r="O1124" i="1"/>
  <c r="F1124" i="1"/>
  <c r="N1124" i="1"/>
  <c r="G1124" i="1"/>
  <c r="Q1124" i="1"/>
  <c r="C1124" i="1"/>
  <c r="P1124" i="1"/>
  <c r="D1125" i="1" l="1"/>
  <c r="M1125" i="1"/>
  <c r="J1125" i="1"/>
  <c r="B1125" i="1"/>
  <c r="L1125" i="1"/>
  <c r="O1125" i="1"/>
  <c r="N1125" i="1"/>
  <c r="C1125" i="1"/>
  <c r="E1125" i="1"/>
  <c r="G1125" i="1"/>
  <c r="H1125" i="1"/>
  <c r="I1125" i="1"/>
  <c r="P1125" i="1"/>
  <c r="Q1125" i="1"/>
  <c r="F1125" i="1"/>
  <c r="A1126" i="1"/>
  <c r="I1102" i="2"/>
  <c r="H1102" i="2"/>
  <c r="J1102" i="2"/>
  <c r="C1102" i="2"/>
  <c r="E1102" i="2"/>
  <c r="F1102" i="2"/>
  <c r="A1103" i="2"/>
  <c r="G1102" i="2"/>
  <c r="D1102" i="2"/>
  <c r="B1102" i="2"/>
  <c r="E1125" i="3"/>
  <c r="A1126" i="3"/>
  <c r="C1125" i="3"/>
  <c r="B1125" i="3"/>
  <c r="D1125" i="3"/>
  <c r="D1126" i="1" l="1"/>
  <c r="M1126" i="1"/>
  <c r="C1126" i="1"/>
  <c r="N1126" i="1"/>
  <c r="O1126" i="1"/>
  <c r="F1126" i="1"/>
  <c r="E1126" i="1"/>
  <c r="G1126" i="1"/>
  <c r="P1126" i="1"/>
  <c r="Q1126" i="1"/>
  <c r="I1126" i="1"/>
  <c r="J1126" i="1"/>
  <c r="L1126" i="1"/>
  <c r="A1127" i="1"/>
  <c r="B1126" i="1"/>
  <c r="H1126" i="1"/>
  <c r="G1103" i="2"/>
  <c r="H1103" i="2"/>
  <c r="I1103" i="2"/>
  <c r="B1103" i="2"/>
  <c r="A1104" i="2"/>
  <c r="J1103" i="2"/>
  <c r="E1103" i="2"/>
  <c r="C1103" i="2"/>
  <c r="D1103" i="2"/>
  <c r="F1103" i="2"/>
  <c r="D1126" i="3"/>
  <c r="A1127" i="3"/>
  <c r="B1126" i="3"/>
  <c r="C1126" i="3"/>
  <c r="E1126" i="3"/>
  <c r="D1127" i="1" l="1"/>
  <c r="M1127" i="1"/>
  <c r="F1127" i="1"/>
  <c r="P1127" i="1"/>
  <c r="G1127" i="1"/>
  <c r="H1127" i="1"/>
  <c r="I1127" i="1"/>
  <c r="Q1127" i="1"/>
  <c r="A1128" i="1"/>
  <c r="L1127" i="1"/>
  <c r="N1127" i="1"/>
  <c r="B1127" i="1"/>
  <c r="O1127" i="1"/>
  <c r="C1127" i="1"/>
  <c r="E1127" i="1"/>
  <c r="J1127" i="1"/>
  <c r="E1104" i="2"/>
  <c r="G1104" i="2"/>
  <c r="H1104" i="2"/>
  <c r="J1104" i="2"/>
  <c r="B1104" i="2"/>
  <c r="D1104" i="2"/>
  <c r="A1105" i="2"/>
  <c r="C1104" i="2"/>
  <c r="F1104" i="2"/>
  <c r="I1104" i="2"/>
  <c r="C1127" i="3"/>
  <c r="D1127" i="3"/>
  <c r="B1127" i="3"/>
  <c r="E1127" i="3"/>
  <c r="A1128" i="3"/>
  <c r="A1129" i="3" l="1"/>
  <c r="B1128" i="3"/>
  <c r="D1128" i="3"/>
  <c r="E1128" i="3"/>
  <c r="C1128" i="3"/>
  <c r="C1105" i="2"/>
  <c r="A1106" i="2"/>
  <c r="F1105" i="2"/>
  <c r="G1105" i="2"/>
  <c r="I1105" i="2"/>
  <c r="D1105" i="2"/>
  <c r="E1105" i="2"/>
  <c r="J1105" i="2"/>
  <c r="B1105" i="2"/>
  <c r="H1105" i="2"/>
  <c r="D1128" i="1"/>
  <c r="M1128" i="1"/>
  <c r="H1128" i="1"/>
  <c r="A1129" i="1"/>
  <c r="I1128" i="1"/>
  <c r="B1128" i="1"/>
  <c r="J1128" i="1"/>
  <c r="L1128" i="1"/>
  <c r="O1128" i="1"/>
  <c r="E1128" i="1"/>
  <c r="P1128" i="1"/>
  <c r="Q1128" i="1"/>
  <c r="C1128" i="1"/>
  <c r="F1128" i="1"/>
  <c r="G1128" i="1"/>
  <c r="N1128" i="1"/>
  <c r="I1106" i="2" l="1"/>
  <c r="E1106" i="2"/>
  <c r="F1106" i="2"/>
  <c r="H1106" i="2"/>
  <c r="J1106" i="2"/>
  <c r="A1107" i="2"/>
  <c r="B1106" i="2"/>
  <c r="C1106" i="2"/>
  <c r="D1106" i="2"/>
  <c r="G1106" i="2"/>
  <c r="D1129" i="1"/>
  <c r="M1129" i="1"/>
  <c r="J1129" i="1"/>
  <c r="L1129" i="1"/>
  <c r="C1129" i="1"/>
  <c r="E1129" i="1"/>
  <c r="B1129" i="1"/>
  <c r="N1129" i="1"/>
  <c r="O1129" i="1"/>
  <c r="Q1129" i="1"/>
  <c r="A1130" i="1"/>
  <c r="F1129" i="1"/>
  <c r="G1129" i="1"/>
  <c r="H1129" i="1"/>
  <c r="I1129" i="1"/>
  <c r="P1129" i="1"/>
  <c r="B1129" i="3"/>
  <c r="E1129" i="3"/>
  <c r="D1129" i="3"/>
  <c r="A1130" i="3"/>
  <c r="C1129" i="3"/>
  <c r="G1107" i="2" l="1"/>
  <c r="D1107" i="2"/>
  <c r="E1107" i="2"/>
  <c r="H1107" i="2"/>
  <c r="C1107" i="2"/>
  <c r="F1107" i="2"/>
  <c r="I1107" i="2"/>
  <c r="J1107" i="2"/>
  <c r="A1108" i="2"/>
  <c r="B1107" i="2"/>
  <c r="D1130" i="1"/>
  <c r="M1130" i="1"/>
  <c r="C1130" i="1"/>
  <c r="N1130" i="1"/>
  <c r="E1130" i="1"/>
  <c r="P1130" i="1"/>
  <c r="Q1130" i="1"/>
  <c r="O1130" i="1"/>
  <c r="F1130" i="1"/>
  <c r="G1130" i="1"/>
  <c r="I1130" i="1"/>
  <c r="B1130" i="1"/>
  <c r="H1130" i="1"/>
  <c r="A1131" i="1"/>
  <c r="J1130" i="1"/>
  <c r="L1130" i="1"/>
  <c r="D1130" i="3"/>
  <c r="E1130" i="3"/>
  <c r="B1130" i="3"/>
  <c r="A1131" i="3"/>
  <c r="C1130" i="3"/>
  <c r="D1131" i="1" l="1"/>
  <c r="M1131" i="1"/>
  <c r="F1131" i="1"/>
  <c r="P1131" i="1"/>
  <c r="G1131" i="1"/>
  <c r="A1132" i="1"/>
  <c r="Q1131" i="1"/>
  <c r="H1131" i="1"/>
  <c r="I1131" i="1"/>
  <c r="B1131" i="1"/>
  <c r="C1131" i="1"/>
  <c r="J1131" i="1"/>
  <c r="L1131" i="1"/>
  <c r="E1131" i="1"/>
  <c r="N1131" i="1"/>
  <c r="O1131" i="1"/>
  <c r="C1131" i="3"/>
  <c r="A1132" i="3"/>
  <c r="E1131" i="3"/>
  <c r="B1131" i="3"/>
  <c r="D1131" i="3"/>
  <c r="E1108" i="2"/>
  <c r="C1108" i="2"/>
  <c r="D1108" i="2"/>
  <c r="G1108" i="2"/>
  <c r="B1108" i="2"/>
  <c r="F1108" i="2"/>
  <c r="I1108" i="2"/>
  <c r="H1108" i="2"/>
  <c r="J1108" i="2"/>
  <c r="A1109" i="2"/>
  <c r="C1109" i="2" l="1"/>
  <c r="A1110" i="2"/>
  <c r="B1109" i="2"/>
  <c r="D1109" i="2"/>
  <c r="F1109" i="2"/>
  <c r="H1109" i="2"/>
  <c r="I1109" i="2"/>
  <c r="G1109" i="2"/>
  <c r="J1109" i="2"/>
  <c r="E1109" i="2"/>
  <c r="D1132" i="1"/>
  <c r="M1132" i="1"/>
  <c r="H1132" i="1"/>
  <c r="A1133" i="1"/>
  <c r="I1132" i="1"/>
  <c r="L1132" i="1"/>
  <c r="J1132" i="1"/>
  <c r="B1132" i="1"/>
  <c r="E1132" i="1"/>
  <c r="O1132" i="1"/>
  <c r="F1132" i="1"/>
  <c r="G1132" i="1"/>
  <c r="N1132" i="1"/>
  <c r="P1132" i="1"/>
  <c r="C1132" i="1"/>
  <c r="Q1132" i="1"/>
  <c r="B1132" i="3"/>
  <c r="C1132" i="3"/>
  <c r="A1133" i="3"/>
  <c r="D1132" i="3"/>
  <c r="E1132" i="3"/>
  <c r="E1133" i="3" l="1"/>
  <c r="A1134" i="3"/>
  <c r="B1133" i="3"/>
  <c r="C1133" i="3"/>
  <c r="D1133" i="3"/>
  <c r="D1133" i="1"/>
  <c r="M1133" i="1"/>
  <c r="J1133" i="1"/>
  <c r="L1133" i="1"/>
  <c r="N1133" i="1"/>
  <c r="B1133" i="1"/>
  <c r="C1133" i="1"/>
  <c r="E1133" i="1"/>
  <c r="O1133" i="1"/>
  <c r="G1133" i="1"/>
  <c r="H1133" i="1"/>
  <c r="I1133" i="1"/>
  <c r="P1133" i="1"/>
  <c r="Q1133" i="1"/>
  <c r="F1133" i="1"/>
  <c r="A1134" i="1"/>
  <c r="I1110" i="2"/>
  <c r="B1110" i="2"/>
  <c r="A1111" i="2"/>
  <c r="C1110" i="2"/>
  <c r="E1110" i="2"/>
  <c r="D1110" i="2"/>
  <c r="G1110" i="2"/>
  <c r="H1110" i="2"/>
  <c r="F1110" i="2"/>
  <c r="J1110" i="2"/>
  <c r="G1111" i="2" l="1"/>
  <c r="J1111" i="2"/>
  <c r="B1111" i="2"/>
  <c r="A1112" i="2"/>
  <c r="D1111" i="2"/>
  <c r="C1111" i="2"/>
  <c r="E1111" i="2"/>
  <c r="H1111" i="2"/>
  <c r="F1111" i="2"/>
  <c r="I1111" i="2"/>
  <c r="D1134" i="3"/>
  <c r="E1134" i="3"/>
  <c r="A1135" i="3"/>
  <c r="B1134" i="3"/>
  <c r="C1134" i="3"/>
  <c r="D1134" i="1"/>
  <c r="M1134" i="1"/>
  <c r="C1134" i="1"/>
  <c r="N1134" i="1"/>
  <c r="E1134" i="1"/>
  <c r="O1134" i="1"/>
  <c r="P1134" i="1"/>
  <c r="G1134" i="1"/>
  <c r="Q1134" i="1"/>
  <c r="F1134" i="1"/>
  <c r="I1134" i="1"/>
  <c r="J1134" i="1"/>
  <c r="L1134" i="1"/>
  <c r="A1135" i="1"/>
  <c r="B1134" i="1"/>
  <c r="H1134" i="1"/>
  <c r="D1135" i="1" l="1"/>
  <c r="F1135" i="1"/>
  <c r="O1135" i="1"/>
  <c r="P1135" i="1"/>
  <c r="G1135" i="1"/>
  <c r="H1135" i="1"/>
  <c r="Q1135" i="1"/>
  <c r="I1135" i="1"/>
  <c r="L1135" i="1"/>
  <c r="M1135" i="1"/>
  <c r="N1135" i="1"/>
  <c r="B1135" i="1"/>
  <c r="C1135" i="1"/>
  <c r="E1135" i="1"/>
  <c r="J1135" i="1"/>
  <c r="C1135" i="3"/>
  <c r="D1135" i="3"/>
  <c r="B1135" i="3"/>
  <c r="E1135" i="3"/>
  <c r="E1112" i="2"/>
  <c r="I1112" i="2"/>
  <c r="J1112" i="2"/>
  <c r="C1112" i="2"/>
  <c r="G1112" i="2"/>
  <c r="H1112" i="2"/>
  <c r="B1112" i="2"/>
  <c r="D1112" i="2"/>
  <c r="A1113" i="2"/>
  <c r="F1112" i="2"/>
  <c r="C1113" i="2" l="1"/>
  <c r="A1114" i="2"/>
  <c r="H1113" i="2"/>
  <c r="I1113" i="2"/>
  <c r="B1113" i="2"/>
  <c r="D1113" i="2"/>
  <c r="E1113" i="2"/>
  <c r="F1113" i="2"/>
  <c r="G1113" i="2"/>
  <c r="J1113" i="2"/>
  <c r="I1114" i="2" l="1"/>
  <c r="G1114" i="2"/>
  <c r="H1114" i="2"/>
  <c r="B1114" i="2"/>
  <c r="A1115" i="2"/>
  <c r="C1114" i="2"/>
  <c r="D1114" i="2"/>
  <c r="F1114" i="2"/>
  <c r="E1114" i="2"/>
  <c r="J1114" i="2"/>
  <c r="G1115" i="2" l="1"/>
  <c r="F1115" i="2"/>
  <c r="H1115" i="2"/>
  <c r="J1115" i="2"/>
  <c r="E1115" i="2"/>
  <c r="I1115" i="2"/>
  <c r="C1115" i="2"/>
  <c r="B1115" i="2"/>
  <c r="D1115" i="2"/>
  <c r="A1116" i="2"/>
  <c r="E1116" i="2" l="1"/>
  <c r="F1116" i="2"/>
  <c r="G1116" i="2"/>
  <c r="I1116" i="2"/>
  <c r="A1117" i="2"/>
  <c r="B1116" i="2"/>
  <c r="H1116" i="2"/>
  <c r="J1116" i="2"/>
  <c r="C1116" i="2"/>
  <c r="D1116" i="2"/>
  <c r="C1117" i="2" l="1"/>
  <c r="A1118" i="2"/>
  <c r="E1117" i="2"/>
  <c r="F1117" i="2"/>
  <c r="H1117" i="2"/>
  <c r="B1117" i="2"/>
  <c r="G1117" i="2"/>
  <c r="J1117" i="2"/>
  <c r="D1117" i="2"/>
  <c r="I1117" i="2"/>
  <c r="I1118" i="2" l="1"/>
  <c r="D1118" i="2"/>
  <c r="E1118" i="2"/>
  <c r="G1118" i="2"/>
  <c r="F1118" i="2"/>
  <c r="H1118" i="2"/>
  <c r="A1119" i="2"/>
  <c r="C1118" i="2"/>
  <c r="B1118" i="2"/>
  <c r="J1118" i="2"/>
  <c r="G1119" i="2" l="1"/>
  <c r="C1119" i="2"/>
  <c r="D1119" i="2"/>
  <c r="F1119" i="2"/>
  <c r="J1119" i="2"/>
  <c r="A1120" i="2"/>
  <c r="B1119" i="2"/>
  <c r="E1119" i="2"/>
  <c r="I1119" i="2"/>
  <c r="H1119" i="2"/>
  <c r="E1120" i="2" l="1"/>
  <c r="B1120" i="2"/>
  <c r="A1121" i="2"/>
  <c r="C1120" i="2"/>
  <c r="F1120" i="2"/>
  <c r="G1120" i="2"/>
  <c r="D1120" i="2"/>
  <c r="I1120" i="2"/>
  <c r="J1120" i="2"/>
  <c r="H1120" i="2"/>
  <c r="C1121" i="2" l="1"/>
  <c r="A1122" i="2"/>
  <c r="J1121" i="2"/>
  <c r="B1121" i="2"/>
  <c r="E1121" i="2"/>
  <c r="F1121" i="2"/>
  <c r="G1121" i="2"/>
  <c r="I1121" i="2"/>
  <c r="D1121" i="2"/>
  <c r="H1121" i="2"/>
  <c r="I1122" i="2" l="1"/>
  <c r="J1122" i="2"/>
  <c r="B1122" i="2"/>
  <c r="A1123" i="2"/>
  <c r="D1122" i="2"/>
  <c r="H1122" i="2"/>
  <c r="E1122" i="2"/>
  <c r="C1122" i="2"/>
  <c r="F1122" i="2"/>
  <c r="G1122" i="2"/>
  <c r="G1123" i="2" l="1"/>
  <c r="I1123" i="2"/>
  <c r="J1123" i="2"/>
  <c r="C1123" i="2"/>
  <c r="B1123" i="2"/>
  <c r="E1123" i="2"/>
  <c r="H1123" i="2"/>
  <c r="A1124" i="2"/>
  <c r="D1123" i="2"/>
  <c r="F1123" i="2"/>
  <c r="E1124" i="2" l="1"/>
  <c r="H1124" i="2"/>
  <c r="I1124" i="2"/>
  <c r="B1124" i="2"/>
  <c r="A1125" i="2"/>
  <c r="D1124" i="2"/>
  <c r="F1124" i="2"/>
  <c r="J1124" i="2"/>
  <c r="C1124" i="2"/>
  <c r="G1124" i="2"/>
  <c r="C1125" i="2" l="1"/>
  <c r="A1126" i="2"/>
  <c r="G1125" i="2"/>
  <c r="H1125" i="2"/>
  <c r="J1125" i="2"/>
  <c r="I1125" i="2"/>
  <c r="B1125" i="2"/>
  <c r="E1125" i="2"/>
  <c r="D1125" i="2"/>
  <c r="F1125" i="2"/>
  <c r="I1126" i="2" l="1"/>
  <c r="F1126" i="2"/>
  <c r="G1126" i="2"/>
  <c r="J1126" i="2"/>
  <c r="B1126" i="2"/>
  <c r="D1126" i="2"/>
  <c r="C1126" i="2"/>
  <c r="E1126" i="2"/>
  <c r="A1127" i="2"/>
  <c r="H1126" i="2"/>
  <c r="G1127" i="2" l="1"/>
  <c r="E1127" i="2"/>
  <c r="F1127" i="2"/>
  <c r="I1127" i="2"/>
  <c r="C1127" i="2"/>
  <c r="D1127" i="2"/>
  <c r="J1127" i="2"/>
  <c r="B1127" i="2"/>
  <c r="A1128" i="2"/>
  <c r="H1127" i="2"/>
  <c r="E1128" i="2" l="1"/>
  <c r="D1128" i="2"/>
  <c r="F1128" i="2"/>
  <c r="H1128" i="2"/>
  <c r="I1128" i="2"/>
  <c r="J1128" i="2"/>
  <c r="C1128" i="2"/>
  <c r="G1128" i="2"/>
  <c r="A1129" i="2"/>
  <c r="B1128" i="2"/>
  <c r="C1129" i="2" l="1"/>
  <c r="A1130" i="2"/>
  <c r="D1129" i="2"/>
  <c r="E1129" i="2"/>
  <c r="G1129" i="2"/>
  <c r="B1129" i="2"/>
  <c r="F1129" i="2"/>
  <c r="H1129" i="2"/>
  <c r="I1129" i="2"/>
  <c r="J1129" i="2"/>
  <c r="I1130" i="2" l="1"/>
  <c r="C1130" i="2"/>
  <c r="D1130" i="2"/>
  <c r="F1130" i="2"/>
  <c r="B1130" i="2"/>
  <c r="E1130" i="2"/>
  <c r="H1130" i="2"/>
  <c r="J1130" i="2"/>
  <c r="A1131" i="2"/>
  <c r="G1130" i="2"/>
  <c r="G1131" i="2" l="1"/>
  <c r="B1131" i="2"/>
  <c r="A1132" i="2"/>
  <c r="C1131" i="2"/>
  <c r="E1131" i="2"/>
  <c r="H1131" i="2"/>
  <c r="I1131" i="2"/>
  <c r="D1131" i="2"/>
  <c r="F1131" i="2"/>
  <c r="J1131" i="2"/>
  <c r="E1132" i="2" l="1"/>
  <c r="J1132" i="2"/>
  <c r="B1132" i="2"/>
  <c r="A1133" i="2"/>
  <c r="D1132" i="2"/>
  <c r="C1132" i="2"/>
  <c r="I1132" i="2"/>
  <c r="F1132" i="2"/>
  <c r="G1132" i="2"/>
  <c r="H1132" i="2"/>
  <c r="C1133" i="2" l="1"/>
  <c r="A1134" i="2"/>
  <c r="I1133" i="2"/>
  <c r="J1133" i="2"/>
  <c r="D1133" i="2"/>
  <c r="B1133" i="2"/>
  <c r="E1133" i="2"/>
  <c r="G1133" i="2"/>
  <c r="F1133" i="2"/>
  <c r="H1133" i="2"/>
  <c r="I1134" i="2" l="1"/>
  <c r="H1134" i="2"/>
  <c r="J1134" i="2"/>
  <c r="C1134" i="2"/>
  <c r="F1134" i="2"/>
  <c r="G1134" i="2"/>
  <c r="B1134" i="2"/>
  <c r="D1134" i="2"/>
  <c r="E1134" i="2"/>
  <c r="A1135" i="2"/>
  <c r="G1135" i="2" l="1"/>
  <c r="H1135" i="2"/>
  <c r="I1135" i="2"/>
  <c r="B1135" i="2"/>
  <c r="C1135" i="2"/>
  <c r="E1135" i="2"/>
  <c r="F1135" i="2"/>
  <c r="J1135" i="2"/>
  <c r="D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<sst xmlns="http://schemas.openxmlformats.org/spreadsheetml/2006/main" count="161" uniqueCount="74">
  <si>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</si>
  <si>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</si>
  <si>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</si>
  <si>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</si>
  <si>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</si>
  <si>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</si>
  <si>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</si>
  <si>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</si>
  <si>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</si>
  <si>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</si>
  <si>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</si>
  <si>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</si>
  <si>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</si>
  <si>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</si>
  <si>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</si>
  <si>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</si>
  <si>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</si>
  <si>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</si>
  <si>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</si>
  <si>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</si>
  <si>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</si>
  <si>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</si>
  <si>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</si>
  <si>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</si>
  <si>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</si>
  <si>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October 05, 2015 -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</si>
  <si>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</si>
  <si>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</si>
  <si>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</si>
  <si>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</si>
  <si>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</si>
  <si>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</si>
  <si>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</si>
  <si>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</si>
  <si>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</si>
  <si>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</si>
  <si>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</si>
  <si>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</si>
  <si>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</si>
  <si>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</si>
  <si>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</si>
  <si>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</si>
  <si>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</si>
  <si>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</si>
  <si>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</si>
  <si>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</si>
  <si>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</si>
  <si>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</si>
  <si>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</si>
  <si>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</si>
  <si>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</si>
  <si>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</si>
  <si>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</si>
  <si>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</si>
  <si>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</si>
  <si>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</si>
  <si>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</si>
  <si>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</si>
  <si>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</si>
  <si>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</si>
  <si>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</si>
  <si>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</si>
  <si>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</si>
  <si>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</si>
  <si>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</si>
  <si>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</si>
  <si>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</si>
  <si>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</si>
  <si>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</si>
  <si>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45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</si>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</sst>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4</xdr:col>
          <xdr:colOff>533400</xdr:colOff>
          <xdr:row>13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142875</xdr:rowOff>
        </xdr:from>
        <xdr:to>
          <xdr:col>6</xdr:col>
          <xdr:colOff>257175</xdr:colOff>
          <xdr:row>13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10.%20October\151005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sqref="A1:XFD7"/>
      <selection pane="topRight" sqref="A1:XFD7"/>
      <selection pane="bottomLeft" sqref="A1:XFD7"/>
      <selection pane="bottomRight" sqref="A1: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3.329 * CHOOSE(CONTROL!$C$15, $D$11, 100%, $F$11)</f>
        <v>3.3290000000000002</v>
      </c>
      <c r="C17" s="8">
        <f>3.3341 * CHOOSE(CONTROL!$C$15, $D$11, 100%, $F$11)</f>
        <v>3.3340999999999998</v>
      </c>
      <c r="D17" s="8">
        <f>3.3295 * CHOOSE( CONTROL!$C$15, $D$11, 100%, $F$11)</f>
        <v>3.3294999999999999</v>
      </c>
      <c r="E17" s="12">
        <f>3.3306 * CHOOSE( CONTROL!$C$15, $D$11, 100%, $F$11)</f>
        <v>3.3306</v>
      </c>
      <c r="F17" s="4">
        <f>3.9713 * CHOOSE(CONTROL!$C$15, $D$11, 100%, $F$11)</f>
        <v>3.9712999999999998</v>
      </c>
      <c r="G17" s="8">
        <f>3.2635 * CHOOSE( CONTROL!$C$15, $D$11, 100%, $F$11)</f>
        <v>3.2635000000000001</v>
      </c>
      <c r="H17" s="4">
        <f>4.1342 * CHOOSE(CONTROL!$C$15, $D$11, 100%, $F$11)</f>
        <v>4.1341999999999999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28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2.9949 * CHOOSE(CONTROL!$C$15, $D$11, 100%, $F$11)</f>
        <v>2.9948999999999999</v>
      </c>
      <c r="C18" s="8">
        <f>3 * CHOOSE(CONTROL!$C$15, $D$11, 100%, $F$11)</f>
        <v>3</v>
      </c>
      <c r="D18" s="8">
        <f>2.9973 * CHOOSE( CONTROL!$C$15, $D$11, 100%, $F$11)</f>
        <v>2.9973000000000001</v>
      </c>
      <c r="E18" s="12">
        <f>2.9977 * CHOOSE( CONTROL!$C$15, $D$11, 100%, $F$11)</f>
        <v>2.9977</v>
      </c>
      <c r="F18" s="4">
        <f>3.645 * CHOOSE(CONTROL!$C$15, $D$11, 100%, $F$11)</f>
        <v>3.645</v>
      </c>
      <c r="G18" s="8">
        <f>2.937 * CHOOSE( CONTROL!$C$15, $D$11, 100%, $F$11)</f>
        <v>2.9369999999999998</v>
      </c>
      <c r="H18" s="4">
        <f>3.8133 * CHOOSE(CONTROL!$C$15, $D$11, 100%, $F$11)</f>
        <v>3.8132999999999999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3.0239 * CHOOSE(CONTROL!$C$15, $D$11, 100%, $F$11)</f>
        <v>3.0238999999999998</v>
      </c>
      <c r="C19" s="8">
        <f>3.029 * CHOOSE(CONTROL!$C$15, $D$11, 100%, $F$11)</f>
        <v>3.0289999999999999</v>
      </c>
      <c r="D19" s="8">
        <f>3.0369 * CHOOSE( CONTROL!$C$15, $D$11, 100%, $F$11)</f>
        <v>3.0369000000000002</v>
      </c>
      <c r="E19" s="12">
        <f>3.0335 * CHOOSE( CONTROL!$C$15, $D$11, 100%, $F$11)</f>
        <v>3.0335000000000001</v>
      </c>
      <c r="F19" s="4">
        <f>3.6843 * CHOOSE(CONTROL!$C$15, $D$11, 100%, $F$11)</f>
        <v>3.6842999999999999</v>
      </c>
      <c r="G19" s="8">
        <f>2.9756 * CHOOSE( CONTROL!$C$15, $D$11, 100%, $F$11)</f>
        <v>2.9756</v>
      </c>
      <c r="H19" s="4">
        <f>3.8519 * CHOOSE(CONTROL!$C$15, $D$11, 100%, $F$11)</f>
        <v>3.8519000000000001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2.7102 * CHOOSE(CONTROL!$C$15, $D$11, 100%, $F$11)</f>
        <v>2.7101999999999999</v>
      </c>
      <c r="C20" s="8">
        <f>2.7147 * CHOOSE(CONTROL!$C$15, $D$11, 100%, $F$11)</f>
        <v>2.7147000000000001</v>
      </c>
      <c r="D20" s="8">
        <f>2.6934 * CHOOSE( CONTROL!$C$15, $D$11, 100%, $F$11)</f>
        <v>2.6934</v>
      </c>
      <c r="E20" s="12">
        <f>2.6999 * CHOOSE( CONTROL!$C$15, $D$11, 100%, $F$11)</f>
        <v>2.6999</v>
      </c>
      <c r="F20" s="4">
        <f>3.3698 * CHOOSE(CONTROL!$C$15, $D$11, 100%, $F$11)</f>
        <v>3.3698000000000001</v>
      </c>
      <c r="G20" s="8">
        <f>2.6312 * CHOOSE( CONTROL!$C$15, $D$11, 100%, $F$11)</f>
        <v>2.6312000000000002</v>
      </c>
      <c r="H20" s="4">
        <f>3.5427 * CHOOSE(CONTROL!$C$15, $D$11, 100%, $F$11)</f>
        <v>3.5427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2.6409, 2.636) * CHOOSE(CONTROL!$C$15, $D$11, 100%, $F$11)</f>
        <v>2.6408999999999998</v>
      </c>
      <c r="C21" s="8">
        <f>CHOOSE( CONTROL!$C$32, 2.6489, 2.644) * CHOOSE(CONTROL!$C$15, $D$11, 100%, $F$11)</f>
        <v>2.6488999999999998</v>
      </c>
      <c r="D21" s="8">
        <f>CHOOSE( CONTROL!$C$32, 2.6311, 2.6262) * CHOOSE( CONTROL!$C$15, $D$11, 100%, $F$11)</f>
        <v>2.6311</v>
      </c>
      <c r="E21" s="12">
        <f>CHOOSE( CONTROL!$C$32, 2.636, 2.6311) * CHOOSE( CONTROL!$C$15, $D$11, 100%, $F$11)</f>
        <v>2.6360000000000001</v>
      </c>
      <c r="F21" s="4">
        <f>CHOOSE( CONTROL!$C$32, 3.3069, 3.302) * CHOOSE(CONTROL!$C$15, $D$11, 100%, $F$11)</f>
        <v>3.3069000000000002</v>
      </c>
      <c r="G21" s="8">
        <f>CHOOSE( CONTROL!$C$32, 2.5663, 2.5615) * CHOOSE( CONTROL!$C$15, $D$11, 100%, $F$11)</f>
        <v>2.5663</v>
      </c>
      <c r="H21" s="4">
        <f>CHOOSE( CONTROL!$C$32, 3.4809, 3.4761) * CHOOSE(CONTROL!$C$15, $D$11, 100%, $F$11)</f>
        <v>3.4809000000000001</v>
      </c>
      <c r="I21" s="8">
        <f>CHOOSE( CONTROL!$C$32, 2.5899, 2.5852) * CHOOSE(CONTROL!$C$15, $D$11, 100%, $F$11)</f>
        <v>2.5899000000000001</v>
      </c>
      <c r="J21" s="4">
        <f>CHOOSE( CONTROL!$C$32, 2.5217, 2.517) * CHOOSE(CONTROL!$C$15, $D$11, 100%, $F$11)</f>
        <v>2.5217000000000001</v>
      </c>
      <c r="K21" s="4">
        <f>CHOOSE( CONTROL!$C$32, 2.575, 2.5702) * CHOOSE(CONTROL!$C$15, $D$11, 100%, $F$11)</f>
        <v>2.5750000000000002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2.9492, 2.9443) * CHOOSE(CONTROL!$C$15, $D$11, 100%, $F$11)</f>
        <v>2.9491999999999998</v>
      </c>
      <c r="C22" s="8">
        <f>CHOOSE( CONTROL!$C$32, 2.9572, 2.9523) * CHOOSE(CONTROL!$C$15, $D$11, 100%, $F$11)</f>
        <v>2.9571999999999998</v>
      </c>
      <c r="D22" s="8">
        <f>CHOOSE( CONTROL!$C$32, 2.954, 2.9491) * CHOOSE( CONTROL!$C$15, $D$11, 100%, $F$11)</f>
        <v>2.9540000000000002</v>
      </c>
      <c r="E22" s="12">
        <f>CHOOSE( CONTROL!$C$32, 2.9539, 2.949) * CHOOSE( CONTROL!$C$15, $D$11, 100%, $F$11)</f>
        <v>2.9539</v>
      </c>
      <c r="F22" s="4">
        <f>CHOOSE( CONTROL!$C$32, 3.6359, 3.631) * CHOOSE(CONTROL!$C$15, $D$11, 100%, $F$11)</f>
        <v>3.6358999999999999</v>
      </c>
      <c r="G22" s="8">
        <f>CHOOSE( CONTROL!$C$32, 2.8832, 2.8784) * CHOOSE( CONTROL!$C$15, $D$11, 100%, $F$11)</f>
        <v>2.8832</v>
      </c>
      <c r="H22" s="4">
        <f>CHOOSE( CONTROL!$C$32, 3.8044, 3.7996) * CHOOSE(CONTROL!$C$15, $D$11, 100%, $F$11)</f>
        <v>3.8043999999999998</v>
      </c>
      <c r="I22" s="8">
        <f>CHOOSE( CONTROL!$C$32, 2.9126, 2.9079) * CHOOSE(CONTROL!$C$15, $D$11, 100%, $F$11)</f>
        <v>2.9125999999999999</v>
      </c>
      <c r="J22" s="4">
        <f>CHOOSE( CONTROL!$C$32, 2.8197, 2.815) * CHOOSE(CONTROL!$C$15, $D$11, 100%, $F$11)</f>
        <v>2.8197000000000001</v>
      </c>
      <c r="K22" s="4">
        <f>CHOOSE( CONTROL!$C$32, 2.8862, 2.8814) * CHOOSE(CONTROL!$C$15, $D$11, 100%, $F$11)</f>
        <v>2.8862000000000001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2.9057, 2.9008) * CHOOSE(CONTROL!$C$15, $D$11, 100%, $F$11)</f>
        <v>2.9056999999999999</v>
      </c>
      <c r="C23" s="8">
        <f>CHOOSE( CONTROL!$C$32, 2.9137, 2.9088) * CHOOSE(CONTROL!$C$15, $D$11, 100%, $F$11)</f>
        <v>2.9137</v>
      </c>
      <c r="D23" s="8">
        <f>CHOOSE( CONTROL!$C$32, 2.9157, 2.9108) * CHOOSE( CONTROL!$C$15, $D$11, 100%, $F$11)</f>
        <v>2.9157000000000002</v>
      </c>
      <c r="E23" s="12">
        <f>CHOOSE( CONTROL!$C$32, 2.9139, 2.909) * CHOOSE( CONTROL!$C$15, $D$11, 100%, $F$11)</f>
        <v>2.9138999999999999</v>
      </c>
      <c r="F23" s="4">
        <f>CHOOSE( CONTROL!$C$32, 3.5976, 3.5927) * CHOOSE(CONTROL!$C$15, $D$11, 100%, $F$11)</f>
        <v>3.5975999999999999</v>
      </c>
      <c r="G23" s="8">
        <f>CHOOSE( CONTROL!$C$32, 2.8458, 2.841) * CHOOSE( CONTROL!$C$15, $D$11, 100%, $F$11)</f>
        <v>2.8458000000000001</v>
      </c>
      <c r="H23" s="4">
        <f>CHOOSE( CONTROL!$C$32, 3.7667, 3.7619) * CHOOSE(CONTROL!$C$15, $D$11, 100%, $F$11)</f>
        <v>3.7667000000000002</v>
      </c>
      <c r="I23" s="8">
        <f>CHOOSE( CONTROL!$C$32, 2.89, 2.8853) * CHOOSE(CONTROL!$C$15, $D$11, 100%, $F$11)</f>
        <v>2.89</v>
      </c>
      <c r="J23" s="4">
        <f>CHOOSE( CONTROL!$C$32, 2.7777, 2.773) * CHOOSE(CONTROL!$C$15, $D$11, 100%, $F$11)</f>
        <v>2.7776999999999998</v>
      </c>
      <c r="K23" s="4">
        <f>CHOOSE( CONTROL!$C$32, 2.8473, 2.8425) * CHOOSE(CONTROL!$C$15, $D$11, 100%, $F$11)</f>
        <v>2.8473000000000002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3.0226, 3.0177) * CHOOSE(CONTROL!$C$15, $D$11, 100%, $F$11)</f>
        <v>3.0226000000000002</v>
      </c>
      <c r="C24" s="8">
        <f>CHOOSE( CONTROL!$C$32, 3.0306, 3.0257) * CHOOSE(CONTROL!$C$15, $D$11, 100%, $F$11)</f>
        <v>3.0306000000000002</v>
      </c>
      <c r="D24" s="8">
        <f>CHOOSE( CONTROL!$C$32, 3.0314, 3.0265) * CHOOSE( CONTROL!$C$15, $D$11, 100%, $F$11)</f>
        <v>3.0314000000000001</v>
      </c>
      <c r="E24" s="12">
        <f>CHOOSE( CONTROL!$C$32, 3.03, 3.0251) * CHOOSE( CONTROL!$C$15, $D$11, 100%, $F$11)</f>
        <v>3.03</v>
      </c>
      <c r="F24" s="4">
        <f>CHOOSE( CONTROL!$C$32, 3.6949, 3.69) * CHOOSE(CONTROL!$C$15, $D$11, 100%, $F$11)</f>
        <v>3.6949000000000001</v>
      </c>
      <c r="G24" s="8">
        <f>CHOOSE( CONTROL!$C$32, 2.9619, 2.9571) * CHOOSE( CONTROL!$C$15, $D$11, 100%, $F$11)</f>
        <v>2.9619</v>
      </c>
      <c r="H24" s="4">
        <f>CHOOSE( CONTROL!$C$32, 3.8623, 3.8575) * CHOOSE(CONTROL!$C$15, $D$11, 100%, $F$11)</f>
        <v>3.8622999999999998</v>
      </c>
      <c r="I24" s="8">
        <f>CHOOSE( CONTROL!$C$32, 2.996, 2.9913) * CHOOSE(CONTROL!$C$15, $D$11, 100%, $F$11)</f>
        <v>2.996</v>
      </c>
      <c r="J24" s="4">
        <f>CHOOSE( CONTROL!$C$32, 2.8907, 2.886) * CHOOSE(CONTROL!$C$15, $D$11, 100%, $F$11)</f>
        <v>2.8906999999999998</v>
      </c>
      <c r="K24" s="4">
        <f>CHOOSE( CONTROL!$C$32, 2.9553, 2.9505) * CHOOSE(CONTROL!$C$15, $D$11, 100%, $F$11)</f>
        <v>2.9552999999999998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2.7661, 2.7612) * CHOOSE(CONTROL!$C$15, $D$11, 100%, $F$11)</f>
        <v>2.7660999999999998</v>
      </c>
      <c r="C25" s="8">
        <f>CHOOSE( CONTROL!$C$32, 2.7741, 2.7692) * CHOOSE(CONTROL!$C$15, $D$11, 100%, $F$11)</f>
        <v>2.7740999999999998</v>
      </c>
      <c r="D25" s="8">
        <f>CHOOSE( CONTROL!$C$32, 2.7645, 2.7596) * CHOOSE( CONTROL!$C$15, $D$11, 100%, $F$11)</f>
        <v>2.7645</v>
      </c>
      <c r="E25" s="12">
        <f>CHOOSE( CONTROL!$C$32, 2.7666, 2.7617) * CHOOSE( CONTROL!$C$15, $D$11, 100%, $F$11)</f>
        <v>2.7665999999999999</v>
      </c>
      <c r="F25" s="4">
        <f>CHOOSE( CONTROL!$C$32, 3.4269, 3.422) * CHOOSE(CONTROL!$C$15, $D$11, 100%, $F$11)</f>
        <v>3.4268999999999998</v>
      </c>
      <c r="G25" s="8">
        <f>CHOOSE( CONTROL!$C$32, 2.6995, 2.6947) * CHOOSE( CONTROL!$C$15, $D$11, 100%, $F$11)</f>
        <v>2.6995</v>
      </c>
      <c r="H25" s="4">
        <f>CHOOSE( CONTROL!$C$32, 3.5989, 3.5941) * CHOOSE(CONTROL!$C$15, $D$11, 100%, $F$11)</f>
        <v>3.5989</v>
      </c>
      <c r="I25" s="8">
        <f>CHOOSE( CONTROL!$C$32, 2.7263, 2.7216) * CHOOSE(CONTROL!$C$15, $D$11, 100%, $F$11)</f>
        <v>2.7263000000000002</v>
      </c>
      <c r="J25" s="4">
        <f>CHOOSE( CONTROL!$C$32, 2.6427, 2.638) * CHOOSE(CONTROL!$C$15, $D$11, 100%, $F$11)</f>
        <v>2.6427</v>
      </c>
      <c r="K25" s="4">
        <f>CHOOSE( CONTROL!$C$32, 2.6989, 2.6941) * CHOOSE(CONTROL!$C$15, $D$11, 100%, $F$11)</f>
        <v>2.6989000000000001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2.6819 * CHOOSE(CONTROL!$C$15, $D$11, 100%, $F$11)</f>
        <v>2.6819000000000002</v>
      </c>
      <c r="C26" s="8">
        <f>2.6872 * CHOOSE(CONTROL!$C$15, $D$11, 100%, $F$11)</f>
        <v>2.6871999999999998</v>
      </c>
      <c r="D26" s="8">
        <f>2.6398 * CHOOSE( CONTROL!$C$15, $D$11, 100%, $F$11)</f>
        <v>2.6398000000000001</v>
      </c>
      <c r="E26" s="12">
        <f>2.6549 * CHOOSE( CONTROL!$C$15, $D$11, 100%, $F$11)</f>
        <v>2.6549</v>
      </c>
      <c r="F26" s="4">
        <f>3.302 * CHOOSE(CONTROL!$C$15, $D$11, 100%, $F$11)</f>
        <v>3.302</v>
      </c>
      <c r="G26" s="8">
        <f>2.5795 * CHOOSE( CONTROL!$C$15, $D$11, 100%, $F$11)</f>
        <v>2.5794999999999999</v>
      </c>
      <c r="H26" s="4">
        <f>3.4761 * CHOOSE(CONTROL!$C$15, $D$11, 100%, $F$11)</f>
        <v>3.4761000000000002</v>
      </c>
      <c r="I26" s="8">
        <f>2.6212 * CHOOSE(CONTROL!$C$15, $D$11, 100%, $F$11)</f>
        <v>2.6212</v>
      </c>
      <c r="J26" s="4">
        <f>2.563 * CHOOSE(CONTROL!$C$15, $D$11, 100%, $F$11)</f>
        <v>2.5630000000000002</v>
      </c>
      <c r="K26" s="4">
        <f>2.6071 * CHOOSE(CONTROL!$C$15, $D$11, 100%, $F$11)</f>
        <v>2.6071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2.5646 * CHOOSE(CONTROL!$C$15, $D$11, 100%, $F$11)</f>
        <v>2.5646</v>
      </c>
      <c r="C27" s="8">
        <f>2.5697 * CHOOSE(CONTROL!$C$15, $D$11, 100%, $F$11)</f>
        <v>2.5697000000000001</v>
      </c>
      <c r="D27" s="8">
        <f>2.5346 * CHOOSE( CONTROL!$C$15, $D$11, 100%, $F$11)</f>
        <v>2.5346000000000002</v>
      </c>
      <c r="E27" s="12">
        <f>2.5469 * CHOOSE( CONTROL!$C$15, $D$11, 100%, $F$11)</f>
        <v>2.5468999999999999</v>
      </c>
      <c r="F27" s="4">
        <f>3.2069 * CHOOSE(CONTROL!$C$15, $D$11, 100%, $F$11)</f>
        <v>3.2069000000000001</v>
      </c>
      <c r="G27" s="8">
        <f>2.4922 * CHOOSE( CONTROL!$C$15, $D$11, 100%, $F$11)</f>
        <v>2.4922</v>
      </c>
      <c r="H27" s="4">
        <f>3.3825 * CHOOSE(CONTROL!$C$15, $D$11, 100%, $F$11)</f>
        <v>3.3824999999999998</v>
      </c>
      <c r="I27" s="8">
        <f>2.5358 * CHOOSE(CONTROL!$C$15, $D$11, 100%, $F$11)</f>
        <v>2.5358000000000001</v>
      </c>
      <c r="J27" s="4">
        <f>2.45 * CHOOSE(CONTROL!$C$15, $D$11, 100%, $F$11)</f>
        <v>2.4500000000000002</v>
      </c>
      <c r="K27" s="4">
        <f>2.494 * CHOOSE(CONTROL!$C$15, $D$11, 100%, $F$11)</f>
        <v>2.4940000000000002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2.7984 * CHOOSE(CONTROL!$C$15, $D$11, 100%, $F$11)</f>
        <v>2.7984</v>
      </c>
      <c r="C28" s="8">
        <f>2.8035 * CHOOSE(CONTROL!$C$15, $D$11, 100%, $F$11)</f>
        <v>2.8035000000000001</v>
      </c>
      <c r="D28" s="8">
        <f>2.7764 * CHOOSE( CONTROL!$C$15, $D$11, 100%, $F$11)</f>
        <v>2.7764000000000002</v>
      </c>
      <c r="E28" s="12">
        <f>2.7858 * CHOOSE( CONTROL!$C$15, $D$11, 100%, $F$11)</f>
        <v>2.7858000000000001</v>
      </c>
      <c r="F28" s="4">
        <f>3.4407 * CHOOSE(CONTROL!$C$15, $D$11, 100%, $F$11)</f>
        <v>3.4407000000000001</v>
      </c>
      <c r="G28" s="8">
        <f>2.7284 * CHOOSE( CONTROL!$C$15, $D$11, 100%, $F$11)</f>
        <v>2.7284000000000002</v>
      </c>
      <c r="H28" s="4">
        <f>3.6124 * CHOOSE(CONTROL!$C$15, $D$11, 100%, $F$11)</f>
        <v>3.6124000000000001</v>
      </c>
      <c r="I28" s="8">
        <f>2.7813 * CHOOSE(CONTROL!$C$15, $D$11, 100%, $F$11)</f>
        <v>2.7812999999999999</v>
      </c>
      <c r="J28" s="4">
        <f>2.676 * CHOOSE(CONTROL!$C$15, $D$11, 100%, $F$11)</f>
        <v>2.6760000000000002</v>
      </c>
      <c r="K28" s="4">
        <f>2.7336 * CHOOSE(CONTROL!$C$15, $D$11, 100%, $F$11)</f>
        <v>2.7336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2.9328 * CHOOSE(CONTROL!$C$15, $D$11, 100%, $F$11)</f>
        <v>2.9327999999999999</v>
      </c>
      <c r="C29" s="8">
        <f>2.938 * CHOOSE(CONTROL!$C$15, $D$11, 100%, $F$11)</f>
        <v>2.9380000000000002</v>
      </c>
      <c r="D29" s="8">
        <f>2.9121 * CHOOSE( CONTROL!$C$15, $D$11, 100%, $F$11)</f>
        <v>2.9121000000000001</v>
      </c>
      <c r="E29" s="12">
        <f>2.921 * CHOOSE( CONTROL!$C$15, $D$11, 100%, $F$11)</f>
        <v>2.9209999999999998</v>
      </c>
      <c r="F29" s="4">
        <f>3.5751 * CHOOSE(CONTROL!$C$15, $D$11, 100%, $F$11)</f>
        <v>3.5750999999999999</v>
      </c>
      <c r="G29" s="8">
        <f>2.8615 * CHOOSE( CONTROL!$C$15, $D$11, 100%, $F$11)</f>
        <v>2.8614999999999999</v>
      </c>
      <c r="H29" s="4">
        <f>3.7446 * CHOOSE(CONTROL!$C$15, $D$11, 100%, $F$11)</f>
        <v>3.7446000000000002</v>
      </c>
      <c r="I29" s="8">
        <f>2.9151 * CHOOSE(CONTROL!$C$15, $D$11, 100%, $F$11)</f>
        <v>2.9150999999999998</v>
      </c>
      <c r="J29" s="4">
        <f>2.806 * CHOOSE(CONTROL!$C$15, $D$11, 100%, $F$11)</f>
        <v>2.806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ref="R29:R44" si="1">(0.1*4000000)/1000000</f>
        <v>0.4</v>
      </c>
      <c r="S29" s="11"/>
    </row>
    <row r="30" spans="1:19" ht="15" customHeight="1">
      <c r="A30" s="13">
        <v>42401</v>
      </c>
      <c r="B30" s="8">
        <f>2.9432 * CHOOSE(CONTROL!$C$15, $D$11, 100%, $F$11)</f>
        <v>2.9432</v>
      </c>
      <c r="C30" s="8">
        <f>2.9483 * CHOOSE(CONTROL!$C$15, $D$11, 100%, $F$11)</f>
        <v>2.9483000000000001</v>
      </c>
      <c r="D30" s="8">
        <f>2.9225 * CHOOSE( CONTROL!$C$15, $D$11, 100%, $F$11)</f>
        <v>2.9224999999999999</v>
      </c>
      <c r="E30" s="12">
        <f>2.9314 * CHOOSE( CONTROL!$C$15, $D$11, 100%, $F$11)</f>
        <v>2.9314</v>
      </c>
      <c r="F30" s="4">
        <f>3.5855 * CHOOSE(CONTROL!$C$15, $D$11, 100%, $F$11)</f>
        <v>3.5855000000000001</v>
      </c>
      <c r="G30" s="8">
        <f>2.8718 * CHOOSE( CONTROL!$C$15, $D$11, 100%, $F$11)</f>
        <v>2.8717999999999999</v>
      </c>
      <c r="H30" s="4">
        <f>3.7548 * CHOOSE(CONTROL!$C$15, $D$11, 100%, $F$11)</f>
        <v>3.7547999999999999</v>
      </c>
      <c r="I30" s="8">
        <f>2.9254 * CHOOSE(CONTROL!$C$15, $D$11, 100%, $F$11)</f>
        <v>2.9253999999999998</v>
      </c>
      <c r="J30" s="4">
        <f>2.816 * CHOOSE(CONTROL!$C$15, $D$11, 100%, $F$11)</f>
        <v>2.8159999999999998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1"/>
        <v>0.4</v>
      </c>
      <c r="S30" s="11"/>
    </row>
    <row r="31" spans="1:19" ht="15" customHeight="1">
      <c r="A31" s="13">
        <v>42430</v>
      </c>
      <c r="B31" s="8">
        <f>2.9132 * CHOOSE(CONTROL!$C$15, $D$11, 100%, $F$11)</f>
        <v>2.9131999999999998</v>
      </c>
      <c r="C31" s="8">
        <f>2.9183 * CHOOSE(CONTROL!$C$15, $D$11, 100%, $F$11)</f>
        <v>2.9182999999999999</v>
      </c>
      <c r="D31" s="8">
        <f>2.8922 * CHOOSE( CONTROL!$C$15, $D$11, 100%, $F$11)</f>
        <v>2.8921999999999999</v>
      </c>
      <c r="E31" s="12">
        <f>2.9012 * CHOOSE( CONTROL!$C$15, $D$11, 100%, $F$11)</f>
        <v>2.9011999999999998</v>
      </c>
      <c r="F31" s="4">
        <f>3.5555 * CHOOSE(CONTROL!$C$15, $D$11, 100%, $F$11)</f>
        <v>3.5554999999999999</v>
      </c>
      <c r="G31" s="8">
        <f>2.8421 * CHOOSE( CONTROL!$C$15, $D$11, 100%, $F$11)</f>
        <v>2.8420999999999998</v>
      </c>
      <c r="H31" s="4">
        <f>3.7253 * CHOOSE(CONTROL!$C$15, $D$11, 100%, $F$11)</f>
        <v>3.7252999999999998</v>
      </c>
      <c r="I31" s="8">
        <f>2.8956 * CHOOSE(CONTROL!$C$15, $D$11, 100%, $F$11)</f>
        <v>2.8956</v>
      </c>
      <c r="J31" s="4">
        <f>2.787 * CHOOSE(CONTROL!$C$15, $D$11, 100%, $F$11)</f>
        <v>2.7869999999999999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1"/>
        <v>0.4</v>
      </c>
      <c r="S31" s="11"/>
    </row>
    <row r="32" spans="1:19" ht="15" customHeight="1">
      <c r="A32" s="13">
        <v>42461</v>
      </c>
      <c r="B32" s="8">
        <f>2.7857 * CHOOSE(CONTROL!$C$15, $D$11, 100%, $F$11)</f>
        <v>2.7856999999999998</v>
      </c>
      <c r="C32" s="8">
        <f>2.7902 * CHOOSE(CONTROL!$C$15, $D$11, 100%, $F$11)</f>
        <v>2.7902</v>
      </c>
      <c r="D32" s="8">
        <f>2.7769 * CHOOSE( CONTROL!$C$15, $D$11, 100%, $F$11)</f>
        <v>2.7768999999999999</v>
      </c>
      <c r="E32" s="12">
        <f>2.7808 * CHOOSE( CONTROL!$C$15, $D$11, 100%, $F$11)</f>
        <v>2.7808000000000002</v>
      </c>
      <c r="F32" s="4">
        <f>3.4779 * CHOOSE(CONTROL!$C$15, $D$11, 100%, $F$11)</f>
        <v>3.4779</v>
      </c>
      <c r="G32" s="8">
        <f>2.713 * CHOOSE( CONTROL!$C$15, $D$11, 100%, $F$11)</f>
        <v>2.7130000000000001</v>
      </c>
      <c r="H32" s="4">
        <f>3.649 * CHOOSE(CONTROL!$C$15, $D$11, 100%, $F$11)</f>
        <v>3.649</v>
      </c>
      <c r="I32" s="8">
        <f>2.7587 * CHOOSE(CONTROL!$C$15, $D$11, 100%, $F$11)</f>
        <v>2.7587000000000002</v>
      </c>
      <c r="J32" s="4">
        <f>2.663 * CHOOSE(CONTROL!$C$15, $D$11, 100%, $F$11)</f>
        <v>2.6629999999999998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1"/>
        <v>0.4</v>
      </c>
      <c r="S32" s="11"/>
    </row>
    <row r="33" spans="1:19" ht="15" customHeight="1">
      <c r="A33" s="13">
        <v>42491</v>
      </c>
      <c r="B33" s="8">
        <f>CHOOSE( CONTROL!$C$32, 2.8054, 2.8005) * CHOOSE(CONTROL!$C$15, $D$11, 100%, $F$11)</f>
        <v>2.8054000000000001</v>
      </c>
      <c r="C33" s="8">
        <f>CHOOSE( CONTROL!$C$32, 2.8134, 2.8085) * CHOOSE(CONTROL!$C$15, $D$11, 100%, $F$11)</f>
        <v>2.8134000000000001</v>
      </c>
      <c r="D33" s="8">
        <f>CHOOSE( CONTROL!$C$32, 2.8089, 2.804) * CHOOSE( CONTROL!$C$15, $D$11, 100%, $F$11)</f>
        <v>2.8089</v>
      </c>
      <c r="E33" s="12">
        <f>CHOOSE( CONTROL!$C$32, 2.8093, 2.8044) * CHOOSE( CONTROL!$C$15, $D$11, 100%, $F$11)</f>
        <v>2.8092999999999999</v>
      </c>
      <c r="F33" s="4">
        <f>CHOOSE( CONTROL!$C$32, 3.4962, 3.4913) * CHOOSE(CONTROL!$C$15, $D$11, 100%, $F$11)</f>
        <v>3.4962</v>
      </c>
      <c r="G33" s="8">
        <f>CHOOSE( CONTROL!$C$32, 2.7297, 2.7249) * CHOOSE( CONTROL!$C$15, $D$11, 100%, $F$11)</f>
        <v>2.7296999999999998</v>
      </c>
      <c r="H33" s="4">
        <f>CHOOSE( CONTROL!$C$32, 3.667, 3.6622) * CHOOSE(CONTROL!$C$15, $D$11, 100%, $F$11)</f>
        <v>3.6669999999999998</v>
      </c>
      <c r="I33" s="8">
        <f>CHOOSE( CONTROL!$C$32, 2.7768, 2.772) * CHOOSE(CONTROL!$C$15, $D$11, 100%, $F$11)</f>
        <v>2.7768000000000002</v>
      </c>
      <c r="J33" s="4">
        <f>CHOOSE( CONTROL!$C$32, 2.6807, 2.676) * CHOOSE(CONTROL!$C$15, $D$11, 100%, $F$11)</f>
        <v>2.6806999999999999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1"/>
        <v>0.4</v>
      </c>
      <c r="S33" s="11"/>
    </row>
    <row r="34" spans="1:19" ht="15" customHeight="1">
      <c r="A34" s="13">
        <v>42522</v>
      </c>
      <c r="B34" s="8">
        <f>CHOOSE( CONTROL!$C$32, 2.8426, 2.8377) * CHOOSE(CONTROL!$C$15, $D$11, 100%, $F$11)</f>
        <v>2.8426</v>
      </c>
      <c r="C34" s="8">
        <f>CHOOSE( CONTROL!$C$32, 2.8506, 2.8457) * CHOOSE(CONTROL!$C$15, $D$11, 100%, $F$11)</f>
        <v>2.8506</v>
      </c>
      <c r="D34" s="8">
        <f>CHOOSE( CONTROL!$C$32, 2.8464, 2.8415) * CHOOSE( CONTROL!$C$15, $D$11, 100%, $F$11)</f>
        <v>2.8464</v>
      </c>
      <c r="E34" s="12">
        <f>CHOOSE( CONTROL!$C$32, 2.8467, 2.8418) * CHOOSE( CONTROL!$C$15, $D$11, 100%, $F$11)</f>
        <v>2.8466999999999998</v>
      </c>
      <c r="F34" s="4">
        <f>CHOOSE( CONTROL!$C$32, 3.5335, 3.5286) * CHOOSE(CONTROL!$C$15, $D$11, 100%, $F$11)</f>
        <v>3.5335000000000001</v>
      </c>
      <c r="G34" s="8">
        <f>CHOOSE( CONTROL!$C$32, 2.7667, 2.7619) * CHOOSE( CONTROL!$C$15, $D$11, 100%, $F$11)</f>
        <v>2.7667000000000002</v>
      </c>
      <c r="H34" s="4">
        <f>CHOOSE( CONTROL!$C$32, 3.7037, 3.6988) * CHOOSE(CONTROL!$C$15, $D$11, 100%, $F$11)</f>
        <v>3.7037</v>
      </c>
      <c r="I34" s="8">
        <f>CHOOSE( CONTROL!$C$32, 2.8138, 2.8091) * CHOOSE(CONTROL!$C$15, $D$11, 100%, $F$11)</f>
        <v>2.8138000000000001</v>
      </c>
      <c r="J34" s="4">
        <f>CHOOSE( CONTROL!$C$32, 2.7167, 2.712) * CHOOSE(CONTROL!$C$15, $D$11, 100%, $F$11)</f>
        <v>2.7166999999999999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1"/>
        <v>0.4</v>
      </c>
      <c r="S34" s="11"/>
    </row>
    <row r="35" spans="1:19" ht="15" customHeight="1">
      <c r="A35" s="13">
        <v>42552</v>
      </c>
      <c r="B35" s="8">
        <f>CHOOSE( CONTROL!$C$32, 2.8809, 2.876) * CHOOSE(CONTROL!$C$15, $D$11, 100%, $F$11)</f>
        <v>2.8809</v>
      </c>
      <c r="C35" s="8">
        <f>CHOOSE( CONTROL!$C$32, 2.8889, 2.884) * CHOOSE(CONTROL!$C$15, $D$11, 100%, $F$11)</f>
        <v>2.8889</v>
      </c>
      <c r="D35" s="8">
        <f>CHOOSE( CONTROL!$C$32, 2.8849, 2.88) * CHOOSE( CONTROL!$C$15, $D$11, 100%, $F$11)</f>
        <v>2.8849</v>
      </c>
      <c r="E35" s="12">
        <f>CHOOSE( CONTROL!$C$32, 2.8851, 2.8802) * CHOOSE( CONTROL!$C$15, $D$11, 100%, $F$11)</f>
        <v>2.8851</v>
      </c>
      <c r="F35" s="4">
        <f>CHOOSE( CONTROL!$C$32, 3.5718, 3.5669) * CHOOSE(CONTROL!$C$15, $D$11, 100%, $F$11)</f>
        <v>3.5718000000000001</v>
      </c>
      <c r="G35" s="8">
        <f>CHOOSE( CONTROL!$C$32, 2.8047, 2.7998) * CHOOSE( CONTROL!$C$15, $D$11, 100%, $F$11)</f>
        <v>2.8047</v>
      </c>
      <c r="H35" s="4">
        <f>CHOOSE( CONTROL!$C$32, 3.7413, 3.7365) * CHOOSE(CONTROL!$C$15, $D$11, 100%, $F$11)</f>
        <v>3.7412999999999998</v>
      </c>
      <c r="I35" s="8">
        <f>CHOOSE( CONTROL!$C$32, 2.8519, 2.8472) * CHOOSE(CONTROL!$C$15, $D$11, 100%, $F$11)</f>
        <v>2.8519000000000001</v>
      </c>
      <c r="J35" s="4">
        <f>CHOOSE( CONTROL!$C$32, 2.7537, 2.749) * CHOOSE(CONTROL!$C$15, $D$11, 100%, $F$11)</f>
        <v>2.7536999999999998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1"/>
        <v>0.4</v>
      </c>
      <c r="S35" s="11"/>
    </row>
    <row r="36" spans="1:19" ht="15" customHeight="1">
      <c r="A36" s="13">
        <v>42583</v>
      </c>
      <c r="B36" s="8">
        <f>CHOOSE( CONTROL!$C$32, 2.8933, 2.8884) * CHOOSE(CONTROL!$C$15, $D$11, 100%, $F$11)</f>
        <v>2.8933</v>
      </c>
      <c r="C36" s="8">
        <f>CHOOSE( CONTROL!$C$32, 2.9013, 2.8964) * CHOOSE(CONTROL!$C$15, $D$11, 100%, $F$11)</f>
        <v>2.9013</v>
      </c>
      <c r="D36" s="8">
        <f>CHOOSE( CONTROL!$C$32, 2.8974, 2.8925) * CHOOSE( CONTROL!$C$15, $D$11, 100%, $F$11)</f>
        <v>2.8974000000000002</v>
      </c>
      <c r="E36" s="12">
        <f>CHOOSE( CONTROL!$C$32, 2.8976, 2.8927) * CHOOSE( CONTROL!$C$15, $D$11, 100%, $F$11)</f>
        <v>2.8976000000000002</v>
      </c>
      <c r="F36" s="4">
        <f>CHOOSE( CONTROL!$C$32, 3.5842, 3.5793) * CHOOSE(CONTROL!$C$15, $D$11, 100%, $F$11)</f>
        <v>3.5842000000000001</v>
      </c>
      <c r="G36" s="8">
        <f>CHOOSE( CONTROL!$C$32, 2.817, 2.8122) * CHOOSE( CONTROL!$C$15, $D$11, 100%, $F$11)</f>
        <v>2.8170000000000002</v>
      </c>
      <c r="H36" s="4">
        <f>CHOOSE( CONTROL!$C$32, 3.7535, 3.7487) * CHOOSE(CONTROL!$C$15, $D$11, 100%, $F$11)</f>
        <v>3.7534999999999998</v>
      </c>
      <c r="I36" s="8">
        <f>CHOOSE( CONTROL!$C$32, 2.8643, 2.8595) * CHOOSE(CONTROL!$C$15, $D$11, 100%, $F$11)</f>
        <v>2.8643000000000001</v>
      </c>
      <c r="J36" s="4">
        <f>CHOOSE( CONTROL!$C$32, 2.7657, 2.761) * CHOOSE(CONTROL!$C$15, $D$11, 100%, $F$11)</f>
        <v>2.7656999999999998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1"/>
        <v>0.4</v>
      </c>
      <c r="S36" s="11"/>
    </row>
    <row r="37" spans="1:19" ht="15" customHeight="1">
      <c r="A37" s="13">
        <v>42614</v>
      </c>
      <c r="B37" s="8">
        <f>CHOOSE( CONTROL!$C$32, 2.8871, 2.8822) * CHOOSE(CONTROL!$C$15, $D$11, 100%, $F$11)</f>
        <v>2.8871000000000002</v>
      </c>
      <c r="C37" s="8">
        <f>CHOOSE( CONTROL!$C$32, 2.8951, 2.8902) * CHOOSE(CONTROL!$C$15, $D$11, 100%, $F$11)</f>
        <v>2.8950999999999998</v>
      </c>
      <c r="D37" s="8">
        <f>CHOOSE( CONTROL!$C$32, 2.8912, 2.8863) * CHOOSE( CONTROL!$C$15, $D$11, 100%, $F$11)</f>
        <v>2.8912</v>
      </c>
      <c r="E37" s="12">
        <f>CHOOSE( CONTROL!$C$32, 2.8914, 2.8865) * CHOOSE( CONTROL!$C$15, $D$11, 100%, $F$11)</f>
        <v>2.8914</v>
      </c>
      <c r="F37" s="4">
        <f>CHOOSE( CONTROL!$C$32, 3.578, 3.5731) * CHOOSE(CONTROL!$C$15, $D$11, 100%, $F$11)</f>
        <v>3.5779999999999998</v>
      </c>
      <c r="G37" s="8">
        <f>CHOOSE( CONTROL!$C$32, 2.8108, 2.806) * CHOOSE( CONTROL!$C$15, $D$11, 100%, $F$11)</f>
        <v>2.8108</v>
      </c>
      <c r="H37" s="4">
        <f>CHOOSE( CONTROL!$C$32, 3.7474, 3.7426) * CHOOSE(CONTROL!$C$15, $D$11, 100%, $F$11)</f>
        <v>3.7473999999999998</v>
      </c>
      <c r="I37" s="8">
        <f>CHOOSE( CONTROL!$C$32, 2.8581, 2.8534) * CHOOSE(CONTROL!$C$15, $D$11, 100%, $F$11)</f>
        <v>2.8580999999999999</v>
      </c>
      <c r="J37" s="4">
        <f>CHOOSE( CONTROL!$C$32, 2.7597, 2.755) * CHOOSE(CONTROL!$C$15, $D$11, 100%, $F$11)</f>
        <v>2.7597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1"/>
        <v>0.4</v>
      </c>
      <c r="S37" s="11"/>
    </row>
    <row r="38" spans="1:19" ht="15" customHeight="1">
      <c r="A38" s="13">
        <v>42644</v>
      </c>
      <c r="B38" s="8">
        <f>2.9105 * CHOOSE(CONTROL!$C$15, $D$11, 100%, $F$11)</f>
        <v>2.9104999999999999</v>
      </c>
      <c r="C38" s="8">
        <f>2.9159 * CHOOSE(CONTROL!$C$15, $D$11, 100%, $F$11)</f>
        <v>2.9159000000000002</v>
      </c>
      <c r="D38" s="8">
        <f>2.9109 * CHOOSE( CONTROL!$C$15, $D$11, 100%, $F$11)</f>
        <v>2.9108999999999998</v>
      </c>
      <c r="E38" s="12">
        <f>2.912 * CHOOSE( CONTROL!$C$15, $D$11, 100%, $F$11)</f>
        <v>2.9119999999999999</v>
      </c>
      <c r="F38" s="4">
        <f>3.6031 * CHOOSE(CONTROL!$C$15, $D$11, 100%, $F$11)</f>
        <v>3.6031</v>
      </c>
      <c r="G38" s="8">
        <f>2.8348 * CHOOSE( CONTROL!$C$15, $D$11, 100%, $F$11)</f>
        <v>2.8348</v>
      </c>
      <c r="H38" s="4">
        <f>3.7721 * CHOOSE(CONTROL!$C$15, $D$11, 100%, $F$11)</f>
        <v>3.7721</v>
      </c>
      <c r="I38" s="8">
        <f>2.8832 * CHOOSE(CONTROL!$C$15, $D$11, 100%, $F$11)</f>
        <v>2.8832</v>
      </c>
      <c r="J38" s="4">
        <f>2.784 * CHOOSE(CONTROL!$C$15, $D$11, 100%, $F$11)</f>
        <v>2.7839999999999998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1"/>
        <v>0.4</v>
      </c>
      <c r="S38" s="11"/>
    </row>
    <row r="39" spans="1:19" ht="15" customHeight="1">
      <c r="A39" s="13">
        <v>42675</v>
      </c>
      <c r="B39" s="8">
        <f>3.0011 * CHOOSE(CONTROL!$C$15, $D$11, 100%, $F$11)</f>
        <v>3.0011000000000001</v>
      </c>
      <c r="C39" s="8">
        <f>3.0062 * CHOOSE(CONTROL!$C$15, $D$11, 100%, $F$11)</f>
        <v>3.0062000000000002</v>
      </c>
      <c r="D39" s="8">
        <f>2.9832 * CHOOSE( CONTROL!$C$15, $D$11, 100%, $F$11)</f>
        <v>2.9832000000000001</v>
      </c>
      <c r="E39" s="12">
        <f>2.9911 * CHOOSE( CONTROL!$C$15, $D$11, 100%, $F$11)</f>
        <v>2.9910999999999999</v>
      </c>
      <c r="F39" s="4">
        <f>3.646 * CHOOSE(CONTROL!$C$15, $D$11, 100%, $F$11)</f>
        <v>3.6459999999999999</v>
      </c>
      <c r="G39" s="8">
        <f>2.9323 * CHOOSE( CONTROL!$C$15, $D$11, 100%, $F$11)</f>
        <v>2.9323000000000001</v>
      </c>
      <c r="H39" s="4">
        <f>3.8143 * CHOOSE(CONTROL!$C$15, $D$11, 100%, $F$11)</f>
        <v>3.8142999999999998</v>
      </c>
      <c r="I39" s="8">
        <f>2.9959 * CHOOSE(CONTROL!$C$15, $D$11, 100%, $F$11)</f>
        <v>2.9958999999999998</v>
      </c>
      <c r="J39" s="4">
        <f>2.872 * CHOOSE(CONTROL!$C$15, $D$11, 100%, $F$11)</f>
        <v>2.8719999999999999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1"/>
        <v>0.4</v>
      </c>
      <c r="S39" s="11"/>
    </row>
    <row r="40" spans="1:19" ht="15" customHeight="1">
      <c r="A40" s="13">
        <v>42705</v>
      </c>
      <c r="B40" s="8">
        <f>3.179 * CHOOSE(CONTROL!$C$15, $D$11, 100%, $F$11)</f>
        <v>3.1789999999999998</v>
      </c>
      <c r="C40" s="8">
        <f>3.1842 * CHOOSE(CONTROL!$C$15, $D$11, 100%, $F$11)</f>
        <v>3.1842000000000001</v>
      </c>
      <c r="D40" s="8">
        <f>3.1627 * CHOOSE( CONTROL!$C$15, $D$11, 100%, $F$11)</f>
        <v>3.1627000000000001</v>
      </c>
      <c r="E40" s="12">
        <f>3.17 * CHOOSE( CONTROL!$C$15, $D$11, 100%, $F$11)</f>
        <v>3.17</v>
      </c>
      <c r="F40" s="4">
        <f>3.8239 * CHOOSE(CONTROL!$C$15, $D$11, 100%, $F$11)</f>
        <v>3.8239000000000001</v>
      </c>
      <c r="G40" s="8">
        <f>3.1084 * CHOOSE( CONTROL!$C$15, $D$11, 100%, $F$11)</f>
        <v>3.1084000000000001</v>
      </c>
      <c r="H40" s="4">
        <f>3.9893 * CHOOSE(CONTROL!$C$15, $D$11, 100%, $F$11)</f>
        <v>3.9893000000000001</v>
      </c>
      <c r="I40" s="8">
        <f>3.173 * CHOOSE(CONTROL!$C$15, $D$11, 100%, $F$11)</f>
        <v>3.173</v>
      </c>
      <c r="J40" s="4">
        <f>3.044 * CHOOSE(CONTROL!$C$15, $D$11, 100%, $F$11)</f>
        <v>3.044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1"/>
        <v>0.4</v>
      </c>
      <c r="S40" s="11"/>
    </row>
    <row r="41" spans="1:19" ht="15" customHeight="1">
      <c r="A41" s="13">
        <v>42736</v>
      </c>
      <c r="B41" s="8">
        <f>3.2845 * CHOOSE(CONTROL!$C$15, $D$11, 100%, $F$11)</f>
        <v>3.2845</v>
      </c>
      <c r="C41" s="8">
        <f>3.2897 * CHOOSE(CONTROL!$C$15, $D$11, 100%, $F$11)</f>
        <v>3.2896999999999998</v>
      </c>
      <c r="D41" s="8">
        <f>3.2643 * CHOOSE( CONTROL!$C$15, $D$11, 100%, $F$11)</f>
        <v>3.2643</v>
      </c>
      <c r="E41" s="12">
        <f>3.273 * CHOOSE( CONTROL!$C$15, $D$11, 100%, $F$11)</f>
        <v>3.2730000000000001</v>
      </c>
      <c r="F41" s="4">
        <f>3.9268 * CHOOSE(CONTROL!$C$15, $D$11, 100%, $F$11)</f>
        <v>3.9268000000000001</v>
      </c>
      <c r="G41" s="8">
        <f>3.2068 * CHOOSE( CONTROL!$C$15, $D$11, 100%, $F$11)</f>
        <v>3.2067999999999999</v>
      </c>
      <c r="H41" s="4">
        <f>4.0905 * CHOOSE(CONTROL!$C$15, $D$11, 100%, $F$11)</f>
        <v>4.0904999999999996</v>
      </c>
      <c r="I41" s="8">
        <f>3.2553 * CHOOSE(CONTROL!$C$15, $D$11, 100%, $F$11)</f>
        <v>3.2553000000000001</v>
      </c>
      <c r="J41" s="4">
        <f>3.146 * CHOOSE(CONTROL!$C$15, $D$11, 100%, $F$11)</f>
        <v>3.1459999999999999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1"/>
        <v>0.4</v>
      </c>
      <c r="S41" s="11"/>
    </row>
    <row r="42" spans="1:19" ht="15" customHeight="1">
      <c r="A42" s="13">
        <v>42767</v>
      </c>
      <c r="B42" s="8">
        <f>3.2773 * CHOOSE(CONTROL!$C$15, $D$11, 100%, $F$11)</f>
        <v>3.2772999999999999</v>
      </c>
      <c r="C42" s="8">
        <f>3.2824 * CHOOSE(CONTROL!$C$15, $D$11, 100%, $F$11)</f>
        <v>3.2824</v>
      </c>
      <c r="D42" s="8">
        <f>3.2571 * CHOOSE( CONTROL!$C$15, $D$11, 100%, $F$11)</f>
        <v>3.2570999999999999</v>
      </c>
      <c r="E42" s="12">
        <f>3.2658 * CHOOSE( CONTROL!$C$15, $D$11, 100%, $F$11)</f>
        <v>3.2658</v>
      </c>
      <c r="F42" s="4">
        <f>3.9196 * CHOOSE(CONTROL!$C$15, $D$11, 100%, $F$11)</f>
        <v>3.9196</v>
      </c>
      <c r="G42" s="8">
        <f>3.1998 * CHOOSE( CONTROL!$C$15, $D$11, 100%, $F$11)</f>
        <v>3.1998000000000002</v>
      </c>
      <c r="H42" s="4">
        <f>4.0834 * CHOOSE(CONTROL!$C$15, $D$11, 100%, $F$11)</f>
        <v>4.0834000000000001</v>
      </c>
      <c r="I42" s="8">
        <f>3.2486 * CHOOSE(CONTROL!$C$15, $D$11, 100%, $F$11)</f>
        <v>3.2486000000000002</v>
      </c>
      <c r="J42" s="4">
        <f>3.139 * CHOOSE(CONTROL!$C$15, $D$11, 100%, $F$11)</f>
        <v>3.1389999999999998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1"/>
        <v>0.4</v>
      </c>
      <c r="S42" s="11"/>
    </row>
    <row r="43" spans="1:19" ht="15" customHeight="1">
      <c r="A43" s="13">
        <v>42795</v>
      </c>
      <c r="B43" s="8">
        <f>3.2111 * CHOOSE(CONTROL!$C$15, $D$11, 100%, $F$11)</f>
        <v>3.2111000000000001</v>
      </c>
      <c r="C43" s="8">
        <f>3.2162 * CHOOSE(CONTROL!$C$15, $D$11, 100%, $F$11)</f>
        <v>3.2162000000000002</v>
      </c>
      <c r="D43" s="8">
        <f>3.1906 * CHOOSE( CONTROL!$C$15, $D$11, 100%, $F$11)</f>
        <v>3.1905999999999999</v>
      </c>
      <c r="E43" s="12">
        <f>3.1994 * CHOOSE( CONTROL!$C$15, $D$11, 100%, $F$11)</f>
        <v>3.1993999999999998</v>
      </c>
      <c r="F43" s="4">
        <f>3.8534 * CHOOSE(CONTROL!$C$15, $D$11, 100%, $F$11)</f>
        <v>3.8534000000000002</v>
      </c>
      <c r="G43" s="8">
        <f>3.1345 * CHOOSE( CONTROL!$C$15, $D$11, 100%, $F$11)</f>
        <v>3.1345000000000001</v>
      </c>
      <c r="H43" s="4">
        <f>4.0183 * CHOOSE(CONTROL!$C$15, $D$11, 100%, $F$11)</f>
        <v>4.0183</v>
      </c>
      <c r="I43" s="8">
        <f>3.1837 * CHOOSE(CONTROL!$C$15, $D$11, 100%, $F$11)</f>
        <v>3.1837</v>
      </c>
      <c r="J43" s="4">
        <f>3.075 * CHOOSE(CONTROL!$C$15, $D$11, 100%, $F$11)</f>
        <v>3.0750000000000002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1"/>
        <v>0.4</v>
      </c>
      <c r="S43" s="11"/>
    </row>
    <row r="44" spans="1:19" ht="15" customHeight="1">
      <c r="A44" s="13">
        <v>42826</v>
      </c>
      <c r="B44" s="8">
        <f>2.9719 * CHOOSE(CONTROL!$C$15, $D$11, 100%, $F$11)</f>
        <v>2.9719000000000002</v>
      </c>
      <c r="C44" s="8">
        <f>2.9764 * CHOOSE(CONTROL!$C$15, $D$11, 100%, $F$11)</f>
        <v>2.9763999999999999</v>
      </c>
      <c r="D44" s="8">
        <f>2.9708 * CHOOSE( CONTROL!$C$15, $D$11, 100%, $F$11)</f>
        <v>2.9708000000000001</v>
      </c>
      <c r="E44" s="12">
        <f>2.9721 * CHOOSE( CONTROL!$C$15, $D$11, 100%, $F$11)</f>
        <v>2.9721000000000002</v>
      </c>
      <c r="F44" s="4">
        <f>3.6641 * CHOOSE(CONTROL!$C$15, $D$11, 100%, $F$11)</f>
        <v>3.6640999999999999</v>
      </c>
      <c r="G44" s="8">
        <f>2.8937 * CHOOSE( CONTROL!$C$15, $D$11, 100%, $F$11)</f>
        <v>2.8936999999999999</v>
      </c>
      <c r="H44" s="4">
        <f>3.8321 * CHOOSE(CONTROL!$C$15, $D$11, 100%, $F$11)</f>
        <v>3.8321000000000001</v>
      </c>
      <c r="I44" s="8">
        <f>2.9387 * CHOOSE(CONTROL!$C$15, $D$11, 100%, $F$11)</f>
        <v>2.9386999999999999</v>
      </c>
      <c r="J44" s="4">
        <f>2.843 * CHOOSE(CONTROL!$C$15, $D$11, 100%, $F$11)</f>
        <v>2.843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1"/>
        <v>0.4</v>
      </c>
      <c r="S44" s="11"/>
    </row>
    <row r="45" spans="1:19" ht="15" customHeight="1">
      <c r="A45" s="13">
        <v>42856</v>
      </c>
      <c r="B45" s="8">
        <f>CHOOSE( CONTROL!$C$32, 2.9647, 2.9598) * CHOOSE(CONTROL!$C$15, $D$11, 100%, $F$11)</f>
        <v>2.9647000000000001</v>
      </c>
      <c r="C45" s="8">
        <f>CHOOSE( CONTROL!$C$32, 2.9727, 2.9678) * CHOOSE(CONTROL!$C$15, $D$11, 100%, $F$11)</f>
        <v>2.9727000000000001</v>
      </c>
      <c r="D45" s="8">
        <f>CHOOSE( CONTROL!$C$32, 2.9626, 2.9577) * CHOOSE( CONTROL!$C$15, $D$11, 100%, $F$11)</f>
        <v>2.9626000000000001</v>
      </c>
      <c r="E45" s="12">
        <f>CHOOSE( CONTROL!$C$32, 2.965, 2.9601) * CHOOSE( CONTROL!$C$15, $D$11, 100%, $F$11)</f>
        <v>2.9649999999999999</v>
      </c>
      <c r="F45" s="4">
        <f>CHOOSE( CONTROL!$C$32, 3.6555, 3.6507) * CHOOSE(CONTROL!$C$15, $D$11, 100%, $F$11)</f>
        <v>3.6555</v>
      </c>
      <c r="G45" s="8">
        <f>CHOOSE( CONTROL!$C$32, 2.8864, 2.8816) * CHOOSE( CONTROL!$C$15, $D$11, 100%, $F$11)</f>
        <v>2.8864000000000001</v>
      </c>
      <c r="H45" s="4">
        <f>CHOOSE( CONTROL!$C$32, 3.8237, 3.8189) * CHOOSE(CONTROL!$C$15, $D$11, 100%, $F$11)</f>
        <v>3.8237000000000001</v>
      </c>
      <c r="I45" s="8">
        <f>CHOOSE( CONTROL!$C$32, 2.9308, 2.9261) * CHOOSE(CONTROL!$C$15, $D$11, 100%, $F$11)</f>
        <v>2.9308000000000001</v>
      </c>
      <c r="J45" s="4">
        <f>CHOOSE( CONTROL!$C$32, 2.8347, 2.83) * CHOOSE(CONTROL!$C$15, $D$11, 100%, $F$11)</f>
        <v>2.8347000000000002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3.0009, 2.996) * CHOOSE(CONTROL!$C$15, $D$11, 100%, $F$11)</f>
        <v>3.0009000000000001</v>
      </c>
      <c r="C46" s="8">
        <f>CHOOSE( CONTROL!$C$32, 3.0089, 3.004) * CHOOSE(CONTROL!$C$15, $D$11, 100%, $F$11)</f>
        <v>3.0089000000000001</v>
      </c>
      <c r="D46" s="8">
        <f>CHOOSE( CONTROL!$C$32, 2.9991, 2.9942) * CHOOSE( CONTROL!$C$15, $D$11, 100%, $F$11)</f>
        <v>2.9990999999999999</v>
      </c>
      <c r="E46" s="12">
        <f>CHOOSE( CONTROL!$C$32, 3.0014, 2.9965) * CHOOSE( CONTROL!$C$15, $D$11, 100%, $F$11)</f>
        <v>3.0013999999999998</v>
      </c>
      <c r="F46" s="4">
        <f>CHOOSE( CONTROL!$C$32, 3.6917, 3.6869) * CHOOSE(CONTROL!$C$15, $D$11, 100%, $F$11)</f>
        <v>3.6917</v>
      </c>
      <c r="G46" s="8">
        <f>CHOOSE( CONTROL!$C$32, 2.9223, 2.9175) * CHOOSE( CONTROL!$C$15, $D$11, 100%, $F$11)</f>
        <v>2.9222999999999999</v>
      </c>
      <c r="H46" s="4">
        <f>CHOOSE( CONTROL!$C$32, 3.8593, 3.8545) * CHOOSE(CONTROL!$C$15, $D$11, 100%, $F$11)</f>
        <v>3.8593000000000002</v>
      </c>
      <c r="I46" s="8">
        <f>CHOOSE( CONTROL!$C$32, 2.9669, 2.9622) * CHOOSE(CONTROL!$C$15, $D$11, 100%, $F$11)</f>
        <v>2.9668999999999999</v>
      </c>
      <c r="J46" s="4">
        <f>CHOOSE( CONTROL!$C$32, 2.8697, 2.865) * CHOOSE(CONTROL!$C$15, $D$11, 100%, $F$11)</f>
        <v>2.8696999999999999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3.0412, 3.0363) * CHOOSE(CONTROL!$C$15, $D$11, 100%, $F$11)</f>
        <v>3.0411999999999999</v>
      </c>
      <c r="C47" s="8">
        <f>CHOOSE( CONTROL!$C$32, 3.0492, 3.0444) * CHOOSE(CONTROL!$C$15, $D$11, 100%, $F$11)</f>
        <v>3.0491999999999999</v>
      </c>
      <c r="D47" s="8">
        <f>CHOOSE( CONTROL!$C$32, 3.0398, 3.0349) * CHOOSE( CONTROL!$C$15, $D$11, 100%, $F$11)</f>
        <v>3.0398000000000001</v>
      </c>
      <c r="E47" s="12">
        <f>CHOOSE( CONTROL!$C$32, 3.042, 3.0371) * CHOOSE( CONTROL!$C$15, $D$11, 100%, $F$11)</f>
        <v>3.0419999999999998</v>
      </c>
      <c r="F47" s="4">
        <f>CHOOSE( CONTROL!$C$32, 3.7321, 3.7272) * CHOOSE(CONTROL!$C$15, $D$11, 100%, $F$11)</f>
        <v>3.7321</v>
      </c>
      <c r="G47" s="8">
        <f>CHOOSE( CONTROL!$C$32, 2.9623, 2.9575) * CHOOSE( CONTROL!$C$15, $D$11, 100%, $F$11)</f>
        <v>2.9622999999999999</v>
      </c>
      <c r="H47" s="4">
        <f>CHOOSE( CONTROL!$C$32, 3.899, 3.8942) * CHOOSE(CONTROL!$C$15, $D$11, 100%, $F$11)</f>
        <v>3.899</v>
      </c>
      <c r="I47" s="8">
        <f>CHOOSE( CONTROL!$C$32, 3.007, 3.0023) * CHOOSE(CONTROL!$C$15, $D$11, 100%, $F$11)</f>
        <v>3.0070000000000001</v>
      </c>
      <c r="J47" s="4">
        <f>CHOOSE( CONTROL!$C$32, 2.9087, 2.904) * CHOOSE(CONTROL!$C$15, $D$11, 100%, $F$11)</f>
        <v>2.9087000000000001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3.0568, 3.0519) * CHOOSE(CONTROL!$C$15, $D$11, 100%, $F$11)</f>
        <v>3.0568</v>
      </c>
      <c r="C48" s="8">
        <f>CHOOSE( CONTROL!$C$32, 3.0648, 3.0599) * CHOOSE(CONTROL!$C$15, $D$11, 100%, $F$11)</f>
        <v>3.0648</v>
      </c>
      <c r="D48" s="8">
        <f>CHOOSE( CONTROL!$C$32, 3.0554, 3.0505) * CHOOSE( CONTROL!$C$15, $D$11, 100%, $F$11)</f>
        <v>3.0554000000000001</v>
      </c>
      <c r="E48" s="12">
        <f>CHOOSE( CONTROL!$C$32, 3.0576, 3.0527) * CHOOSE( CONTROL!$C$15, $D$11, 100%, $F$11)</f>
        <v>3.0575999999999999</v>
      </c>
      <c r="F48" s="4">
        <f>CHOOSE( CONTROL!$C$32, 3.7476, 3.7427) * CHOOSE(CONTROL!$C$15, $D$11, 100%, $F$11)</f>
        <v>3.7475999999999998</v>
      </c>
      <c r="G48" s="8">
        <f>CHOOSE( CONTROL!$C$32, 2.9777, 2.9729) * CHOOSE( CONTROL!$C$15, $D$11, 100%, $F$11)</f>
        <v>2.9777</v>
      </c>
      <c r="H48" s="4">
        <f>CHOOSE( CONTROL!$C$32, 3.9142, 3.9094) * CHOOSE(CONTROL!$C$15, $D$11, 100%, $F$11)</f>
        <v>3.9142000000000001</v>
      </c>
      <c r="I48" s="8">
        <f>CHOOSE( CONTROL!$C$32, 3.0223, 3.0176) * CHOOSE(CONTROL!$C$15, $D$11, 100%, $F$11)</f>
        <v>3.0223</v>
      </c>
      <c r="J48" s="4">
        <f>CHOOSE( CONTROL!$C$32, 2.9237, 2.919) * CHOOSE(CONTROL!$C$15, $D$11, 100%, $F$11)</f>
        <v>2.9237000000000002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3.0505, 3.0457) * CHOOSE(CONTROL!$C$15, $D$11, 100%, $F$11)</f>
        <v>3.0505</v>
      </c>
      <c r="C49" s="8">
        <f>CHOOSE( CONTROL!$C$32, 3.0586, 3.0537) * CHOOSE(CONTROL!$C$15, $D$11, 100%, $F$11)</f>
        <v>3.0586000000000002</v>
      </c>
      <c r="D49" s="8">
        <f>CHOOSE( CONTROL!$C$32, 3.0492, 3.0443) * CHOOSE( CONTROL!$C$15, $D$11, 100%, $F$11)</f>
        <v>3.0491999999999999</v>
      </c>
      <c r="E49" s="12">
        <f>CHOOSE( CONTROL!$C$32, 3.0514, 3.0465) * CHOOSE( CONTROL!$C$15, $D$11, 100%, $F$11)</f>
        <v>3.0514000000000001</v>
      </c>
      <c r="F49" s="4">
        <f>CHOOSE( CONTROL!$C$32, 3.7414, 3.7365) * CHOOSE(CONTROL!$C$15, $D$11, 100%, $F$11)</f>
        <v>3.7414000000000001</v>
      </c>
      <c r="G49" s="8">
        <f>CHOOSE( CONTROL!$C$32, 2.9715, 2.9667) * CHOOSE( CONTROL!$C$15, $D$11, 100%, $F$11)</f>
        <v>2.9714999999999998</v>
      </c>
      <c r="H49" s="4">
        <f>CHOOSE( CONTROL!$C$32, 3.9081, 3.9033) * CHOOSE(CONTROL!$C$15, $D$11, 100%, $F$11)</f>
        <v>3.9081000000000001</v>
      </c>
      <c r="I49" s="8">
        <f>CHOOSE( CONTROL!$C$32, 3.0162, 3.0114) * CHOOSE(CONTROL!$C$15, $D$11, 100%, $F$11)</f>
        <v>3.0162</v>
      </c>
      <c r="J49" s="4">
        <f>CHOOSE( CONTROL!$C$32, 2.9177, 2.913) * CHOOSE(CONTROL!$C$15, $D$11, 100%, $F$11)</f>
        <v>2.9177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3.0698 * CHOOSE(CONTROL!$C$15, $D$11, 100%, $F$11)</f>
        <v>3.0697999999999999</v>
      </c>
      <c r="C50" s="8">
        <f>3.0752 * CHOOSE(CONTROL!$C$15, $D$11, 100%, $F$11)</f>
        <v>3.0752000000000002</v>
      </c>
      <c r="D50" s="8">
        <f>3.0702 * CHOOSE( CONTROL!$C$15, $D$11, 100%, $F$11)</f>
        <v>3.0701999999999998</v>
      </c>
      <c r="E50" s="12">
        <f>3.0713 * CHOOSE( CONTROL!$C$15, $D$11, 100%, $F$11)</f>
        <v>3.0712999999999999</v>
      </c>
      <c r="F50" s="4">
        <f>3.7624 * CHOOSE(CONTROL!$C$15, $D$11, 100%, $F$11)</f>
        <v>3.7624</v>
      </c>
      <c r="G50" s="8">
        <f>2.9914 * CHOOSE( CONTROL!$C$15, $D$11, 100%, $F$11)</f>
        <v>2.9914000000000001</v>
      </c>
      <c r="H50" s="4">
        <f>3.9287 * CHOOSE(CONTROL!$C$15, $D$11, 100%, $F$11)</f>
        <v>3.9287000000000001</v>
      </c>
      <c r="I50" s="8">
        <f>3.0373 * CHOOSE(CONTROL!$C$15, $D$11, 100%, $F$11)</f>
        <v>3.0373000000000001</v>
      </c>
      <c r="J50" s="4">
        <f>2.938 * CHOOSE(CONTROL!$C$15, $D$11, 100%, $F$11)</f>
        <v>2.9380000000000002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3.1501 * CHOOSE(CONTROL!$C$15, $D$11, 100%, $F$11)</f>
        <v>3.1501000000000001</v>
      </c>
      <c r="C51" s="8">
        <f>3.1552 * CHOOSE(CONTROL!$C$15, $D$11, 100%, $F$11)</f>
        <v>3.1551999999999998</v>
      </c>
      <c r="D51" s="8">
        <f>3.1321 * CHOOSE( CONTROL!$C$15, $D$11, 100%, $F$11)</f>
        <v>3.1320999999999999</v>
      </c>
      <c r="E51" s="12">
        <f>3.14 * CHOOSE( CONTROL!$C$15, $D$11, 100%, $F$11)</f>
        <v>3.14</v>
      </c>
      <c r="F51" s="4">
        <f>3.795 * CHOOSE(CONTROL!$C$15, $D$11, 100%, $F$11)</f>
        <v>3.7949999999999999</v>
      </c>
      <c r="G51" s="8">
        <f>3.0788 * CHOOSE( CONTROL!$C$15, $D$11, 100%, $F$11)</f>
        <v>3.0788000000000002</v>
      </c>
      <c r="H51" s="4">
        <f>3.9608 * CHOOSE(CONTROL!$C$15, $D$11, 100%, $F$11)</f>
        <v>3.9607999999999999</v>
      </c>
      <c r="I51" s="8">
        <f>3.14 * CHOOSE(CONTROL!$C$15, $D$11, 100%, $F$11)</f>
        <v>3.14</v>
      </c>
      <c r="J51" s="4">
        <f>3.016 * CHOOSE(CONTROL!$C$15, $D$11, 100%, $F$11)</f>
        <v>3.016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3.3156 * CHOOSE(CONTROL!$C$15, $D$11, 100%, $F$11)</f>
        <v>3.3155999999999999</v>
      </c>
      <c r="C52" s="8">
        <f>3.3207 * CHOOSE(CONTROL!$C$15, $D$11, 100%, $F$11)</f>
        <v>3.3207</v>
      </c>
      <c r="D52" s="8">
        <f>3.2992 * CHOOSE( CONTROL!$C$15, $D$11, 100%, $F$11)</f>
        <v>3.2991999999999999</v>
      </c>
      <c r="E52" s="12">
        <f>3.3065 * CHOOSE( CONTROL!$C$15, $D$11, 100%, $F$11)</f>
        <v>3.3065000000000002</v>
      </c>
      <c r="F52" s="4">
        <f>3.9605 * CHOOSE(CONTROL!$C$15, $D$11, 100%, $F$11)</f>
        <v>3.9605000000000001</v>
      </c>
      <c r="G52" s="8">
        <f>3.2427 * CHOOSE( CONTROL!$C$15, $D$11, 100%, $F$11)</f>
        <v>3.2427000000000001</v>
      </c>
      <c r="H52" s="4">
        <f>4.1236 * CHOOSE(CONTROL!$C$15, $D$11, 100%, $F$11)</f>
        <v>4.1235999999999997</v>
      </c>
      <c r="I52" s="8">
        <f>3.305 * CHOOSE(CONTROL!$C$15, $D$11, 100%, $F$11)</f>
        <v>3.3050000000000002</v>
      </c>
      <c r="J52" s="4">
        <f>3.176 * CHOOSE(CONTROL!$C$15, $D$11, 100%, $F$11)</f>
        <v>3.1760000000000002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3.8922 * CHOOSE(CONTROL!$C$15, $D$11, 100%, $F$11)</f>
        <v>3.8921999999999999</v>
      </c>
      <c r="C53" s="8">
        <f>3.8973 * CHOOSE(CONTROL!$C$15, $D$11, 100%, $F$11)</f>
        <v>3.8973</v>
      </c>
      <c r="D53" s="8">
        <f>3.8719 * CHOOSE( CONTROL!$C$15, $D$11, 100%, $F$11)</f>
        <v>3.8719000000000001</v>
      </c>
      <c r="E53" s="12">
        <f>3.8806 * CHOOSE( CONTROL!$C$15, $D$11, 100%, $F$11)</f>
        <v>3.8805999999999998</v>
      </c>
      <c r="F53" s="4">
        <f>4.5345 * CHOOSE(CONTROL!$C$15, $D$11, 100%, $F$11)</f>
        <v>4.5345000000000004</v>
      </c>
      <c r="G53" s="8">
        <f>3.8044 * CHOOSE( CONTROL!$C$15, $D$11, 100%, $F$11)</f>
        <v>3.8043999999999998</v>
      </c>
      <c r="H53" s="4">
        <f>4.6881 * CHOOSE(CONTROL!$C$15, $D$11, 100%, $F$11)</f>
        <v>4.6881000000000004</v>
      </c>
      <c r="I53" s="8">
        <f>3.843 * CHOOSE(CONTROL!$C$15, $D$11, 100%, $F$11)</f>
        <v>3.843</v>
      </c>
      <c r="J53" s="4">
        <f>3.7334 * CHOOSE(CONTROL!$C$15, $D$11, 100%, $F$11)</f>
        <v>3.7334000000000001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3.6425 * CHOOSE(CONTROL!$C$15, $D$11, 100%, $F$11)</f>
        <v>3.6425000000000001</v>
      </c>
      <c r="C54" s="8">
        <f>3.6477 * CHOOSE(CONTROL!$C$15, $D$11, 100%, $F$11)</f>
        <v>3.6476999999999999</v>
      </c>
      <c r="D54" s="8">
        <f>3.6223 * CHOOSE( CONTROL!$C$15, $D$11, 100%, $F$11)</f>
        <v>3.6223000000000001</v>
      </c>
      <c r="E54" s="12">
        <f>3.631 * CHOOSE( CONTROL!$C$15, $D$11, 100%, $F$11)</f>
        <v>3.6309999999999998</v>
      </c>
      <c r="F54" s="4">
        <f>4.2848 * CHOOSE(CONTROL!$C$15, $D$11, 100%, $F$11)</f>
        <v>4.2847999999999997</v>
      </c>
      <c r="G54" s="8">
        <f>3.559 * CHOOSE( CONTROL!$C$15, $D$11, 100%, $F$11)</f>
        <v>3.5590000000000002</v>
      </c>
      <c r="H54" s="4">
        <f>4.4426 * CHOOSE(CONTROL!$C$15, $D$11, 100%, $F$11)</f>
        <v>4.4425999999999997</v>
      </c>
      <c r="I54" s="8">
        <f>3.6018 * CHOOSE(CONTROL!$C$15, $D$11, 100%, $F$11)</f>
        <v>3.6017999999999999</v>
      </c>
      <c r="J54" s="4">
        <f>3.4921 * CHOOSE(CONTROL!$C$15, $D$11, 100%, $F$11)</f>
        <v>3.4921000000000002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3.5656 * CHOOSE(CONTROL!$C$15, $D$11, 100%, $F$11)</f>
        <v>3.5655999999999999</v>
      </c>
      <c r="C55" s="8">
        <f>3.5708 * CHOOSE(CONTROL!$C$15, $D$11, 100%, $F$11)</f>
        <v>3.5708000000000002</v>
      </c>
      <c r="D55" s="8">
        <f>3.5452 * CHOOSE( CONTROL!$C$15, $D$11, 100%, $F$11)</f>
        <v>3.5451999999999999</v>
      </c>
      <c r="E55" s="12">
        <f>3.554 * CHOOSE( CONTROL!$C$15, $D$11, 100%, $F$11)</f>
        <v>3.5539999999999998</v>
      </c>
      <c r="F55" s="4">
        <f>4.2079 * CHOOSE(CONTROL!$C$15, $D$11, 100%, $F$11)</f>
        <v>4.2079000000000004</v>
      </c>
      <c r="G55" s="8">
        <f>3.4831 * CHOOSE( CONTROL!$C$15, $D$11, 100%, $F$11)</f>
        <v>3.4830999999999999</v>
      </c>
      <c r="H55" s="4">
        <f>4.3669 * CHOOSE(CONTROL!$C$15, $D$11, 100%, $F$11)</f>
        <v>4.3669000000000002</v>
      </c>
      <c r="I55" s="8">
        <f>3.5266 * CHOOSE(CONTROL!$C$15, $D$11, 100%, $F$11)</f>
        <v>3.5266000000000002</v>
      </c>
      <c r="J55" s="4">
        <f>3.4177 * CHOOSE(CONTROL!$C$15, $D$11, 100%, $F$11)</f>
        <v>3.4177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3.6201 * CHOOSE(CONTROL!$C$15, $D$11, 100%, $F$11)</f>
        <v>3.6200999999999999</v>
      </c>
      <c r="C56" s="8">
        <f>3.6247 * CHOOSE(CONTROL!$C$15, $D$11, 100%, $F$11)</f>
        <v>3.6246999999999998</v>
      </c>
      <c r="D56" s="8">
        <f>3.639 * CHOOSE( CONTROL!$C$15, $D$11, 100%, $F$11)</f>
        <v>3.6389999999999998</v>
      </c>
      <c r="E56" s="12">
        <f>3.6338 * CHOOSE( CONTROL!$C$15, $D$11, 100%, $F$11)</f>
        <v>3.6337999999999999</v>
      </c>
      <c r="F56" s="4">
        <f>4.3124 * CHOOSE(CONTROL!$C$15, $D$11, 100%, $F$11)</f>
        <v>4.3124000000000002</v>
      </c>
      <c r="G56" s="8">
        <f>3.5312 * CHOOSE( CONTROL!$C$15, $D$11, 100%, $F$11)</f>
        <v>3.5312000000000001</v>
      </c>
      <c r="H56" s="4">
        <f>4.4696 * CHOOSE(CONTROL!$C$15, $D$11, 100%, $F$11)</f>
        <v>4.4695999999999998</v>
      </c>
      <c r="I56" s="8">
        <f>3.5657 * CHOOSE(CONTROL!$C$15, $D$11, 100%, $F$11)</f>
        <v>3.5657000000000001</v>
      </c>
      <c r="J56" s="4">
        <f>3.4697 * CHOOSE(CONTROL!$C$15, $D$11, 100%, $F$11)</f>
        <v>3.4697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3.722, 3.7171) * CHOOSE(CONTROL!$C$15, $D$11, 100%, $F$11)</f>
        <v>3.722</v>
      </c>
      <c r="C57" s="8">
        <f>CHOOSE( CONTROL!$C$32, 3.7301, 3.7252) * CHOOSE(CONTROL!$C$15, $D$11, 100%, $F$11)</f>
        <v>3.7301000000000002</v>
      </c>
      <c r="D57" s="8">
        <f>CHOOSE( CONTROL!$C$32, 3.7394, 3.7345) * CHOOSE( CONTROL!$C$15, $D$11, 100%, $F$11)</f>
        <v>3.7393999999999998</v>
      </c>
      <c r="E57" s="12">
        <f>CHOOSE( CONTROL!$C$32, 3.7348, 3.7299) * CHOOSE( CONTROL!$C$15, $D$11, 100%, $F$11)</f>
        <v>3.7347999999999999</v>
      </c>
      <c r="F57" s="4">
        <f>CHOOSE( CONTROL!$C$32, 4.4129, 4.408) * CHOOSE(CONTROL!$C$15, $D$11, 100%, $F$11)</f>
        <v>4.4128999999999996</v>
      </c>
      <c r="G57" s="8">
        <f>CHOOSE( CONTROL!$C$32, 3.6312, 3.6264) * CHOOSE( CONTROL!$C$15, $D$11, 100%, $F$11)</f>
        <v>3.6312000000000002</v>
      </c>
      <c r="H57" s="4">
        <f>CHOOSE( CONTROL!$C$32, 4.5685, 4.5637) * CHOOSE(CONTROL!$C$15, $D$11, 100%, $F$11)</f>
        <v>4.5685000000000002</v>
      </c>
      <c r="I57" s="8">
        <f>CHOOSE( CONTROL!$C$32, 3.6633, 3.6586) * CHOOSE(CONTROL!$C$15, $D$11, 100%, $F$11)</f>
        <v>3.6633</v>
      </c>
      <c r="J57" s="4">
        <f>CHOOSE( CONTROL!$C$32, 3.5669, 3.5621) * CHOOSE(CONTROL!$C$15, $D$11, 100%, $F$11)</f>
        <v>3.5669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3.6628, 3.6579) * CHOOSE(CONTROL!$C$15, $D$11, 100%, $F$11)</f>
        <v>3.6627999999999998</v>
      </c>
      <c r="C58" s="8">
        <f>CHOOSE( CONTROL!$C$32, 3.6708, 3.6659) * CHOOSE(CONTROL!$C$15, $D$11, 100%, $F$11)</f>
        <v>3.6707999999999998</v>
      </c>
      <c r="D58" s="8">
        <f>CHOOSE( CONTROL!$C$32, 3.6803, 3.6754) * CHOOSE( CONTROL!$C$15, $D$11, 100%, $F$11)</f>
        <v>3.6802999999999999</v>
      </c>
      <c r="E58" s="12">
        <f>CHOOSE( CONTROL!$C$32, 3.6756, 3.6707) * CHOOSE( CONTROL!$C$15, $D$11, 100%, $F$11)</f>
        <v>3.6756000000000002</v>
      </c>
      <c r="F58" s="4">
        <f>CHOOSE( CONTROL!$C$32, 4.3537, 4.3488) * CHOOSE(CONTROL!$C$15, $D$11, 100%, $F$11)</f>
        <v>4.3536999999999999</v>
      </c>
      <c r="G58" s="8">
        <f>CHOOSE( CONTROL!$C$32, 3.5733, 3.5685) * CHOOSE( CONTROL!$C$15, $D$11, 100%, $F$11)</f>
        <v>3.5733000000000001</v>
      </c>
      <c r="H58" s="4">
        <f>CHOOSE( CONTROL!$C$32, 4.5102, 4.5054) * CHOOSE(CONTROL!$C$15, $D$11, 100%, $F$11)</f>
        <v>4.5102000000000002</v>
      </c>
      <c r="I58" s="8">
        <f>CHOOSE( CONTROL!$C$32, 3.6071, 3.6024) * CHOOSE(CONTROL!$C$15, $D$11, 100%, $F$11)</f>
        <v>3.6071</v>
      </c>
      <c r="J58" s="4">
        <f>CHOOSE( CONTROL!$C$32, 3.5096, 3.5049) * CHOOSE(CONTROL!$C$15, $D$11, 100%, $F$11)</f>
        <v>3.5095999999999998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3.8188, 3.8139) * CHOOSE(CONTROL!$C$15, $D$11, 100%, $F$11)</f>
        <v>3.8188</v>
      </c>
      <c r="C59" s="8">
        <f>CHOOSE( CONTROL!$C$32, 3.8268, 3.8219) * CHOOSE(CONTROL!$C$15, $D$11, 100%, $F$11)</f>
        <v>3.8268</v>
      </c>
      <c r="D59" s="8">
        <f>CHOOSE( CONTROL!$C$32, 3.8366, 3.8317) * CHOOSE( CONTROL!$C$15, $D$11, 100%, $F$11)</f>
        <v>3.8365999999999998</v>
      </c>
      <c r="E59" s="12">
        <f>CHOOSE( CONTROL!$C$32, 3.8318, 3.8269) * CHOOSE( CONTROL!$C$15, $D$11, 100%, $F$11)</f>
        <v>3.8317999999999999</v>
      </c>
      <c r="F59" s="4">
        <f>CHOOSE( CONTROL!$C$32, 4.5097, 4.5048) * CHOOSE(CONTROL!$C$15, $D$11, 100%, $F$11)</f>
        <v>4.5096999999999996</v>
      </c>
      <c r="G59" s="8">
        <f>CHOOSE( CONTROL!$C$32, 3.727, 3.7222) * CHOOSE( CONTROL!$C$15, $D$11, 100%, $F$11)</f>
        <v>3.7269999999999999</v>
      </c>
      <c r="H59" s="4">
        <f>CHOOSE( CONTROL!$C$32, 4.6637, 4.6588) * CHOOSE(CONTROL!$C$15, $D$11, 100%, $F$11)</f>
        <v>4.6637000000000004</v>
      </c>
      <c r="I59" s="8">
        <f>CHOOSE( CONTROL!$C$32, 3.759, 3.7543) * CHOOSE(CONTROL!$C$15, $D$11, 100%, $F$11)</f>
        <v>3.7589999999999999</v>
      </c>
      <c r="J59" s="4">
        <f>CHOOSE( CONTROL!$C$32, 3.6604, 3.6557) * CHOOSE(CONTROL!$C$15, $D$11, 100%, $F$11)</f>
        <v>3.6604000000000001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3.5269, 3.522) * CHOOSE(CONTROL!$C$15, $D$11, 100%, $F$11)</f>
        <v>3.5268999999999999</v>
      </c>
      <c r="C60" s="8">
        <f>CHOOSE( CONTROL!$C$32, 3.5349, 3.53) * CHOOSE(CONTROL!$C$15, $D$11, 100%, $F$11)</f>
        <v>3.5348999999999999</v>
      </c>
      <c r="D60" s="8">
        <f>CHOOSE( CONTROL!$C$32, 3.5447, 3.5398) * CHOOSE( CONTROL!$C$15, $D$11, 100%, $F$11)</f>
        <v>3.5447000000000002</v>
      </c>
      <c r="E60" s="12">
        <f>CHOOSE( CONTROL!$C$32, 3.5399, 3.535) * CHOOSE( CONTROL!$C$15, $D$11, 100%, $F$11)</f>
        <v>3.5398999999999998</v>
      </c>
      <c r="F60" s="4">
        <f>CHOOSE( CONTROL!$C$32, 4.2178, 4.2129) * CHOOSE(CONTROL!$C$15, $D$11, 100%, $F$11)</f>
        <v>4.2178000000000004</v>
      </c>
      <c r="G60" s="8">
        <f>CHOOSE( CONTROL!$C$32, 3.4401, 3.4352) * CHOOSE( CONTROL!$C$15, $D$11, 100%, $F$11)</f>
        <v>3.4401000000000002</v>
      </c>
      <c r="H60" s="4">
        <f>CHOOSE( CONTROL!$C$32, 4.3766, 4.3718) * CHOOSE(CONTROL!$C$15, $D$11, 100%, $F$11)</f>
        <v>4.3765999999999998</v>
      </c>
      <c r="I60" s="8">
        <f>CHOOSE( CONTROL!$C$32, 3.4771, 3.4723) * CHOOSE(CONTROL!$C$15, $D$11, 100%, $F$11)</f>
        <v>3.4771000000000001</v>
      </c>
      <c r="J60" s="4">
        <f>CHOOSE( CONTROL!$C$32, 3.3782, 3.3735) * CHOOSE(CONTROL!$C$15, $D$11, 100%, $F$11)</f>
        <v>3.3782000000000001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3.4538, 3.4489) * CHOOSE(CONTROL!$C$15, $D$11, 100%, $F$11)</f>
        <v>3.4538000000000002</v>
      </c>
      <c r="C61" s="8">
        <f>CHOOSE( CONTROL!$C$32, 3.4618, 3.4569) * CHOOSE(CONTROL!$C$15, $D$11, 100%, $F$11)</f>
        <v>3.4618000000000002</v>
      </c>
      <c r="D61" s="8">
        <f>CHOOSE( CONTROL!$C$32, 3.4716, 3.4667) * CHOOSE( CONTROL!$C$15, $D$11, 100%, $F$11)</f>
        <v>3.4716</v>
      </c>
      <c r="E61" s="12">
        <f>CHOOSE( CONTROL!$C$32, 3.4668, 3.4619) * CHOOSE( CONTROL!$C$15, $D$11, 100%, $F$11)</f>
        <v>3.4668000000000001</v>
      </c>
      <c r="F61" s="4">
        <f>CHOOSE( CONTROL!$C$32, 4.1447, 4.1398) * CHOOSE(CONTROL!$C$15, $D$11, 100%, $F$11)</f>
        <v>4.1447000000000003</v>
      </c>
      <c r="G61" s="8">
        <f>CHOOSE( CONTROL!$C$32, 3.3681, 3.3633) * CHOOSE( CONTROL!$C$15, $D$11, 100%, $F$11)</f>
        <v>3.3681000000000001</v>
      </c>
      <c r="H61" s="4">
        <f>CHOOSE( CONTROL!$C$32, 4.3047, 4.2999) * CHOOSE(CONTROL!$C$15, $D$11, 100%, $F$11)</f>
        <v>4.3047000000000004</v>
      </c>
      <c r="I61" s="8">
        <f>CHOOSE( CONTROL!$C$32, 3.4062, 3.4015) * CHOOSE(CONTROL!$C$15, $D$11, 100%, $F$11)</f>
        <v>3.4062000000000001</v>
      </c>
      <c r="J61" s="4">
        <f>CHOOSE( CONTROL!$C$32, 3.3076, 3.3028) * CHOOSE(CONTROL!$C$15, $D$11, 100%, $F$11)</f>
        <v>3.3075999999999999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3.599 * CHOOSE(CONTROL!$C$15, $D$11, 100%, $F$11)</f>
        <v>3.5990000000000002</v>
      </c>
      <c r="C62" s="8">
        <f>3.6043 * CHOOSE(CONTROL!$C$15, $D$11, 100%, $F$11)</f>
        <v>3.6042999999999998</v>
      </c>
      <c r="D62" s="8">
        <f>3.6189 * CHOOSE( CONTROL!$C$15, $D$11, 100%, $F$11)</f>
        <v>3.6189</v>
      </c>
      <c r="E62" s="12">
        <f>3.6135 * CHOOSE( CONTROL!$C$15, $D$11, 100%, $F$11)</f>
        <v>3.6135000000000002</v>
      </c>
      <c r="F62" s="4">
        <f>4.2915 * CHOOSE(CONTROL!$C$15, $D$11, 100%, $F$11)</f>
        <v>4.2915000000000001</v>
      </c>
      <c r="G62" s="8">
        <f>3.5118 * CHOOSE( CONTROL!$C$15, $D$11, 100%, $F$11)</f>
        <v>3.5118</v>
      </c>
      <c r="H62" s="4">
        <f>4.4491 * CHOOSE(CONTROL!$C$15, $D$11, 100%, $F$11)</f>
        <v>4.4490999999999996</v>
      </c>
      <c r="I62" s="8">
        <f>3.5491 * CHOOSE(CONTROL!$C$15, $D$11, 100%, $F$11)</f>
        <v>3.5491000000000001</v>
      </c>
      <c r="J62" s="4">
        <f>3.4495 * CHOOSE(CONTROL!$C$15, $D$11, 100%, $F$11)</f>
        <v>3.4495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3.8787 * CHOOSE(CONTROL!$C$15, $D$11, 100%, $F$11)</f>
        <v>3.8786999999999998</v>
      </c>
      <c r="C63" s="8">
        <f>3.8838 * CHOOSE(CONTROL!$C$15, $D$11, 100%, $F$11)</f>
        <v>3.8837999999999999</v>
      </c>
      <c r="D63" s="8">
        <f>3.8608 * CHOOSE( CONTROL!$C$15, $D$11, 100%, $F$11)</f>
        <v>3.8607999999999998</v>
      </c>
      <c r="E63" s="12">
        <f>3.8687 * CHOOSE( CONTROL!$C$15, $D$11, 100%, $F$11)</f>
        <v>3.8687</v>
      </c>
      <c r="F63" s="4">
        <f>4.5236 * CHOOSE(CONTROL!$C$15, $D$11, 100%, $F$11)</f>
        <v>4.5236000000000001</v>
      </c>
      <c r="G63" s="8">
        <f>3.7953 * CHOOSE( CONTROL!$C$15, $D$11, 100%, $F$11)</f>
        <v>3.7953000000000001</v>
      </c>
      <c r="H63" s="4">
        <f>4.6773 * CHOOSE(CONTROL!$C$15, $D$11, 100%, $F$11)</f>
        <v>4.6772999999999998</v>
      </c>
      <c r="I63" s="8">
        <f>3.8447 * CHOOSE(CONTROL!$C$15, $D$11, 100%, $F$11)</f>
        <v>3.8447</v>
      </c>
      <c r="J63" s="4">
        <f>3.7204 * CHOOSE(CONTROL!$C$15, $D$11, 100%, $F$11)</f>
        <v>3.7204000000000002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3.8717 * CHOOSE(CONTROL!$C$15, $D$11, 100%, $F$11)</f>
        <v>3.8717000000000001</v>
      </c>
      <c r="C64" s="8">
        <f>3.8768 * CHOOSE(CONTROL!$C$15, $D$11, 100%, $F$11)</f>
        <v>3.8767999999999998</v>
      </c>
      <c r="D64" s="8">
        <f>3.8553 * CHOOSE( CONTROL!$C$15, $D$11, 100%, $F$11)</f>
        <v>3.8553000000000002</v>
      </c>
      <c r="E64" s="12">
        <f>3.8626 * CHOOSE( CONTROL!$C$15, $D$11, 100%, $F$11)</f>
        <v>3.8626</v>
      </c>
      <c r="F64" s="4">
        <f>4.5166 * CHOOSE(CONTROL!$C$15, $D$11, 100%, $F$11)</f>
        <v>4.5166000000000004</v>
      </c>
      <c r="G64" s="8">
        <f>3.7896 * CHOOSE( CONTROL!$C$15, $D$11, 100%, $F$11)</f>
        <v>3.7896000000000001</v>
      </c>
      <c r="H64" s="4">
        <f>4.6705 * CHOOSE(CONTROL!$C$15, $D$11, 100%, $F$11)</f>
        <v>4.6704999999999997</v>
      </c>
      <c r="I64" s="8">
        <f>3.8429 * CHOOSE(CONTROL!$C$15, $D$11, 100%, $F$11)</f>
        <v>3.8429000000000002</v>
      </c>
      <c r="J64" s="4">
        <f>3.7136 * CHOOSE(CONTROL!$C$15, $D$11, 100%, $F$11)</f>
        <v>3.7136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4.0958 * CHOOSE(CONTROL!$C$15, $D$11, 100%, $F$11)</f>
        <v>4.0957999999999997</v>
      </c>
      <c r="C65" s="8">
        <f>4.1009 * CHOOSE(CONTROL!$C$15, $D$11, 100%, $F$11)</f>
        <v>4.1009000000000002</v>
      </c>
      <c r="D65" s="8">
        <f>4.0755 * CHOOSE( CONTROL!$C$15, $D$11, 100%, $F$11)</f>
        <v>4.0754999999999999</v>
      </c>
      <c r="E65" s="12">
        <f>4.0842 * CHOOSE( CONTROL!$C$15, $D$11, 100%, $F$11)</f>
        <v>4.0842000000000001</v>
      </c>
      <c r="F65" s="4">
        <f>4.7381 * CHOOSE(CONTROL!$C$15, $D$11, 100%, $F$11)</f>
        <v>4.7381000000000002</v>
      </c>
      <c r="G65" s="8">
        <f>4.0046 * CHOOSE( CONTROL!$C$15, $D$11, 100%, $F$11)</f>
        <v>4.0045999999999999</v>
      </c>
      <c r="H65" s="4">
        <f>4.8883 * CHOOSE(CONTROL!$C$15, $D$11, 100%, $F$11)</f>
        <v>4.8883000000000001</v>
      </c>
      <c r="I65" s="8">
        <f>4.0399 * CHOOSE(CONTROL!$C$15, $D$11, 100%, $F$11)</f>
        <v>4.0399000000000003</v>
      </c>
      <c r="J65" s="4">
        <f>3.9302 * CHOOSE(CONTROL!$C$15, $D$11, 100%, $F$11)</f>
        <v>3.9302000000000001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3.833 * CHOOSE(CONTROL!$C$15, $D$11, 100%, $F$11)</f>
        <v>3.8330000000000002</v>
      </c>
      <c r="C66" s="8">
        <f>3.8381 * CHOOSE(CONTROL!$C$15, $D$11, 100%, $F$11)</f>
        <v>3.8380999999999998</v>
      </c>
      <c r="D66" s="8">
        <f>3.8127 * CHOOSE( CONTROL!$C$15, $D$11, 100%, $F$11)</f>
        <v>3.8127</v>
      </c>
      <c r="E66" s="12">
        <f>3.8214 * CHOOSE( CONTROL!$C$15, $D$11, 100%, $F$11)</f>
        <v>3.8214000000000001</v>
      </c>
      <c r="F66" s="4">
        <f>4.4753 * CHOOSE(CONTROL!$C$15, $D$11, 100%, $F$11)</f>
        <v>4.4752999999999998</v>
      </c>
      <c r="G66" s="8">
        <f>3.7462 * CHOOSE( CONTROL!$C$15, $D$11, 100%, $F$11)</f>
        <v>3.7462</v>
      </c>
      <c r="H66" s="4">
        <f>4.6298 * CHOOSE(CONTROL!$C$15, $D$11, 100%, $F$11)</f>
        <v>4.6298000000000004</v>
      </c>
      <c r="I66" s="8">
        <f>3.786 * CHOOSE(CONTROL!$C$15, $D$11, 100%, $F$11)</f>
        <v>3.786</v>
      </c>
      <c r="J66" s="4">
        <f>3.6761 * CHOOSE(CONTROL!$C$15, $D$11, 100%, $F$11)</f>
        <v>3.6760999999999999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3.752 * CHOOSE(CONTROL!$C$15, $D$11, 100%, $F$11)</f>
        <v>3.7519999999999998</v>
      </c>
      <c r="C67" s="8">
        <f>3.7571 * CHOOSE(CONTROL!$C$15, $D$11, 100%, $F$11)</f>
        <v>3.7570999999999999</v>
      </c>
      <c r="D67" s="8">
        <f>3.7315 * CHOOSE( CONTROL!$C$15, $D$11, 100%, $F$11)</f>
        <v>3.7315</v>
      </c>
      <c r="E67" s="12">
        <f>3.7403 * CHOOSE( CONTROL!$C$15, $D$11, 100%, $F$11)</f>
        <v>3.7403</v>
      </c>
      <c r="F67" s="4">
        <f>4.3943 * CHOOSE(CONTROL!$C$15, $D$11, 100%, $F$11)</f>
        <v>4.3943000000000003</v>
      </c>
      <c r="G67" s="8">
        <f>3.6664 * CHOOSE( CONTROL!$C$15, $D$11, 100%, $F$11)</f>
        <v>3.6663999999999999</v>
      </c>
      <c r="H67" s="4">
        <f>4.5502 * CHOOSE(CONTROL!$C$15, $D$11, 100%, $F$11)</f>
        <v>4.5502000000000002</v>
      </c>
      <c r="I67" s="8">
        <f>3.7069 * CHOOSE(CONTROL!$C$15, $D$11, 100%, $F$11)</f>
        <v>3.7069000000000001</v>
      </c>
      <c r="J67" s="4">
        <f>3.5979 * CHOOSE(CONTROL!$C$15, $D$11, 100%, $F$11)</f>
        <v>3.5979000000000001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3.8093 * CHOOSE(CONTROL!$C$15, $D$11, 100%, $F$11)</f>
        <v>3.8092999999999999</v>
      </c>
      <c r="C68" s="8">
        <f>3.8139 * CHOOSE(CONTROL!$C$15, $D$11, 100%, $F$11)</f>
        <v>3.8138999999999998</v>
      </c>
      <c r="D68" s="8">
        <f>3.8282 * CHOOSE( CONTROL!$C$15, $D$11, 100%, $F$11)</f>
        <v>3.8281999999999998</v>
      </c>
      <c r="E68" s="12">
        <f>3.823 * CHOOSE( CONTROL!$C$15, $D$11, 100%, $F$11)</f>
        <v>3.823</v>
      </c>
      <c r="F68" s="4">
        <f>4.5016 * CHOOSE(CONTROL!$C$15, $D$11, 100%, $F$11)</f>
        <v>4.5015999999999998</v>
      </c>
      <c r="G68" s="8">
        <f>3.7173 * CHOOSE( CONTROL!$C$15, $D$11, 100%, $F$11)</f>
        <v>3.7172999999999998</v>
      </c>
      <c r="H68" s="4">
        <f>4.6557 * CHOOSE(CONTROL!$C$15, $D$11, 100%, $F$11)</f>
        <v>4.6557000000000004</v>
      </c>
      <c r="I68" s="8">
        <f>3.7487 * CHOOSE(CONTROL!$C$15, $D$11, 100%, $F$11)</f>
        <v>3.7486999999999999</v>
      </c>
      <c r="J68" s="4">
        <f>3.6526 * CHOOSE(CONTROL!$C$15, $D$11, 100%, $F$11)</f>
        <v>3.6526000000000001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3.9163, 3.9114) * CHOOSE(CONTROL!$C$15, $D$11, 100%, $F$11)</f>
        <v>3.9163000000000001</v>
      </c>
      <c r="C69" s="8">
        <f>CHOOSE( CONTROL!$C$32, 3.9243, 3.9194) * CHOOSE(CONTROL!$C$15, $D$11, 100%, $F$11)</f>
        <v>3.9243000000000001</v>
      </c>
      <c r="D69" s="8">
        <f>CHOOSE( CONTROL!$C$32, 3.9336, 3.9287) * CHOOSE( CONTROL!$C$15, $D$11, 100%, $F$11)</f>
        <v>3.9336000000000002</v>
      </c>
      <c r="E69" s="12">
        <f>CHOOSE( CONTROL!$C$32, 3.929, 3.9241) * CHOOSE( CONTROL!$C$15, $D$11, 100%, $F$11)</f>
        <v>3.9289999999999998</v>
      </c>
      <c r="F69" s="4">
        <f>CHOOSE( CONTROL!$C$32, 4.6071, 4.6022) * CHOOSE(CONTROL!$C$15, $D$11, 100%, $F$11)</f>
        <v>4.6071</v>
      </c>
      <c r="G69" s="8">
        <f>CHOOSE( CONTROL!$C$32, 3.8222, 3.8174) * CHOOSE( CONTROL!$C$15, $D$11, 100%, $F$11)</f>
        <v>3.8222</v>
      </c>
      <c r="H69" s="4">
        <f>CHOOSE( CONTROL!$C$32, 4.7595, 4.7547) * CHOOSE(CONTROL!$C$15, $D$11, 100%, $F$11)</f>
        <v>4.7595000000000001</v>
      </c>
      <c r="I69" s="8">
        <f>CHOOSE( CONTROL!$C$32, 3.8512, 3.8465) * CHOOSE(CONTROL!$C$15, $D$11, 100%, $F$11)</f>
        <v>3.8512</v>
      </c>
      <c r="J69" s="4">
        <f>CHOOSE( CONTROL!$C$32, 3.7546, 3.7499) * CHOOSE(CONTROL!$C$15, $D$11, 100%, $F$11)</f>
        <v>3.7545999999999999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3.8539, 3.849) * CHOOSE(CONTROL!$C$15, $D$11, 100%, $F$11)</f>
        <v>3.8538999999999999</v>
      </c>
      <c r="C70" s="8">
        <f>CHOOSE( CONTROL!$C$32, 3.8619, 3.857) * CHOOSE(CONTROL!$C$15, $D$11, 100%, $F$11)</f>
        <v>3.8618999999999999</v>
      </c>
      <c r="D70" s="8">
        <f>CHOOSE( CONTROL!$C$32, 3.8714, 3.8665) * CHOOSE( CONTROL!$C$15, $D$11, 100%, $F$11)</f>
        <v>3.8714</v>
      </c>
      <c r="E70" s="12">
        <f>CHOOSE( CONTROL!$C$32, 3.8667, 3.8618) * CHOOSE( CONTROL!$C$15, $D$11, 100%, $F$11)</f>
        <v>3.8666999999999998</v>
      </c>
      <c r="F70" s="4">
        <f>CHOOSE( CONTROL!$C$32, 4.5448, 4.5399) * CHOOSE(CONTROL!$C$15, $D$11, 100%, $F$11)</f>
        <v>4.5448000000000004</v>
      </c>
      <c r="G70" s="8">
        <f>CHOOSE( CONTROL!$C$32, 3.7612, 3.7564) * CHOOSE( CONTROL!$C$15, $D$11, 100%, $F$11)</f>
        <v>3.7612000000000001</v>
      </c>
      <c r="H70" s="4">
        <f>CHOOSE( CONTROL!$C$32, 4.6982, 4.6934) * CHOOSE(CONTROL!$C$15, $D$11, 100%, $F$11)</f>
        <v>4.6981999999999999</v>
      </c>
      <c r="I70" s="8">
        <f>CHOOSE( CONTROL!$C$32, 3.7919, 3.7872) * CHOOSE(CONTROL!$C$15, $D$11, 100%, $F$11)</f>
        <v>3.7919</v>
      </c>
      <c r="J70" s="4">
        <f>CHOOSE( CONTROL!$C$32, 3.6943, 3.6896) * CHOOSE(CONTROL!$C$15, $D$11, 100%, $F$11)</f>
        <v>3.6943000000000001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4.0181, 4.0132) * CHOOSE(CONTROL!$C$15, $D$11, 100%, $F$11)</f>
        <v>4.0180999999999996</v>
      </c>
      <c r="C71" s="8">
        <f>CHOOSE( CONTROL!$C$32, 4.0262, 4.0213) * CHOOSE(CONTROL!$C$15, $D$11, 100%, $F$11)</f>
        <v>4.0262000000000002</v>
      </c>
      <c r="D71" s="8">
        <f>CHOOSE( CONTROL!$C$32, 4.0359, 4.031) * CHOOSE( CONTROL!$C$15, $D$11, 100%, $F$11)</f>
        <v>4.0358999999999998</v>
      </c>
      <c r="E71" s="12">
        <f>CHOOSE( CONTROL!$C$32, 4.0312, 4.0263) * CHOOSE( CONTROL!$C$15, $D$11, 100%, $F$11)</f>
        <v>4.0312000000000001</v>
      </c>
      <c r="F71" s="4">
        <f>CHOOSE( CONTROL!$C$32, 4.709, 4.7041) * CHOOSE(CONTROL!$C$15, $D$11, 100%, $F$11)</f>
        <v>4.7089999999999996</v>
      </c>
      <c r="G71" s="8">
        <f>CHOOSE( CONTROL!$C$32, 3.923, 3.9182) * CHOOSE( CONTROL!$C$15, $D$11, 100%, $F$11)</f>
        <v>3.923</v>
      </c>
      <c r="H71" s="4">
        <f>CHOOSE( CONTROL!$C$32, 4.8597, 4.8549) * CHOOSE(CONTROL!$C$15, $D$11, 100%, $F$11)</f>
        <v>4.8597000000000001</v>
      </c>
      <c r="I71" s="8">
        <f>CHOOSE( CONTROL!$C$32, 3.9518, 3.9471) * CHOOSE(CONTROL!$C$15, $D$11, 100%, $F$11)</f>
        <v>3.9518</v>
      </c>
      <c r="J71" s="4">
        <f>CHOOSE( CONTROL!$C$32, 3.8531, 3.8484) * CHOOSE(CONTROL!$C$15, $D$11, 100%, $F$11)</f>
        <v>3.8531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3.7108, 3.7059) * CHOOSE(CONTROL!$C$15, $D$11, 100%, $F$11)</f>
        <v>3.7107999999999999</v>
      </c>
      <c r="C72" s="8">
        <f>CHOOSE( CONTROL!$C$32, 3.7189, 3.714) * CHOOSE(CONTROL!$C$15, $D$11, 100%, $F$11)</f>
        <v>3.7189000000000001</v>
      </c>
      <c r="D72" s="8">
        <f>CHOOSE( CONTROL!$C$32, 3.7287, 3.7238) * CHOOSE( CONTROL!$C$15, $D$11, 100%, $F$11)</f>
        <v>3.7286999999999999</v>
      </c>
      <c r="E72" s="12">
        <f>CHOOSE( CONTROL!$C$32, 3.7239, 3.719) * CHOOSE( CONTROL!$C$15, $D$11, 100%, $F$11)</f>
        <v>3.7239</v>
      </c>
      <c r="F72" s="4">
        <f>CHOOSE( CONTROL!$C$32, 4.4017, 4.3968) * CHOOSE(CONTROL!$C$15, $D$11, 100%, $F$11)</f>
        <v>4.4016999999999999</v>
      </c>
      <c r="G72" s="8">
        <f>CHOOSE( CONTROL!$C$32, 3.6209, 3.6161) * CHOOSE( CONTROL!$C$15, $D$11, 100%, $F$11)</f>
        <v>3.6208999999999998</v>
      </c>
      <c r="H72" s="4">
        <f>CHOOSE( CONTROL!$C$32, 4.5575, 4.5527) * CHOOSE(CONTROL!$C$15, $D$11, 100%, $F$11)</f>
        <v>4.5575000000000001</v>
      </c>
      <c r="I72" s="8">
        <f>CHOOSE( CONTROL!$C$32, 3.655, 3.6502) * CHOOSE(CONTROL!$C$15, $D$11, 100%, $F$11)</f>
        <v>3.6549999999999998</v>
      </c>
      <c r="J72" s="4">
        <f>CHOOSE( CONTROL!$C$32, 3.556, 3.5513) * CHOOSE(CONTROL!$C$15, $D$11, 100%, $F$11)</f>
        <v>3.556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3.6339, 3.629) * CHOOSE(CONTROL!$C$15, $D$11, 100%, $F$11)</f>
        <v>3.6339000000000001</v>
      </c>
      <c r="C73" s="8">
        <f>CHOOSE( CONTROL!$C$32, 3.6419, 3.637) * CHOOSE(CONTROL!$C$15, $D$11, 100%, $F$11)</f>
        <v>3.6419000000000001</v>
      </c>
      <c r="D73" s="8">
        <f>CHOOSE( CONTROL!$C$32, 3.6517, 3.6468) * CHOOSE( CONTROL!$C$15, $D$11, 100%, $F$11)</f>
        <v>3.6516999999999999</v>
      </c>
      <c r="E73" s="12">
        <f>CHOOSE( CONTROL!$C$32, 3.6469, 3.642) * CHOOSE( CONTROL!$C$15, $D$11, 100%, $F$11)</f>
        <v>3.6469</v>
      </c>
      <c r="F73" s="4">
        <f>CHOOSE( CONTROL!$C$32, 4.3247, 4.3199) * CHOOSE(CONTROL!$C$15, $D$11, 100%, $F$11)</f>
        <v>4.3247</v>
      </c>
      <c r="G73" s="8">
        <f>CHOOSE( CONTROL!$C$32, 3.5452, 3.5404) * CHOOSE( CONTROL!$C$15, $D$11, 100%, $F$11)</f>
        <v>3.5451999999999999</v>
      </c>
      <c r="H73" s="4">
        <f>CHOOSE( CONTROL!$C$32, 4.4818, 4.477) * CHOOSE(CONTROL!$C$15, $D$11, 100%, $F$11)</f>
        <v>4.4817999999999998</v>
      </c>
      <c r="I73" s="8">
        <f>CHOOSE( CONTROL!$C$32, 3.5804, 3.5756) * CHOOSE(CONTROL!$C$15, $D$11, 100%, $F$11)</f>
        <v>3.5804</v>
      </c>
      <c r="J73" s="4">
        <f>CHOOSE( CONTROL!$C$32, 3.4816, 3.4769) * CHOOSE(CONTROL!$C$15, $D$11, 100%, $F$11)</f>
        <v>3.4815999999999998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3.7871 * CHOOSE(CONTROL!$C$15, $D$11, 100%, $F$11)</f>
        <v>3.7871000000000001</v>
      </c>
      <c r="C74" s="8">
        <f>3.7924 * CHOOSE(CONTROL!$C$15, $D$11, 100%, $F$11)</f>
        <v>3.7924000000000002</v>
      </c>
      <c r="D74" s="8">
        <f>3.807 * CHOOSE( CONTROL!$C$15, $D$11, 100%, $F$11)</f>
        <v>3.8069999999999999</v>
      </c>
      <c r="E74" s="12">
        <f>3.8016 * CHOOSE( CONTROL!$C$15, $D$11, 100%, $F$11)</f>
        <v>3.8016000000000001</v>
      </c>
      <c r="F74" s="4">
        <f>4.4796 * CHOOSE(CONTROL!$C$15, $D$11, 100%, $F$11)</f>
        <v>4.4795999999999996</v>
      </c>
      <c r="G74" s="8">
        <f>3.6968 * CHOOSE( CONTROL!$C$15, $D$11, 100%, $F$11)</f>
        <v>3.6968000000000001</v>
      </c>
      <c r="H74" s="4">
        <f>4.6341 * CHOOSE(CONTROL!$C$15, $D$11, 100%, $F$11)</f>
        <v>4.6341000000000001</v>
      </c>
      <c r="I74" s="8">
        <f>3.731 * CHOOSE(CONTROL!$C$15, $D$11, 100%, $F$11)</f>
        <v>3.7309999999999999</v>
      </c>
      <c r="J74" s="4">
        <f>3.6314 * CHOOSE(CONTROL!$C$15, $D$11, 100%, $F$11)</f>
        <v>3.6314000000000002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4.0816 * CHOOSE(CONTROL!$C$15, $D$11, 100%, $F$11)</f>
        <v>4.0815999999999999</v>
      </c>
      <c r="C75" s="8">
        <f>4.0867 * CHOOSE(CONTROL!$C$15, $D$11, 100%, $F$11)</f>
        <v>4.0867000000000004</v>
      </c>
      <c r="D75" s="8">
        <f>4.0636 * CHOOSE( CONTROL!$C$15, $D$11, 100%, $F$11)</f>
        <v>4.0636000000000001</v>
      </c>
      <c r="E75" s="12">
        <f>4.0715 * CHOOSE( CONTROL!$C$15, $D$11, 100%, $F$11)</f>
        <v>4.0715000000000003</v>
      </c>
      <c r="F75" s="4">
        <f>4.7264 * CHOOSE(CONTROL!$C$15, $D$11, 100%, $F$11)</f>
        <v>4.7263999999999999</v>
      </c>
      <c r="G75" s="8">
        <f>3.9948 * CHOOSE( CONTROL!$C$15, $D$11, 100%, $F$11)</f>
        <v>3.9948000000000001</v>
      </c>
      <c r="H75" s="4">
        <f>4.8768 * CHOOSE(CONTROL!$C$15, $D$11, 100%, $F$11)</f>
        <v>4.8768000000000002</v>
      </c>
      <c r="I75" s="8">
        <f>4.0409 * CHOOSE(CONTROL!$C$15, $D$11, 100%, $F$11)</f>
        <v>4.0408999999999997</v>
      </c>
      <c r="J75" s="4">
        <f>3.9165 * CHOOSE(CONTROL!$C$15, $D$11, 100%, $F$11)</f>
        <v>3.9165000000000001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4.0742 * CHOOSE(CONTROL!$C$15, $D$11, 100%, $F$11)</f>
        <v>4.0742000000000003</v>
      </c>
      <c r="C76" s="8">
        <f>4.0793 * CHOOSE(CONTROL!$C$15, $D$11, 100%, $F$11)</f>
        <v>4.0792999999999999</v>
      </c>
      <c r="D76" s="8">
        <f>4.0578 * CHOOSE( CONTROL!$C$15, $D$11, 100%, $F$11)</f>
        <v>4.0578000000000003</v>
      </c>
      <c r="E76" s="12">
        <f>4.0651 * CHOOSE( CONTROL!$C$15, $D$11, 100%, $F$11)</f>
        <v>4.0651000000000002</v>
      </c>
      <c r="F76" s="4">
        <f>4.7191 * CHOOSE(CONTROL!$C$15, $D$11, 100%, $F$11)</f>
        <v>4.7191000000000001</v>
      </c>
      <c r="G76" s="8">
        <f>3.9887 * CHOOSE( CONTROL!$C$15, $D$11, 100%, $F$11)</f>
        <v>3.9887000000000001</v>
      </c>
      <c r="H76" s="4">
        <f>4.8696 * CHOOSE(CONTROL!$C$15, $D$11, 100%, $F$11)</f>
        <v>4.8696000000000002</v>
      </c>
      <c r="I76" s="8">
        <f>4.0387 * CHOOSE(CONTROL!$C$15, $D$11, 100%, $F$11)</f>
        <v>4.0387000000000004</v>
      </c>
      <c r="J76" s="4">
        <f>3.9093 * CHOOSE(CONTROL!$C$15, $D$11, 100%, $F$11)</f>
        <v>3.9093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4.9941 * CHOOSE(CONTROL!$C$15, $D$11, 100%, $F$11)</f>
        <v>4.9941000000000004</v>
      </c>
      <c r="C77" s="8">
        <f>4.9992 * CHOOSE(CONTROL!$C$15, $D$11, 100%, $F$11)</f>
        <v>4.9992000000000001</v>
      </c>
      <c r="D77" s="8">
        <f>4.9738 * CHOOSE( CONTROL!$C$15, $D$11, 100%, $F$11)</f>
        <v>4.9737999999999998</v>
      </c>
      <c r="E77" s="12">
        <f>4.9825 * CHOOSE( CONTROL!$C$15, $D$11, 100%, $F$11)</f>
        <v>4.9824999999999999</v>
      </c>
      <c r="F77" s="4">
        <f>5.6364 * CHOOSE(CONTROL!$C$15, $D$11, 100%, $F$11)</f>
        <v>5.6364000000000001</v>
      </c>
      <c r="G77" s="8">
        <f>4.8881 * CHOOSE( CONTROL!$C$15, $D$11, 100%, $F$11)</f>
        <v>4.8880999999999997</v>
      </c>
      <c r="H77" s="4">
        <f>5.7717 * CHOOSE(CONTROL!$C$15, $D$11, 100%, $F$11)</f>
        <v>5.7717000000000001</v>
      </c>
      <c r="I77" s="8">
        <f>4.9088 * CHOOSE(CONTROL!$C$15, $D$11, 100%, $F$11)</f>
        <v>4.9088000000000003</v>
      </c>
      <c r="J77" s="4">
        <f>4.7987 * CHOOSE(CONTROL!$C$15, $D$11, 100%, $F$11)</f>
        <v>4.7987000000000002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4.6732 * CHOOSE(CONTROL!$C$15, $D$11, 100%, $F$11)</f>
        <v>4.6731999999999996</v>
      </c>
      <c r="C78" s="8">
        <f>4.6783 * CHOOSE(CONTROL!$C$15, $D$11, 100%, $F$11)</f>
        <v>4.6783000000000001</v>
      </c>
      <c r="D78" s="8">
        <f>4.653 * CHOOSE( CONTROL!$C$15, $D$11, 100%, $F$11)</f>
        <v>4.6529999999999996</v>
      </c>
      <c r="E78" s="12">
        <f>4.6617 * CHOOSE( CONTROL!$C$15, $D$11, 100%, $F$11)</f>
        <v>4.6616999999999997</v>
      </c>
      <c r="F78" s="4">
        <f>5.3155 * CHOOSE(CONTROL!$C$15, $D$11, 100%, $F$11)</f>
        <v>5.3155000000000001</v>
      </c>
      <c r="G78" s="8">
        <f>4.5725 * CHOOSE( CONTROL!$C$15, $D$11, 100%, $F$11)</f>
        <v>4.5724999999999998</v>
      </c>
      <c r="H78" s="4">
        <f>5.4561 * CHOOSE(CONTROL!$C$15, $D$11, 100%, $F$11)</f>
        <v>5.4561000000000002</v>
      </c>
      <c r="I78" s="8">
        <f>4.5987 * CHOOSE(CONTROL!$C$15, $D$11, 100%, $F$11)</f>
        <v>4.5987</v>
      </c>
      <c r="J78" s="4">
        <f>4.4884 * CHOOSE(CONTROL!$C$15, $D$11, 100%, $F$11)</f>
        <v>4.4884000000000004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4.5744 * CHOOSE(CONTROL!$C$15, $D$11, 100%, $F$11)</f>
        <v>4.5743999999999998</v>
      </c>
      <c r="C79" s="8">
        <f>4.5795 * CHOOSE(CONTROL!$C$15, $D$11, 100%, $F$11)</f>
        <v>4.5795000000000003</v>
      </c>
      <c r="D79" s="8">
        <f>4.5539 * CHOOSE( CONTROL!$C$15, $D$11, 100%, $F$11)</f>
        <v>4.5538999999999996</v>
      </c>
      <c r="E79" s="12">
        <f>4.5627 * CHOOSE( CONTROL!$C$15, $D$11, 100%, $F$11)</f>
        <v>4.5627000000000004</v>
      </c>
      <c r="F79" s="4">
        <f>5.2167 * CHOOSE(CONTROL!$C$15, $D$11, 100%, $F$11)</f>
        <v>5.2167000000000003</v>
      </c>
      <c r="G79" s="8">
        <f>4.4751 * CHOOSE( CONTROL!$C$15, $D$11, 100%, $F$11)</f>
        <v>4.4751000000000003</v>
      </c>
      <c r="H79" s="4">
        <f>5.3589 * CHOOSE(CONTROL!$C$15, $D$11, 100%, $F$11)</f>
        <v>5.3589000000000002</v>
      </c>
      <c r="I79" s="8">
        <f>4.5022 * CHOOSE(CONTROL!$C$15, $D$11, 100%, $F$11)</f>
        <v>4.5022000000000002</v>
      </c>
      <c r="J79" s="4">
        <f>4.3929 * CHOOSE(CONTROL!$C$15, $D$11, 100%, $F$11)</f>
        <v>4.3929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4.6442 * CHOOSE(CONTROL!$C$15, $D$11, 100%, $F$11)</f>
        <v>4.6441999999999997</v>
      </c>
      <c r="C80" s="8">
        <f>4.6488 * CHOOSE(CONTROL!$C$15, $D$11, 100%, $F$11)</f>
        <v>4.6487999999999996</v>
      </c>
      <c r="D80" s="8">
        <f>4.6631 * CHOOSE( CONTROL!$C$15, $D$11, 100%, $F$11)</f>
        <v>4.6631</v>
      </c>
      <c r="E80" s="12">
        <f>4.6579 * CHOOSE( CONTROL!$C$15, $D$11, 100%, $F$11)</f>
        <v>4.6578999999999997</v>
      </c>
      <c r="F80" s="4">
        <f>5.3364 * CHOOSE(CONTROL!$C$15, $D$11, 100%, $F$11)</f>
        <v>5.3364000000000003</v>
      </c>
      <c r="G80" s="8">
        <f>4.5383 * CHOOSE( CONTROL!$C$15, $D$11, 100%, $F$11)</f>
        <v>4.5382999999999996</v>
      </c>
      <c r="H80" s="4">
        <f>5.4767 * CHOOSE(CONTROL!$C$15, $D$11, 100%, $F$11)</f>
        <v>5.4767000000000001</v>
      </c>
      <c r="I80" s="8">
        <f>4.5562 * CHOOSE(CONTROL!$C$15, $D$11, 100%, $F$11)</f>
        <v>4.5561999999999996</v>
      </c>
      <c r="J80" s="4">
        <f>4.4596 * CHOOSE(CONTROL!$C$15, $D$11, 100%, $F$11)</f>
        <v>4.4596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4.7734, 4.7685) * CHOOSE(CONTROL!$C$15, $D$11, 100%, $F$11)</f>
        <v>4.7733999999999996</v>
      </c>
      <c r="C81" s="8">
        <f>CHOOSE( CONTROL!$C$32, 4.7814, 4.7765) * CHOOSE(CONTROL!$C$15, $D$11, 100%, $F$11)</f>
        <v>4.7813999999999997</v>
      </c>
      <c r="D81" s="8">
        <f>CHOOSE( CONTROL!$C$32, 4.7907, 4.7858) * CHOOSE( CONTROL!$C$15, $D$11, 100%, $F$11)</f>
        <v>4.7907000000000002</v>
      </c>
      <c r="E81" s="12">
        <f>CHOOSE( CONTROL!$C$32, 4.7861, 4.7812) * CHOOSE( CONTROL!$C$15, $D$11, 100%, $F$11)</f>
        <v>4.7861000000000002</v>
      </c>
      <c r="F81" s="4">
        <f>CHOOSE( CONTROL!$C$32, 5.4642, 5.4594) * CHOOSE(CONTROL!$C$15, $D$11, 100%, $F$11)</f>
        <v>5.4641999999999999</v>
      </c>
      <c r="G81" s="8">
        <f>CHOOSE( CONTROL!$C$32, 4.6651, 4.6603) * CHOOSE( CONTROL!$C$15, $D$11, 100%, $F$11)</f>
        <v>4.6650999999999998</v>
      </c>
      <c r="H81" s="4">
        <f>CHOOSE( CONTROL!$C$32, 5.6024, 5.5976) * CHOOSE(CONTROL!$C$15, $D$11, 100%, $F$11)</f>
        <v>5.6024000000000003</v>
      </c>
      <c r="I81" s="8">
        <f>CHOOSE( CONTROL!$C$32, 4.6802, 4.6755) * CHOOSE(CONTROL!$C$15, $D$11, 100%, $F$11)</f>
        <v>4.6802000000000001</v>
      </c>
      <c r="J81" s="4">
        <f>CHOOSE( CONTROL!$C$32, 4.5832, 4.5785) * CHOOSE(CONTROL!$C$15, $D$11, 100%, $F$11)</f>
        <v>4.5831999999999997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4.6972, 4.6924) * CHOOSE(CONTROL!$C$15, $D$11, 100%, $F$11)</f>
        <v>4.6971999999999996</v>
      </c>
      <c r="C82" s="8">
        <f>CHOOSE( CONTROL!$C$32, 4.7053, 4.7004) * CHOOSE(CONTROL!$C$15, $D$11, 100%, $F$11)</f>
        <v>4.7053000000000003</v>
      </c>
      <c r="D82" s="8">
        <f>CHOOSE( CONTROL!$C$32, 4.7148, 4.7099) * CHOOSE( CONTROL!$C$15, $D$11, 100%, $F$11)</f>
        <v>4.7148000000000003</v>
      </c>
      <c r="E82" s="12">
        <f>CHOOSE( CONTROL!$C$32, 4.7101, 4.7052) * CHOOSE( CONTROL!$C$15, $D$11, 100%, $F$11)</f>
        <v>4.7100999999999997</v>
      </c>
      <c r="F82" s="4">
        <f>CHOOSE( CONTROL!$C$32, 5.3881, 5.3832) * CHOOSE(CONTROL!$C$15, $D$11, 100%, $F$11)</f>
        <v>5.3880999999999997</v>
      </c>
      <c r="G82" s="8">
        <f>CHOOSE( CONTROL!$C$32, 4.5906, 4.5857) * CHOOSE( CONTROL!$C$15, $D$11, 100%, $F$11)</f>
        <v>4.5906000000000002</v>
      </c>
      <c r="H82" s="4">
        <f>CHOOSE( CONTROL!$C$32, 5.5275, 5.5227) * CHOOSE(CONTROL!$C$15, $D$11, 100%, $F$11)</f>
        <v>5.5274999999999999</v>
      </c>
      <c r="I82" s="8">
        <f>CHOOSE( CONTROL!$C$32, 4.6076, 4.6029) * CHOOSE(CONTROL!$C$15, $D$11, 100%, $F$11)</f>
        <v>4.6075999999999997</v>
      </c>
      <c r="J82" s="4">
        <f>CHOOSE( CONTROL!$C$32, 4.5096, 4.5049) * CHOOSE(CONTROL!$C$15, $D$11, 100%, $F$11)</f>
        <v>4.5095999999999998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4.8978, 4.8929) * CHOOSE(CONTROL!$C$15, $D$11, 100%, $F$11)</f>
        <v>4.8978000000000002</v>
      </c>
      <c r="C83" s="8">
        <f>CHOOSE( CONTROL!$C$32, 4.9058, 4.9009) * CHOOSE(CONTROL!$C$15, $D$11, 100%, $F$11)</f>
        <v>4.9058000000000002</v>
      </c>
      <c r="D83" s="8">
        <f>CHOOSE( CONTROL!$C$32, 4.9155, 4.9106) * CHOOSE( CONTROL!$C$15, $D$11, 100%, $F$11)</f>
        <v>4.9154999999999998</v>
      </c>
      <c r="E83" s="12">
        <f>CHOOSE( CONTROL!$C$32, 4.9108, 4.9059) * CHOOSE( CONTROL!$C$15, $D$11, 100%, $F$11)</f>
        <v>4.9108000000000001</v>
      </c>
      <c r="F83" s="4">
        <f>CHOOSE( CONTROL!$C$32, 5.5886, 5.5837) * CHOOSE(CONTROL!$C$15, $D$11, 100%, $F$11)</f>
        <v>5.5885999999999996</v>
      </c>
      <c r="G83" s="8">
        <f>CHOOSE( CONTROL!$C$32, 4.7881, 4.7833) * CHOOSE( CONTROL!$C$15, $D$11, 100%, $F$11)</f>
        <v>4.7881</v>
      </c>
      <c r="H83" s="4">
        <f>CHOOSE( CONTROL!$C$32, 5.7247, 5.7199) * CHOOSE(CONTROL!$C$15, $D$11, 100%, $F$11)</f>
        <v>5.7247000000000003</v>
      </c>
      <c r="I83" s="8">
        <f>CHOOSE( CONTROL!$C$32, 4.8026, 4.7979) * CHOOSE(CONTROL!$C$15, $D$11, 100%, $F$11)</f>
        <v>4.8026</v>
      </c>
      <c r="J83" s="4">
        <f>CHOOSE( CONTROL!$C$32, 4.7034, 4.6987) * CHOOSE(CONTROL!$C$15, $D$11, 100%, $F$11)</f>
        <v>4.7034000000000002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4.5226, 4.5177) * CHOOSE(CONTROL!$C$15, $D$11, 100%, $F$11)</f>
        <v>4.5225999999999997</v>
      </c>
      <c r="C84" s="8">
        <f>CHOOSE( CONTROL!$C$32, 4.5306, 4.5257) * CHOOSE(CONTROL!$C$15, $D$11, 100%, $F$11)</f>
        <v>4.5305999999999997</v>
      </c>
      <c r="D84" s="8">
        <f>CHOOSE( CONTROL!$C$32, 4.5404, 4.5355) * CHOOSE( CONTROL!$C$15, $D$11, 100%, $F$11)</f>
        <v>4.5404</v>
      </c>
      <c r="E84" s="12">
        <f>CHOOSE( CONTROL!$C$32, 4.5356, 4.5307) * CHOOSE( CONTROL!$C$15, $D$11, 100%, $F$11)</f>
        <v>4.5355999999999996</v>
      </c>
      <c r="F84" s="4">
        <f>CHOOSE( CONTROL!$C$32, 5.2134, 5.2085) * CHOOSE(CONTROL!$C$15, $D$11, 100%, $F$11)</f>
        <v>5.2134</v>
      </c>
      <c r="G84" s="8">
        <f>CHOOSE( CONTROL!$C$32, 4.4192, 4.4144) * CHOOSE( CONTROL!$C$15, $D$11, 100%, $F$11)</f>
        <v>4.4192</v>
      </c>
      <c r="H84" s="4">
        <f>CHOOSE( CONTROL!$C$32, 5.3557, 5.3509) * CHOOSE(CONTROL!$C$15, $D$11, 100%, $F$11)</f>
        <v>5.3556999999999997</v>
      </c>
      <c r="I84" s="8">
        <f>CHOOSE( CONTROL!$C$32, 4.4401, 4.4353) * CHOOSE(CONTROL!$C$15, $D$11, 100%, $F$11)</f>
        <v>4.4401000000000002</v>
      </c>
      <c r="J84" s="4">
        <f>CHOOSE( CONTROL!$C$32, 4.3407, 4.336) * CHOOSE(CONTROL!$C$15, $D$11, 100%, $F$11)</f>
        <v>4.3407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4.4286, 4.4237) * CHOOSE(CONTROL!$C$15, $D$11, 100%, $F$11)</f>
        <v>4.4286000000000003</v>
      </c>
      <c r="C85" s="8">
        <f>CHOOSE( CONTROL!$C$32, 4.4366, 4.4317) * CHOOSE(CONTROL!$C$15, $D$11, 100%, $F$11)</f>
        <v>4.4366000000000003</v>
      </c>
      <c r="D85" s="8">
        <f>CHOOSE( CONTROL!$C$32, 4.4464, 4.4415) * CHOOSE( CONTROL!$C$15, $D$11, 100%, $F$11)</f>
        <v>4.4463999999999997</v>
      </c>
      <c r="E85" s="12">
        <f>CHOOSE( CONTROL!$C$32, 4.4416, 4.4367) * CHOOSE( CONTROL!$C$15, $D$11, 100%, $F$11)</f>
        <v>4.4416000000000002</v>
      </c>
      <c r="F85" s="4">
        <f>CHOOSE( CONTROL!$C$32, 5.1195, 5.1146) * CHOOSE(CONTROL!$C$15, $D$11, 100%, $F$11)</f>
        <v>5.1195000000000004</v>
      </c>
      <c r="G85" s="8">
        <f>CHOOSE( CONTROL!$C$32, 4.3268, 4.322) * CHOOSE( CONTROL!$C$15, $D$11, 100%, $F$11)</f>
        <v>4.3268000000000004</v>
      </c>
      <c r="H85" s="4">
        <f>CHOOSE( CONTROL!$C$32, 5.2633, 5.2585) * CHOOSE(CONTROL!$C$15, $D$11, 100%, $F$11)</f>
        <v>5.2633000000000001</v>
      </c>
      <c r="I85" s="8">
        <f>CHOOSE( CONTROL!$C$32, 4.349, 4.3443) * CHOOSE(CONTROL!$C$15, $D$11, 100%, $F$11)</f>
        <v>4.3490000000000002</v>
      </c>
      <c r="J85" s="4">
        <f>CHOOSE( CONTROL!$C$32, 4.2499, 4.2452) * CHOOSE(CONTROL!$C$15, $D$11, 100%, $F$11)</f>
        <v>4.2499000000000002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4.6171 * CHOOSE(CONTROL!$C$15, $D$11, 100%, $F$11)</f>
        <v>4.6170999999999998</v>
      </c>
      <c r="C86" s="8">
        <f>4.6224 * CHOOSE(CONTROL!$C$15, $D$11, 100%, $F$11)</f>
        <v>4.6223999999999998</v>
      </c>
      <c r="D86" s="8">
        <f>4.637 * CHOOSE( CONTROL!$C$15, $D$11, 100%, $F$11)</f>
        <v>4.6369999999999996</v>
      </c>
      <c r="E86" s="12">
        <f>4.6316 * CHOOSE( CONTROL!$C$15, $D$11, 100%, $F$11)</f>
        <v>4.6315999999999997</v>
      </c>
      <c r="F86" s="4">
        <f>5.3097 * CHOOSE(CONTROL!$C$15, $D$11, 100%, $F$11)</f>
        <v>5.3097000000000003</v>
      </c>
      <c r="G86" s="8">
        <f>4.5131 * CHOOSE( CONTROL!$C$15, $D$11, 100%, $F$11)</f>
        <v>4.5130999999999997</v>
      </c>
      <c r="H86" s="4">
        <f>5.4504 * CHOOSE(CONTROL!$C$15, $D$11, 100%, $F$11)</f>
        <v>5.4504000000000001</v>
      </c>
      <c r="I86" s="8">
        <f>4.5338 * CHOOSE(CONTROL!$C$15, $D$11, 100%, $F$11)</f>
        <v>4.5338000000000003</v>
      </c>
      <c r="J86" s="4">
        <f>4.4338 * CHOOSE(CONTROL!$C$15, $D$11, 100%, $F$11)</f>
        <v>4.4337999999999997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4.9768 * CHOOSE(CONTROL!$C$15, $D$11, 100%, $F$11)</f>
        <v>4.9767999999999999</v>
      </c>
      <c r="C87" s="8">
        <f>4.9819 * CHOOSE(CONTROL!$C$15, $D$11, 100%, $F$11)</f>
        <v>4.9819000000000004</v>
      </c>
      <c r="D87" s="8">
        <f>4.9588 * CHOOSE( CONTROL!$C$15, $D$11, 100%, $F$11)</f>
        <v>4.9588000000000001</v>
      </c>
      <c r="E87" s="12">
        <f>4.9667 * CHOOSE( CONTROL!$C$15, $D$11, 100%, $F$11)</f>
        <v>4.9667000000000003</v>
      </c>
      <c r="F87" s="4">
        <f>5.6216 * CHOOSE(CONTROL!$C$15, $D$11, 100%, $F$11)</f>
        <v>5.6215999999999999</v>
      </c>
      <c r="G87" s="8">
        <f>4.8752 * CHOOSE( CONTROL!$C$15, $D$11, 100%, $F$11)</f>
        <v>4.8752000000000004</v>
      </c>
      <c r="H87" s="4">
        <f>5.7572 * CHOOSE(CONTROL!$C$15, $D$11, 100%, $F$11)</f>
        <v>5.7572000000000001</v>
      </c>
      <c r="I87" s="8">
        <f>4.9067 * CHOOSE(CONTROL!$C$15, $D$11, 100%, $F$11)</f>
        <v>4.9066999999999998</v>
      </c>
      <c r="J87" s="4">
        <f>4.7819 * CHOOSE(CONTROL!$C$15, $D$11, 100%, $F$11)</f>
        <v>4.7819000000000003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4.9678 * CHOOSE(CONTROL!$C$15, $D$11, 100%, $F$11)</f>
        <v>4.9678000000000004</v>
      </c>
      <c r="C88" s="8">
        <f>4.9729 * CHOOSE(CONTROL!$C$15, $D$11, 100%, $F$11)</f>
        <v>4.9729000000000001</v>
      </c>
      <c r="D88" s="8">
        <f>4.9514 * CHOOSE( CONTROL!$C$15, $D$11, 100%, $F$11)</f>
        <v>4.9513999999999996</v>
      </c>
      <c r="E88" s="12">
        <f>4.9587 * CHOOSE( CONTROL!$C$15, $D$11, 100%, $F$11)</f>
        <v>4.9587000000000003</v>
      </c>
      <c r="F88" s="4">
        <f>5.6126 * CHOOSE(CONTROL!$C$15, $D$11, 100%, $F$11)</f>
        <v>5.6125999999999996</v>
      </c>
      <c r="G88" s="8">
        <f>4.8675 * CHOOSE( CONTROL!$C$15, $D$11, 100%, $F$11)</f>
        <v>4.8674999999999997</v>
      </c>
      <c r="H88" s="4">
        <f>5.7483 * CHOOSE(CONTROL!$C$15, $D$11, 100%, $F$11)</f>
        <v>5.7483000000000004</v>
      </c>
      <c r="I88" s="8">
        <f>4.903 * CHOOSE(CONTROL!$C$15, $D$11, 100%, $F$11)</f>
        <v>4.9029999999999996</v>
      </c>
      <c r="J88" s="4">
        <f>4.7732 * CHOOSE(CONTROL!$C$15, $D$11, 100%, $F$11)</f>
        <v>4.7732000000000001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5.22 * CHOOSE(CONTROL!$C$15, $D$11, 100%, $F$11)</f>
        <v>5.22</v>
      </c>
      <c r="C89" s="8">
        <f>5.2251 * CHOOSE(CONTROL!$C$15, $D$11, 100%, $F$11)</f>
        <v>5.2251000000000003</v>
      </c>
      <c r="D89" s="8">
        <f>5.1997 * CHOOSE( CONTROL!$C$15, $D$11, 100%, $F$11)</f>
        <v>5.1997</v>
      </c>
      <c r="E89" s="12">
        <f>5.2084 * CHOOSE( CONTROL!$C$15, $D$11, 100%, $F$11)</f>
        <v>5.2084000000000001</v>
      </c>
      <c r="F89" s="4">
        <f>5.8623 * CHOOSE(CONTROL!$C$15, $D$11, 100%, $F$11)</f>
        <v>5.8623000000000003</v>
      </c>
      <c r="G89" s="8">
        <f>5.1102 * CHOOSE( CONTROL!$C$15, $D$11, 100%, $F$11)</f>
        <v>5.1101999999999999</v>
      </c>
      <c r="H89" s="4">
        <f>5.9938 * CHOOSE(CONTROL!$C$15, $D$11, 100%, $F$11)</f>
        <v>5.9938000000000002</v>
      </c>
      <c r="I89" s="8">
        <f>5.1272 * CHOOSE(CONTROL!$C$15, $D$11, 100%, $F$11)</f>
        <v>5.1272000000000002</v>
      </c>
      <c r="J89" s="4">
        <f>5.017 * CHOOSE(CONTROL!$C$15, $D$11, 100%, $F$11)</f>
        <v>5.0170000000000003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4.8845 * CHOOSE(CONTROL!$C$15, $D$11, 100%, $F$11)</f>
        <v>4.8845000000000001</v>
      </c>
      <c r="C90" s="8">
        <f>4.8896 * CHOOSE(CONTROL!$C$15, $D$11, 100%, $F$11)</f>
        <v>4.8895999999999997</v>
      </c>
      <c r="D90" s="8">
        <f>4.8643 * CHOOSE( CONTROL!$C$15, $D$11, 100%, $F$11)</f>
        <v>4.8643000000000001</v>
      </c>
      <c r="E90" s="12">
        <f>4.873 * CHOOSE( CONTROL!$C$15, $D$11, 100%, $F$11)</f>
        <v>4.8730000000000002</v>
      </c>
      <c r="F90" s="4">
        <f>5.5268 * CHOOSE(CONTROL!$C$15, $D$11, 100%, $F$11)</f>
        <v>5.5267999999999997</v>
      </c>
      <c r="G90" s="8">
        <f>4.7803 * CHOOSE( CONTROL!$C$15, $D$11, 100%, $F$11)</f>
        <v>4.7803000000000004</v>
      </c>
      <c r="H90" s="4">
        <f>5.6639 * CHOOSE(CONTROL!$C$15, $D$11, 100%, $F$11)</f>
        <v>5.6638999999999999</v>
      </c>
      <c r="I90" s="8">
        <f>4.803 * CHOOSE(CONTROL!$C$15, $D$11, 100%, $F$11)</f>
        <v>4.8029999999999999</v>
      </c>
      <c r="J90" s="4">
        <f>4.6926 * CHOOSE(CONTROL!$C$15, $D$11, 100%, $F$11)</f>
        <v>4.6925999999999997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4.7811 * CHOOSE(CONTROL!$C$15, $D$11, 100%, $F$11)</f>
        <v>4.7811000000000003</v>
      </c>
      <c r="C91" s="8">
        <f>4.7863 * CHOOSE(CONTROL!$C$15, $D$11, 100%, $F$11)</f>
        <v>4.7862999999999998</v>
      </c>
      <c r="D91" s="8">
        <f>4.7607 * CHOOSE( CONTROL!$C$15, $D$11, 100%, $F$11)</f>
        <v>4.7606999999999999</v>
      </c>
      <c r="E91" s="12">
        <f>4.7695 * CHOOSE( CONTROL!$C$15, $D$11, 100%, $F$11)</f>
        <v>4.7694999999999999</v>
      </c>
      <c r="F91" s="4">
        <f>5.4234 * CHOOSE(CONTROL!$C$15, $D$11, 100%, $F$11)</f>
        <v>5.4234</v>
      </c>
      <c r="G91" s="8">
        <f>4.6785 * CHOOSE( CONTROL!$C$15, $D$11, 100%, $F$11)</f>
        <v>4.6784999999999997</v>
      </c>
      <c r="H91" s="4">
        <f>5.5623 * CHOOSE(CONTROL!$C$15, $D$11, 100%, $F$11)</f>
        <v>5.5622999999999996</v>
      </c>
      <c r="I91" s="8">
        <f>4.7022 * CHOOSE(CONTROL!$C$15, $D$11, 100%, $F$11)</f>
        <v>4.7022000000000004</v>
      </c>
      <c r="J91" s="4">
        <f>4.5928 * CHOOSE(CONTROL!$C$15, $D$11, 100%, $F$11)</f>
        <v>4.5928000000000004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4.8541 * CHOOSE(CONTROL!$C$15, $D$11, 100%, $F$11)</f>
        <v>4.8540999999999999</v>
      </c>
      <c r="C92" s="8">
        <f>4.8587 * CHOOSE(CONTROL!$C$15, $D$11, 100%, $F$11)</f>
        <v>4.8586999999999998</v>
      </c>
      <c r="D92" s="8">
        <f>4.873 * CHOOSE( CONTROL!$C$15, $D$11, 100%, $F$11)</f>
        <v>4.8730000000000002</v>
      </c>
      <c r="E92" s="12">
        <f>4.8678 * CHOOSE( CONTROL!$C$15, $D$11, 100%, $F$11)</f>
        <v>4.8677999999999999</v>
      </c>
      <c r="F92" s="4">
        <f>5.5463 * CHOOSE(CONTROL!$C$15, $D$11, 100%, $F$11)</f>
        <v>5.5462999999999996</v>
      </c>
      <c r="G92" s="8">
        <f>4.7447 * CHOOSE( CONTROL!$C$15, $D$11, 100%, $F$11)</f>
        <v>4.7446999999999999</v>
      </c>
      <c r="H92" s="4">
        <f>5.6831 * CHOOSE(CONTROL!$C$15, $D$11, 100%, $F$11)</f>
        <v>5.6830999999999996</v>
      </c>
      <c r="I92" s="8">
        <f>4.7592 * CHOOSE(CONTROL!$C$15, $D$11, 100%, $F$11)</f>
        <v>4.7591999999999999</v>
      </c>
      <c r="J92" s="4">
        <f>4.6626 * CHOOSE(CONTROL!$C$15, $D$11, 100%, $F$11)</f>
        <v>4.6626000000000003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4.9889, 4.984) * CHOOSE(CONTROL!$C$15, $D$11, 100%, $F$11)</f>
        <v>4.9889000000000001</v>
      </c>
      <c r="C93" s="8">
        <f>CHOOSE( CONTROL!$C$32, 4.9969, 4.992) * CHOOSE(CONTROL!$C$15, $D$11, 100%, $F$11)</f>
        <v>4.9969000000000001</v>
      </c>
      <c r="D93" s="8">
        <f>CHOOSE( CONTROL!$C$32, 5.0062, 5.0013) * CHOOSE( CONTROL!$C$15, $D$11, 100%, $F$11)</f>
        <v>5.0061999999999998</v>
      </c>
      <c r="E93" s="12">
        <f>CHOOSE( CONTROL!$C$32, 5.0016, 4.9967) * CHOOSE( CONTROL!$C$15, $D$11, 100%, $F$11)</f>
        <v>5.0015999999999998</v>
      </c>
      <c r="F93" s="4">
        <f>CHOOSE( CONTROL!$C$32, 5.6797, 5.6749) * CHOOSE(CONTROL!$C$15, $D$11, 100%, $F$11)</f>
        <v>5.6797000000000004</v>
      </c>
      <c r="G93" s="8">
        <f>CHOOSE( CONTROL!$C$32, 4.877, 4.8722) * CHOOSE( CONTROL!$C$15, $D$11, 100%, $F$11)</f>
        <v>4.8769999999999998</v>
      </c>
      <c r="H93" s="4">
        <f>CHOOSE( CONTROL!$C$32, 5.8143, 5.8095) * CHOOSE(CONTROL!$C$15, $D$11, 100%, $F$11)</f>
        <v>5.8143000000000002</v>
      </c>
      <c r="I93" s="8">
        <f>CHOOSE( CONTROL!$C$32, 4.8886, 4.8839) * CHOOSE(CONTROL!$C$15, $D$11, 100%, $F$11)</f>
        <v>4.8886000000000003</v>
      </c>
      <c r="J93" s="4">
        <f>CHOOSE( CONTROL!$C$32, 4.7915, 4.7868) * CHOOSE(CONTROL!$C$15, $D$11, 100%, $F$11)</f>
        <v>4.7915000000000001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4.9093, 4.9044) * CHOOSE(CONTROL!$C$15, $D$11, 100%, $F$11)</f>
        <v>4.9093</v>
      </c>
      <c r="C94" s="8">
        <f>CHOOSE( CONTROL!$C$32, 4.9173, 4.9124) * CHOOSE(CONTROL!$C$15, $D$11, 100%, $F$11)</f>
        <v>4.9173</v>
      </c>
      <c r="D94" s="8">
        <f>CHOOSE( CONTROL!$C$32, 4.9268, 4.9219) * CHOOSE( CONTROL!$C$15, $D$11, 100%, $F$11)</f>
        <v>4.9268000000000001</v>
      </c>
      <c r="E94" s="12">
        <f>CHOOSE( CONTROL!$C$32, 4.9221, 4.9172) * CHOOSE( CONTROL!$C$15, $D$11, 100%, $F$11)</f>
        <v>4.9221000000000004</v>
      </c>
      <c r="F94" s="4">
        <f>CHOOSE( CONTROL!$C$32, 5.6001, 5.5952) * CHOOSE(CONTROL!$C$15, $D$11, 100%, $F$11)</f>
        <v>5.6001000000000003</v>
      </c>
      <c r="G94" s="8">
        <f>CHOOSE( CONTROL!$C$32, 4.7991, 4.7943) * CHOOSE( CONTROL!$C$15, $D$11, 100%, $F$11)</f>
        <v>4.7991000000000001</v>
      </c>
      <c r="H94" s="4">
        <f>CHOOSE( CONTROL!$C$32, 5.736, 5.7312) * CHOOSE(CONTROL!$C$15, $D$11, 100%, $F$11)</f>
        <v>5.7359999999999998</v>
      </c>
      <c r="I94" s="8">
        <f>CHOOSE( CONTROL!$C$32, 4.8127, 4.8079) * CHOOSE(CONTROL!$C$15, $D$11, 100%, $F$11)</f>
        <v>4.8127000000000004</v>
      </c>
      <c r="J94" s="4">
        <f>CHOOSE( CONTROL!$C$32, 4.7146, 4.7098) * CHOOSE(CONTROL!$C$15, $D$11, 100%, $F$11)</f>
        <v>4.7145999999999999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5.1189, 5.114) * CHOOSE(CONTROL!$C$15, $D$11, 100%, $F$11)</f>
        <v>5.1189</v>
      </c>
      <c r="C95" s="8">
        <f>CHOOSE( CONTROL!$C$32, 5.1269, 5.122) * CHOOSE(CONTROL!$C$15, $D$11, 100%, $F$11)</f>
        <v>5.1269</v>
      </c>
      <c r="D95" s="8">
        <f>CHOOSE( CONTROL!$C$32, 5.1367, 5.1318) * CHOOSE( CONTROL!$C$15, $D$11, 100%, $F$11)</f>
        <v>5.1367000000000003</v>
      </c>
      <c r="E95" s="12">
        <f>CHOOSE( CONTROL!$C$32, 5.1319, 5.127) * CHOOSE( CONTROL!$C$15, $D$11, 100%, $F$11)</f>
        <v>5.1318999999999999</v>
      </c>
      <c r="F95" s="4">
        <f>CHOOSE( CONTROL!$C$32, 5.8098, 5.8049) * CHOOSE(CONTROL!$C$15, $D$11, 100%, $F$11)</f>
        <v>5.8098000000000001</v>
      </c>
      <c r="G95" s="8">
        <f>CHOOSE( CONTROL!$C$32, 5.0056, 5.0008) * CHOOSE( CONTROL!$C$15, $D$11, 100%, $F$11)</f>
        <v>5.0056000000000003</v>
      </c>
      <c r="H95" s="4">
        <f>CHOOSE( CONTROL!$C$32, 5.9422, 5.9374) * CHOOSE(CONTROL!$C$15, $D$11, 100%, $F$11)</f>
        <v>5.9421999999999997</v>
      </c>
      <c r="I95" s="8">
        <f>CHOOSE( CONTROL!$C$32, 5.0165, 5.0118) * CHOOSE(CONTROL!$C$15, $D$11, 100%, $F$11)</f>
        <v>5.0164999999999997</v>
      </c>
      <c r="J95" s="4">
        <f>CHOOSE( CONTROL!$C$32, 4.9172, 4.9125) * CHOOSE(CONTROL!$C$15, $D$11, 100%, $F$11)</f>
        <v>4.9172000000000002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4.7266, 4.7218) * CHOOSE(CONTROL!$C$15, $D$11, 100%, $F$11)</f>
        <v>4.7266000000000004</v>
      </c>
      <c r="C96" s="8">
        <f>CHOOSE( CONTROL!$C$32, 4.7347, 4.7298) * CHOOSE(CONTROL!$C$15, $D$11, 100%, $F$11)</f>
        <v>4.7347000000000001</v>
      </c>
      <c r="D96" s="8">
        <f>CHOOSE( CONTROL!$C$32, 4.7445, 4.7396) * CHOOSE( CONTROL!$C$15, $D$11, 100%, $F$11)</f>
        <v>4.7445000000000004</v>
      </c>
      <c r="E96" s="12">
        <f>CHOOSE( CONTROL!$C$32, 4.7397, 4.7348) * CHOOSE( CONTROL!$C$15, $D$11, 100%, $F$11)</f>
        <v>4.7397</v>
      </c>
      <c r="F96" s="4">
        <f>CHOOSE( CONTROL!$C$32, 5.4175, 5.4126) * CHOOSE(CONTROL!$C$15, $D$11, 100%, $F$11)</f>
        <v>5.4175000000000004</v>
      </c>
      <c r="G96" s="8">
        <f>CHOOSE( CONTROL!$C$32, 4.6199, 4.6151) * CHOOSE( CONTROL!$C$15, $D$11, 100%, $F$11)</f>
        <v>4.6199000000000003</v>
      </c>
      <c r="H96" s="4">
        <f>CHOOSE( CONTROL!$C$32, 5.5564, 5.5516) * CHOOSE(CONTROL!$C$15, $D$11, 100%, $F$11)</f>
        <v>5.5564</v>
      </c>
      <c r="I96" s="8">
        <f>CHOOSE( CONTROL!$C$32, 4.6374, 4.6327) * CHOOSE(CONTROL!$C$15, $D$11, 100%, $F$11)</f>
        <v>4.6374000000000004</v>
      </c>
      <c r="J96" s="4">
        <f>CHOOSE( CONTROL!$C$32, 4.538, 4.5333) * CHOOSE(CONTROL!$C$15, $D$11, 100%, $F$11)</f>
        <v>4.5380000000000003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4.6284, 4.6235) * CHOOSE(CONTROL!$C$15, $D$11, 100%, $F$11)</f>
        <v>4.6284000000000001</v>
      </c>
      <c r="C97" s="8">
        <f>CHOOSE( CONTROL!$C$32, 4.6364, 4.6315) * CHOOSE(CONTROL!$C$15, $D$11, 100%, $F$11)</f>
        <v>4.6364000000000001</v>
      </c>
      <c r="D97" s="8">
        <f>CHOOSE( CONTROL!$C$32, 4.6462, 4.6413) * CHOOSE( CONTROL!$C$15, $D$11, 100%, $F$11)</f>
        <v>4.6462000000000003</v>
      </c>
      <c r="E97" s="12">
        <f>CHOOSE( CONTROL!$C$32, 4.6414, 4.6365) * CHOOSE( CONTROL!$C$15, $D$11, 100%, $F$11)</f>
        <v>4.6414</v>
      </c>
      <c r="F97" s="4">
        <f>CHOOSE( CONTROL!$C$32, 5.3193, 5.3144) * CHOOSE(CONTROL!$C$15, $D$11, 100%, $F$11)</f>
        <v>5.3193000000000001</v>
      </c>
      <c r="G97" s="8">
        <f>CHOOSE( CONTROL!$C$32, 4.5233, 4.5185) * CHOOSE( CONTROL!$C$15, $D$11, 100%, $F$11)</f>
        <v>4.5232999999999999</v>
      </c>
      <c r="H97" s="4">
        <f>CHOOSE( CONTROL!$C$32, 5.4598, 5.455) * CHOOSE(CONTROL!$C$15, $D$11, 100%, $F$11)</f>
        <v>5.4598000000000004</v>
      </c>
      <c r="I97" s="8">
        <f>CHOOSE( CONTROL!$C$32, 4.5423, 4.5375) * CHOOSE(CONTROL!$C$15, $D$11, 100%, $F$11)</f>
        <v>4.5423</v>
      </c>
      <c r="J97" s="4">
        <f>CHOOSE( CONTROL!$C$32, 4.4431, 4.4383) * CHOOSE(CONTROL!$C$15, $D$11, 100%, $F$11)</f>
        <v>4.4431000000000003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4.8258 * CHOOSE(CONTROL!$C$15, $D$11, 100%, $F$11)</f>
        <v>4.8258000000000001</v>
      </c>
      <c r="C98" s="8">
        <f>4.8311 * CHOOSE(CONTROL!$C$15, $D$11, 100%, $F$11)</f>
        <v>4.8311000000000002</v>
      </c>
      <c r="D98" s="8">
        <f>4.8457 * CHOOSE( CONTROL!$C$15, $D$11, 100%, $F$11)</f>
        <v>4.8456999999999999</v>
      </c>
      <c r="E98" s="12">
        <f>4.8403 * CHOOSE( CONTROL!$C$15, $D$11, 100%, $F$11)</f>
        <v>4.8403</v>
      </c>
      <c r="F98" s="4">
        <f>5.5183 * CHOOSE(CONTROL!$C$15, $D$11, 100%, $F$11)</f>
        <v>5.5183</v>
      </c>
      <c r="G98" s="8">
        <f>4.7183 * CHOOSE( CONTROL!$C$15, $D$11, 100%, $F$11)</f>
        <v>4.7183000000000002</v>
      </c>
      <c r="H98" s="4">
        <f>5.6556 * CHOOSE(CONTROL!$C$15, $D$11, 100%, $F$11)</f>
        <v>5.6555999999999997</v>
      </c>
      <c r="I98" s="8">
        <f>4.7356 * CHOOSE(CONTROL!$C$15, $D$11, 100%, $F$11)</f>
        <v>4.7355999999999998</v>
      </c>
      <c r="J98" s="4">
        <f>4.6355 * CHOOSE(CONTROL!$C$15, $D$11, 100%, $F$11)</f>
        <v>4.6355000000000004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5.2018 * CHOOSE(CONTROL!$C$15, $D$11, 100%, $F$11)</f>
        <v>5.2018000000000004</v>
      </c>
      <c r="C99" s="8">
        <f>5.2069 * CHOOSE(CONTROL!$C$15, $D$11, 100%, $F$11)</f>
        <v>5.2069000000000001</v>
      </c>
      <c r="D99" s="8">
        <f>5.1839 * CHOOSE( CONTROL!$C$15, $D$11, 100%, $F$11)</f>
        <v>5.1839000000000004</v>
      </c>
      <c r="E99" s="12">
        <f>5.1918 * CHOOSE( CONTROL!$C$15, $D$11, 100%, $F$11)</f>
        <v>5.1917999999999997</v>
      </c>
      <c r="F99" s="4">
        <f>5.8467 * CHOOSE(CONTROL!$C$15, $D$11, 100%, $F$11)</f>
        <v>5.8467000000000002</v>
      </c>
      <c r="G99" s="8">
        <f>5.0965 * CHOOSE( CONTROL!$C$15, $D$11, 100%, $F$11)</f>
        <v>5.0964999999999998</v>
      </c>
      <c r="H99" s="4">
        <f>5.9785 * CHOOSE(CONTROL!$C$15, $D$11, 100%, $F$11)</f>
        <v>5.9785000000000004</v>
      </c>
      <c r="I99" s="8">
        <f>5.1244 * CHOOSE(CONTROL!$C$15, $D$11, 100%, $F$11)</f>
        <v>5.1243999999999996</v>
      </c>
      <c r="J99" s="4">
        <f>4.9994 * CHOOSE(CONTROL!$C$15, $D$11, 100%, $F$11)</f>
        <v>4.9993999999999996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5.1924 * CHOOSE(CONTROL!$C$15, $D$11, 100%, $F$11)</f>
        <v>5.1924000000000001</v>
      </c>
      <c r="C100" s="8">
        <f>5.1975 * CHOOSE(CONTROL!$C$15, $D$11, 100%, $F$11)</f>
        <v>5.1974999999999998</v>
      </c>
      <c r="D100" s="8">
        <f>5.176 * CHOOSE( CONTROL!$C$15, $D$11, 100%, $F$11)</f>
        <v>5.1760000000000002</v>
      </c>
      <c r="E100" s="12">
        <f>5.1833 * CHOOSE( CONTROL!$C$15, $D$11, 100%, $F$11)</f>
        <v>5.1833</v>
      </c>
      <c r="F100" s="4">
        <f>5.8373 * CHOOSE(CONTROL!$C$15, $D$11, 100%, $F$11)</f>
        <v>5.8372999999999999</v>
      </c>
      <c r="G100" s="8">
        <f>5.0884 * CHOOSE( CONTROL!$C$15, $D$11, 100%, $F$11)</f>
        <v>5.0884</v>
      </c>
      <c r="H100" s="4">
        <f>5.9693 * CHOOSE(CONTROL!$C$15, $D$11, 100%, $F$11)</f>
        <v>5.9692999999999996</v>
      </c>
      <c r="I100" s="8">
        <f>5.1203 * CHOOSE(CONTROL!$C$15, $D$11, 100%, $F$11)</f>
        <v>5.1203000000000003</v>
      </c>
      <c r="J100" s="4">
        <f>4.9903 * CHOOSE(CONTROL!$C$15, $D$11, 100%, $F$11)</f>
        <v>4.9903000000000004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5.4529 * CHOOSE(CONTROL!$C$15, $D$11, 100%, $F$11)</f>
        <v>5.4528999999999996</v>
      </c>
      <c r="C101" s="8">
        <f>5.458 * CHOOSE(CONTROL!$C$15, $D$11, 100%, $F$11)</f>
        <v>5.4580000000000002</v>
      </c>
      <c r="D101" s="8">
        <f>5.4326 * CHOOSE( CONTROL!$C$15, $D$11, 100%, $F$11)</f>
        <v>5.4325999999999999</v>
      </c>
      <c r="E101" s="12">
        <f>5.4413 * CHOOSE( CONTROL!$C$15, $D$11, 100%, $F$11)</f>
        <v>5.4413</v>
      </c>
      <c r="F101" s="4">
        <f>6.0952 * CHOOSE(CONTROL!$C$15, $D$11, 100%, $F$11)</f>
        <v>6.0952000000000002</v>
      </c>
      <c r="G101" s="8">
        <f>5.3392 * CHOOSE( CONTROL!$C$15, $D$11, 100%, $F$11)</f>
        <v>5.3391999999999999</v>
      </c>
      <c r="H101" s="4">
        <f>6.2229 * CHOOSE(CONTROL!$C$15, $D$11, 100%, $F$11)</f>
        <v>6.2229000000000001</v>
      </c>
      <c r="I101" s="8">
        <f>5.3525 * CHOOSE(CONTROL!$C$15, $D$11, 100%, $F$11)</f>
        <v>5.3525</v>
      </c>
      <c r="J101" s="4">
        <f>5.2421 * CHOOSE(CONTROL!$C$15, $D$11, 100%, $F$11)</f>
        <v>5.2420999999999998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5.1023 * CHOOSE(CONTROL!$C$15, $D$11, 100%, $F$11)</f>
        <v>5.1022999999999996</v>
      </c>
      <c r="C102" s="8">
        <f>5.1074 * CHOOSE(CONTROL!$C$15, $D$11, 100%, $F$11)</f>
        <v>5.1074000000000002</v>
      </c>
      <c r="D102" s="8">
        <f>5.0821 * CHOOSE( CONTROL!$C$15, $D$11, 100%, $F$11)</f>
        <v>5.0820999999999996</v>
      </c>
      <c r="E102" s="12">
        <f>5.0908 * CHOOSE( CONTROL!$C$15, $D$11, 100%, $F$11)</f>
        <v>5.0907999999999998</v>
      </c>
      <c r="F102" s="4">
        <f>5.7446 * CHOOSE(CONTROL!$C$15, $D$11, 100%, $F$11)</f>
        <v>5.7446000000000002</v>
      </c>
      <c r="G102" s="8">
        <f>4.9945 * CHOOSE( CONTROL!$C$15, $D$11, 100%, $F$11)</f>
        <v>4.9945000000000004</v>
      </c>
      <c r="H102" s="4">
        <f>5.8781 * CHOOSE(CONTROL!$C$15, $D$11, 100%, $F$11)</f>
        <v>5.8780999999999999</v>
      </c>
      <c r="I102" s="8">
        <f>5.0137 * CHOOSE(CONTROL!$C$15, $D$11, 100%, $F$11)</f>
        <v>5.0137</v>
      </c>
      <c r="J102" s="4">
        <f>4.9032 * CHOOSE(CONTROL!$C$15, $D$11, 100%, $F$11)</f>
        <v>4.9032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4.9944 * CHOOSE(CONTROL!$C$15, $D$11, 100%, $F$11)</f>
        <v>4.9943999999999997</v>
      </c>
      <c r="C103" s="8">
        <f>4.9995 * CHOOSE(CONTROL!$C$15, $D$11, 100%, $F$11)</f>
        <v>4.9995000000000003</v>
      </c>
      <c r="D103" s="8">
        <f>4.9739 * CHOOSE( CONTROL!$C$15, $D$11, 100%, $F$11)</f>
        <v>4.9739000000000004</v>
      </c>
      <c r="E103" s="12">
        <f>4.9827 * CHOOSE( CONTROL!$C$15, $D$11, 100%, $F$11)</f>
        <v>4.9827000000000004</v>
      </c>
      <c r="F103" s="4">
        <f>5.6367 * CHOOSE(CONTROL!$C$15, $D$11, 100%, $F$11)</f>
        <v>5.6367000000000003</v>
      </c>
      <c r="G103" s="8">
        <f>4.8882 * CHOOSE( CONTROL!$C$15, $D$11, 100%, $F$11)</f>
        <v>4.8882000000000003</v>
      </c>
      <c r="H103" s="4">
        <f>5.772 * CHOOSE(CONTROL!$C$15, $D$11, 100%, $F$11)</f>
        <v>5.7720000000000002</v>
      </c>
      <c r="I103" s="8">
        <f>4.9084 * CHOOSE(CONTROL!$C$15, $D$11, 100%, $F$11)</f>
        <v>4.9084000000000003</v>
      </c>
      <c r="J103" s="4">
        <f>4.7989 * CHOOSE(CONTROL!$C$15, $D$11, 100%, $F$11)</f>
        <v>4.7988999999999997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5.0706 * CHOOSE(CONTROL!$C$15, $D$11, 100%, $F$11)</f>
        <v>5.0705999999999998</v>
      </c>
      <c r="C104" s="8">
        <f>5.0751 * CHOOSE(CONTROL!$C$15, $D$11, 100%, $F$11)</f>
        <v>5.0750999999999999</v>
      </c>
      <c r="D104" s="8">
        <f>5.0894 * CHOOSE( CONTROL!$C$15, $D$11, 100%, $F$11)</f>
        <v>5.0894000000000004</v>
      </c>
      <c r="E104" s="12">
        <f>5.0842 * CHOOSE( CONTROL!$C$15, $D$11, 100%, $F$11)</f>
        <v>5.0842000000000001</v>
      </c>
      <c r="F104" s="4">
        <f>5.7628 * CHOOSE(CONTROL!$C$15, $D$11, 100%, $F$11)</f>
        <v>5.7628000000000004</v>
      </c>
      <c r="G104" s="8">
        <f>4.9576 * CHOOSE( CONTROL!$C$15, $D$11, 100%, $F$11)</f>
        <v>4.9576000000000002</v>
      </c>
      <c r="H104" s="4">
        <f>5.896 * CHOOSE(CONTROL!$C$15, $D$11, 100%, $F$11)</f>
        <v>5.8959999999999999</v>
      </c>
      <c r="I104" s="8">
        <f>4.9686 * CHOOSE(CONTROL!$C$15, $D$11, 100%, $F$11)</f>
        <v>4.9686000000000003</v>
      </c>
      <c r="J104" s="4">
        <f>4.8718 * CHOOSE(CONTROL!$C$15, $D$11, 100%, $F$11)</f>
        <v>4.8718000000000004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5.2111, 5.2062) * CHOOSE(CONTROL!$C$15, $D$11, 100%, $F$11)</f>
        <v>5.2111000000000001</v>
      </c>
      <c r="C105" s="8">
        <f>CHOOSE( CONTROL!$C$32, 5.2191, 5.2142) * CHOOSE(CONTROL!$C$15, $D$11, 100%, $F$11)</f>
        <v>5.2191000000000001</v>
      </c>
      <c r="D105" s="8">
        <f>CHOOSE( CONTROL!$C$32, 5.2284, 5.2235) * CHOOSE( CONTROL!$C$15, $D$11, 100%, $F$11)</f>
        <v>5.2283999999999997</v>
      </c>
      <c r="E105" s="12">
        <f>CHOOSE( CONTROL!$C$32, 5.2238, 5.2189) * CHOOSE( CONTROL!$C$15, $D$11, 100%, $F$11)</f>
        <v>5.2237999999999998</v>
      </c>
      <c r="F105" s="4">
        <f>CHOOSE( CONTROL!$C$32, 5.902, 5.8971) * CHOOSE(CONTROL!$C$15, $D$11, 100%, $F$11)</f>
        <v>5.9020000000000001</v>
      </c>
      <c r="G105" s="8">
        <f>CHOOSE( CONTROL!$C$32, 5.0956, 5.0908) * CHOOSE( CONTROL!$C$15, $D$11, 100%, $F$11)</f>
        <v>5.0956000000000001</v>
      </c>
      <c r="H105" s="4">
        <f>CHOOSE( CONTROL!$C$32, 6.0329, 6.0281) * CHOOSE(CONTROL!$C$15, $D$11, 100%, $F$11)</f>
        <v>6.0328999999999997</v>
      </c>
      <c r="I105" s="8">
        <f>CHOOSE( CONTROL!$C$32, 5.1036, 5.0988) * CHOOSE(CONTROL!$C$15, $D$11, 100%, $F$11)</f>
        <v>5.1036000000000001</v>
      </c>
      <c r="J105" s="4">
        <f>CHOOSE( CONTROL!$C$32, 5.0063, 5.0016) * CHOOSE(CONTROL!$C$15, $D$11, 100%, $F$11)</f>
        <v>5.0063000000000004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5.1279, 5.123) * CHOOSE(CONTROL!$C$15, $D$11, 100%, $F$11)</f>
        <v>5.1279000000000003</v>
      </c>
      <c r="C106" s="8">
        <f>CHOOSE( CONTROL!$C$32, 5.1359, 5.131) * CHOOSE(CONTROL!$C$15, $D$11, 100%, $F$11)</f>
        <v>5.1359000000000004</v>
      </c>
      <c r="D106" s="8">
        <f>CHOOSE( CONTROL!$C$32, 5.1455, 5.1406) * CHOOSE( CONTROL!$C$15, $D$11, 100%, $F$11)</f>
        <v>5.1455000000000002</v>
      </c>
      <c r="E106" s="12">
        <f>CHOOSE( CONTROL!$C$32, 5.1408, 5.1359) * CHOOSE( CONTROL!$C$15, $D$11, 100%, $F$11)</f>
        <v>5.1407999999999996</v>
      </c>
      <c r="F106" s="4">
        <f>CHOOSE( CONTROL!$C$32, 5.8188, 5.8139) * CHOOSE(CONTROL!$C$15, $D$11, 100%, $F$11)</f>
        <v>5.8188000000000004</v>
      </c>
      <c r="G106" s="8">
        <f>CHOOSE( CONTROL!$C$32, 5.0141, 5.0093) * CHOOSE( CONTROL!$C$15, $D$11, 100%, $F$11)</f>
        <v>5.0141</v>
      </c>
      <c r="H106" s="4">
        <f>CHOOSE( CONTROL!$C$32, 5.9511, 5.9462) * CHOOSE(CONTROL!$C$15, $D$11, 100%, $F$11)</f>
        <v>5.9511000000000003</v>
      </c>
      <c r="I106" s="8">
        <f>CHOOSE( CONTROL!$C$32, 5.0241, 5.0194) * CHOOSE(CONTROL!$C$15, $D$11, 100%, $F$11)</f>
        <v>5.0240999999999998</v>
      </c>
      <c r="J106" s="4">
        <f>CHOOSE( CONTROL!$C$32, 4.9259, 4.9212) * CHOOSE(CONTROL!$C$15, $D$11, 100%, $F$11)</f>
        <v>4.9259000000000004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5.347, 5.3421) * CHOOSE(CONTROL!$C$15, $D$11, 100%, $F$11)</f>
        <v>5.3470000000000004</v>
      </c>
      <c r="C107" s="8">
        <f>CHOOSE( CONTROL!$C$32, 5.355, 5.3501) * CHOOSE(CONTROL!$C$15, $D$11, 100%, $F$11)</f>
        <v>5.3550000000000004</v>
      </c>
      <c r="D107" s="8">
        <f>CHOOSE( CONTROL!$C$32, 5.3647, 5.3598) * CHOOSE( CONTROL!$C$15, $D$11, 100%, $F$11)</f>
        <v>5.3647</v>
      </c>
      <c r="E107" s="12">
        <f>CHOOSE( CONTROL!$C$32, 5.36, 5.3551) * CHOOSE( CONTROL!$C$15, $D$11, 100%, $F$11)</f>
        <v>5.36</v>
      </c>
      <c r="F107" s="4">
        <f>CHOOSE( CONTROL!$C$32, 6.0378, 6.0329) * CHOOSE(CONTROL!$C$15, $D$11, 100%, $F$11)</f>
        <v>6.0377999999999998</v>
      </c>
      <c r="G107" s="8">
        <f>CHOOSE( CONTROL!$C$32, 5.2298, 5.225) * CHOOSE( CONTROL!$C$15, $D$11, 100%, $F$11)</f>
        <v>5.2298</v>
      </c>
      <c r="H107" s="4">
        <f>CHOOSE( CONTROL!$C$32, 6.1665, 6.1617) * CHOOSE(CONTROL!$C$15, $D$11, 100%, $F$11)</f>
        <v>6.1665000000000001</v>
      </c>
      <c r="I107" s="8">
        <f>CHOOSE( CONTROL!$C$32, 5.2371, 5.2323) * CHOOSE(CONTROL!$C$15, $D$11, 100%, $F$11)</f>
        <v>5.2370999999999999</v>
      </c>
      <c r="J107" s="4">
        <f>CHOOSE( CONTROL!$C$32, 5.1377, 5.133) * CHOOSE(CONTROL!$C$15, $D$11, 100%, $F$11)</f>
        <v>5.1376999999999997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4.9371, 4.9322) * CHOOSE(CONTROL!$C$15, $D$11, 100%, $F$11)</f>
        <v>4.9371</v>
      </c>
      <c r="C108" s="8">
        <f>CHOOSE( CONTROL!$C$32, 4.9451, 4.9402) * CHOOSE(CONTROL!$C$15, $D$11, 100%, $F$11)</f>
        <v>4.9451000000000001</v>
      </c>
      <c r="D108" s="8">
        <f>CHOOSE( CONTROL!$C$32, 4.9549, 4.95) * CHOOSE( CONTROL!$C$15, $D$11, 100%, $F$11)</f>
        <v>4.9549000000000003</v>
      </c>
      <c r="E108" s="12">
        <f>CHOOSE( CONTROL!$C$32, 4.9501, 4.9452) * CHOOSE( CONTROL!$C$15, $D$11, 100%, $F$11)</f>
        <v>4.9500999999999999</v>
      </c>
      <c r="F108" s="4">
        <f>CHOOSE( CONTROL!$C$32, 5.628, 5.6231) * CHOOSE(CONTROL!$C$15, $D$11, 100%, $F$11)</f>
        <v>5.6280000000000001</v>
      </c>
      <c r="G108" s="8">
        <f>CHOOSE( CONTROL!$C$32, 4.8269, 4.8221) * CHOOSE( CONTROL!$C$15, $D$11, 100%, $F$11)</f>
        <v>4.8269000000000002</v>
      </c>
      <c r="H108" s="4">
        <f>CHOOSE( CONTROL!$C$32, 5.7634, 5.7586) * CHOOSE(CONTROL!$C$15, $D$11, 100%, $F$11)</f>
        <v>5.7633999999999999</v>
      </c>
      <c r="I108" s="8">
        <f>CHOOSE( CONTROL!$C$32, 4.841, 4.8363) * CHOOSE(CONTROL!$C$15, $D$11, 100%, $F$11)</f>
        <v>4.8410000000000002</v>
      </c>
      <c r="J108" s="4">
        <f>CHOOSE( CONTROL!$C$32, 4.7415, 4.7367) * CHOOSE(CONTROL!$C$15, $D$11, 100%, $F$11)</f>
        <v>4.7415000000000003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4.8345, 4.8296) * CHOOSE(CONTROL!$C$15, $D$11, 100%, $F$11)</f>
        <v>4.8345000000000002</v>
      </c>
      <c r="C109" s="8">
        <f>CHOOSE( CONTROL!$C$32, 4.8425, 4.8376) * CHOOSE(CONTROL!$C$15, $D$11, 100%, $F$11)</f>
        <v>4.8425000000000002</v>
      </c>
      <c r="D109" s="8">
        <f>CHOOSE( CONTROL!$C$32, 4.8523, 4.8474) * CHOOSE( CONTROL!$C$15, $D$11, 100%, $F$11)</f>
        <v>4.8522999999999996</v>
      </c>
      <c r="E109" s="12">
        <f>CHOOSE( CONTROL!$C$32, 4.8475, 4.8426) * CHOOSE( CONTROL!$C$15, $D$11, 100%, $F$11)</f>
        <v>4.8475000000000001</v>
      </c>
      <c r="F109" s="4">
        <f>CHOOSE( CONTROL!$C$32, 5.5253, 5.5204) * CHOOSE(CONTROL!$C$15, $D$11, 100%, $F$11)</f>
        <v>5.5252999999999997</v>
      </c>
      <c r="G109" s="8">
        <f>CHOOSE( CONTROL!$C$32, 4.7259, 4.7211) * CHOOSE( CONTROL!$C$15, $D$11, 100%, $F$11)</f>
        <v>4.7259000000000002</v>
      </c>
      <c r="H109" s="4">
        <f>CHOOSE( CONTROL!$C$32, 5.6625, 5.6577) * CHOOSE(CONTROL!$C$15, $D$11, 100%, $F$11)</f>
        <v>5.6624999999999996</v>
      </c>
      <c r="I109" s="8">
        <f>CHOOSE( CONTROL!$C$32, 4.7415, 4.7368) * CHOOSE(CONTROL!$C$15, $D$11, 100%, $F$11)</f>
        <v>4.7415000000000003</v>
      </c>
      <c r="J109" s="4">
        <f>CHOOSE( CONTROL!$C$32, 4.6422, 4.6375) * CHOOSE(CONTROL!$C$15, $D$11, 100%, $F$11)</f>
        <v>4.6421999999999999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5.041 * CHOOSE(CONTROL!$C$15, $D$11, 100%, $F$11)</f>
        <v>5.0410000000000004</v>
      </c>
      <c r="C110" s="8">
        <f>5.0463 * CHOOSE(CONTROL!$C$15, $D$11, 100%, $F$11)</f>
        <v>5.0462999999999996</v>
      </c>
      <c r="D110" s="8">
        <f>5.0609 * CHOOSE( CONTROL!$C$15, $D$11, 100%, $F$11)</f>
        <v>5.0609000000000002</v>
      </c>
      <c r="E110" s="12">
        <f>5.0555 * CHOOSE( CONTROL!$C$15, $D$11, 100%, $F$11)</f>
        <v>5.0555000000000003</v>
      </c>
      <c r="F110" s="4">
        <f>5.7335 * CHOOSE(CONTROL!$C$15, $D$11, 100%, $F$11)</f>
        <v>5.7335000000000003</v>
      </c>
      <c r="G110" s="8">
        <f>4.9299 * CHOOSE( CONTROL!$C$15, $D$11, 100%, $F$11)</f>
        <v>4.9298999999999999</v>
      </c>
      <c r="H110" s="4">
        <f>5.8672 * CHOOSE(CONTROL!$C$15, $D$11, 100%, $F$11)</f>
        <v>5.8672000000000004</v>
      </c>
      <c r="I110" s="8">
        <f>4.9438 * CHOOSE(CONTROL!$C$15, $D$11, 100%, $F$11)</f>
        <v>4.9438000000000004</v>
      </c>
      <c r="J110" s="4">
        <f>4.8435 * CHOOSE(CONTROL!$C$15, $D$11, 100%, $F$11)</f>
        <v>4.8434999999999997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5.4339 * CHOOSE(CONTROL!$C$15, $D$11, 100%, $F$11)</f>
        <v>5.4339000000000004</v>
      </c>
      <c r="C111" s="8">
        <f>5.439 * CHOOSE(CONTROL!$C$15, $D$11, 100%, $F$11)</f>
        <v>5.4390000000000001</v>
      </c>
      <c r="D111" s="8">
        <f>5.416 * CHOOSE( CONTROL!$C$15, $D$11, 100%, $F$11)</f>
        <v>5.4160000000000004</v>
      </c>
      <c r="E111" s="12">
        <f>5.4239 * CHOOSE( CONTROL!$C$15, $D$11, 100%, $F$11)</f>
        <v>5.4238999999999997</v>
      </c>
      <c r="F111" s="4">
        <f>6.0788 * CHOOSE(CONTROL!$C$15, $D$11, 100%, $F$11)</f>
        <v>6.0788000000000002</v>
      </c>
      <c r="G111" s="8">
        <f>5.3247 * CHOOSE( CONTROL!$C$15, $D$11, 100%, $F$11)</f>
        <v>5.3247</v>
      </c>
      <c r="H111" s="4">
        <f>6.2068 * CHOOSE(CONTROL!$C$15, $D$11, 100%, $F$11)</f>
        <v>6.2068000000000003</v>
      </c>
      <c r="I111" s="8">
        <f>5.3489 * CHOOSE(CONTROL!$C$15, $D$11, 100%, $F$11)</f>
        <v>5.3489000000000004</v>
      </c>
      <c r="J111" s="4">
        <f>5.2238 * CHOOSE(CONTROL!$C$15, $D$11, 100%, $F$11)</f>
        <v>5.2237999999999998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5.4241 * CHOOSE(CONTROL!$C$15, $D$11, 100%, $F$11)</f>
        <v>5.4241000000000001</v>
      </c>
      <c r="C112" s="8">
        <f>5.4292 * CHOOSE(CONTROL!$C$15, $D$11, 100%, $F$11)</f>
        <v>5.4291999999999998</v>
      </c>
      <c r="D112" s="8">
        <f>5.4077 * CHOOSE( CONTROL!$C$15, $D$11, 100%, $F$11)</f>
        <v>5.4077000000000002</v>
      </c>
      <c r="E112" s="12">
        <f>5.415 * CHOOSE( CONTROL!$C$15, $D$11, 100%, $F$11)</f>
        <v>5.415</v>
      </c>
      <c r="F112" s="4">
        <f>6.069 * CHOOSE(CONTROL!$C$15, $D$11, 100%, $F$11)</f>
        <v>6.069</v>
      </c>
      <c r="G112" s="8">
        <f>5.3162 * CHOOSE( CONTROL!$C$15, $D$11, 100%, $F$11)</f>
        <v>5.3162000000000003</v>
      </c>
      <c r="H112" s="4">
        <f>6.1971 * CHOOSE(CONTROL!$C$15, $D$11, 100%, $F$11)</f>
        <v>6.1970999999999998</v>
      </c>
      <c r="I112" s="8">
        <f>5.3443 * CHOOSE(CONTROL!$C$15, $D$11, 100%, $F$11)</f>
        <v>5.3442999999999996</v>
      </c>
      <c r="J112" s="4">
        <f>5.2143 * CHOOSE(CONTROL!$C$15, $D$11, 100%, $F$11)</f>
        <v>5.2142999999999997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5.6272 * CHOOSE(CONTROL!$C$15, $D$11, 100%, $F$11)</f>
        <v>5.6272000000000002</v>
      </c>
      <c r="C113" s="8">
        <f>5.6323 * CHOOSE(CONTROL!$C$15, $D$11, 100%, $F$11)</f>
        <v>5.6322999999999999</v>
      </c>
      <c r="D113" s="8">
        <f>5.6069 * CHOOSE( CONTROL!$C$15, $D$11, 100%, $F$11)</f>
        <v>5.6069000000000004</v>
      </c>
      <c r="E113" s="12">
        <f>5.6156 * CHOOSE( CONTROL!$C$15, $D$11, 100%, $F$11)</f>
        <v>5.6155999999999997</v>
      </c>
      <c r="F113" s="4">
        <f>6.2695 * CHOOSE(CONTROL!$C$15, $D$11, 100%, $F$11)</f>
        <v>6.2694999999999999</v>
      </c>
      <c r="G113" s="8">
        <f>5.5106 * CHOOSE( CONTROL!$C$15, $D$11, 100%, $F$11)</f>
        <v>5.5106000000000002</v>
      </c>
      <c r="H113" s="4">
        <f>6.3943 * CHOOSE(CONTROL!$C$15, $D$11, 100%, $F$11)</f>
        <v>6.3943000000000003</v>
      </c>
      <c r="I113" s="8">
        <f>5.5211 * CHOOSE(CONTROL!$C$15, $D$11, 100%, $F$11)</f>
        <v>5.5210999999999997</v>
      </c>
      <c r="J113" s="4">
        <f>5.4106 * CHOOSE(CONTROL!$C$15, $D$11, 100%, $F$11)</f>
        <v>5.4105999999999996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5.2654 * CHOOSE(CONTROL!$C$15, $D$11, 100%, $F$11)</f>
        <v>5.2653999999999996</v>
      </c>
      <c r="C114" s="8">
        <f>5.2705 * CHOOSE(CONTROL!$C$15, $D$11, 100%, $F$11)</f>
        <v>5.2705000000000002</v>
      </c>
      <c r="D114" s="8">
        <f>5.2452 * CHOOSE( CONTROL!$C$15, $D$11, 100%, $F$11)</f>
        <v>5.2451999999999996</v>
      </c>
      <c r="E114" s="12">
        <f>5.2539 * CHOOSE( CONTROL!$C$15, $D$11, 100%, $F$11)</f>
        <v>5.2538999999999998</v>
      </c>
      <c r="F114" s="4">
        <f>5.9077 * CHOOSE(CONTROL!$C$15, $D$11, 100%, $F$11)</f>
        <v>5.9077000000000002</v>
      </c>
      <c r="G114" s="8">
        <f>5.1549 * CHOOSE( CONTROL!$C$15, $D$11, 100%, $F$11)</f>
        <v>5.1548999999999996</v>
      </c>
      <c r="H114" s="4">
        <f>6.0385 * CHOOSE(CONTROL!$C$15, $D$11, 100%, $F$11)</f>
        <v>6.0385</v>
      </c>
      <c r="I114" s="8">
        <f>5.1714 * CHOOSE(CONTROL!$C$15, $D$11, 100%, $F$11)</f>
        <v>5.1714000000000002</v>
      </c>
      <c r="J114" s="4">
        <f>5.0608 * CHOOSE(CONTROL!$C$15, $D$11, 100%, $F$11)</f>
        <v>5.0608000000000004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5.1539 * CHOOSE(CONTROL!$C$15, $D$11, 100%, $F$11)</f>
        <v>5.1539000000000001</v>
      </c>
      <c r="C115" s="8">
        <f>5.159 * CHOOSE(CONTROL!$C$15, $D$11, 100%, $F$11)</f>
        <v>5.1589999999999998</v>
      </c>
      <c r="D115" s="8">
        <f>5.1334 * CHOOSE( CONTROL!$C$15, $D$11, 100%, $F$11)</f>
        <v>5.1334</v>
      </c>
      <c r="E115" s="12">
        <f>5.1422 * CHOOSE( CONTROL!$C$15, $D$11, 100%, $F$11)</f>
        <v>5.1421999999999999</v>
      </c>
      <c r="F115" s="4">
        <f>5.7962 * CHOOSE(CONTROL!$C$15, $D$11, 100%, $F$11)</f>
        <v>5.7961999999999998</v>
      </c>
      <c r="G115" s="8">
        <f>5.0451 * CHOOSE( CONTROL!$C$15, $D$11, 100%, $F$11)</f>
        <v>5.0450999999999997</v>
      </c>
      <c r="H115" s="4">
        <f>5.9289 * CHOOSE(CONTROL!$C$15, $D$11, 100%, $F$11)</f>
        <v>5.9288999999999996</v>
      </c>
      <c r="I115" s="8">
        <f>5.0628 * CHOOSE(CONTROL!$C$15, $D$11, 100%, $F$11)</f>
        <v>5.0628000000000002</v>
      </c>
      <c r="J115" s="4">
        <f>4.9531 * CHOOSE(CONTROL!$C$15, $D$11, 100%, $F$11)</f>
        <v>4.9531000000000001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5.2326 * CHOOSE(CONTROL!$C$15, $D$11, 100%, $F$11)</f>
        <v>5.2325999999999997</v>
      </c>
      <c r="C116" s="8">
        <f>5.2371 * CHOOSE(CONTROL!$C$15, $D$11, 100%, $F$11)</f>
        <v>5.2370999999999999</v>
      </c>
      <c r="D116" s="8">
        <f>5.2514 * CHOOSE( CONTROL!$C$15, $D$11, 100%, $F$11)</f>
        <v>5.2514000000000003</v>
      </c>
      <c r="E116" s="12">
        <f>5.2462 * CHOOSE( CONTROL!$C$15, $D$11, 100%, $F$11)</f>
        <v>5.2462</v>
      </c>
      <c r="F116" s="4">
        <f>5.9248 * CHOOSE(CONTROL!$C$15, $D$11, 100%, $F$11)</f>
        <v>5.9248000000000003</v>
      </c>
      <c r="G116" s="8">
        <f>5.1169 * CHOOSE( CONTROL!$C$15, $D$11, 100%, $F$11)</f>
        <v>5.1169000000000002</v>
      </c>
      <c r="H116" s="4">
        <f>6.0553 * CHOOSE(CONTROL!$C$15, $D$11, 100%, $F$11)</f>
        <v>6.0552999999999999</v>
      </c>
      <c r="I116" s="8">
        <f>5.1252 * CHOOSE(CONTROL!$C$15, $D$11, 100%, $F$11)</f>
        <v>5.1252000000000004</v>
      </c>
      <c r="J116" s="4">
        <f>5.0284 * CHOOSE(CONTROL!$C$15, $D$11, 100%, $F$11)</f>
        <v>5.0284000000000004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5.3774, 5.3725) * CHOOSE(CONTROL!$C$15, $D$11, 100%, $F$11)</f>
        <v>5.3773999999999997</v>
      </c>
      <c r="C117" s="8">
        <f>CHOOSE( CONTROL!$C$32, 5.3854, 5.3805) * CHOOSE(CONTROL!$C$15, $D$11, 100%, $F$11)</f>
        <v>5.3853999999999997</v>
      </c>
      <c r="D117" s="8">
        <f>CHOOSE( CONTROL!$C$32, 5.3947, 5.3898) * CHOOSE( CONTROL!$C$15, $D$11, 100%, $F$11)</f>
        <v>5.3947000000000003</v>
      </c>
      <c r="E117" s="12">
        <f>CHOOSE( CONTROL!$C$32, 5.3901, 5.3852) * CHOOSE( CONTROL!$C$15, $D$11, 100%, $F$11)</f>
        <v>5.3901000000000003</v>
      </c>
      <c r="F117" s="4">
        <f>CHOOSE( CONTROL!$C$32, 6.0683, 6.0634) * CHOOSE(CONTROL!$C$15, $D$11, 100%, $F$11)</f>
        <v>6.0682999999999998</v>
      </c>
      <c r="G117" s="8">
        <f>CHOOSE( CONTROL!$C$32, 5.2591, 5.2543) * CHOOSE( CONTROL!$C$15, $D$11, 100%, $F$11)</f>
        <v>5.2591000000000001</v>
      </c>
      <c r="H117" s="4">
        <f>CHOOSE( CONTROL!$C$32, 6.1964, 6.1916) * CHOOSE(CONTROL!$C$15, $D$11, 100%, $F$11)</f>
        <v>6.1963999999999997</v>
      </c>
      <c r="I117" s="8">
        <f>CHOOSE( CONTROL!$C$32, 5.2644, 5.2597) * CHOOSE(CONTROL!$C$15, $D$11, 100%, $F$11)</f>
        <v>5.2644000000000002</v>
      </c>
      <c r="J117" s="4">
        <f>CHOOSE( CONTROL!$C$32, 5.1671, 5.1624) * CHOOSE(CONTROL!$C$15, $D$11, 100%, $F$11)</f>
        <v>5.1670999999999996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5.2916, 5.2867) * CHOOSE(CONTROL!$C$15, $D$11, 100%, $F$11)</f>
        <v>5.2915999999999999</v>
      </c>
      <c r="C118" s="8">
        <f>CHOOSE( CONTROL!$C$32, 5.2996, 5.2947) * CHOOSE(CONTROL!$C$15, $D$11, 100%, $F$11)</f>
        <v>5.2995999999999999</v>
      </c>
      <c r="D118" s="8">
        <f>CHOOSE( CONTROL!$C$32, 5.3091, 5.3042) * CHOOSE( CONTROL!$C$15, $D$11, 100%, $F$11)</f>
        <v>5.3090999999999999</v>
      </c>
      <c r="E118" s="12">
        <f>CHOOSE( CONTROL!$C$32, 5.3044, 5.2995) * CHOOSE( CONTROL!$C$15, $D$11, 100%, $F$11)</f>
        <v>5.3044000000000002</v>
      </c>
      <c r="F118" s="4">
        <f>CHOOSE( CONTROL!$C$32, 5.9824, 5.9775) * CHOOSE(CONTROL!$C$15, $D$11, 100%, $F$11)</f>
        <v>5.9824000000000002</v>
      </c>
      <c r="G118" s="8">
        <f>CHOOSE( CONTROL!$C$32, 5.175, 5.1702) * CHOOSE( CONTROL!$C$15, $D$11, 100%, $F$11)</f>
        <v>5.1749999999999998</v>
      </c>
      <c r="H118" s="4">
        <f>CHOOSE( CONTROL!$C$32, 6.112, 6.1072) * CHOOSE(CONTROL!$C$15, $D$11, 100%, $F$11)</f>
        <v>6.1120000000000001</v>
      </c>
      <c r="I118" s="8">
        <f>CHOOSE( CONTROL!$C$32, 5.1824, 5.1777) * CHOOSE(CONTROL!$C$15, $D$11, 100%, $F$11)</f>
        <v>5.1824000000000003</v>
      </c>
      <c r="J118" s="4">
        <f>CHOOSE( CONTROL!$C$32, 5.0841, 5.0794) * CHOOSE(CONTROL!$C$15, $D$11, 100%, $F$11)</f>
        <v>5.0841000000000003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5.5176, 5.5128) * CHOOSE(CONTROL!$C$15, $D$11, 100%, $F$11)</f>
        <v>5.5175999999999998</v>
      </c>
      <c r="C119" s="8">
        <f>CHOOSE( CONTROL!$C$32, 5.5257, 5.5208) * CHOOSE(CONTROL!$C$15, $D$11, 100%, $F$11)</f>
        <v>5.5256999999999996</v>
      </c>
      <c r="D119" s="8">
        <f>CHOOSE( CONTROL!$C$32, 5.5354, 5.5305) * CHOOSE( CONTROL!$C$15, $D$11, 100%, $F$11)</f>
        <v>5.5354000000000001</v>
      </c>
      <c r="E119" s="12">
        <f>CHOOSE( CONTROL!$C$32, 5.5307, 5.5258) * CHOOSE( CONTROL!$C$15, $D$11, 100%, $F$11)</f>
        <v>5.5307000000000004</v>
      </c>
      <c r="F119" s="4">
        <f>CHOOSE( CONTROL!$C$32, 6.2085, 6.2036) * CHOOSE(CONTROL!$C$15, $D$11, 100%, $F$11)</f>
        <v>6.2084999999999999</v>
      </c>
      <c r="G119" s="8">
        <f>CHOOSE( CONTROL!$C$32, 5.3977, 5.3929) * CHOOSE( CONTROL!$C$15, $D$11, 100%, $F$11)</f>
        <v>5.3977000000000004</v>
      </c>
      <c r="H119" s="4">
        <f>CHOOSE( CONTROL!$C$32, 6.3343, 6.3295) * CHOOSE(CONTROL!$C$15, $D$11, 100%, $F$11)</f>
        <v>6.3342999999999998</v>
      </c>
      <c r="I119" s="8">
        <f>CHOOSE( CONTROL!$C$32, 5.4021, 5.3974) * CHOOSE(CONTROL!$C$15, $D$11, 100%, $F$11)</f>
        <v>5.4020999999999999</v>
      </c>
      <c r="J119" s="4">
        <f>CHOOSE( CONTROL!$C$32, 5.3027, 5.298) * CHOOSE(CONTROL!$C$15, $D$11, 100%, $F$11)</f>
        <v>5.3026999999999997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5.0946, 5.0897) * CHOOSE(CONTROL!$C$15, $D$11, 100%, $F$11)</f>
        <v>5.0945999999999998</v>
      </c>
      <c r="C120" s="8">
        <f>CHOOSE( CONTROL!$C$32, 5.1026, 5.0977) * CHOOSE(CONTROL!$C$15, $D$11, 100%, $F$11)</f>
        <v>5.1025999999999998</v>
      </c>
      <c r="D120" s="8">
        <f>CHOOSE( CONTROL!$C$32, 5.1124, 5.1075) * CHOOSE( CONTROL!$C$15, $D$11, 100%, $F$11)</f>
        <v>5.1124000000000001</v>
      </c>
      <c r="E120" s="12">
        <f>CHOOSE( CONTROL!$C$32, 5.1076, 5.1027) * CHOOSE( CONTROL!$C$15, $D$11, 100%, $F$11)</f>
        <v>5.1075999999999997</v>
      </c>
      <c r="F120" s="4">
        <f>CHOOSE( CONTROL!$C$32, 5.7855, 5.7806) * CHOOSE(CONTROL!$C$15, $D$11, 100%, $F$11)</f>
        <v>5.7854999999999999</v>
      </c>
      <c r="G120" s="8">
        <f>CHOOSE( CONTROL!$C$32, 4.9818, 4.977) * CHOOSE( CONTROL!$C$15, $D$11, 100%, $F$11)</f>
        <v>4.9817999999999998</v>
      </c>
      <c r="H120" s="4">
        <f>CHOOSE( CONTROL!$C$32, 5.9183, 5.9135) * CHOOSE(CONTROL!$C$15, $D$11, 100%, $F$11)</f>
        <v>5.9183000000000003</v>
      </c>
      <c r="I120" s="8">
        <f>CHOOSE( CONTROL!$C$32, 4.9933, 4.9886) * CHOOSE(CONTROL!$C$15, $D$11, 100%, $F$11)</f>
        <v>4.9932999999999996</v>
      </c>
      <c r="J120" s="4">
        <f>CHOOSE( CONTROL!$C$32, 4.8937, 4.889) * CHOOSE(CONTROL!$C$15, $D$11, 100%, $F$11)</f>
        <v>4.8936999999999999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4.9887, 4.9838) * CHOOSE(CONTROL!$C$15, $D$11, 100%, $F$11)</f>
        <v>4.9886999999999997</v>
      </c>
      <c r="C121" s="8">
        <f>CHOOSE( CONTROL!$C$32, 4.9967, 4.9918) * CHOOSE(CONTROL!$C$15, $D$11, 100%, $F$11)</f>
        <v>4.9966999999999997</v>
      </c>
      <c r="D121" s="8">
        <f>CHOOSE( CONTROL!$C$32, 5.0065, 5.0016) * CHOOSE( CONTROL!$C$15, $D$11, 100%, $F$11)</f>
        <v>5.0065</v>
      </c>
      <c r="E121" s="12">
        <f>CHOOSE( CONTROL!$C$32, 5.0017, 4.9968) * CHOOSE( CONTROL!$C$15, $D$11, 100%, $F$11)</f>
        <v>5.0016999999999996</v>
      </c>
      <c r="F121" s="4">
        <f>CHOOSE( CONTROL!$C$32, 5.6795, 5.6746) * CHOOSE(CONTROL!$C$15, $D$11, 100%, $F$11)</f>
        <v>5.6795</v>
      </c>
      <c r="G121" s="8">
        <f>CHOOSE( CONTROL!$C$32, 4.8775, 4.8727) * CHOOSE( CONTROL!$C$15, $D$11, 100%, $F$11)</f>
        <v>4.8775000000000004</v>
      </c>
      <c r="H121" s="4">
        <f>CHOOSE( CONTROL!$C$32, 5.8141, 5.8093) * CHOOSE(CONTROL!$C$15, $D$11, 100%, $F$11)</f>
        <v>5.8140999999999998</v>
      </c>
      <c r="I121" s="8">
        <f>CHOOSE( CONTROL!$C$32, 4.8907, 4.886) * CHOOSE(CONTROL!$C$15, $D$11, 100%, $F$11)</f>
        <v>4.8906999999999998</v>
      </c>
      <c r="J121" s="4">
        <f>CHOOSE( CONTROL!$C$32, 4.7913, 4.7866) * CHOOSE(CONTROL!$C$15, $D$11, 100%, $F$11)</f>
        <v>4.7912999999999997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5.202 * CHOOSE(CONTROL!$C$15, $D$11, 100%, $F$11)</f>
        <v>5.202</v>
      </c>
      <c r="C122" s="8">
        <f>5.2074 * CHOOSE(CONTROL!$C$15, $D$11, 100%, $F$11)</f>
        <v>5.2073999999999998</v>
      </c>
      <c r="D122" s="8">
        <f>5.2219 * CHOOSE( CONTROL!$C$15, $D$11, 100%, $F$11)</f>
        <v>5.2218999999999998</v>
      </c>
      <c r="E122" s="12">
        <f>5.2165 * CHOOSE( CONTROL!$C$15, $D$11, 100%, $F$11)</f>
        <v>5.2164999999999999</v>
      </c>
      <c r="F122" s="4">
        <f>5.8946 * CHOOSE(CONTROL!$C$15, $D$11, 100%, $F$11)</f>
        <v>5.8945999999999996</v>
      </c>
      <c r="G122" s="8">
        <f>5.0883 * CHOOSE( CONTROL!$C$15, $D$11, 100%, $F$11)</f>
        <v>5.0883000000000003</v>
      </c>
      <c r="H122" s="4">
        <f>6.0256 * CHOOSE(CONTROL!$C$15, $D$11, 100%, $F$11)</f>
        <v>6.0255999999999998</v>
      </c>
      <c r="I122" s="8">
        <f>5.0995 * CHOOSE(CONTROL!$C$15, $D$11, 100%, $F$11)</f>
        <v>5.0994999999999999</v>
      </c>
      <c r="J122" s="4">
        <f>4.9992 * CHOOSE(CONTROL!$C$15, $D$11, 100%, $F$11)</f>
        <v>4.9992000000000001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5.6076 * CHOOSE(CONTROL!$C$15, $D$11, 100%, $F$11)</f>
        <v>5.6075999999999997</v>
      </c>
      <c r="C123" s="8">
        <f>5.6127 * CHOOSE(CONTROL!$C$15, $D$11, 100%, $F$11)</f>
        <v>5.6127000000000002</v>
      </c>
      <c r="D123" s="8">
        <f>5.5897 * CHOOSE( CONTROL!$C$15, $D$11, 100%, $F$11)</f>
        <v>5.5896999999999997</v>
      </c>
      <c r="E123" s="12">
        <f>5.5976 * CHOOSE( CONTROL!$C$15, $D$11, 100%, $F$11)</f>
        <v>5.5975999999999999</v>
      </c>
      <c r="F123" s="4">
        <f>6.2525 * CHOOSE(CONTROL!$C$15, $D$11, 100%, $F$11)</f>
        <v>6.2525000000000004</v>
      </c>
      <c r="G123" s="8">
        <f>5.4956 * CHOOSE( CONTROL!$C$15, $D$11, 100%, $F$11)</f>
        <v>5.4955999999999996</v>
      </c>
      <c r="H123" s="4">
        <f>6.3776 * CHOOSE(CONTROL!$C$15, $D$11, 100%, $F$11)</f>
        <v>6.3776000000000002</v>
      </c>
      <c r="I123" s="8">
        <f>5.5169 * CHOOSE(CONTROL!$C$15, $D$11, 100%, $F$11)</f>
        <v>5.5168999999999997</v>
      </c>
      <c r="J123" s="4">
        <f>5.3917 * CHOOSE(CONTROL!$C$15, $D$11, 100%, $F$11)</f>
        <v>5.3917000000000002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5.5975 * CHOOSE(CONTROL!$C$15, $D$11, 100%, $F$11)</f>
        <v>5.5975000000000001</v>
      </c>
      <c r="C124" s="8">
        <f>5.6026 * CHOOSE(CONTROL!$C$15, $D$11, 100%, $F$11)</f>
        <v>5.6025999999999998</v>
      </c>
      <c r="D124" s="8">
        <f>5.5811 * CHOOSE( CONTROL!$C$15, $D$11, 100%, $F$11)</f>
        <v>5.5811000000000002</v>
      </c>
      <c r="E124" s="12">
        <f>5.5884 * CHOOSE( CONTROL!$C$15, $D$11, 100%, $F$11)</f>
        <v>5.5884</v>
      </c>
      <c r="F124" s="4">
        <f>6.2423 * CHOOSE(CONTROL!$C$15, $D$11, 100%, $F$11)</f>
        <v>6.2423000000000002</v>
      </c>
      <c r="G124" s="8">
        <f>5.4867 * CHOOSE( CONTROL!$C$15, $D$11, 100%, $F$11)</f>
        <v>5.4866999999999999</v>
      </c>
      <c r="H124" s="4">
        <f>6.3676 * CHOOSE(CONTROL!$C$15, $D$11, 100%, $F$11)</f>
        <v>6.3676000000000004</v>
      </c>
      <c r="I124" s="8">
        <f>5.512 * CHOOSE(CONTROL!$C$15, $D$11, 100%, $F$11)</f>
        <v>5.5119999999999996</v>
      </c>
      <c r="J124" s="4">
        <f>5.3819 * CHOOSE(CONTROL!$C$15, $D$11, 100%, $F$11)</f>
        <v>5.3818999999999999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5.8063 * CHOOSE(CONTROL!$C$15, $D$11, 100%, $F$11)</f>
        <v>5.8063000000000002</v>
      </c>
      <c r="C125" s="8">
        <f>5.8114 * CHOOSE(CONTROL!$C$15, $D$11, 100%, $F$11)</f>
        <v>5.8113999999999999</v>
      </c>
      <c r="D125" s="8">
        <f>5.786 * CHOOSE( CONTROL!$C$15, $D$11, 100%, $F$11)</f>
        <v>5.7859999999999996</v>
      </c>
      <c r="E125" s="12">
        <f>5.7947 * CHOOSE( CONTROL!$C$15, $D$11, 100%, $F$11)</f>
        <v>5.7946999999999997</v>
      </c>
      <c r="F125" s="4">
        <f>6.4486 * CHOOSE(CONTROL!$C$15, $D$11, 100%, $F$11)</f>
        <v>6.4485999999999999</v>
      </c>
      <c r="G125" s="8">
        <f>5.6868 * CHOOSE( CONTROL!$C$15, $D$11, 100%, $F$11)</f>
        <v>5.6867999999999999</v>
      </c>
      <c r="H125" s="4">
        <f>6.5704 * CHOOSE(CONTROL!$C$15, $D$11, 100%, $F$11)</f>
        <v>6.5704000000000002</v>
      </c>
      <c r="I125" s="8">
        <f>5.6943 * CHOOSE(CONTROL!$C$15, $D$11, 100%, $F$11)</f>
        <v>5.6943000000000001</v>
      </c>
      <c r="J125" s="4">
        <f>5.5838 * CHOOSE(CONTROL!$C$15, $D$11, 100%, $F$11)</f>
        <v>5.5838000000000001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5.4329 * CHOOSE(CONTROL!$C$15, $D$11, 100%, $F$11)</f>
        <v>5.4329000000000001</v>
      </c>
      <c r="C126" s="8">
        <f>5.438 * CHOOSE(CONTROL!$C$15, $D$11, 100%, $F$11)</f>
        <v>5.4379999999999997</v>
      </c>
      <c r="D126" s="8">
        <f>5.4127 * CHOOSE( CONTROL!$C$15, $D$11, 100%, $F$11)</f>
        <v>5.4127000000000001</v>
      </c>
      <c r="E126" s="12">
        <f>5.4214 * CHOOSE( CONTROL!$C$15, $D$11, 100%, $F$11)</f>
        <v>5.4214000000000002</v>
      </c>
      <c r="F126" s="4">
        <f>6.0752 * CHOOSE(CONTROL!$C$15, $D$11, 100%, $F$11)</f>
        <v>6.0751999999999997</v>
      </c>
      <c r="G126" s="8">
        <f>5.3196 * CHOOSE( CONTROL!$C$15, $D$11, 100%, $F$11)</f>
        <v>5.3196000000000003</v>
      </c>
      <c r="H126" s="4">
        <f>6.2032 * CHOOSE(CONTROL!$C$15, $D$11, 100%, $F$11)</f>
        <v>6.2031999999999998</v>
      </c>
      <c r="I126" s="8">
        <f>5.3334 * CHOOSE(CONTROL!$C$15, $D$11, 100%, $F$11)</f>
        <v>5.3334000000000001</v>
      </c>
      <c r="J126" s="4">
        <f>5.2228 * CHOOSE(CONTROL!$C$15, $D$11, 100%, $F$11)</f>
        <v>5.2228000000000003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5.3179 * CHOOSE(CONTROL!$C$15, $D$11, 100%, $F$11)</f>
        <v>5.3178999999999998</v>
      </c>
      <c r="C127" s="8">
        <f>5.323 * CHOOSE(CONTROL!$C$15, $D$11, 100%, $F$11)</f>
        <v>5.3230000000000004</v>
      </c>
      <c r="D127" s="8">
        <f>5.2974 * CHOOSE( CONTROL!$C$15, $D$11, 100%, $F$11)</f>
        <v>5.2973999999999997</v>
      </c>
      <c r="E127" s="12">
        <f>5.3062 * CHOOSE( CONTROL!$C$15, $D$11, 100%, $F$11)</f>
        <v>5.3061999999999996</v>
      </c>
      <c r="F127" s="4">
        <f>5.9602 * CHOOSE(CONTROL!$C$15, $D$11, 100%, $F$11)</f>
        <v>5.9602000000000004</v>
      </c>
      <c r="G127" s="8">
        <f>5.2063 * CHOOSE( CONTROL!$C$15, $D$11, 100%, $F$11)</f>
        <v>5.2062999999999997</v>
      </c>
      <c r="H127" s="4">
        <f>6.0901 * CHOOSE(CONTROL!$C$15, $D$11, 100%, $F$11)</f>
        <v>6.0900999999999996</v>
      </c>
      <c r="I127" s="8">
        <f>5.2213 * CHOOSE(CONTROL!$C$15, $D$11, 100%, $F$11)</f>
        <v>5.2213000000000003</v>
      </c>
      <c r="J127" s="4">
        <f>5.1116 * CHOOSE(CONTROL!$C$15, $D$11, 100%, $F$11)</f>
        <v>5.1116000000000001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5.399 * CHOOSE(CONTROL!$C$15, $D$11, 100%, $F$11)</f>
        <v>5.399</v>
      </c>
      <c r="C128" s="8">
        <f>5.4036 * CHOOSE(CONTROL!$C$15, $D$11, 100%, $F$11)</f>
        <v>5.4036</v>
      </c>
      <c r="D128" s="8">
        <f>5.4179 * CHOOSE( CONTROL!$C$15, $D$11, 100%, $F$11)</f>
        <v>5.4179000000000004</v>
      </c>
      <c r="E128" s="12">
        <f>5.4127 * CHOOSE( CONTROL!$C$15, $D$11, 100%, $F$11)</f>
        <v>5.4127000000000001</v>
      </c>
      <c r="F128" s="4">
        <f>6.0912 * CHOOSE(CONTROL!$C$15, $D$11, 100%, $F$11)</f>
        <v>6.0911999999999997</v>
      </c>
      <c r="G128" s="8">
        <f>5.2806 * CHOOSE( CONTROL!$C$15, $D$11, 100%, $F$11)</f>
        <v>5.2805999999999997</v>
      </c>
      <c r="H128" s="4">
        <f>6.219 * CHOOSE(CONTROL!$C$15, $D$11, 100%, $F$11)</f>
        <v>6.2190000000000003</v>
      </c>
      <c r="I128" s="8">
        <f>5.2862 * CHOOSE(CONTROL!$C$15, $D$11, 100%, $F$11)</f>
        <v>5.2862</v>
      </c>
      <c r="J128" s="4">
        <f>5.1893 * CHOOSE(CONTROL!$C$15, $D$11, 100%, $F$11)</f>
        <v>5.1893000000000002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5.5483, 5.5434) * CHOOSE(CONTROL!$C$15, $D$11, 100%, $F$11)</f>
        <v>5.5483000000000002</v>
      </c>
      <c r="C129" s="8">
        <f>CHOOSE( CONTROL!$C$32, 5.5563, 5.5514) * CHOOSE(CONTROL!$C$15, $D$11, 100%, $F$11)</f>
        <v>5.5563000000000002</v>
      </c>
      <c r="D129" s="8">
        <f>CHOOSE( CONTROL!$C$32, 5.5656, 5.5607) * CHOOSE( CONTROL!$C$15, $D$11, 100%, $F$11)</f>
        <v>5.5655999999999999</v>
      </c>
      <c r="E129" s="12">
        <f>CHOOSE( CONTROL!$C$32, 5.561, 5.5561) * CHOOSE( CONTROL!$C$15, $D$11, 100%, $F$11)</f>
        <v>5.5609999999999999</v>
      </c>
      <c r="F129" s="4">
        <f>CHOOSE( CONTROL!$C$32, 6.2392, 6.2343) * CHOOSE(CONTROL!$C$15, $D$11, 100%, $F$11)</f>
        <v>6.2392000000000003</v>
      </c>
      <c r="G129" s="8">
        <f>CHOOSE( CONTROL!$C$32, 5.4272, 5.4224) * CHOOSE( CONTROL!$C$15, $D$11, 100%, $F$11)</f>
        <v>5.4272</v>
      </c>
      <c r="H129" s="4">
        <f>CHOOSE( CONTROL!$C$32, 6.3645, 6.3597) * CHOOSE(CONTROL!$C$15, $D$11, 100%, $F$11)</f>
        <v>6.3644999999999996</v>
      </c>
      <c r="I129" s="8">
        <f>CHOOSE( CONTROL!$C$32, 5.4297, 5.4249) * CHOOSE(CONTROL!$C$15, $D$11, 100%, $F$11)</f>
        <v>5.4297000000000004</v>
      </c>
      <c r="J129" s="4">
        <f>CHOOSE( CONTROL!$C$32, 5.3323, 5.3276) * CHOOSE(CONTROL!$C$15, $D$11, 100%, $F$11)</f>
        <v>5.3323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5.4597, 5.4548) * CHOOSE(CONTROL!$C$15, $D$11, 100%, $F$11)</f>
        <v>5.4596999999999998</v>
      </c>
      <c r="C130" s="8">
        <f>CHOOSE( CONTROL!$C$32, 5.4677, 5.4628) * CHOOSE(CONTROL!$C$15, $D$11, 100%, $F$11)</f>
        <v>5.4676999999999998</v>
      </c>
      <c r="D130" s="8">
        <f>CHOOSE( CONTROL!$C$32, 5.4772, 5.4723) * CHOOSE( CONTROL!$C$15, $D$11, 100%, $F$11)</f>
        <v>5.4771999999999998</v>
      </c>
      <c r="E130" s="12">
        <f>CHOOSE( CONTROL!$C$32, 5.4725, 5.4676) * CHOOSE( CONTROL!$C$15, $D$11, 100%, $F$11)</f>
        <v>5.4725000000000001</v>
      </c>
      <c r="F130" s="4">
        <f>CHOOSE( CONTROL!$C$32, 6.1505, 6.1457) * CHOOSE(CONTROL!$C$15, $D$11, 100%, $F$11)</f>
        <v>6.1505000000000001</v>
      </c>
      <c r="G130" s="8">
        <f>CHOOSE( CONTROL!$C$32, 5.3404, 5.3356) * CHOOSE( CONTROL!$C$15, $D$11, 100%, $F$11)</f>
        <v>5.3403999999999998</v>
      </c>
      <c r="H130" s="4">
        <f>CHOOSE( CONTROL!$C$32, 6.2773, 6.2725) * CHOOSE(CONTROL!$C$15, $D$11, 100%, $F$11)</f>
        <v>6.2773000000000003</v>
      </c>
      <c r="I130" s="8">
        <f>CHOOSE( CONTROL!$C$32, 5.345, 5.3403) * CHOOSE(CONTROL!$C$15, $D$11, 100%, $F$11)</f>
        <v>5.3449999999999998</v>
      </c>
      <c r="J130" s="4">
        <f>CHOOSE( CONTROL!$C$32, 5.2467, 5.2419) * CHOOSE(CONTROL!$C$15, $D$11, 100%, $F$11)</f>
        <v>5.2466999999999997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5.693, 5.6881) * CHOOSE(CONTROL!$C$15, $D$11, 100%, $F$11)</f>
        <v>5.6929999999999996</v>
      </c>
      <c r="C131" s="8">
        <f>CHOOSE( CONTROL!$C$32, 5.701, 5.6961) * CHOOSE(CONTROL!$C$15, $D$11, 100%, $F$11)</f>
        <v>5.7009999999999996</v>
      </c>
      <c r="D131" s="8">
        <f>CHOOSE( CONTROL!$C$32, 5.7108, 5.7059) * CHOOSE( CONTROL!$C$15, $D$11, 100%, $F$11)</f>
        <v>5.7107999999999999</v>
      </c>
      <c r="E131" s="12">
        <f>CHOOSE( CONTROL!$C$32, 5.706, 5.7011) * CHOOSE( CONTROL!$C$15, $D$11, 100%, $F$11)</f>
        <v>5.7060000000000004</v>
      </c>
      <c r="F131" s="4">
        <f>CHOOSE( CONTROL!$C$32, 6.3839, 6.379) * CHOOSE(CONTROL!$C$15, $D$11, 100%, $F$11)</f>
        <v>6.3838999999999997</v>
      </c>
      <c r="G131" s="8">
        <f>CHOOSE( CONTROL!$C$32, 5.5702, 5.5653) * CHOOSE( CONTROL!$C$15, $D$11, 100%, $F$11)</f>
        <v>5.5701999999999998</v>
      </c>
      <c r="H131" s="4">
        <f>CHOOSE( CONTROL!$C$32, 6.5068, 6.502) * CHOOSE(CONTROL!$C$15, $D$11, 100%, $F$11)</f>
        <v>6.5068000000000001</v>
      </c>
      <c r="I131" s="8">
        <f>CHOOSE( CONTROL!$C$32, 5.5718, 5.567) * CHOOSE(CONTROL!$C$15, $D$11, 100%, $F$11)</f>
        <v>5.5717999999999996</v>
      </c>
      <c r="J131" s="4">
        <f>CHOOSE( CONTROL!$C$32, 5.4722, 5.4675) * CHOOSE(CONTROL!$C$15, $D$11, 100%, $F$11)</f>
        <v>5.4722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5.2564, 5.2515) * CHOOSE(CONTROL!$C$15, $D$11, 100%, $F$11)</f>
        <v>5.2564000000000002</v>
      </c>
      <c r="C132" s="8">
        <f>CHOOSE( CONTROL!$C$32, 5.2645, 5.2596) * CHOOSE(CONTROL!$C$15, $D$11, 100%, $F$11)</f>
        <v>5.2645</v>
      </c>
      <c r="D132" s="8">
        <f>CHOOSE( CONTROL!$C$32, 5.2743, 5.2694) * CHOOSE( CONTROL!$C$15, $D$11, 100%, $F$11)</f>
        <v>5.2743000000000002</v>
      </c>
      <c r="E132" s="12">
        <f>CHOOSE( CONTROL!$C$32, 5.2695, 5.2646) * CHOOSE( CONTROL!$C$15, $D$11, 100%, $F$11)</f>
        <v>5.2694999999999999</v>
      </c>
      <c r="F132" s="4">
        <f>CHOOSE( CONTROL!$C$32, 5.9473, 5.9424) * CHOOSE(CONTROL!$C$15, $D$11, 100%, $F$11)</f>
        <v>5.9473000000000003</v>
      </c>
      <c r="G132" s="8">
        <f>CHOOSE( CONTROL!$C$32, 5.1409, 5.1361) * CHOOSE( CONTROL!$C$15, $D$11, 100%, $F$11)</f>
        <v>5.1409000000000002</v>
      </c>
      <c r="H132" s="4">
        <f>CHOOSE( CONTROL!$C$32, 6.0774, 6.0726) * CHOOSE(CONTROL!$C$15, $D$11, 100%, $F$11)</f>
        <v>6.0773999999999999</v>
      </c>
      <c r="I132" s="8">
        <f>CHOOSE( CONTROL!$C$32, 5.1498, 5.1451) * CHOOSE(CONTROL!$C$15, $D$11, 100%, $F$11)</f>
        <v>5.1497999999999999</v>
      </c>
      <c r="J132" s="4">
        <f>CHOOSE( CONTROL!$C$32, 5.0502, 5.0454) * CHOOSE(CONTROL!$C$15, $D$11, 100%, $F$11)</f>
        <v>5.0502000000000002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5.1471, 5.1422) * CHOOSE(CONTROL!$C$15, $D$11, 100%, $F$11)</f>
        <v>5.1471</v>
      </c>
      <c r="C133" s="8">
        <f>CHOOSE( CONTROL!$C$32, 5.1551, 5.1502) * CHOOSE(CONTROL!$C$15, $D$11, 100%, $F$11)</f>
        <v>5.1551</v>
      </c>
      <c r="D133" s="8">
        <f>CHOOSE( CONTROL!$C$32, 5.1649, 5.16) * CHOOSE( CONTROL!$C$15, $D$11, 100%, $F$11)</f>
        <v>5.1649000000000003</v>
      </c>
      <c r="E133" s="12">
        <f>CHOOSE( CONTROL!$C$32, 5.1601, 5.1552) * CHOOSE( CONTROL!$C$15, $D$11, 100%, $F$11)</f>
        <v>5.1600999999999999</v>
      </c>
      <c r="F133" s="4">
        <f>CHOOSE( CONTROL!$C$32, 5.838, 5.8331) * CHOOSE(CONTROL!$C$15, $D$11, 100%, $F$11)</f>
        <v>5.8380000000000001</v>
      </c>
      <c r="G133" s="8">
        <f>CHOOSE( CONTROL!$C$32, 5.0333, 5.0285) * CHOOSE( CONTROL!$C$15, $D$11, 100%, $F$11)</f>
        <v>5.0332999999999997</v>
      </c>
      <c r="H133" s="4">
        <f>CHOOSE( CONTROL!$C$32, 5.9699, 5.9651) * CHOOSE(CONTROL!$C$15, $D$11, 100%, $F$11)</f>
        <v>5.9699</v>
      </c>
      <c r="I133" s="8">
        <f>CHOOSE( CONTROL!$C$32, 5.0439, 5.0392) * CHOOSE(CONTROL!$C$15, $D$11, 100%, $F$11)</f>
        <v>5.0438999999999998</v>
      </c>
      <c r="J133" s="4">
        <f>CHOOSE( CONTROL!$C$32, 4.9445, 4.9397) * CHOOSE(CONTROL!$C$15, $D$11, 100%, $F$11)</f>
        <v>4.9444999999999997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5.3675 * CHOOSE(CONTROL!$C$15, $D$11, 100%, $F$11)</f>
        <v>5.3674999999999997</v>
      </c>
      <c r="C134" s="8">
        <f>5.3729 * CHOOSE(CONTROL!$C$15, $D$11, 100%, $F$11)</f>
        <v>5.3728999999999996</v>
      </c>
      <c r="D134" s="8">
        <f>5.3874 * CHOOSE( CONTROL!$C$15, $D$11, 100%, $F$11)</f>
        <v>5.3874000000000004</v>
      </c>
      <c r="E134" s="12">
        <f>5.382 * CHOOSE( CONTROL!$C$15, $D$11, 100%, $F$11)</f>
        <v>5.3819999999999997</v>
      </c>
      <c r="F134" s="4">
        <f>6.0601 * CHOOSE(CONTROL!$C$15, $D$11, 100%, $F$11)</f>
        <v>6.0601000000000003</v>
      </c>
      <c r="G134" s="8">
        <f>5.251 * CHOOSE( CONTROL!$C$15, $D$11, 100%, $F$11)</f>
        <v>5.2510000000000003</v>
      </c>
      <c r="H134" s="4">
        <f>6.1884 * CHOOSE(CONTROL!$C$15, $D$11, 100%, $F$11)</f>
        <v>6.1883999999999997</v>
      </c>
      <c r="I134" s="8">
        <f>5.2596 * CHOOSE(CONTROL!$C$15, $D$11, 100%, $F$11)</f>
        <v>5.2595999999999998</v>
      </c>
      <c r="J134" s="4">
        <f>5.1592 * CHOOSE(CONTROL!$C$15, $D$11, 100%, $F$11)</f>
        <v>5.1592000000000002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5.7861 * CHOOSE(CONTROL!$C$15, $D$11, 100%, $F$11)</f>
        <v>5.7861000000000002</v>
      </c>
      <c r="C135" s="8">
        <f>5.7912 * CHOOSE(CONTROL!$C$15, $D$11, 100%, $F$11)</f>
        <v>5.7911999999999999</v>
      </c>
      <c r="D135" s="8">
        <f>5.7682 * CHOOSE( CONTROL!$C$15, $D$11, 100%, $F$11)</f>
        <v>5.7682000000000002</v>
      </c>
      <c r="E135" s="12">
        <f>5.7761 * CHOOSE( CONTROL!$C$15, $D$11, 100%, $F$11)</f>
        <v>5.7760999999999996</v>
      </c>
      <c r="F135" s="4">
        <f>6.431 * CHOOSE(CONTROL!$C$15, $D$11, 100%, $F$11)</f>
        <v>6.431</v>
      </c>
      <c r="G135" s="8">
        <f>5.6711 * CHOOSE( CONTROL!$C$15, $D$11, 100%, $F$11)</f>
        <v>5.6711</v>
      </c>
      <c r="H135" s="4">
        <f>6.5531 * CHOOSE(CONTROL!$C$15, $D$11, 100%, $F$11)</f>
        <v>6.5530999999999997</v>
      </c>
      <c r="I135" s="8">
        <f>5.6895 * CHOOSE(CONTROL!$C$15, $D$11, 100%, $F$11)</f>
        <v>5.6894999999999998</v>
      </c>
      <c r="J135" s="4">
        <f>5.5642 * CHOOSE(CONTROL!$C$15, $D$11, 100%, $F$11)</f>
        <v>5.5641999999999996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5.7756 * CHOOSE(CONTROL!$C$15, $D$11, 100%, $F$11)</f>
        <v>5.7755999999999998</v>
      </c>
      <c r="C136" s="8">
        <f>5.7807 * CHOOSE(CONTROL!$C$15, $D$11, 100%, $F$11)</f>
        <v>5.7807000000000004</v>
      </c>
      <c r="D136" s="8">
        <f>5.7592 * CHOOSE( CONTROL!$C$15, $D$11, 100%, $F$11)</f>
        <v>5.7591999999999999</v>
      </c>
      <c r="E136" s="12">
        <f>5.7665 * CHOOSE( CONTROL!$C$15, $D$11, 100%, $F$11)</f>
        <v>5.7664999999999997</v>
      </c>
      <c r="F136" s="4">
        <f>6.4205 * CHOOSE(CONTROL!$C$15, $D$11, 100%, $F$11)</f>
        <v>6.4204999999999997</v>
      </c>
      <c r="G136" s="8">
        <f>5.6619 * CHOOSE( CONTROL!$C$15, $D$11, 100%, $F$11)</f>
        <v>5.6619000000000002</v>
      </c>
      <c r="H136" s="4">
        <f>6.5428 * CHOOSE(CONTROL!$C$15, $D$11, 100%, $F$11)</f>
        <v>6.5427999999999997</v>
      </c>
      <c r="I136" s="8">
        <f>5.6843 * CHOOSE(CONTROL!$C$15, $D$11, 100%, $F$11)</f>
        <v>5.6843000000000004</v>
      </c>
      <c r="J136" s="4">
        <f>5.5541 * CHOOSE(CONTROL!$C$15, $D$11, 100%, $F$11)</f>
        <v>5.5541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5.9903 * CHOOSE(CONTROL!$C$15, $D$11, 100%, $F$11)</f>
        <v>5.9903000000000004</v>
      </c>
      <c r="C137" s="8">
        <f>5.9954 * CHOOSE(CONTROL!$C$15, $D$11, 100%, $F$11)</f>
        <v>5.9954000000000001</v>
      </c>
      <c r="D137" s="8">
        <f>5.97 * CHOOSE( CONTROL!$C$15, $D$11, 100%, $F$11)</f>
        <v>5.97</v>
      </c>
      <c r="E137" s="12">
        <f>5.9787 * CHOOSE( CONTROL!$C$15, $D$11, 100%, $F$11)</f>
        <v>5.9786999999999999</v>
      </c>
      <c r="F137" s="4">
        <f>6.6326 * CHOOSE(CONTROL!$C$15, $D$11, 100%, $F$11)</f>
        <v>6.6326000000000001</v>
      </c>
      <c r="G137" s="8">
        <f>5.8677 * CHOOSE( CONTROL!$C$15, $D$11, 100%, $F$11)</f>
        <v>5.8677000000000001</v>
      </c>
      <c r="H137" s="4">
        <f>6.7514 * CHOOSE(CONTROL!$C$15, $D$11, 100%, $F$11)</f>
        <v>6.7514000000000003</v>
      </c>
      <c r="I137" s="8">
        <f>5.8723 * CHOOSE(CONTROL!$C$15, $D$11, 100%, $F$11)</f>
        <v>5.8723000000000001</v>
      </c>
      <c r="J137" s="4">
        <f>5.7617 * CHOOSE(CONTROL!$C$15, $D$11, 100%, $F$11)</f>
        <v>5.7617000000000003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5.605 * CHOOSE(CONTROL!$C$15, $D$11, 100%, $F$11)</f>
        <v>5.6050000000000004</v>
      </c>
      <c r="C138" s="8">
        <f>5.6101 * CHOOSE(CONTROL!$C$15, $D$11, 100%, $F$11)</f>
        <v>5.6101000000000001</v>
      </c>
      <c r="D138" s="8">
        <f>5.5848 * CHOOSE( CONTROL!$C$15, $D$11, 100%, $F$11)</f>
        <v>5.5848000000000004</v>
      </c>
      <c r="E138" s="12">
        <f>5.5935 * CHOOSE( CONTROL!$C$15, $D$11, 100%, $F$11)</f>
        <v>5.5934999999999997</v>
      </c>
      <c r="F138" s="4">
        <f>6.2473 * CHOOSE(CONTROL!$C$15, $D$11, 100%, $F$11)</f>
        <v>6.2473000000000001</v>
      </c>
      <c r="G138" s="8">
        <f>5.4889 * CHOOSE( CONTROL!$C$15, $D$11, 100%, $F$11)</f>
        <v>5.4889000000000001</v>
      </c>
      <c r="H138" s="4">
        <f>6.3725 * CHOOSE(CONTROL!$C$15, $D$11, 100%, $F$11)</f>
        <v>6.3724999999999996</v>
      </c>
      <c r="I138" s="8">
        <f>5.4999 * CHOOSE(CONTROL!$C$15, $D$11, 100%, $F$11)</f>
        <v>5.4999000000000002</v>
      </c>
      <c r="J138" s="4">
        <f>5.3892 * CHOOSE(CONTROL!$C$15, $D$11, 100%, $F$11)</f>
        <v>5.3891999999999998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5.4863 * CHOOSE(CONTROL!$C$15, $D$11, 100%, $F$11)</f>
        <v>5.4863</v>
      </c>
      <c r="C139" s="8">
        <f>5.4915 * CHOOSE(CONTROL!$C$15, $D$11, 100%, $F$11)</f>
        <v>5.4915000000000003</v>
      </c>
      <c r="D139" s="8">
        <f>5.4659 * CHOOSE( CONTROL!$C$15, $D$11, 100%, $F$11)</f>
        <v>5.4659000000000004</v>
      </c>
      <c r="E139" s="12">
        <f>5.4747 * CHOOSE( CONTROL!$C$15, $D$11, 100%, $F$11)</f>
        <v>5.4747000000000003</v>
      </c>
      <c r="F139" s="4">
        <f>6.1286 * CHOOSE(CONTROL!$C$15, $D$11, 100%, $F$11)</f>
        <v>6.1285999999999996</v>
      </c>
      <c r="G139" s="8">
        <f>5.372 * CHOOSE( CONTROL!$C$15, $D$11, 100%, $F$11)</f>
        <v>5.3719999999999999</v>
      </c>
      <c r="H139" s="4">
        <f>6.2558 * CHOOSE(CONTROL!$C$15, $D$11, 100%, $F$11)</f>
        <v>6.2557999999999998</v>
      </c>
      <c r="I139" s="8">
        <f>5.3843 * CHOOSE(CONTROL!$C$15, $D$11, 100%, $F$11)</f>
        <v>5.3842999999999996</v>
      </c>
      <c r="J139" s="4">
        <f>5.2745 * CHOOSE(CONTROL!$C$15, $D$11, 100%, $F$11)</f>
        <v>5.2744999999999997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5.57 * CHOOSE(CONTROL!$C$15, $D$11, 100%, $F$11)</f>
        <v>5.57</v>
      </c>
      <c r="C140" s="8">
        <f>5.5746 * CHOOSE(CONTROL!$C$15, $D$11, 100%, $F$11)</f>
        <v>5.5746000000000002</v>
      </c>
      <c r="D140" s="8">
        <f>5.5889 * CHOOSE( CONTROL!$C$15, $D$11, 100%, $F$11)</f>
        <v>5.5888999999999998</v>
      </c>
      <c r="E140" s="12">
        <f>5.5837 * CHOOSE( CONTROL!$C$15, $D$11, 100%, $F$11)</f>
        <v>5.5837000000000003</v>
      </c>
      <c r="F140" s="4">
        <f>6.2623 * CHOOSE(CONTROL!$C$15, $D$11, 100%, $F$11)</f>
        <v>6.2622999999999998</v>
      </c>
      <c r="G140" s="8">
        <f>5.4488 * CHOOSE( CONTROL!$C$15, $D$11, 100%, $F$11)</f>
        <v>5.4488000000000003</v>
      </c>
      <c r="H140" s="4">
        <f>6.3872 * CHOOSE(CONTROL!$C$15, $D$11, 100%, $F$11)</f>
        <v>6.3872</v>
      </c>
      <c r="I140" s="8">
        <f>5.4516 * CHOOSE(CONTROL!$C$15, $D$11, 100%, $F$11)</f>
        <v>5.4516</v>
      </c>
      <c r="J140" s="4">
        <f>5.3546 * CHOOSE(CONTROL!$C$15, $D$11, 100%, $F$11)</f>
        <v>5.3545999999999996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5.7239, 5.719) * CHOOSE(CONTROL!$C$15, $D$11, 100%, $F$11)</f>
        <v>5.7239000000000004</v>
      </c>
      <c r="C141" s="8">
        <f>CHOOSE( CONTROL!$C$32, 5.7319, 5.727) * CHOOSE(CONTROL!$C$15, $D$11, 100%, $F$11)</f>
        <v>5.7319000000000004</v>
      </c>
      <c r="D141" s="8">
        <f>CHOOSE( CONTROL!$C$32, 5.7412, 5.7363) * CHOOSE( CONTROL!$C$15, $D$11, 100%, $F$11)</f>
        <v>5.7412000000000001</v>
      </c>
      <c r="E141" s="12">
        <f>CHOOSE( CONTROL!$C$32, 5.7366, 5.7317) * CHOOSE( CONTROL!$C$15, $D$11, 100%, $F$11)</f>
        <v>5.7366000000000001</v>
      </c>
      <c r="F141" s="4">
        <f>CHOOSE( CONTROL!$C$32, 6.4147, 6.4099) * CHOOSE(CONTROL!$C$15, $D$11, 100%, $F$11)</f>
        <v>6.4146999999999998</v>
      </c>
      <c r="G141" s="8">
        <f>CHOOSE( CONTROL!$C$32, 5.5998, 5.595) * CHOOSE( CONTROL!$C$15, $D$11, 100%, $F$11)</f>
        <v>5.5998000000000001</v>
      </c>
      <c r="H141" s="4">
        <f>CHOOSE( CONTROL!$C$32, 6.5371, 6.5323) * CHOOSE(CONTROL!$C$15, $D$11, 100%, $F$11)</f>
        <v>6.5370999999999997</v>
      </c>
      <c r="I141" s="8">
        <f>CHOOSE( CONTROL!$C$32, 5.5995, 5.5948) * CHOOSE(CONTROL!$C$15, $D$11, 100%, $F$11)</f>
        <v>5.5994999999999999</v>
      </c>
      <c r="J141" s="4">
        <f>CHOOSE( CONTROL!$C$32, 5.502, 5.4973) * CHOOSE(CONTROL!$C$15, $D$11, 100%, $F$11)</f>
        <v>5.5019999999999998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5.6325, 5.6276) * CHOOSE(CONTROL!$C$15, $D$11, 100%, $F$11)</f>
        <v>5.6325000000000003</v>
      </c>
      <c r="C142" s="8">
        <f>CHOOSE( CONTROL!$C$32, 5.6405, 5.6356) * CHOOSE(CONTROL!$C$15, $D$11, 100%, $F$11)</f>
        <v>5.6405000000000003</v>
      </c>
      <c r="D142" s="8">
        <f>CHOOSE( CONTROL!$C$32, 5.65, 5.6451) * CHOOSE( CONTROL!$C$15, $D$11, 100%, $F$11)</f>
        <v>5.65</v>
      </c>
      <c r="E142" s="12">
        <f>CHOOSE( CONTROL!$C$32, 5.6453, 5.6404) * CHOOSE( CONTROL!$C$15, $D$11, 100%, $F$11)</f>
        <v>5.6452999999999998</v>
      </c>
      <c r="F142" s="4">
        <f>CHOOSE( CONTROL!$C$32, 6.3233, 6.3184) * CHOOSE(CONTROL!$C$15, $D$11, 100%, $F$11)</f>
        <v>6.3232999999999997</v>
      </c>
      <c r="G142" s="8">
        <f>CHOOSE( CONTROL!$C$32, 5.5103, 5.5055) * CHOOSE( CONTROL!$C$15, $D$11, 100%, $F$11)</f>
        <v>5.5103</v>
      </c>
      <c r="H142" s="4">
        <f>CHOOSE( CONTROL!$C$32, 6.4472, 6.4424) * CHOOSE(CONTROL!$C$15, $D$11, 100%, $F$11)</f>
        <v>6.4471999999999996</v>
      </c>
      <c r="I142" s="8">
        <f>CHOOSE( CONTROL!$C$32, 5.5121, 5.5074) * CHOOSE(CONTROL!$C$15, $D$11, 100%, $F$11)</f>
        <v>5.5121000000000002</v>
      </c>
      <c r="J142" s="4">
        <f>CHOOSE( CONTROL!$C$32, 5.4137, 5.4089) * CHOOSE(CONTROL!$C$15, $D$11, 100%, $F$11)</f>
        <v>5.4137000000000004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5.8732, 5.8683) * CHOOSE(CONTROL!$C$15, $D$11, 100%, $F$11)</f>
        <v>5.8731999999999998</v>
      </c>
      <c r="C143" s="8">
        <f>CHOOSE( CONTROL!$C$32, 5.8812, 5.8763) * CHOOSE(CONTROL!$C$15, $D$11, 100%, $F$11)</f>
        <v>5.8811999999999998</v>
      </c>
      <c r="D143" s="8">
        <f>CHOOSE( CONTROL!$C$32, 5.891, 5.8861) * CHOOSE( CONTROL!$C$15, $D$11, 100%, $F$11)</f>
        <v>5.891</v>
      </c>
      <c r="E143" s="12">
        <f>CHOOSE( CONTROL!$C$32, 5.8862, 5.8813) * CHOOSE( CONTROL!$C$15, $D$11, 100%, $F$11)</f>
        <v>5.8861999999999997</v>
      </c>
      <c r="F143" s="4">
        <f>CHOOSE( CONTROL!$C$32, 6.5641, 6.5592) * CHOOSE(CONTROL!$C$15, $D$11, 100%, $F$11)</f>
        <v>6.5640999999999998</v>
      </c>
      <c r="G143" s="8">
        <f>CHOOSE( CONTROL!$C$32, 5.7474, 5.7426) * CHOOSE( CONTROL!$C$15, $D$11, 100%, $F$11)</f>
        <v>5.7473999999999998</v>
      </c>
      <c r="H143" s="4">
        <f>CHOOSE( CONTROL!$C$32, 6.684, 6.6792) * CHOOSE(CONTROL!$C$15, $D$11, 100%, $F$11)</f>
        <v>6.6840000000000002</v>
      </c>
      <c r="I143" s="8">
        <f>CHOOSE( CONTROL!$C$32, 5.746, 5.7413) * CHOOSE(CONTROL!$C$15, $D$11, 100%, $F$11)</f>
        <v>5.7460000000000004</v>
      </c>
      <c r="J143" s="4">
        <f>CHOOSE( CONTROL!$C$32, 5.6464, 5.6417) * CHOOSE(CONTROL!$C$15, $D$11, 100%, $F$11)</f>
        <v>5.6463999999999999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5.4227, 5.4178) * CHOOSE(CONTROL!$C$15, $D$11, 100%, $F$11)</f>
        <v>5.4226999999999999</v>
      </c>
      <c r="C144" s="8">
        <f>CHOOSE( CONTROL!$C$32, 5.4307, 5.4258) * CHOOSE(CONTROL!$C$15, $D$11, 100%, $F$11)</f>
        <v>5.4306999999999999</v>
      </c>
      <c r="D144" s="8">
        <f>CHOOSE( CONTROL!$C$32, 5.4406, 5.4357) * CHOOSE( CONTROL!$C$15, $D$11, 100%, $F$11)</f>
        <v>5.4405999999999999</v>
      </c>
      <c r="E144" s="12">
        <f>CHOOSE( CONTROL!$C$32, 5.4358, 5.4309) * CHOOSE( CONTROL!$C$15, $D$11, 100%, $F$11)</f>
        <v>5.4358000000000004</v>
      </c>
      <c r="F144" s="4">
        <f>CHOOSE( CONTROL!$C$32, 6.1136, 6.1087) * CHOOSE(CONTROL!$C$15, $D$11, 100%, $F$11)</f>
        <v>6.1135999999999999</v>
      </c>
      <c r="G144" s="8">
        <f>CHOOSE( CONTROL!$C$32, 5.3044, 5.2996) * CHOOSE( CONTROL!$C$15, $D$11, 100%, $F$11)</f>
        <v>5.3044000000000002</v>
      </c>
      <c r="H144" s="4">
        <f>CHOOSE( CONTROL!$C$32, 6.241, 6.2362) * CHOOSE(CONTROL!$C$15, $D$11, 100%, $F$11)</f>
        <v>6.2409999999999997</v>
      </c>
      <c r="I144" s="8">
        <f>CHOOSE( CONTROL!$C$32, 5.3107, 5.3059) * CHOOSE(CONTROL!$C$15, $D$11, 100%, $F$11)</f>
        <v>5.3106999999999998</v>
      </c>
      <c r="J144" s="4">
        <f>CHOOSE( CONTROL!$C$32, 5.2109, 5.2062) * CHOOSE(CONTROL!$C$15, $D$11, 100%, $F$11)</f>
        <v>5.2108999999999996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5.3099, 5.305) * CHOOSE(CONTROL!$C$15, $D$11, 100%, $F$11)</f>
        <v>5.3098999999999998</v>
      </c>
      <c r="C145" s="8">
        <f>CHOOSE( CONTROL!$C$32, 5.3179, 5.313) * CHOOSE(CONTROL!$C$15, $D$11, 100%, $F$11)</f>
        <v>5.3178999999999998</v>
      </c>
      <c r="D145" s="8">
        <f>CHOOSE( CONTROL!$C$32, 5.3277, 5.3228) * CHOOSE( CONTROL!$C$15, $D$11, 100%, $F$11)</f>
        <v>5.3277000000000001</v>
      </c>
      <c r="E145" s="12">
        <f>CHOOSE( CONTROL!$C$32, 5.3229, 5.318) * CHOOSE( CONTROL!$C$15, $D$11, 100%, $F$11)</f>
        <v>5.3228999999999997</v>
      </c>
      <c r="F145" s="4">
        <f>CHOOSE( CONTROL!$C$32, 6.0008, 5.9959) * CHOOSE(CONTROL!$C$15, $D$11, 100%, $F$11)</f>
        <v>6.0007999999999999</v>
      </c>
      <c r="G145" s="8">
        <f>CHOOSE( CONTROL!$C$32, 5.1935, 5.1886) * CHOOSE( CONTROL!$C$15, $D$11, 100%, $F$11)</f>
        <v>5.1935000000000002</v>
      </c>
      <c r="H145" s="4">
        <f>CHOOSE( CONTROL!$C$32, 6.13, 6.1252) * CHOOSE(CONTROL!$C$15, $D$11, 100%, $F$11)</f>
        <v>6.13</v>
      </c>
      <c r="I145" s="8">
        <f>CHOOSE( CONTROL!$C$32, 5.2014, 5.1967) * CHOOSE(CONTROL!$C$15, $D$11, 100%, $F$11)</f>
        <v>5.2013999999999996</v>
      </c>
      <c r="J145" s="4">
        <f>CHOOSE( CONTROL!$C$32, 5.1019, 5.0971) * CHOOSE(CONTROL!$C$15, $D$11, 100%, $F$11)</f>
        <v>5.1018999999999997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5.5375 * CHOOSE(CONTROL!$C$15, $D$11, 100%, $F$11)</f>
        <v>5.5374999999999996</v>
      </c>
      <c r="C146" s="8">
        <f>5.5429 * CHOOSE(CONTROL!$C$15, $D$11, 100%, $F$11)</f>
        <v>5.5429000000000004</v>
      </c>
      <c r="D146" s="8">
        <f>5.5574 * CHOOSE( CONTROL!$C$15, $D$11, 100%, $F$11)</f>
        <v>5.5574000000000003</v>
      </c>
      <c r="E146" s="12">
        <f>5.552 * CHOOSE( CONTROL!$C$15, $D$11, 100%, $F$11)</f>
        <v>5.5519999999999996</v>
      </c>
      <c r="F146" s="4">
        <f>6.2301 * CHOOSE(CONTROL!$C$15, $D$11, 100%, $F$11)</f>
        <v>6.2301000000000002</v>
      </c>
      <c r="G146" s="8">
        <f>5.4182 * CHOOSE( CONTROL!$C$15, $D$11, 100%, $F$11)</f>
        <v>5.4181999999999997</v>
      </c>
      <c r="H146" s="4">
        <f>6.3556 * CHOOSE(CONTROL!$C$15, $D$11, 100%, $F$11)</f>
        <v>6.3555999999999999</v>
      </c>
      <c r="I146" s="8">
        <f>5.424 * CHOOSE(CONTROL!$C$15, $D$11, 100%, $F$11)</f>
        <v>5.4240000000000004</v>
      </c>
      <c r="J146" s="4">
        <f>5.3236 * CHOOSE(CONTROL!$C$15, $D$11, 100%, $F$11)</f>
        <v>5.3235999999999999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5.9695 * CHOOSE(CONTROL!$C$15, $D$11, 100%, $F$11)</f>
        <v>5.9695</v>
      </c>
      <c r="C147" s="8">
        <f>5.9746 * CHOOSE(CONTROL!$C$15, $D$11, 100%, $F$11)</f>
        <v>5.9745999999999997</v>
      </c>
      <c r="D147" s="8">
        <f>5.9515 * CHOOSE( CONTROL!$C$15, $D$11, 100%, $F$11)</f>
        <v>5.9515000000000002</v>
      </c>
      <c r="E147" s="12">
        <f>5.9594 * CHOOSE( CONTROL!$C$15, $D$11, 100%, $F$11)</f>
        <v>5.9593999999999996</v>
      </c>
      <c r="F147" s="4">
        <f>6.6144 * CHOOSE(CONTROL!$C$15, $D$11, 100%, $F$11)</f>
        <v>6.6143999999999998</v>
      </c>
      <c r="G147" s="8">
        <f>5.8514 * CHOOSE( CONTROL!$C$15, $D$11, 100%, $F$11)</f>
        <v>5.8513999999999999</v>
      </c>
      <c r="H147" s="4">
        <f>6.7334 * CHOOSE(CONTROL!$C$15, $D$11, 100%, $F$11)</f>
        <v>6.7333999999999996</v>
      </c>
      <c r="I147" s="8">
        <f>5.8669 * CHOOSE(CONTROL!$C$15, $D$11, 100%, $F$11)</f>
        <v>5.8669000000000002</v>
      </c>
      <c r="J147" s="4">
        <f>5.7415 * CHOOSE(CONTROL!$C$15, $D$11, 100%, $F$11)</f>
        <v>5.7415000000000003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5.9587 * CHOOSE(CONTROL!$C$15, $D$11, 100%, $F$11)</f>
        <v>5.9587000000000003</v>
      </c>
      <c r="C148" s="8">
        <f>5.9638 * CHOOSE(CONTROL!$C$15, $D$11, 100%, $F$11)</f>
        <v>5.9638</v>
      </c>
      <c r="D148" s="8">
        <f>5.9423 * CHOOSE( CONTROL!$C$15, $D$11, 100%, $F$11)</f>
        <v>5.9423000000000004</v>
      </c>
      <c r="E148" s="12">
        <f>5.9496 * CHOOSE( CONTROL!$C$15, $D$11, 100%, $F$11)</f>
        <v>5.9496000000000002</v>
      </c>
      <c r="F148" s="4">
        <f>6.6036 * CHOOSE(CONTROL!$C$15, $D$11, 100%, $F$11)</f>
        <v>6.6036000000000001</v>
      </c>
      <c r="G148" s="8">
        <f>5.8419 * CHOOSE( CONTROL!$C$15, $D$11, 100%, $F$11)</f>
        <v>5.8418999999999999</v>
      </c>
      <c r="H148" s="4">
        <f>6.7228 * CHOOSE(CONTROL!$C$15, $D$11, 100%, $F$11)</f>
        <v>6.7228000000000003</v>
      </c>
      <c r="I148" s="8">
        <f>5.8614 * CHOOSE(CONTROL!$C$15, $D$11, 100%, $F$11)</f>
        <v>5.8613999999999997</v>
      </c>
      <c r="J148" s="4">
        <f>5.7311 * CHOOSE(CONTROL!$C$15, $D$11, 100%, $F$11)</f>
        <v>5.7310999999999996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6.1794 * CHOOSE(CONTROL!$C$15, $D$11, 100%, $F$11)</f>
        <v>6.1794000000000002</v>
      </c>
      <c r="C149" s="8">
        <f>6.1845 * CHOOSE(CONTROL!$C$15, $D$11, 100%, $F$11)</f>
        <v>6.1844999999999999</v>
      </c>
      <c r="D149" s="8">
        <f>6.1591 * CHOOSE( CONTROL!$C$15, $D$11, 100%, $F$11)</f>
        <v>6.1590999999999996</v>
      </c>
      <c r="E149" s="12">
        <f>6.1678 * CHOOSE( CONTROL!$C$15, $D$11, 100%, $F$11)</f>
        <v>6.1677999999999997</v>
      </c>
      <c r="F149" s="4">
        <f>6.8217 * CHOOSE(CONTROL!$C$15, $D$11, 100%, $F$11)</f>
        <v>6.8216999999999999</v>
      </c>
      <c r="G149" s="8">
        <f>6.0537 * CHOOSE( CONTROL!$C$15, $D$11, 100%, $F$11)</f>
        <v>6.0537000000000001</v>
      </c>
      <c r="H149" s="4">
        <f>6.9374 * CHOOSE(CONTROL!$C$15, $D$11, 100%, $F$11)</f>
        <v>6.9374000000000002</v>
      </c>
      <c r="I149" s="8">
        <f>6.0552 * CHOOSE(CONTROL!$C$15, $D$11, 100%, $F$11)</f>
        <v>6.0552000000000001</v>
      </c>
      <c r="J149" s="4">
        <f>5.9445 * CHOOSE(CONTROL!$C$15, $D$11, 100%, $F$11)</f>
        <v>5.9444999999999997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5.7819 * CHOOSE(CONTROL!$C$15, $D$11, 100%, $F$11)</f>
        <v>5.7819000000000003</v>
      </c>
      <c r="C150" s="8">
        <f>5.787 * CHOOSE(CONTROL!$C$15, $D$11, 100%, $F$11)</f>
        <v>5.7869999999999999</v>
      </c>
      <c r="D150" s="8">
        <f>5.7617 * CHOOSE( CONTROL!$C$15, $D$11, 100%, $F$11)</f>
        <v>5.7617000000000003</v>
      </c>
      <c r="E150" s="12">
        <f>5.7704 * CHOOSE( CONTROL!$C$15, $D$11, 100%, $F$11)</f>
        <v>5.7704000000000004</v>
      </c>
      <c r="F150" s="4">
        <f>6.4242 * CHOOSE(CONTROL!$C$15, $D$11, 100%, $F$11)</f>
        <v>6.4241999999999999</v>
      </c>
      <c r="G150" s="8">
        <f>5.6628 * CHOOSE( CONTROL!$C$15, $D$11, 100%, $F$11)</f>
        <v>5.6627999999999998</v>
      </c>
      <c r="H150" s="4">
        <f>6.5464 * CHOOSE(CONTROL!$C$15, $D$11, 100%, $F$11)</f>
        <v>6.5464000000000002</v>
      </c>
      <c r="I150" s="8">
        <f>5.6709 * CHOOSE(CONTROL!$C$15, $D$11, 100%, $F$11)</f>
        <v>5.6708999999999996</v>
      </c>
      <c r="J150" s="4">
        <f>5.5602 * CHOOSE(CONTROL!$C$15, $D$11, 100%, $F$11)</f>
        <v>5.5602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5.6594 * CHOOSE(CONTROL!$C$15, $D$11, 100%, $F$11)</f>
        <v>5.6593999999999998</v>
      </c>
      <c r="C151" s="8">
        <f>5.6646 * CHOOSE(CONTROL!$C$15, $D$11, 100%, $F$11)</f>
        <v>5.6646000000000001</v>
      </c>
      <c r="D151" s="8">
        <f>5.639 * CHOOSE( CONTROL!$C$15, $D$11, 100%, $F$11)</f>
        <v>5.6390000000000002</v>
      </c>
      <c r="E151" s="12">
        <f>5.6478 * CHOOSE( CONTROL!$C$15, $D$11, 100%, $F$11)</f>
        <v>5.6478000000000002</v>
      </c>
      <c r="F151" s="4">
        <f>6.3017 * CHOOSE(CONTROL!$C$15, $D$11, 100%, $F$11)</f>
        <v>6.3017000000000003</v>
      </c>
      <c r="G151" s="8">
        <f>5.5422 * CHOOSE( CONTROL!$C$15, $D$11, 100%, $F$11)</f>
        <v>5.5422000000000002</v>
      </c>
      <c r="H151" s="4">
        <f>6.426 * CHOOSE(CONTROL!$C$15, $D$11, 100%, $F$11)</f>
        <v>6.4260000000000002</v>
      </c>
      <c r="I151" s="8">
        <f>5.5517 * CHOOSE(CONTROL!$C$15, $D$11, 100%, $F$11)</f>
        <v>5.5517000000000003</v>
      </c>
      <c r="J151" s="4">
        <f>5.4418 * CHOOSE(CONTROL!$C$15, $D$11, 100%, $F$11)</f>
        <v>5.4417999999999997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5.7458 * CHOOSE(CONTROL!$C$15, $D$11, 100%, $F$11)</f>
        <v>5.7458</v>
      </c>
      <c r="C152" s="8">
        <f>5.7503 * CHOOSE(CONTROL!$C$15, $D$11, 100%, $F$11)</f>
        <v>5.7503000000000002</v>
      </c>
      <c r="D152" s="8">
        <f>5.7646 * CHOOSE( CONTROL!$C$15, $D$11, 100%, $F$11)</f>
        <v>5.7645999999999997</v>
      </c>
      <c r="E152" s="12">
        <f>5.7594 * CHOOSE( CONTROL!$C$15, $D$11, 100%, $F$11)</f>
        <v>5.7594000000000003</v>
      </c>
      <c r="F152" s="4">
        <f>6.438 * CHOOSE(CONTROL!$C$15, $D$11, 100%, $F$11)</f>
        <v>6.4379999999999997</v>
      </c>
      <c r="G152" s="8">
        <f>5.6216 * CHOOSE( CONTROL!$C$15, $D$11, 100%, $F$11)</f>
        <v>5.6215999999999999</v>
      </c>
      <c r="H152" s="4">
        <f>6.56 * CHOOSE(CONTROL!$C$15, $D$11, 100%, $F$11)</f>
        <v>6.56</v>
      </c>
      <c r="I152" s="8">
        <f>5.6216 * CHOOSE(CONTROL!$C$15, $D$11, 100%, $F$11)</f>
        <v>5.6215999999999999</v>
      </c>
      <c r="J152" s="4">
        <f>5.5245 * CHOOSE(CONTROL!$C$15, $D$11, 100%, $F$11)</f>
        <v>5.5244999999999997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5.9043, 5.8994) * CHOOSE(CONTROL!$C$15, $D$11, 100%, $F$11)</f>
        <v>5.9043000000000001</v>
      </c>
      <c r="C153" s="8">
        <f>CHOOSE( CONTROL!$C$32, 5.9123, 5.9074) * CHOOSE(CONTROL!$C$15, $D$11, 100%, $F$11)</f>
        <v>5.9123000000000001</v>
      </c>
      <c r="D153" s="8">
        <f>CHOOSE( CONTROL!$C$32, 5.9216, 5.9167) * CHOOSE( CONTROL!$C$15, $D$11, 100%, $F$11)</f>
        <v>5.9215999999999998</v>
      </c>
      <c r="E153" s="12">
        <f>CHOOSE( CONTROL!$C$32, 5.917, 5.9121) * CHOOSE( CONTROL!$C$15, $D$11, 100%, $F$11)</f>
        <v>5.9169999999999998</v>
      </c>
      <c r="F153" s="4">
        <f>CHOOSE( CONTROL!$C$32, 6.5951, 6.5903) * CHOOSE(CONTROL!$C$15, $D$11, 100%, $F$11)</f>
        <v>6.5951000000000004</v>
      </c>
      <c r="G153" s="8">
        <f>CHOOSE( CONTROL!$C$32, 5.7773, 5.7725) * CHOOSE( CONTROL!$C$15, $D$11, 100%, $F$11)</f>
        <v>5.7773000000000003</v>
      </c>
      <c r="H153" s="4">
        <f>CHOOSE( CONTROL!$C$32, 6.7146, 6.7097) * CHOOSE(CONTROL!$C$15, $D$11, 100%, $F$11)</f>
        <v>6.7145999999999999</v>
      </c>
      <c r="I153" s="8">
        <f>CHOOSE( CONTROL!$C$32, 5.774, 5.7693) * CHOOSE(CONTROL!$C$15, $D$11, 100%, $F$11)</f>
        <v>5.774</v>
      </c>
      <c r="J153" s="4">
        <f>CHOOSE( CONTROL!$C$32, 5.6764, 5.6717) * CHOOSE(CONTROL!$C$15, $D$11, 100%, $F$11)</f>
        <v>5.6764000000000001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5.81, 5.8051) * CHOOSE(CONTROL!$C$15, $D$11, 100%, $F$11)</f>
        <v>5.81</v>
      </c>
      <c r="C154" s="8">
        <f>CHOOSE( CONTROL!$C$32, 5.818, 5.8131) * CHOOSE(CONTROL!$C$15, $D$11, 100%, $F$11)</f>
        <v>5.8179999999999996</v>
      </c>
      <c r="D154" s="8">
        <f>CHOOSE( CONTROL!$C$32, 5.8275, 5.8226) * CHOOSE( CONTROL!$C$15, $D$11, 100%, $F$11)</f>
        <v>5.8274999999999997</v>
      </c>
      <c r="E154" s="12">
        <f>CHOOSE( CONTROL!$C$32, 5.8228, 5.8179) * CHOOSE( CONTROL!$C$15, $D$11, 100%, $F$11)</f>
        <v>5.8228</v>
      </c>
      <c r="F154" s="4">
        <f>CHOOSE( CONTROL!$C$32, 6.5008, 6.4959) * CHOOSE(CONTROL!$C$15, $D$11, 100%, $F$11)</f>
        <v>6.5007999999999999</v>
      </c>
      <c r="G154" s="8">
        <f>CHOOSE( CONTROL!$C$32, 5.6848, 5.68) * CHOOSE( CONTROL!$C$15, $D$11, 100%, $F$11)</f>
        <v>5.6848000000000001</v>
      </c>
      <c r="H154" s="4">
        <f>CHOOSE( CONTROL!$C$32, 6.6218, 6.617) * CHOOSE(CONTROL!$C$15, $D$11, 100%, $F$11)</f>
        <v>6.6218000000000004</v>
      </c>
      <c r="I154" s="8">
        <f>CHOOSE( CONTROL!$C$32, 5.6838, 5.6791) * CHOOSE(CONTROL!$C$15, $D$11, 100%, $F$11)</f>
        <v>5.6837999999999997</v>
      </c>
      <c r="J154" s="4">
        <f>CHOOSE( CONTROL!$C$32, 5.5853, 5.5805) * CHOOSE(CONTROL!$C$15, $D$11, 100%, $F$11)</f>
        <v>5.5853000000000002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6.0584, 6.0535) * CHOOSE(CONTROL!$C$15, $D$11, 100%, $F$11)</f>
        <v>6.0583999999999998</v>
      </c>
      <c r="C155" s="8">
        <f>CHOOSE( CONTROL!$C$32, 6.0664, 6.0615) * CHOOSE(CONTROL!$C$15, $D$11, 100%, $F$11)</f>
        <v>6.0663999999999998</v>
      </c>
      <c r="D155" s="8">
        <f>CHOOSE( CONTROL!$C$32, 6.0761, 6.0712) * CHOOSE( CONTROL!$C$15, $D$11, 100%, $F$11)</f>
        <v>6.0761000000000003</v>
      </c>
      <c r="E155" s="12">
        <f>CHOOSE( CONTROL!$C$32, 6.0714, 6.0665) * CHOOSE( CONTROL!$C$15, $D$11, 100%, $F$11)</f>
        <v>6.0713999999999997</v>
      </c>
      <c r="F155" s="4">
        <f>CHOOSE( CONTROL!$C$32, 6.7492, 6.7443) * CHOOSE(CONTROL!$C$15, $D$11, 100%, $F$11)</f>
        <v>6.7492000000000001</v>
      </c>
      <c r="G155" s="8">
        <f>CHOOSE( CONTROL!$C$32, 5.9294, 5.9246) * CHOOSE( CONTROL!$C$15, $D$11, 100%, $F$11)</f>
        <v>5.9294000000000002</v>
      </c>
      <c r="H155" s="4">
        <f>CHOOSE( CONTROL!$C$32, 6.8661, 6.8613) * CHOOSE(CONTROL!$C$15, $D$11, 100%, $F$11)</f>
        <v>6.8661000000000003</v>
      </c>
      <c r="I155" s="8">
        <f>CHOOSE( CONTROL!$C$32, 5.9251, 5.9204) * CHOOSE(CONTROL!$C$15, $D$11, 100%, $F$11)</f>
        <v>5.9250999999999996</v>
      </c>
      <c r="J155" s="4">
        <f>CHOOSE( CONTROL!$C$32, 5.8254, 5.8207) * CHOOSE(CONTROL!$C$15, $D$11, 100%, $F$11)</f>
        <v>5.8254000000000001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5.5936, 5.5887) * CHOOSE(CONTROL!$C$15, $D$11, 100%, $F$11)</f>
        <v>5.5936000000000003</v>
      </c>
      <c r="C156" s="8">
        <f>CHOOSE( CONTROL!$C$32, 5.6016, 5.5967) * CHOOSE(CONTROL!$C$15, $D$11, 100%, $F$11)</f>
        <v>5.6016000000000004</v>
      </c>
      <c r="D156" s="8">
        <f>CHOOSE( CONTROL!$C$32, 5.6114, 5.6065) * CHOOSE( CONTROL!$C$15, $D$11, 100%, $F$11)</f>
        <v>5.6113999999999997</v>
      </c>
      <c r="E156" s="12">
        <f>CHOOSE( CONTROL!$C$32, 5.6066, 5.6017) * CHOOSE( CONTROL!$C$15, $D$11, 100%, $F$11)</f>
        <v>5.6066000000000003</v>
      </c>
      <c r="F156" s="4">
        <f>CHOOSE( CONTROL!$C$32, 6.2844, 6.2795) * CHOOSE(CONTROL!$C$15, $D$11, 100%, $F$11)</f>
        <v>6.2843999999999998</v>
      </c>
      <c r="G156" s="8">
        <f>CHOOSE( CONTROL!$C$32, 5.4725, 5.4677) * CHOOSE( CONTROL!$C$15, $D$11, 100%, $F$11)</f>
        <v>5.4725000000000001</v>
      </c>
      <c r="H156" s="4">
        <f>CHOOSE( CONTROL!$C$32, 6.409, 6.4042) * CHOOSE(CONTROL!$C$15, $D$11, 100%, $F$11)</f>
        <v>6.4089999999999998</v>
      </c>
      <c r="I156" s="8">
        <f>CHOOSE( CONTROL!$C$32, 5.4759, 5.4712) * CHOOSE(CONTROL!$C$15, $D$11, 100%, $F$11)</f>
        <v>5.4759000000000002</v>
      </c>
      <c r="J156" s="4">
        <f>CHOOSE( CONTROL!$C$32, 5.3761, 5.3713) * CHOOSE(CONTROL!$C$15, $D$11, 100%, $F$11)</f>
        <v>5.3761000000000001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5.4772, 5.4723) * CHOOSE(CONTROL!$C$15, $D$11, 100%, $F$11)</f>
        <v>5.4771999999999998</v>
      </c>
      <c r="C157" s="8">
        <f>CHOOSE( CONTROL!$C$32, 5.4852, 5.4803) * CHOOSE(CONTROL!$C$15, $D$11, 100%, $F$11)</f>
        <v>5.4851999999999999</v>
      </c>
      <c r="D157" s="8">
        <f>CHOOSE( CONTROL!$C$32, 5.495, 5.4901) * CHOOSE( CONTROL!$C$15, $D$11, 100%, $F$11)</f>
        <v>5.4950000000000001</v>
      </c>
      <c r="E157" s="12">
        <f>CHOOSE( CONTROL!$C$32, 5.4902, 5.4853) * CHOOSE( CONTROL!$C$15, $D$11, 100%, $F$11)</f>
        <v>5.4901999999999997</v>
      </c>
      <c r="F157" s="4">
        <f>CHOOSE( CONTROL!$C$32, 6.168, 6.1632) * CHOOSE(CONTROL!$C$15, $D$11, 100%, $F$11)</f>
        <v>6.1680000000000001</v>
      </c>
      <c r="G157" s="8">
        <f>CHOOSE( CONTROL!$C$32, 5.358, 5.3531) * CHOOSE( CONTROL!$C$15, $D$11, 100%, $F$11)</f>
        <v>5.3579999999999997</v>
      </c>
      <c r="H157" s="4">
        <f>CHOOSE( CONTROL!$C$32, 6.2945, 6.2897) * CHOOSE(CONTROL!$C$15, $D$11, 100%, $F$11)</f>
        <v>6.2945000000000002</v>
      </c>
      <c r="I157" s="8">
        <f>CHOOSE( CONTROL!$C$32, 5.3632, 5.3584) * CHOOSE(CONTROL!$C$15, $D$11, 100%, $F$11)</f>
        <v>5.3632</v>
      </c>
      <c r="J157" s="4">
        <f>CHOOSE( CONTROL!$C$32, 5.2636, 5.2588) * CHOOSE(CONTROL!$C$15, $D$11, 100%, $F$11)</f>
        <v>5.2636000000000003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5.7122 * CHOOSE(CONTROL!$C$15, $D$11, 100%, $F$11)</f>
        <v>5.7122000000000002</v>
      </c>
      <c r="C158" s="8">
        <f>5.7176 * CHOOSE(CONTROL!$C$15, $D$11, 100%, $F$11)</f>
        <v>5.7176</v>
      </c>
      <c r="D158" s="8">
        <f>5.7321 * CHOOSE( CONTROL!$C$15, $D$11, 100%, $F$11)</f>
        <v>5.7321</v>
      </c>
      <c r="E158" s="12">
        <f>5.7267 * CHOOSE( CONTROL!$C$15, $D$11, 100%, $F$11)</f>
        <v>5.7267000000000001</v>
      </c>
      <c r="F158" s="4">
        <f>6.4048 * CHOOSE(CONTROL!$C$15, $D$11, 100%, $F$11)</f>
        <v>6.4047999999999998</v>
      </c>
      <c r="G158" s="8">
        <f>5.5901 * CHOOSE( CONTROL!$C$15, $D$11, 100%, $F$11)</f>
        <v>5.5900999999999996</v>
      </c>
      <c r="H158" s="4">
        <f>6.5274 * CHOOSE(CONTROL!$C$15, $D$11, 100%, $F$11)</f>
        <v>6.5274000000000001</v>
      </c>
      <c r="I158" s="8">
        <f>5.593 * CHOOSE(CONTROL!$C$15, $D$11, 100%, $F$11)</f>
        <v>5.593</v>
      </c>
      <c r="J158" s="4">
        <f>5.4925 * CHOOSE(CONTROL!$C$15, $D$11, 100%, $F$11)</f>
        <v>5.4924999999999997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6.1579 * CHOOSE(CONTROL!$C$15, $D$11, 100%, $F$11)</f>
        <v>6.1578999999999997</v>
      </c>
      <c r="C159" s="8">
        <f>6.163 * CHOOSE(CONTROL!$C$15, $D$11, 100%, $F$11)</f>
        <v>6.1630000000000003</v>
      </c>
      <c r="D159" s="8">
        <f>6.14 * CHOOSE( CONTROL!$C$15, $D$11, 100%, $F$11)</f>
        <v>6.14</v>
      </c>
      <c r="E159" s="12">
        <f>6.1479 * CHOOSE( CONTROL!$C$15, $D$11, 100%, $F$11)</f>
        <v>6.1478999999999999</v>
      </c>
      <c r="F159" s="4">
        <f>6.8028 * CHOOSE(CONTROL!$C$15, $D$11, 100%, $F$11)</f>
        <v>6.8028000000000004</v>
      </c>
      <c r="G159" s="8">
        <f>6.0367 * CHOOSE( CONTROL!$C$15, $D$11, 100%, $F$11)</f>
        <v>6.0366999999999997</v>
      </c>
      <c r="H159" s="4">
        <f>6.9187 * CHOOSE(CONTROL!$C$15, $D$11, 100%, $F$11)</f>
        <v>6.9187000000000003</v>
      </c>
      <c r="I159" s="8">
        <f>6.0491 * CHOOSE(CONTROL!$C$15, $D$11, 100%, $F$11)</f>
        <v>6.0491000000000001</v>
      </c>
      <c r="J159" s="4">
        <f>5.9237 * CHOOSE(CONTROL!$C$15, $D$11, 100%, $F$11)</f>
        <v>5.9237000000000002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6.1467 * CHOOSE(CONTROL!$C$15, $D$11, 100%, $F$11)</f>
        <v>6.1467000000000001</v>
      </c>
      <c r="C160" s="8">
        <f>6.1519 * CHOOSE(CONTROL!$C$15, $D$11, 100%, $F$11)</f>
        <v>6.1519000000000004</v>
      </c>
      <c r="D160" s="8">
        <f>6.1304 * CHOOSE( CONTROL!$C$15, $D$11, 100%, $F$11)</f>
        <v>6.1303999999999998</v>
      </c>
      <c r="E160" s="12">
        <f>6.1377 * CHOOSE( CONTROL!$C$15, $D$11, 100%, $F$11)</f>
        <v>6.1376999999999997</v>
      </c>
      <c r="F160" s="4">
        <f>6.7916 * CHOOSE(CONTROL!$C$15, $D$11, 100%, $F$11)</f>
        <v>6.7915999999999999</v>
      </c>
      <c r="G160" s="8">
        <f>6.0269 * CHOOSE( CONTROL!$C$15, $D$11, 100%, $F$11)</f>
        <v>6.0269000000000004</v>
      </c>
      <c r="H160" s="4">
        <f>6.9078 * CHOOSE(CONTROL!$C$15, $D$11, 100%, $F$11)</f>
        <v>6.9077999999999999</v>
      </c>
      <c r="I160" s="8">
        <f>6.0433 * CHOOSE(CONTROL!$C$15, $D$11, 100%, $F$11)</f>
        <v>6.0433000000000003</v>
      </c>
      <c r="J160" s="4">
        <f>5.9129 * CHOOSE(CONTROL!$C$15, $D$11, 100%, $F$11)</f>
        <v>5.9128999999999996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6.3737 * CHOOSE(CONTROL!$C$15, $D$11, 100%, $F$11)</f>
        <v>6.3737000000000004</v>
      </c>
      <c r="C161" s="8">
        <f>6.3788 * CHOOSE(CONTROL!$C$15, $D$11, 100%, $F$11)</f>
        <v>6.3788</v>
      </c>
      <c r="D161" s="8">
        <f>6.3534 * CHOOSE( CONTROL!$C$15, $D$11, 100%, $F$11)</f>
        <v>6.3533999999999997</v>
      </c>
      <c r="E161" s="12">
        <f>6.3621 * CHOOSE( CONTROL!$C$15, $D$11, 100%, $F$11)</f>
        <v>6.3620999999999999</v>
      </c>
      <c r="F161" s="4">
        <f>7.016 * CHOOSE(CONTROL!$C$15, $D$11, 100%, $F$11)</f>
        <v>7.016</v>
      </c>
      <c r="G161" s="8">
        <f>6.2447 * CHOOSE( CONTROL!$C$15, $D$11, 100%, $F$11)</f>
        <v>6.2446999999999999</v>
      </c>
      <c r="H161" s="4">
        <f>7.1284 * CHOOSE(CONTROL!$C$15, $D$11, 100%, $F$11)</f>
        <v>7.1284000000000001</v>
      </c>
      <c r="I161" s="8">
        <f>6.243 * CHOOSE(CONTROL!$C$15, $D$11, 100%, $F$11)</f>
        <v>6.2430000000000003</v>
      </c>
      <c r="J161" s="4">
        <f>6.1323 * CHOOSE(CONTROL!$C$15, $D$11, 100%, $F$11)</f>
        <v>6.1322999999999999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5.9636 * CHOOSE(CONTROL!$C$15, $D$11, 100%, $F$11)</f>
        <v>5.9635999999999996</v>
      </c>
      <c r="C162" s="8">
        <f>5.9687 * CHOOSE(CONTROL!$C$15, $D$11, 100%, $F$11)</f>
        <v>5.9687000000000001</v>
      </c>
      <c r="D162" s="8">
        <f>5.9434 * CHOOSE( CONTROL!$C$15, $D$11, 100%, $F$11)</f>
        <v>5.9433999999999996</v>
      </c>
      <c r="E162" s="12">
        <f>5.9521 * CHOOSE( CONTROL!$C$15, $D$11, 100%, $F$11)</f>
        <v>5.9520999999999997</v>
      </c>
      <c r="F162" s="4">
        <f>6.6059 * CHOOSE(CONTROL!$C$15, $D$11, 100%, $F$11)</f>
        <v>6.6059000000000001</v>
      </c>
      <c r="G162" s="8">
        <f>5.8415 * CHOOSE( CONTROL!$C$15, $D$11, 100%, $F$11)</f>
        <v>5.8414999999999999</v>
      </c>
      <c r="H162" s="4">
        <f>6.7251 * CHOOSE(CONTROL!$C$15, $D$11, 100%, $F$11)</f>
        <v>6.7251000000000003</v>
      </c>
      <c r="I162" s="8">
        <f>5.8467 * CHOOSE(CONTROL!$C$15, $D$11, 100%, $F$11)</f>
        <v>5.8467000000000002</v>
      </c>
      <c r="J162" s="4">
        <f>5.7358 * CHOOSE(CONTROL!$C$15, $D$11, 100%, $F$11)</f>
        <v>5.7358000000000002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5.8373 * CHOOSE(CONTROL!$C$15, $D$11, 100%, $F$11)</f>
        <v>5.8372999999999999</v>
      </c>
      <c r="C163" s="8">
        <f>5.8424 * CHOOSE(CONTROL!$C$15, $D$11, 100%, $F$11)</f>
        <v>5.8423999999999996</v>
      </c>
      <c r="D163" s="8">
        <f>5.8168 * CHOOSE( CONTROL!$C$15, $D$11, 100%, $F$11)</f>
        <v>5.8167999999999997</v>
      </c>
      <c r="E163" s="12">
        <f>5.8256 * CHOOSE( CONTROL!$C$15, $D$11, 100%, $F$11)</f>
        <v>5.8255999999999997</v>
      </c>
      <c r="F163" s="4">
        <f>6.4796 * CHOOSE(CONTROL!$C$15, $D$11, 100%, $F$11)</f>
        <v>6.4795999999999996</v>
      </c>
      <c r="G163" s="8">
        <f>5.7171 * CHOOSE( CONTROL!$C$15, $D$11, 100%, $F$11)</f>
        <v>5.7171000000000003</v>
      </c>
      <c r="H163" s="4">
        <f>6.6009 * CHOOSE(CONTROL!$C$15, $D$11, 100%, $F$11)</f>
        <v>6.6009000000000002</v>
      </c>
      <c r="I163" s="8">
        <f>5.7237 * CHOOSE(CONTROL!$C$15, $D$11, 100%, $F$11)</f>
        <v>5.7237</v>
      </c>
      <c r="J163" s="4">
        <f>5.6137 * CHOOSE(CONTROL!$C$15, $D$11, 100%, $F$11)</f>
        <v>5.6136999999999997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5.9263 * CHOOSE(CONTROL!$C$15, $D$11, 100%, $F$11)</f>
        <v>5.9263000000000003</v>
      </c>
      <c r="C164" s="8">
        <f>5.9308 * CHOOSE(CONTROL!$C$15, $D$11, 100%, $F$11)</f>
        <v>5.9307999999999996</v>
      </c>
      <c r="D164" s="8">
        <f>5.9452 * CHOOSE( CONTROL!$C$15, $D$11, 100%, $F$11)</f>
        <v>5.9451999999999998</v>
      </c>
      <c r="E164" s="12">
        <f>5.9399 * CHOOSE( CONTROL!$C$15, $D$11, 100%, $F$11)</f>
        <v>5.9398999999999997</v>
      </c>
      <c r="F164" s="4">
        <f>6.6185 * CHOOSE(CONTROL!$C$15, $D$11, 100%, $F$11)</f>
        <v>6.6185</v>
      </c>
      <c r="G164" s="8">
        <f>5.7991 * CHOOSE( CONTROL!$C$15, $D$11, 100%, $F$11)</f>
        <v>5.7991000000000001</v>
      </c>
      <c r="H164" s="4">
        <f>6.7375 * CHOOSE(CONTROL!$C$15, $D$11, 100%, $F$11)</f>
        <v>6.7374999999999998</v>
      </c>
      <c r="I164" s="8">
        <f>5.7962 * CHOOSE(CONTROL!$C$15, $D$11, 100%, $F$11)</f>
        <v>5.7961999999999998</v>
      </c>
      <c r="J164" s="4">
        <f>5.699 * CHOOSE(CONTROL!$C$15, $D$11, 100%, $F$11)</f>
        <v>5.6989999999999998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6.0896, 6.0847) * CHOOSE(CONTROL!$C$15, $D$11, 100%, $F$11)</f>
        <v>6.0895999999999999</v>
      </c>
      <c r="C165" s="8">
        <f>CHOOSE( CONTROL!$C$32, 6.0977, 6.0928) * CHOOSE(CONTROL!$C$15, $D$11, 100%, $F$11)</f>
        <v>6.0976999999999997</v>
      </c>
      <c r="D165" s="8">
        <f>CHOOSE( CONTROL!$C$32, 6.107, 6.1021) * CHOOSE( CONTROL!$C$15, $D$11, 100%, $F$11)</f>
        <v>6.1070000000000002</v>
      </c>
      <c r="E165" s="12">
        <f>CHOOSE( CONTROL!$C$32, 6.1024, 6.0975) * CHOOSE( CONTROL!$C$15, $D$11, 100%, $F$11)</f>
        <v>6.1024000000000003</v>
      </c>
      <c r="F165" s="4">
        <f>CHOOSE( CONTROL!$C$32, 6.7805, 6.7756) * CHOOSE(CONTROL!$C$15, $D$11, 100%, $F$11)</f>
        <v>6.7805</v>
      </c>
      <c r="G165" s="8">
        <f>CHOOSE( CONTROL!$C$32, 5.9595, 5.9547) * CHOOSE( CONTROL!$C$15, $D$11, 100%, $F$11)</f>
        <v>5.9595000000000002</v>
      </c>
      <c r="H165" s="4">
        <f>CHOOSE( CONTROL!$C$32, 6.8968, 6.892) * CHOOSE(CONTROL!$C$15, $D$11, 100%, $F$11)</f>
        <v>6.8967999999999998</v>
      </c>
      <c r="I165" s="8">
        <f>CHOOSE( CONTROL!$C$32, 5.9532, 5.9485) * CHOOSE(CONTROL!$C$15, $D$11, 100%, $F$11)</f>
        <v>5.9531999999999998</v>
      </c>
      <c r="J165" s="4">
        <f>CHOOSE( CONTROL!$C$32, 5.8556, 5.8509) * CHOOSE(CONTROL!$C$15, $D$11, 100%, $F$11)</f>
        <v>5.8555999999999999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5.9923, 5.9874) * CHOOSE(CONTROL!$C$15, $D$11, 100%, $F$11)</f>
        <v>5.9923000000000002</v>
      </c>
      <c r="C166" s="8">
        <f>CHOOSE( CONTROL!$C$32, 6.0003, 5.9955) * CHOOSE(CONTROL!$C$15, $D$11, 100%, $F$11)</f>
        <v>6.0003000000000002</v>
      </c>
      <c r="D166" s="8">
        <f>CHOOSE( CONTROL!$C$32, 6.0099, 6.005) * CHOOSE( CONTROL!$C$15, $D$11, 100%, $F$11)</f>
        <v>6.0099</v>
      </c>
      <c r="E166" s="12">
        <f>CHOOSE( CONTROL!$C$32, 6.0052, 6.0003) * CHOOSE( CONTROL!$C$15, $D$11, 100%, $F$11)</f>
        <v>6.0052000000000003</v>
      </c>
      <c r="F166" s="4">
        <f>CHOOSE( CONTROL!$C$32, 6.6832, 6.6783) * CHOOSE(CONTROL!$C$15, $D$11, 100%, $F$11)</f>
        <v>6.6832000000000003</v>
      </c>
      <c r="G166" s="8">
        <f>CHOOSE( CONTROL!$C$32, 5.8642, 5.8594) * CHOOSE( CONTROL!$C$15, $D$11, 100%, $F$11)</f>
        <v>5.8642000000000003</v>
      </c>
      <c r="H166" s="4">
        <f>CHOOSE( CONTROL!$C$32, 6.8011, 6.7963) * CHOOSE(CONTROL!$C$15, $D$11, 100%, $F$11)</f>
        <v>6.8010999999999999</v>
      </c>
      <c r="I166" s="8">
        <f>CHOOSE( CONTROL!$C$32, 5.8602, 5.8554) * CHOOSE(CONTROL!$C$15, $D$11, 100%, $F$11)</f>
        <v>5.8601999999999999</v>
      </c>
      <c r="J166" s="4">
        <f>CHOOSE( CONTROL!$C$32, 5.7616, 5.7568) * CHOOSE(CONTROL!$C$15, $D$11, 100%, $F$11)</f>
        <v>5.7615999999999996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6.2486, 6.2437) * CHOOSE(CONTROL!$C$15, $D$11, 100%, $F$11)</f>
        <v>6.2485999999999997</v>
      </c>
      <c r="C167" s="8">
        <f>CHOOSE( CONTROL!$C$32, 6.2566, 6.2517) * CHOOSE(CONTROL!$C$15, $D$11, 100%, $F$11)</f>
        <v>6.2565999999999997</v>
      </c>
      <c r="D167" s="8">
        <f>CHOOSE( CONTROL!$C$32, 6.2663, 6.2614) * CHOOSE( CONTROL!$C$15, $D$11, 100%, $F$11)</f>
        <v>6.2663000000000002</v>
      </c>
      <c r="E167" s="12">
        <f>CHOOSE( CONTROL!$C$32, 6.2616, 6.2567) * CHOOSE( CONTROL!$C$15, $D$11, 100%, $F$11)</f>
        <v>6.2615999999999996</v>
      </c>
      <c r="F167" s="4">
        <f>CHOOSE( CONTROL!$C$32, 6.9394, 6.9345) * CHOOSE(CONTROL!$C$15, $D$11, 100%, $F$11)</f>
        <v>6.9394</v>
      </c>
      <c r="G167" s="8">
        <f>CHOOSE( CONTROL!$C$32, 6.1165, 6.1117) * CHOOSE( CONTROL!$C$15, $D$11, 100%, $F$11)</f>
        <v>6.1165000000000003</v>
      </c>
      <c r="H167" s="4">
        <f>CHOOSE( CONTROL!$C$32, 7.0531, 7.0483) * CHOOSE(CONTROL!$C$15, $D$11, 100%, $F$11)</f>
        <v>7.0530999999999997</v>
      </c>
      <c r="I167" s="8">
        <f>CHOOSE( CONTROL!$C$32, 6.1091, 6.1043) * CHOOSE(CONTROL!$C$15, $D$11, 100%, $F$11)</f>
        <v>6.1090999999999998</v>
      </c>
      <c r="J167" s="4">
        <f>CHOOSE( CONTROL!$C$32, 6.0093, 6.0045) * CHOOSE(CONTROL!$C$15, $D$11, 100%, $F$11)</f>
        <v>6.0092999999999996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5.7691, 5.7642) * CHOOSE(CONTROL!$C$15, $D$11, 100%, $F$11)</f>
        <v>5.7690999999999999</v>
      </c>
      <c r="C168" s="8">
        <f>CHOOSE( CONTROL!$C$32, 5.7771, 5.7722) * CHOOSE(CONTROL!$C$15, $D$11, 100%, $F$11)</f>
        <v>5.7770999999999999</v>
      </c>
      <c r="D168" s="8">
        <f>CHOOSE( CONTROL!$C$32, 5.7869, 5.782) * CHOOSE( CONTROL!$C$15, $D$11, 100%, $F$11)</f>
        <v>5.7869000000000002</v>
      </c>
      <c r="E168" s="12">
        <f>CHOOSE( CONTROL!$C$32, 5.7821, 5.7772) * CHOOSE( CONTROL!$C$15, $D$11, 100%, $F$11)</f>
        <v>5.7820999999999998</v>
      </c>
      <c r="F168" s="4">
        <f>CHOOSE( CONTROL!$C$32, 6.46, 6.4551) * CHOOSE(CONTROL!$C$15, $D$11, 100%, $F$11)</f>
        <v>6.46</v>
      </c>
      <c r="G168" s="8">
        <f>CHOOSE( CONTROL!$C$32, 5.6451, 5.6403) * CHOOSE( CONTROL!$C$15, $D$11, 100%, $F$11)</f>
        <v>5.6451000000000002</v>
      </c>
      <c r="H168" s="4">
        <f>CHOOSE( CONTROL!$C$32, 6.5816, 6.5768) * CHOOSE(CONTROL!$C$15, $D$11, 100%, $F$11)</f>
        <v>6.5815999999999999</v>
      </c>
      <c r="I168" s="8">
        <f>CHOOSE( CONTROL!$C$32, 5.6457, 5.641) * CHOOSE(CONTROL!$C$15, $D$11, 100%, $F$11)</f>
        <v>5.6456999999999997</v>
      </c>
      <c r="J168" s="4">
        <f>CHOOSE( CONTROL!$C$32, 5.5458, 5.541) * CHOOSE(CONTROL!$C$15, $D$11, 100%, $F$11)</f>
        <v>5.5457999999999998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5.649, 5.6441) * CHOOSE(CONTROL!$C$15, $D$11, 100%, $F$11)</f>
        <v>5.649</v>
      </c>
      <c r="C169" s="8">
        <f>CHOOSE( CONTROL!$C$32, 5.6571, 5.6522) * CHOOSE(CONTROL!$C$15, $D$11, 100%, $F$11)</f>
        <v>5.6570999999999998</v>
      </c>
      <c r="D169" s="8">
        <f>CHOOSE( CONTROL!$C$32, 5.6668, 5.6619) * CHOOSE( CONTROL!$C$15, $D$11, 100%, $F$11)</f>
        <v>5.6668000000000003</v>
      </c>
      <c r="E169" s="12">
        <f>CHOOSE( CONTROL!$C$32, 5.6621, 5.6572) * CHOOSE( CONTROL!$C$15, $D$11, 100%, $F$11)</f>
        <v>5.6620999999999997</v>
      </c>
      <c r="F169" s="4">
        <f>CHOOSE( CONTROL!$C$32, 6.3399, 6.335) * CHOOSE(CONTROL!$C$15, $D$11, 100%, $F$11)</f>
        <v>6.3399000000000001</v>
      </c>
      <c r="G169" s="8">
        <f>CHOOSE( CONTROL!$C$32, 5.527, 5.5221) * CHOOSE( CONTROL!$C$15, $D$11, 100%, $F$11)</f>
        <v>5.5270000000000001</v>
      </c>
      <c r="H169" s="4">
        <f>CHOOSE( CONTROL!$C$32, 6.4635, 6.4587) * CHOOSE(CONTROL!$C$15, $D$11, 100%, $F$11)</f>
        <v>6.4634999999999998</v>
      </c>
      <c r="I169" s="8">
        <f>CHOOSE( CONTROL!$C$32, 5.5294, 5.5247) * CHOOSE(CONTROL!$C$15, $D$11, 100%, $F$11)</f>
        <v>5.5293999999999999</v>
      </c>
      <c r="J169" s="4">
        <f>CHOOSE( CONTROL!$C$32, 5.4297, 5.425) * CHOOSE(CONTROL!$C$15, $D$11, 100%, $F$11)</f>
        <v>5.4297000000000004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5.8917 * CHOOSE(CONTROL!$C$15, $D$11, 100%, $F$11)</f>
        <v>5.8917000000000002</v>
      </c>
      <c r="C170" s="8">
        <f>5.8971 * CHOOSE(CONTROL!$C$15, $D$11, 100%, $F$11)</f>
        <v>5.8971</v>
      </c>
      <c r="D170" s="8">
        <f>5.9116 * CHOOSE( CONTROL!$C$15, $D$11, 100%, $F$11)</f>
        <v>5.9116</v>
      </c>
      <c r="E170" s="12">
        <f>5.9062 * CHOOSE( CONTROL!$C$15, $D$11, 100%, $F$11)</f>
        <v>5.9062000000000001</v>
      </c>
      <c r="F170" s="4">
        <f>6.5843 * CHOOSE(CONTROL!$C$15, $D$11, 100%, $F$11)</f>
        <v>6.5842999999999998</v>
      </c>
      <c r="G170" s="8">
        <f>5.7666 * CHOOSE( CONTROL!$C$15, $D$11, 100%, $F$11)</f>
        <v>5.7666000000000004</v>
      </c>
      <c r="H170" s="4">
        <f>6.7039 * CHOOSE(CONTROL!$C$15, $D$11, 100%, $F$11)</f>
        <v>6.7039</v>
      </c>
      <c r="I170" s="8">
        <f>5.7666 * CHOOSE(CONTROL!$C$15, $D$11, 100%, $F$11)</f>
        <v>5.7666000000000004</v>
      </c>
      <c r="J170" s="4">
        <f>5.666 * CHOOSE(CONTROL!$C$15, $D$11, 100%, $F$11)</f>
        <v>5.6660000000000004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6.3515 * CHOOSE(CONTROL!$C$15, $D$11, 100%, $F$11)</f>
        <v>6.3514999999999997</v>
      </c>
      <c r="C171" s="8">
        <f>6.3566 * CHOOSE(CONTROL!$C$15, $D$11, 100%, $F$11)</f>
        <v>6.3566000000000003</v>
      </c>
      <c r="D171" s="8">
        <f>6.3335 * CHOOSE( CONTROL!$C$15, $D$11, 100%, $F$11)</f>
        <v>6.3334999999999999</v>
      </c>
      <c r="E171" s="12">
        <f>6.3414 * CHOOSE( CONTROL!$C$15, $D$11, 100%, $F$11)</f>
        <v>6.3414000000000001</v>
      </c>
      <c r="F171" s="4">
        <f>6.9964 * CHOOSE(CONTROL!$C$15, $D$11, 100%, $F$11)</f>
        <v>6.9964000000000004</v>
      </c>
      <c r="G171" s="8">
        <f>6.2271 * CHOOSE( CONTROL!$C$15, $D$11, 100%, $F$11)</f>
        <v>6.2271000000000001</v>
      </c>
      <c r="H171" s="4">
        <f>7.1091 * CHOOSE(CONTROL!$C$15, $D$11, 100%, $F$11)</f>
        <v>7.1090999999999998</v>
      </c>
      <c r="I171" s="8">
        <f>6.2363 * CHOOSE(CONTROL!$C$15, $D$11, 100%, $F$11)</f>
        <v>6.2363</v>
      </c>
      <c r="J171" s="4">
        <f>6.1108 * CHOOSE(CONTROL!$C$15, $D$11, 100%, $F$11)</f>
        <v>6.1108000000000002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6.34 * CHOOSE(CONTROL!$C$15, $D$11, 100%, $F$11)</f>
        <v>6.34</v>
      </c>
      <c r="C172" s="8">
        <f>6.3451 * CHOOSE(CONTROL!$C$15, $D$11, 100%, $F$11)</f>
        <v>6.3451000000000004</v>
      </c>
      <c r="D172" s="8">
        <f>6.3236 * CHOOSE( CONTROL!$C$15, $D$11, 100%, $F$11)</f>
        <v>6.3235999999999999</v>
      </c>
      <c r="E172" s="12">
        <f>6.3309 * CHOOSE( CONTROL!$C$15, $D$11, 100%, $F$11)</f>
        <v>6.3308999999999997</v>
      </c>
      <c r="F172" s="4">
        <f>6.9849 * CHOOSE(CONTROL!$C$15, $D$11, 100%, $F$11)</f>
        <v>6.9848999999999997</v>
      </c>
      <c r="G172" s="8">
        <f>6.2169 * CHOOSE( CONTROL!$C$15, $D$11, 100%, $F$11)</f>
        <v>6.2168999999999999</v>
      </c>
      <c r="H172" s="4">
        <f>7.0978 * CHOOSE(CONTROL!$C$15, $D$11, 100%, $F$11)</f>
        <v>7.0978000000000003</v>
      </c>
      <c r="I172" s="8">
        <f>6.2302 * CHOOSE(CONTROL!$C$15, $D$11, 100%, $F$11)</f>
        <v>6.2302</v>
      </c>
      <c r="J172" s="4">
        <f>6.0997 * CHOOSE(CONTROL!$C$15, $D$11, 100%, $F$11)</f>
        <v>6.0997000000000003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6.5732 * CHOOSE(CONTROL!$C$15, $D$11, 100%, $F$11)</f>
        <v>6.5731999999999999</v>
      </c>
      <c r="C173" s="8">
        <f>6.5784 * CHOOSE(CONTROL!$C$15, $D$11, 100%, $F$11)</f>
        <v>6.5784000000000002</v>
      </c>
      <c r="D173" s="8">
        <f>6.5529 * CHOOSE( CONTROL!$C$15, $D$11, 100%, $F$11)</f>
        <v>6.5529000000000002</v>
      </c>
      <c r="E173" s="12">
        <f>6.5617 * CHOOSE( CONTROL!$C$15, $D$11, 100%, $F$11)</f>
        <v>6.5617000000000001</v>
      </c>
      <c r="F173" s="4">
        <f>7.2155 * CHOOSE(CONTROL!$C$15, $D$11, 100%, $F$11)</f>
        <v>7.2154999999999996</v>
      </c>
      <c r="G173" s="8">
        <f>6.441 * CHOOSE( CONTROL!$C$15, $D$11, 100%, $F$11)</f>
        <v>6.4409999999999998</v>
      </c>
      <c r="H173" s="4">
        <f>7.3247 * CHOOSE(CONTROL!$C$15, $D$11, 100%, $F$11)</f>
        <v>7.3247</v>
      </c>
      <c r="I173" s="8">
        <f>6.4361 * CHOOSE(CONTROL!$C$15, $D$11, 100%, $F$11)</f>
        <v>6.4360999999999997</v>
      </c>
      <c r="J173" s="4">
        <f>6.3252 * CHOOSE(CONTROL!$C$15, $D$11, 100%, $F$11)</f>
        <v>6.3251999999999997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6.1502 * CHOOSE(CONTROL!$C$15, $D$11, 100%, $F$11)</f>
        <v>6.1501999999999999</v>
      </c>
      <c r="C174" s="8">
        <f>6.1554 * CHOOSE(CONTROL!$C$15, $D$11, 100%, $F$11)</f>
        <v>6.1554000000000002</v>
      </c>
      <c r="D174" s="8">
        <f>6.13 * CHOOSE( CONTROL!$C$15, $D$11, 100%, $F$11)</f>
        <v>6.13</v>
      </c>
      <c r="E174" s="12">
        <f>6.1387 * CHOOSE( CONTROL!$C$15, $D$11, 100%, $F$11)</f>
        <v>6.1387</v>
      </c>
      <c r="F174" s="4">
        <f>6.7925 * CHOOSE(CONTROL!$C$15, $D$11, 100%, $F$11)</f>
        <v>6.7925000000000004</v>
      </c>
      <c r="G174" s="8">
        <f>6.0251 * CHOOSE( CONTROL!$C$15, $D$11, 100%, $F$11)</f>
        <v>6.0251000000000001</v>
      </c>
      <c r="H174" s="4">
        <f>6.9087 * CHOOSE(CONTROL!$C$15, $D$11, 100%, $F$11)</f>
        <v>6.9086999999999996</v>
      </c>
      <c r="I174" s="8">
        <f>6.0272 * CHOOSE(CONTROL!$C$15, $D$11, 100%, $F$11)</f>
        <v>6.0271999999999997</v>
      </c>
      <c r="J174" s="4">
        <f>5.9163 * CHOOSE(CONTROL!$C$15, $D$11, 100%, $F$11)</f>
        <v>5.9162999999999997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6.02 * CHOOSE(CONTROL!$C$15, $D$11, 100%, $F$11)</f>
        <v>6.02</v>
      </c>
      <c r="C175" s="8">
        <f>6.0251 * CHOOSE(CONTROL!$C$15, $D$11, 100%, $F$11)</f>
        <v>6.0251000000000001</v>
      </c>
      <c r="D175" s="8">
        <f>5.9995 * CHOOSE( CONTROL!$C$15, $D$11, 100%, $F$11)</f>
        <v>5.9995000000000003</v>
      </c>
      <c r="E175" s="12">
        <f>6.0083 * CHOOSE( CONTROL!$C$15, $D$11, 100%, $F$11)</f>
        <v>6.0083000000000002</v>
      </c>
      <c r="F175" s="4">
        <f>6.6623 * CHOOSE(CONTROL!$C$15, $D$11, 100%, $F$11)</f>
        <v>6.6623000000000001</v>
      </c>
      <c r="G175" s="8">
        <f>5.8968 * CHOOSE( CONTROL!$C$15, $D$11, 100%, $F$11)</f>
        <v>5.8967999999999998</v>
      </c>
      <c r="H175" s="4">
        <f>6.7806 * CHOOSE(CONTROL!$C$15, $D$11, 100%, $F$11)</f>
        <v>6.7805999999999997</v>
      </c>
      <c r="I175" s="8">
        <f>5.9004 * CHOOSE(CONTROL!$C$15, $D$11, 100%, $F$11)</f>
        <v>5.9004000000000003</v>
      </c>
      <c r="J175" s="4">
        <f>5.7903 * CHOOSE(CONTROL!$C$15, $D$11, 100%, $F$11)</f>
        <v>5.7903000000000002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6.1118 * CHOOSE(CONTROL!$C$15, $D$11, 100%, $F$11)</f>
        <v>6.1117999999999997</v>
      </c>
      <c r="C176" s="8">
        <f>6.1163 * CHOOSE(CONTROL!$C$15, $D$11, 100%, $F$11)</f>
        <v>6.1162999999999998</v>
      </c>
      <c r="D176" s="8">
        <f>6.1306 * CHOOSE( CONTROL!$C$15, $D$11, 100%, $F$11)</f>
        <v>6.1306000000000003</v>
      </c>
      <c r="E176" s="12">
        <f>6.1254 * CHOOSE( CONTROL!$C$15, $D$11, 100%, $F$11)</f>
        <v>6.1254</v>
      </c>
      <c r="F176" s="4">
        <f>6.804 * CHOOSE(CONTROL!$C$15, $D$11, 100%, $F$11)</f>
        <v>6.8040000000000003</v>
      </c>
      <c r="G176" s="8">
        <f>5.9815 * CHOOSE( CONTROL!$C$15, $D$11, 100%, $F$11)</f>
        <v>5.9814999999999996</v>
      </c>
      <c r="H176" s="4">
        <f>6.9199 * CHOOSE(CONTROL!$C$15, $D$11, 100%, $F$11)</f>
        <v>6.9199000000000002</v>
      </c>
      <c r="I176" s="8">
        <f>5.9756 * CHOOSE(CONTROL!$C$15, $D$11, 100%, $F$11)</f>
        <v>5.9756</v>
      </c>
      <c r="J176" s="4">
        <f>5.8783 * CHOOSE(CONTROL!$C$15, $D$11, 100%, $F$11)</f>
        <v>5.8783000000000003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6.2801, 6.2752) * CHOOSE(CONTROL!$C$15, $D$11, 100%, $F$11)</f>
        <v>6.2801</v>
      </c>
      <c r="C177" s="8">
        <f>CHOOSE( CONTROL!$C$32, 6.2881, 6.2832) * CHOOSE(CONTROL!$C$15, $D$11, 100%, $F$11)</f>
        <v>6.2881</v>
      </c>
      <c r="D177" s="8">
        <f>CHOOSE( CONTROL!$C$32, 6.2974, 6.2925) * CHOOSE( CONTROL!$C$15, $D$11, 100%, $F$11)</f>
        <v>6.2973999999999997</v>
      </c>
      <c r="E177" s="12">
        <f>CHOOSE( CONTROL!$C$32, 6.2928, 6.2879) * CHOOSE( CONTROL!$C$15, $D$11, 100%, $F$11)</f>
        <v>6.2927999999999997</v>
      </c>
      <c r="F177" s="4">
        <f>CHOOSE( CONTROL!$C$32, 6.9709, 6.966) * CHOOSE(CONTROL!$C$15, $D$11, 100%, $F$11)</f>
        <v>6.9709000000000003</v>
      </c>
      <c r="G177" s="8">
        <f>CHOOSE( CONTROL!$C$32, 6.1468, 6.142) * CHOOSE( CONTROL!$C$15, $D$11, 100%, $F$11)</f>
        <v>6.1467999999999998</v>
      </c>
      <c r="H177" s="4">
        <f>CHOOSE( CONTROL!$C$32, 7.0841, 7.0793) * CHOOSE(CONTROL!$C$15, $D$11, 100%, $F$11)</f>
        <v>7.0841000000000003</v>
      </c>
      <c r="I177" s="8">
        <f>CHOOSE( CONTROL!$C$32, 6.1374, 6.1327) * CHOOSE(CONTROL!$C$15, $D$11, 100%, $F$11)</f>
        <v>6.1374000000000004</v>
      </c>
      <c r="J177" s="4">
        <f>CHOOSE( CONTROL!$C$32, 6.0397, 6.035) * CHOOSE(CONTROL!$C$15, $D$11, 100%, $F$11)</f>
        <v>6.0396999999999998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6.1797, 6.1748) * CHOOSE(CONTROL!$C$15, $D$11, 100%, $F$11)</f>
        <v>6.1797000000000004</v>
      </c>
      <c r="C178" s="8">
        <f>CHOOSE( CONTROL!$C$32, 6.1877, 6.1828) * CHOOSE(CONTROL!$C$15, $D$11, 100%, $F$11)</f>
        <v>6.1877000000000004</v>
      </c>
      <c r="D178" s="8">
        <f>CHOOSE( CONTROL!$C$32, 6.1972, 6.1923) * CHOOSE( CONTROL!$C$15, $D$11, 100%, $F$11)</f>
        <v>6.1971999999999996</v>
      </c>
      <c r="E178" s="12">
        <f>CHOOSE( CONTROL!$C$32, 6.1925, 6.1876) * CHOOSE( CONTROL!$C$15, $D$11, 100%, $F$11)</f>
        <v>6.1924999999999999</v>
      </c>
      <c r="F178" s="4">
        <f>CHOOSE( CONTROL!$C$32, 6.8705, 6.8656) * CHOOSE(CONTROL!$C$15, $D$11, 100%, $F$11)</f>
        <v>6.8704999999999998</v>
      </c>
      <c r="G178" s="8">
        <f>CHOOSE( CONTROL!$C$32, 6.0484, 6.0436) * CHOOSE( CONTROL!$C$15, $D$11, 100%, $F$11)</f>
        <v>6.0484</v>
      </c>
      <c r="H178" s="4">
        <f>CHOOSE( CONTROL!$C$32, 6.9854, 6.9806) * CHOOSE(CONTROL!$C$15, $D$11, 100%, $F$11)</f>
        <v>6.9854000000000003</v>
      </c>
      <c r="I178" s="8">
        <f>CHOOSE( CONTROL!$C$32, 6.0414, 6.0366) * CHOOSE(CONTROL!$C$15, $D$11, 100%, $F$11)</f>
        <v>6.0414000000000003</v>
      </c>
      <c r="J178" s="4">
        <f>CHOOSE( CONTROL!$C$32, 5.9427, 5.9379) * CHOOSE(CONTROL!$C$15, $D$11, 100%, $F$11)</f>
        <v>5.9427000000000003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6.444, 6.4391) * CHOOSE(CONTROL!$C$15, $D$11, 100%, $F$11)</f>
        <v>6.444</v>
      </c>
      <c r="C179" s="8">
        <f>CHOOSE( CONTROL!$C$32, 6.452, 6.4471) * CHOOSE(CONTROL!$C$15, $D$11, 100%, $F$11)</f>
        <v>6.452</v>
      </c>
      <c r="D179" s="8">
        <f>CHOOSE( CONTROL!$C$32, 6.4617, 6.4569) * CHOOSE( CONTROL!$C$15, $D$11, 100%, $F$11)</f>
        <v>6.4617000000000004</v>
      </c>
      <c r="E179" s="12">
        <f>CHOOSE( CONTROL!$C$32, 6.457, 6.4521) * CHOOSE( CONTROL!$C$15, $D$11, 100%, $F$11)</f>
        <v>6.4569999999999999</v>
      </c>
      <c r="F179" s="4">
        <f>CHOOSE( CONTROL!$C$32, 7.1348, 7.13) * CHOOSE(CONTROL!$C$15, $D$11, 100%, $F$11)</f>
        <v>7.1348000000000003</v>
      </c>
      <c r="G179" s="8">
        <f>CHOOSE( CONTROL!$C$32, 6.3087, 6.3039) * CHOOSE( CONTROL!$C$15, $D$11, 100%, $F$11)</f>
        <v>6.3087</v>
      </c>
      <c r="H179" s="4">
        <f>CHOOSE( CONTROL!$C$32, 7.2453, 7.2405) * CHOOSE(CONTROL!$C$15, $D$11, 100%, $F$11)</f>
        <v>7.2453000000000003</v>
      </c>
      <c r="I179" s="8">
        <f>CHOOSE( CONTROL!$C$32, 6.2981, 6.2934) * CHOOSE(CONTROL!$C$15, $D$11, 100%, $F$11)</f>
        <v>6.2980999999999998</v>
      </c>
      <c r="J179" s="4">
        <f>CHOOSE( CONTROL!$C$32, 6.1982, 6.1934) * CHOOSE(CONTROL!$C$15, $D$11, 100%, $F$11)</f>
        <v>6.1981999999999999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5.9494, 5.9445) * CHOOSE(CONTROL!$C$15, $D$11, 100%, $F$11)</f>
        <v>5.9493999999999998</v>
      </c>
      <c r="C180" s="8">
        <f>CHOOSE( CONTROL!$C$32, 5.9574, 5.9526) * CHOOSE(CONTROL!$C$15, $D$11, 100%, $F$11)</f>
        <v>5.9573999999999998</v>
      </c>
      <c r="D180" s="8">
        <f>CHOOSE( CONTROL!$C$32, 5.9673, 5.9624) * CHOOSE( CONTROL!$C$15, $D$11, 100%, $F$11)</f>
        <v>5.9672999999999998</v>
      </c>
      <c r="E180" s="12">
        <f>CHOOSE( CONTROL!$C$32, 5.9625, 5.9576) * CHOOSE( CONTROL!$C$15, $D$11, 100%, $F$11)</f>
        <v>5.9625000000000004</v>
      </c>
      <c r="F180" s="4">
        <f>CHOOSE( CONTROL!$C$32, 6.6403, 6.6354) * CHOOSE(CONTROL!$C$15, $D$11, 100%, $F$11)</f>
        <v>6.6402999999999999</v>
      </c>
      <c r="G180" s="8">
        <f>CHOOSE( CONTROL!$C$32, 5.8224, 5.8176) * CHOOSE( CONTROL!$C$15, $D$11, 100%, $F$11)</f>
        <v>5.8224</v>
      </c>
      <c r="H180" s="4">
        <f>CHOOSE( CONTROL!$C$32, 6.7589, 6.7541) * CHOOSE(CONTROL!$C$15, $D$11, 100%, $F$11)</f>
        <v>6.7588999999999997</v>
      </c>
      <c r="I180" s="8">
        <f>CHOOSE( CONTROL!$C$32, 5.8201, 5.8154) * CHOOSE(CONTROL!$C$15, $D$11, 100%, $F$11)</f>
        <v>5.8201000000000001</v>
      </c>
      <c r="J180" s="4">
        <f>CHOOSE( CONTROL!$C$32, 5.7201, 5.7154) * CHOOSE(CONTROL!$C$15, $D$11, 100%, $F$11)</f>
        <v>5.7201000000000004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5.8256, 5.8207) * CHOOSE(CONTROL!$C$15, $D$11, 100%, $F$11)</f>
        <v>5.8255999999999997</v>
      </c>
      <c r="C181" s="8">
        <f>CHOOSE( CONTROL!$C$32, 5.8336, 5.8287) * CHOOSE(CONTROL!$C$15, $D$11, 100%, $F$11)</f>
        <v>5.8335999999999997</v>
      </c>
      <c r="D181" s="8">
        <f>CHOOSE( CONTROL!$C$32, 5.8434, 5.8385) * CHOOSE( CONTROL!$C$15, $D$11, 100%, $F$11)</f>
        <v>5.8433999999999999</v>
      </c>
      <c r="E181" s="12">
        <f>CHOOSE( CONTROL!$C$32, 5.8386, 5.8337) * CHOOSE( CONTROL!$C$15, $D$11, 100%, $F$11)</f>
        <v>5.8385999999999996</v>
      </c>
      <c r="F181" s="4">
        <f>CHOOSE( CONTROL!$C$32, 6.5164, 6.5116) * CHOOSE(CONTROL!$C$15, $D$11, 100%, $F$11)</f>
        <v>6.5164</v>
      </c>
      <c r="G181" s="8">
        <f>CHOOSE( CONTROL!$C$32, 5.7006, 5.6958) * CHOOSE( CONTROL!$C$15, $D$11, 100%, $F$11)</f>
        <v>5.7005999999999997</v>
      </c>
      <c r="H181" s="4">
        <f>CHOOSE( CONTROL!$C$32, 6.6372, 6.6323) * CHOOSE(CONTROL!$C$15, $D$11, 100%, $F$11)</f>
        <v>6.6372</v>
      </c>
      <c r="I181" s="8">
        <f>CHOOSE( CONTROL!$C$32, 5.7001, 5.6954) * CHOOSE(CONTROL!$C$15, $D$11, 100%, $F$11)</f>
        <v>5.7000999999999999</v>
      </c>
      <c r="J181" s="4">
        <f>CHOOSE( CONTROL!$C$32, 5.6004, 5.5956) * CHOOSE(CONTROL!$C$15, $D$11, 100%, $F$11)</f>
        <v>5.6003999999999996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6.0761 * CHOOSE(CONTROL!$C$15, $D$11, 100%, $F$11)</f>
        <v>6.0761000000000003</v>
      </c>
      <c r="C182" s="8">
        <f>6.0815 * CHOOSE(CONTROL!$C$15, $D$11, 100%, $F$11)</f>
        <v>6.0815000000000001</v>
      </c>
      <c r="D182" s="8">
        <f>6.096 * CHOOSE( CONTROL!$C$15, $D$11, 100%, $F$11)</f>
        <v>6.0960000000000001</v>
      </c>
      <c r="E182" s="12">
        <f>6.0906 * CHOOSE( CONTROL!$C$15, $D$11, 100%, $F$11)</f>
        <v>6.0906000000000002</v>
      </c>
      <c r="F182" s="4">
        <f>6.7687 * CHOOSE(CONTROL!$C$15, $D$11, 100%, $F$11)</f>
        <v>6.7686999999999999</v>
      </c>
      <c r="G182" s="8">
        <f>5.9479 * CHOOSE( CONTROL!$C$15, $D$11, 100%, $F$11)</f>
        <v>5.9478999999999997</v>
      </c>
      <c r="H182" s="4">
        <f>6.8852 * CHOOSE(CONTROL!$C$15, $D$11, 100%, $F$11)</f>
        <v>6.8852000000000002</v>
      </c>
      <c r="I182" s="8">
        <f>5.945 * CHOOSE(CONTROL!$C$15, $D$11, 100%, $F$11)</f>
        <v>5.9450000000000003</v>
      </c>
      <c r="J182" s="4">
        <f>5.8442 * CHOOSE(CONTROL!$C$15, $D$11, 100%, $F$11)</f>
        <v>5.8441999999999998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6.5503 * CHOOSE(CONTROL!$C$15, $D$11, 100%, $F$11)</f>
        <v>6.5503</v>
      </c>
      <c r="C183" s="8">
        <f>6.5555 * CHOOSE(CONTROL!$C$15, $D$11, 100%, $F$11)</f>
        <v>6.5555000000000003</v>
      </c>
      <c r="D183" s="8">
        <f>6.5324 * CHOOSE( CONTROL!$C$15, $D$11, 100%, $F$11)</f>
        <v>6.5324</v>
      </c>
      <c r="E183" s="12">
        <f>6.5403 * CHOOSE( CONTROL!$C$15, $D$11, 100%, $F$11)</f>
        <v>6.5403000000000002</v>
      </c>
      <c r="F183" s="4">
        <f>7.1952 * CHOOSE(CONTROL!$C$15, $D$11, 100%, $F$11)</f>
        <v>7.1951999999999998</v>
      </c>
      <c r="G183" s="8">
        <f>6.4227 * CHOOSE( CONTROL!$C$15, $D$11, 100%, $F$11)</f>
        <v>6.4226999999999999</v>
      </c>
      <c r="H183" s="4">
        <f>7.3047 * CHOOSE(CONTROL!$C$15, $D$11, 100%, $F$11)</f>
        <v>7.3047000000000004</v>
      </c>
      <c r="I183" s="8">
        <f>6.4287 * CHOOSE(CONTROL!$C$15, $D$11, 100%, $F$11)</f>
        <v>6.4287000000000001</v>
      </c>
      <c r="J183" s="4">
        <f>6.303 * CHOOSE(CONTROL!$C$15, $D$11, 100%, $F$11)</f>
        <v>6.3029999999999999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6.5385 * CHOOSE(CONTROL!$C$15, $D$11, 100%, $F$11)</f>
        <v>6.5385</v>
      </c>
      <c r="C184" s="8">
        <f>6.5436 * CHOOSE(CONTROL!$C$15, $D$11, 100%, $F$11)</f>
        <v>6.5435999999999996</v>
      </c>
      <c r="D184" s="8">
        <f>6.5221 * CHOOSE( CONTROL!$C$15, $D$11, 100%, $F$11)</f>
        <v>6.5221</v>
      </c>
      <c r="E184" s="12">
        <f>6.5294 * CHOOSE( CONTROL!$C$15, $D$11, 100%, $F$11)</f>
        <v>6.5293999999999999</v>
      </c>
      <c r="F184" s="4">
        <f>7.1834 * CHOOSE(CONTROL!$C$15, $D$11, 100%, $F$11)</f>
        <v>7.1833999999999998</v>
      </c>
      <c r="G184" s="8">
        <f>6.4121 * CHOOSE( CONTROL!$C$15, $D$11, 100%, $F$11)</f>
        <v>6.4120999999999997</v>
      </c>
      <c r="H184" s="4">
        <f>7.293 * CHOOSE(CONTROL!$C$15, $D$11, 100%, $F$11)</f>
        <v>7.2930000000000001</v>
      </c>
      <c r="I184" s="8">
        <f>6.4222 * CHOOSE(CONTROL!$C$15, $D$11, 100%, $F$11)</f>
        <v>6.4222000000000001</v>
      </c>
      <c r="J184" s="4">
        <f>6.2916 * CHOOSE(CONTROL!$C$15, $D$11, 100%, $F$11)</f>
        <v>6.2915999999999999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6.7783 * CHOOSE(CONTROL!$C$15, $D$11, 100%, $F$11)</f>
        <v>6.7782999999999998</v>
      </c>
      <c r="C185" s="8">
        <f>6.7834 * CHOOSE(CONTROL!$C$15, $D$11, 100%, $F$11)</f>
        <v>6.7834000000000003</v>
      </c>
      <c r="D185" s="8">
        <f>6.758 * CHOOSE( CONTROL!$C$15, $D$11, 100%, $F$11)</f>
        <v>6.758</v>
      </c>
      <c r="E185" s="12">
        <f>6.7667 * CHOOSE( CONTROL!$C$15, $D$11, 100%, $F$11)</f>
        <v>6.7667000000000002</v>
      </c>
      <c r="F185" s="4">
        <f>7.4206 * CHOOSE(CONTROL!$C$15, $D$11, 100%, $F$11)</f>
        <v>7.4206000000000003</v>
      </c>
      <c r="G185" s="8">
        <f>6.6426 * CHOOSE( CONTROL!$C$15, $D$11, 100%, $F$11)</f>
        <v>6.6425999999999998</v>
      </c>
      <c r="H185" s="4">
        <f>7.5263 * CHOOSE(CONTROL!$C$15, $D$11, 100%, $F$11)</f>
        <v>7.5263</v>
      </c>
      <c r="I185" s="8">
        <f>6.6343 * CHOOSE(CONTROL!$C$15, $D$11, 100%, $F$11)</f>
        <v>6.6342999999999996</v>
      </c>
      <c r="J185" s="4">
        <f>6.5234 * CHOOSE(CONTROL!$C$15, $D$11, 100%, $F$11)</f>
        <v>6.5233999999999996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6.342 * CHOOSE(CONTROL!$C$15, $D$11, 100%, $F$11)</f>
        <v>6.3419999999999996</v>
      </c>
      <c r="C186" s="8">
        <f>6.3471 * CHOOSE(CONTROL!$C$15, $D$11, 100%, $F$11)</f>
        <v>6.3471000000000002</v>
      </c>
      <c r="D186" s="8">
        <f>6.3218 * CHOOSE( CONTROL!$C$15, $D$11, 100%, $F$11)</f>
        <v>6.3217999999999996</v>
      </c>
      <c r="E186" s="12">
        <f>6.3305 * CHOOSE( CONTROL!$C$15, $D$11, 100%, $F$11)</f>
        <v>6.3304999999999998</v>
      </c>
      <c r="F186" s="4">
        <f>6.9843 * CHOOSE(CONTROL!$C$15, $D$11, 100%, $F$11)</f>
        <v>6.9843000000000002</v>
      </c>
      <c r="G186" s="8">
        <f>6.2137 * CHOOSE( CONTROL!$C$15, $D$11, 100%, $F$11)</f>
        <v>6.2137000000000002</v>
      </c>
      <c r="H186" s="4">
        <f>7.0973 * CHOOSE(CONTROL!$C$15, $D$11, 100%, $F$11)</f>
        <v>7.0972999999999997</v>
      </c>
      <c r="I186" s="8">
        <f>6.2127 * CHOOSE(CONTROL!$C$15, $D$11, 100%, $F$11)</f>
        <v>6.2126999999999999</v>
      </c>
      <c r="J186" s="4">
        <f>6.1016 * CHOOSE(CONTROL!$C$15, $D$11, 100%, $F$11)</f>
        <v>6.1016000000000004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6.2076 * CHOOSE(CONTROL!$C$15, $D$11, 100%, $F$11)</f>
        <v>6.2076000000000002</v>
      </c>
      <c r="C187" s="8">
        <f>6.2128 * CHOOSE(CONTROL!$C$15, $D$11, 100%, $F$11)</f>
        <v>6.2127999999999997</v>
      </c>
      <c r="D187" s="8">
        <f>6.1872 * CHOOSE( CONTROL!$C$15, $D$11, 100%, $F$11)</f>
        <v>6.1871999999999998</v>
      </c>
      <c r="E187" s="12">
        <f>6.196 * CHOOSE( CONTROL!$C$15, $D$11, 100%, $F$11)</f>
        <v>6.1959999999999997</v>
      </c>
      <c r="F187" s="4">
        <f>6.8499 * CHOOSE(CONTROL!$C$15, $D$11, 100%, $F$11)</f>
        <v>6.8498999999999999</v>
      </c>
      <c r="G187" s="8">
        <f>6.0813 * CHOOSE( CONTROL!$C$15, $D$11, 100%, $F$11)</f>
        <v>6.0812999999999997</v>
      </c>
      <c r="H187" s="4">
        <f>6.9651 * CHOOSE(CONTROL!$C$15, $D$11, 100%, $F$11)</f>
        <v>6.9650999999999996</v>
      </c>
      <c r="I187" s="8">
        <f>6.0819 * CHOOSE(CONTROL!$C$15, $D$11, 100%, $F$11)</f>
        <v>6.0819000000000001</v>
      </c>
      <c r="J187" s="4">
        <f>5.9718 * CHOOSE(CONTROL!$C$15, $D$11, 100%, $F$11)</f>
        <v>5.9718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6.3023 * CHOOSE(CONTROL!$C$15, $D$11, 100%, $F$11)</f>
        <v>6.3022999999999998</v>
      </c>
      <c r="C188" s="8">
        <f>6.3068 * CHOOSE(CONTROL!$C$15, $D$11, 100%, $F$11)</f>
        <v>6.3068</v>
      </c>
      <c r="D188" s="8">
        <f>6.3212 * CHOOSE( CONTROL!$C$15, $D$11, 100%, $F$11)</f>
        <v>6.3212000000000002</v>
      </c>
      <c r="E188" s="12">
        <f>6.3159 * CHOOSE( CONTROL!$C$15, $D$11, 100%, $F$11)</f>
        <v>6.3159000000000001</v>
      </c>
      <c r="F188" s="4">
        <f>6.9945 * CHOOSE(CONTROL!$C$15, $D$11, 100%, $F$11)</f>
        <v>6.9945000000000004</v>
      </c>
      <c r="G188" s="8">
        <f>6.1689 * CHOOSE( CONTROL!$C$15, $D$11, 100%, $F$11)</f>
        <v>6.1688999999999998</v>
      </c>
      <c r="H188" s="4">
        <f>7.1073 * CHOOSE(CONTROL!$C$15, $D$11, 100%, $F$11)</f>
        <v>7.1073000000000004</v>
      </c>
      <c r="I188" s="8">
        <f>6.1599 * CHOOSE(CONTROL!$C$15, $D$11, 100%, $F$11)</f>
        <v>6.1599000000000004</v>
      </c>
      <c r="J188" s="4">
        <f>6.0625 * CHOOSE(CONTROL!$C$15, $D$11, 100%, $F$11)</f>
        <v>6.0625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6.4757, 6.4708) * CHOOSE(CONTROL!$C$15, $D$11, 100%, $F$11)</f>
        <v>6.4756999999999998</v>
      </c>
      <c r="C189" s="8">
        <f>CHOOSE( CONTROL!$C$32, 6.4837, 6.4788) * CHOOSE(CONTROL!$C$15, $D$11, 100%, $F$11)</f>
        <v>6.4836999999999998</v>
      </c>
      <c r="D189" s="8">
        <f>CHOOSE( CONTROL!$C$32, 6.493, 6.4881) * CHOOSE( CONTROL!$C$15, $D$11, 100%, $F$11)</f>
        <v>6.4930000000000003</v>
      </c>
      <c r="E189" s="12">
        <f>CHOOSE( CONTROL!$C$32, 6.4884, 6.4835) * CHOOSE( CONTROL!$C$15, $D$11, 100%, $F$11)</f>
        <v>6.4884000000000004</v>
      </c>
      <c r="F189" s="4">
        <f>CHOOSE( CONTROL!$C$32, 7.1665, 7.1616) * CHOOSE(CONTROL!$C$15, $D$11, 100%, $F$11)</f>
        <v>7.1665000000000001</v>
      </c>
      <c r="G189" s="8">
        <f>CHOOSE( CONTROL!$C$32, 6.3392, 6.3343) * CHOOSE( CONTROL!$C$15, $D$11, 100%, $F$11)</f>
        <v>6.3391999999999999</v>
      </c>
      <c r="H189" s="4">
        <f>CHOOSE( CONTROL!$C$32, 7.2764, 7.2716) * CHOOSE(CONTROL!$C$15, $D$11, 100%, $F$11)</f>
        <v>7.2763999999999998</v>
      </c>
      <c r="I189" s="8">
        <f>CHOOSE( CONTROL!$C$32, 6.3266, 6.3219) * CHOOSE(CONTROL!$C$15, $D$11, 100%, $F$11)</f>
        <v>6.3266</v>
      </c>
      <c r="J189" s="4">
        <f>CHOOSE( CONTROL!$C$32, 6.2288, 6.2241) * CHOOSE(CONTROL!$C$15, $D$11, 100%, $F$11)</f>
        <v>6.2287999999999997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6.3721, 6.3673) * CHOOSE(CONTROL!$C$15, $D$11, 100%, $F$11)</f>
        <v>6.3720999999999997</v>
      </c>
      <c r="C190" s="8">
        <f>CHOOSE( CONTROL!$C$32, 6.3802, 6.3753) * CHOOSE(CONTROL!$C$15, $D$11, 100%, $F$11)</f>
        <v>6.3802000000000003</v>
      </c>
      <c r="D190" s="8">
        <f>CHOOSE( CONTROL!$C$32, 6.3897, 6.3848) * CHOOSE( CONTROL!$C$15, $D$11, 100%, $F$11)</f>
        <v>6.3897000000000004</v>
      </c>
      <c r="E190" s="12">
        <f>CHOOSE( CONTROL!$C$32, 6.385, 6.3801) * CHOOSE( CONTROL!$C$15, $D$11, 100%, $F$11)</f>
        <v>6.3849999999999998</v>
      </c>
      <c r="F190" s="4">
        <f>CHOOSE( CONTROL!$C$32, 7.063, 7.0581) * CHOOSE(CONTROL!$C$15, $D$11, 100%, $F$11)</f>
        <v>7.0629999999999997</v>
      </c>
      <c r="G190" s="8">
        <f>CHOOSE( CONTROL!$C$32, 6.2377, 6.2329) * CHOOSE( CONTROL!$C$15, $D$11, 100%, $F$11)</f>
        <v>6.2377000000000002</v>
      </c>
      <c r="H190" s="4">
        <f>CHOOSE( CONTROL!$C$32, 7.1746, 7.1698) * CHOOSE(CONTROL!$C$15, $D$11, 100%, $F$11)</f>
        <v>7.1745999999999999</v>
      </c>
      <c r="I190" s="8">
        <f>CHOOSE( CONTROL!$C$32, 6.2275, 6.2228) * CHOOSE(CONTROL!$C$15, $D$11, 100%, $F$11)</f>
        <v>6.2275</v>
      </c>
      <c r="J190" s="4">
        <f>CHOOSE( CONTROL!$C$32, 6.1287, 6.124) * CHOOSE(CONTROL!$C$15, $D$11, 100%, $F$11)</f>
        <v>6.1287000000000003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6.6447, 6.6398) * CHOOSE(CONTROL!$C$15, $D$11, 100%, $F$11)</f>
        <v>6.6447000000000003</v>
      </c>
      <c r="C191" s="8">
        <f>CHOOSE( CONTROL!$C$32, 6.6528, 6.6479) * CHOOSE(CONTROL!$C$15, $D$11, 100%, $F$11)</f>
        <v>6.6528</v>
      </c>
      <c r="D191" s="8">
        <f>CHOOSE( CONTROL!$C$32, 6.6625, 6.6576) * CHOOSE( CONTROL!$C$15, $D$11, 100%, $F$11)</f>
        <v>6.6624999999999996</v>
      </c>
      <c r="E191" s="12">
        <f>CHOOSE( CONTROL!$C$32, 6.6578, 6.6529) * CHOOSE( CONTROL!$C$15, $D$11, 100%, $F$11)</f>
        <v>6.6577999999999999</v>
      </c>
      <c r="F191" s="4">
        <f>CHOOSE( CONTROL!$C$32, 7.3356, 7.3307) * CHOOSE(CONTROL!$C$15, $D$11, 100%, $F$11)</f>
        <v>7.3356000000000003</v>
      </c>
      <c r="G191" s="8">
        <f>CHOOSE( CONTROL!$C$32, 6.5061, 6.5013) * CHOOSE( CONTROL!$C$15, $D$11, 100%, $F$11)</f>
        <v>6.5061</v>
      </c>
      <c r="H191" s="4">
        <f>CHOOSE( CONTROL!$C$32, 7.4427, 7.4379) * CHOOSE(CONTROL!$C$15, $D$11, 100%, $F$11)</f>
        <v>7.4427000000000003</v>
      </c>
      <c r="I191" s="8">
        <f>CHOOSE( CONTROL!$C$32, 6.4922, 6.4875) * CHOOSE(CONTROL!$C$15, $D$11, 100%, $F$11)</f>
        <v>6.4922000000000004</v>
      </c>
      <c r="J191" s="4">
        <f>CHOOSE( CONTROL!$C$32, 6.3922, 6.3875) * CHOOSE(CONTROL!$C$15, $D$11, 100%, $F$11)</f>
        <v>6.3921999999999999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6.1347, 6.1298) * CHOOSE(CONTROL!$C$15, $D$11, 100%, $F$11)</f>
        <v>6.1346999999999996</v>
      </c>
      <c r="C192" s="8">
        <f>CHOOSE( CONTROL!$C$32, 6.1427, 6.1378) * CHOOSE(CONTROL!$C$15, $D$11, 100%, $F$11)</f>
        <v>6.1426999999999996</v>
      </c>
      <c r="D192" s="8">
        <f>CHOOSE( CONTROL!$C$32, 6.1525, 6.1476) * CHOOSE( CONTROL!$C$15, $D$11, 100%, $F$11)</f>
        <v>6.1524999999999999</v>
      </c>
      <c r="E192" s="12">
        <f>CHOOSE( CONTROL!$C$32, 6.1477, 6.1428) * CHOOSE( CONTROL!$C$15, $D$11, 100%, $F$11)</f>
        <v>6.1477000000000004</v>
      </c>
      <c r="F192" s="4">
        <f>CHOOSE( CONTROL!$C$32, 6.8255, 6.8207) * CHOOSE(CONTROL!$C$15, $D$11, 100%, $F$11)</f>
        <v>6.8254999999999999</v>
      </c>
      <c r="G192" s="8">
        <f>CHOOSE( CONTROL!$C$32, 6.0046, 5.9998) * CHOOSE( CONTROL!$C$15, $D$11, 100%, $F$11)</f>
        <v>6.0045999999999999</v>
      </c>
      <c r="H192" s="4">
        <f>CHOOSE( CONTROL!$C$32, 6.9411, 6.9363) * CHOOSE(CONTROL!$C$15, $D$11, 100%, $F$11)</f>
        <v>6.9410999999999996</v>
      </c>
      <c r="I192" s="8">
        <f>CHOOSE( CONTROL!$C$32, 5.9993, 5.9945) * CHOOSE(CONTROL!$C$15, $D$11, 100%, $F$11)</f>
        <v>5.9992999999999999</v>
      </c>
      <c r="J192" s="4">
        <f>CHOOSE( CONTROL!$C$32, 5.8992, 5.8944) * CHOOSE(CONTROL!$C$15, $D$11, 100%, $F$11)</f>
        <v>5.8992000000000004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6.007, 6.0021) * CHOOSE(CONTROL!$C$15, $D$11, 100%, $F$11)</f>
        <v>6.0069999999999997</v>
      </c>
      <c r="C193" s="8">
        <f>CHOOSE( CONTROL!$C$32, 6.015, 6.0101) * CHOOSE(CONTROL!$C$15, $D$11, 100%, $F$11)</f>
        <v>6.0149999999999997</v>
      </c>
      <c r="D193" s="8">
        <f>CHOOSE( CONTROL!$C$32, 6.0248, 6.0199) * CHOOSE( CONTROL!$C$15, $D$11, 100%, $F$11)</f>
        <v>6.0247999999999999</v>
      </c>
      <c r="E193" s="12">
        <f>CHOOSE( CONTROL!$C$32, 6.02, 6.0151) * CHOOSE( CONTROL!$C$15, $D$11, 100%, $F$11)</f>
        <v>6.02</v>
      </c>
      <c r="F193" s="4">
        <f>CHOOSE( CONTROL!$C$32, 6.6978, 6.6929) * CHOOSE(CONTROL!$C$15, $D$11, 100%, $F$11)</f>
        <v>6.6978</v>
      </c>
      <c r="G193" s="8">
        <f>CHOOSE( CONTROL!$C$32, 5.8789, 5.8741) * CHOOSE( CONTROL!$C$15, $D$11, 100%, $F$11)</f>
        <v>5.8788999999999998</v>
      </c>
      <c r="H193" s="4">
        <f>CHOOSE( CONTROL!$C$32, 6.8155, 6.8107) * CHOOSE(CONTROL!$C$15, $D$11, 100%, $F$11)</f>
        <v>6.8155000000000001</v>
      </c>
      <c r="I193" s="8">
        <f>CHOOSE( CONTROL!$C$32, 5.8756, 5.8708) * CHOOSE(CONTROL!$C$15, $D$11, 100%, $F$11)</f>
        <v>5.8756000000000004</v>
      </c>
      <c r="J193" s="4">
        <f>CHOOSE( CONTROL!$C$32, 5.7757, 5.771) * CHOOSE(CONTROL!$C$15, $D$11, 100%, $F$11)</f>
        <v>5.7756999999999996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6.2655 * CHOOSE(CONTROL!$C$15, $D$11, 100%, $F$11)</f>
        <v>6.2655000000000003</v>
      </c>
      <c r="C194" s="8">
        <f>6.2709 * CHOOSE(CONTROL!$C$15, $D$11, 100%, $F$11)</f>
        <v>6.2709000000000001</v>
      </c>
      <c r="D194" s="8">
        <f>6.2855 * CHOOSE( CONTROL!$C$15, $D$11, 100%, $F$11)</f>
        <v>6.2854999999999999</v>
      </c>
      <c r="E194" s="12">
        <f>6.2801 * CHOOSE( CONTROL!$C$15, $D$11, 100%, $F$11)</f>
        <v>6.2801</v>
      </c>
      <c r="F194" s="4">
        <f>6.9581 * CHOOSE(CONTROL!$C$15, $D$11, 100%, $F$11)</f>
        <v>6.9581</v>
      </c>
      <c r="G194" s="8">
        <f>6.1342 * CHOOSE( CONTROL!$C$15, $D$11, 100%, $F$11)</f>
        <v>6.1341999999999999</v>
      </c>
      <c r="H194" s="4">
        <f>7.0715 * CHOOSE(CONTROL!$C$15, $D$11, 100%, $F$11)</f>
        <v>7.0715000000000003</v>
      </c>
      <c r="I194" s="8">
        <f>6.1282 * CHOOSE(CONTROL!$C$15, $D$11, 100%, $F$11)</f>
        <v>6.1281999999999996</v>
      </c>
      <c r="J194" s="4">
        <f>6.0273 * CHOOSE(CONTROL!$C$15, $D$11, 100%, $F$11)</f>
        <v>6.0273000000000003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6.7546 * CHOOSE(CONTROL!$C$15, $D$11, 100%, $F$11)</f>
        <v>6.7545999999999999</v>
      </c>
      <c r="C195" s="8">
        <f>6.7598 * CHOOSE(CONTROL!$C$15, $D$11, 100%, $F$11)</f>
        <v>6.7598000000000003</v>
      </c>
      <c r="D195" s="8">
        <f>6.7367 * CHOOSE( CONTROL!$C$15, $D$11, 100%, $F$11)</f>
        <v>6.7366999999999999</v>
      </c>
      <c r="E195" s="12">
        <f>6.7446 * CHOOSE( CONTROL!$C$15, $D$11, 100%, $F$11)</f>
        <v>6.7446000000000002</v>
      </c>
      <c r="F195" s="4">
        <f>7.3995 * CHOOSE(CONTROL!$C$15, $D$11, 100%, $F$11)</f>
        <v>7.3994999999999997</v>
      </c>
      <c r="G195" s="8">
        <f>6.6236 * CHOOSE( CONTROL!$C$15, $D$11, 100%, $F$11)</f>
        <v>6.6235999999999997</v>
      </c>
      <c r="H195" s="4">
        <f>7.5056 * CHOOSE(CONTROL!$C$15, $D$11, 100%, $F$11)</f>
        <v>7.5056000000000003</v>
      </c>
      <c r="I195" s="8">
        <f>6.6263 * CHOOSE(CONTROL!$C$15, $D$11, 100%, $F$11)</f>
        <v>6.6262999999999996</v>
      </c>
      <c r="J195" s="4">
        <f>6.5005 * CHOOSE(CONTROL!$C$15, $D$11, 100%, $F$11)</f>
        <v>6.5004999999999997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6.7424 * CHOOSE(CONTROL!$C$15, $D$11, 100%, $F$11)</f>
        <v>6.7423999999999999</v>
      </c>
      <c r="C196" s="8">
        <f>6.7475 * CHOOSE(CONTROL!$C$15, $D$11, 100%, $F$11)</f>
        <v>6.7474999999999996</v>
      </c>
      <c r="D196" s="8">
        <f>6.726 * CHOOSE( CONTROL!$C$15, $D$11, 100%, $F$11)</f>
        <v>6.726</v>
      </c>
      <c r="E196" s="12">
        <f>6.7333 * CHOOSE( CONTROL!$C$15, $D$11, 100%, $F$11)</f>
        <v>6.7332999999999998</v>
      </c>
      <c r="F196" s="4">
        <f>7.3873 * CHOOSE(CONTROL!$C$15, $D$11, 100%, $F$11)</f>
        <v>7.3872999999999998</v>
      </c>
      <c r="G196" s="8">
        <f>6.6127 * CHOOSE( CONTROL!$C$15, $D$11, 100%, $F$11)</f>
        <v>6.6127000000000002</v>
      </c>
      <c r="H196" s="4">
        <f>7.4936 * CHOOSE(CONTROL!$C$15, $D$11, 100%, $F$11)</f>
        <v>7.4935999999999998</v>
      </c>
      <c r="I196" s="8">
        <f>6.6194 * CHOOSE(CONTROL!$C$15, $D$11, 100%, $F$11)</f>
        <v>6.6193999999999997</v>
      </c>
      <c r="J196" s="4">
        <f>6.4887 * CHOOSE(CONTROL!$C$15, $D$11, 100%, $F$11)</f>
        <v>6.4886999999999997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6.9889 * CHOOSE(CONTROL!$C$15, $D$11, 100%, $F$11)</f>
        <v>6.9889000000000001</v>
      </c>
      <c r="C197" s="8">
        <f>6.994 * CHOOSE(CONTROL!$C$15, $D$11, 100%, $F$11)</f>
        <v>6.9939999999999998</v>
      </c>
      <c r="D197" s="8">
        <f>6.9686 * CHOOSE( CONTROL!$C$15, $D$11, 100%, $F$11)</f>
        <v>6.9686000000000003</v>
      </c>
      <c r="E197" s="12">
        <f>6.9773 * CHOOSE( CONTROL!$C$15, $D$11, 100%, $F$11)</f>
        <v>6.9772999999999996</v>
      </c>
      <c r="F197" s="4">
        <f>7.6312 * CHOOSE(CONTROL!$C$15, $D$11, 100%, $F$11)</f>
        <v>7.6311999999999998</v>
      </c>
      <c r="G197" s="8">
        <f>6.8497 * CHOOSE( CONTROL!$C$15, $D$11, 100%, $F$11)</f>
        <v>6.8497000000000003</v>
      </c>
      <c r="H197" s="4">
        <f>7.7334 * CHOOSE(CONTROL!$C$15, $D$11, 100%, $F$11)</f>
        <v>7.7333999999999996</v>
      </c>
      <c r="I197" s="8">
        <f>6.838 * CHOOSE(CONTROL!$C$15, $D$11, 100%, $F$11)</f>
        <v>6.8380000000000001</v>
      </c>
      <c r="J197" s="4">
        <f>6.727 * CHOOSE(CONTROL!$C$15, $D$11, 100%, $F$11)</f>
        <v>6.7270000000000003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6.539 * CHOOSE(CONTROL!$C$15, $D$11, 100%, $F$11)</f>
        <v>6.5389999999999997</v>
      </c>
      <c r="C198" s="8">
        <f>6.5441 * CHOOSE(CONTROL!$C$15, $D$11, 100%, $F$11)</f>
        <v>6.5441000000000003</v>
      </c>
      <c r="D198" s="8">
        <f>6.5188 * CHOOSE( CONTROL!$C$15, $D$11, 100%, $F$11)</f>
        <v>6.5187999999999997</v>
      </c>
      <c r="E198" s="12">
        <f>6.5275 * CHOOSE( CONTROL!$C$15, $D$11, 100%, $F$11)</f>
        <v>6.5274999999999999</v>
      </c>
      <c r="F198" s="4">
        <f>7.1813 * CHOOSE(CONTROL!$C$15, $D$11, 100%, $F$11)</f>
        <v>7.1813000000000002</v>
      </c>
      <c r="G198" s="8">
        <f>6.4074 * CHOOSE( CONTROL!$C$15, $D$11, 100%, $F$11)</f>
        <v>6.4074</v>
      </c>
      <c r="H198" s="4">
        <f>7.291 * CHOOSE(CONTROL!$C$15, $D$11, 100%, $F$11)</f>
        <v>7.2910000000000004</v>
      </c>
      <c r="I198" s="8">
        <f>6.4032 * CHOOSE(CONTROL!$C$15, $D$11, 100%, $F$11)</f>
        <v>6.4032</v>
      </c>
      <c r="J198" s="4">
        <f>6.2921 * CHOOSE(CONTROL!$C$15, $D$11, 100%, $F$11)</f>
        <v>6.2920999999999996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6.4004 * CHOOSE(CONTROL!$C$15, $D$11, 100%, $F$11)</f>
        <v>6.4004000000000003</v>
      </c>
      <c r="C199" s="8">
        <f>6.4056 * CHOOSE(CONTROL!$C$15, $D$11, 100%, $F$11)</f>
        <v>6.4055999999999997</v>
      </c>
      <c r="D199" s="8">
        <f>6.38 * CHOOSE( CONTROL!$C$15, $D$11, 100%, $F$11)</f>
        <v>6.38</v>
      </c>
      <c r="E199" s="12">
        <f>6.3888 * CHOOSE( CONTROL!$C$15, $D$11, 100%, $F$11)</f>
        <v>6.3887999999999998</v>
      </c>
      <c r="F199" s="4">
        <f>7.0427 * CHOOSE(CONTROL!$C$15, $D$11, 100%, $F$11)</f>
        <v>7.0427</v>
      </c>
      <c r="G199" s="8">
        <f>6.2709 * CHOOSE( CONTROL!$C$15, $D$11, 100%, $F$11)</f>
        <v>6.2709000000000001</v>
      </c>
      <c r="H199" s="4">
        <f>7.1547 * CHOOSE(CONTROL!$C$15, $D$11, 100%, $F$11)</f>
        <v>7.1547000000000001</v>
      </c>
      <c r="I199" s="8">
        <f>6.2684 * CHOOSE(CONTROL!$C$15, $D$11, 100%, $F$11)</f>
        <v>6.2683999999999997</v>
      </c>
      <c r="J199" s="4">
        <f>6.1581 * CHOOSE(CONTROL!$C$15, $D$11, 100%, $F$11)</f>
        <v>6.1581000000000001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6.498 * CHOOSE(CONTROL!$C$15, $D$11, 100%, $F$11)</f>
        <v>6.4980000000000002</v>
      </c>
      <c r="C200" s="8">
        <f>6.5026 * CHOOSE(CONTROL!$C$15, $D$11, 100%, $F$11)</f>
        <v>6.5026000000000002</v>
      </c>
      <c r="D200" s="8">
        <f>6.5169 * CHOOSE( CONTROL!$C$15, $D$11, 100%, $F$11)</f>
        <v>6.5168999999999997</v>
      </c>
      <c r="E200" s="12">
        <f>6.5117 * CHOOSE( CONTROL!$C$15, $D$11, 100%, $F$11)</f>
        <v>6.5117000000000003</v>
      </c>
      <c r="F200" s="4">
        <f>7.1902 * CHOOSE(CONTROL!$C$15, $D$11, 100%, $F$11)</f>
        <v>7.1901999999999999</v>
      </c>
      <c r="G200" s="8">
        <f>6.3614 * CHOOSE( CONTROL!$C$15, $D$11, 100%, $F$11)</f>
        <v>6.3613999999999997</v>
      </c>
      <c r="H200" s="4">
        <f>7.2998 * CHOOSE(CONTROL!$C$15, $D$11, 100%, $F$11)</f>
        <v>7.2998000000000003</v>
      </c>
      <c r="I200" s="8">
        <f>6.3492 * CHOOSE(CONTROL!$C$15, $D$11, 100%, $F$11)</f>
        <v>6.3491999999999997</v>
      </c>
      <c r="J200" s="4">
        <f>6.2517 * CHOOSE(CONTROL!$C$15, $D$11, 100%, $F$11)</f>
        <v>6.2516999999999996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6.6766, 6.6717) * CHOOSE(CONTROL!$C$15, $D$11, 100%, $F$11)</f>
        <v>6.6765999999999996</v>
      </c>
      <c r="C201" s="8">
        <f>CHOOSE( CONTROL!$C$32, 6.6846, 6.6797) * CHOOSE(CONTROL!$C$15, $D$11, 100%, $F$11)</f>
        <v>6.6845999999999997</v>
      </c>
      <c r="D201" s="8">
        <f>CHOOSE( CONTROL!$C$32, 6.6939, 6.689) * CHOOSE( CONTROL!$C$15, $D$11, 100%, $F$11)</f>
        <v>6.6939000000000002</v>
      </c>
      <c r="E201" s="12">
        <f>CHOOSE( CONTROL!$C$32, 6.6893, 6.6844) * CHOOSE( CONTROL!$C$15, $D$11, 100%, $F$11)</f>
        <v>6.6893000000000002</v>
      </c>
      <c r="F201" s="4">
        <f>CHOOSE( CONTROL!$C$32, 7.3675, 7.3626) * CHOOSE(CONTROL!$C$15, $D$11, 100%, $F$11)</f>
        <v>7.3674999999999997</v>
      </c>
      <c r="G201" s="8">
        <f>CHOOSE( CONTROL!$C$32, 6.5368, 6.532) * CHOOSE( CONTROL!$C$15, $D$11, 100%, $F$11)</f>
        <v>6.5368000000000004</v>
      </c>
      <c r="H201" s="4">
        <f>CHOOSE( CONTROL!$C$32, 7.4741, 7.4692) * CHOOSE(CONTROL!$C$15, $D$11, 100%, $F$11)</f>
        <v>7.4741</v>
      </c>
      <c r="I201" s="8">
        <f>CHOOSE( CONTROL!$C$32, 6.5209, 6.5162) * CHOOSE(CONTROL!$C$15, $D$11, 100%, $F$11)</f>
        <v>6.5209000000000001</v>
      </c>
      <c r="J201" s="4">
        <f>CHOOSE( CONTROL!$C$32, 6.423, 6.4183) * CHOOSE(CONTROL!$C$15, $D$11, 100%, $F$11)</f>
        <v>6.423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6.5699, 6.565) * CHOOSE(CONTROL!$C$15, $D$11, 100%, $F$11)</f>
        <v>6.5698999999999996</v>
      </c>
      <c r="C202" s="8">
        <f>CHOOSE( CONTROL!$C$32, 6.5779, 6.573) * CHOOSE(CONTROL!$C$15, $D$11, 100%, $F$11)</f>
        <v>6.5778999999999996</v>
      </c>
      <c r="D202" s="8">
        <f>CHOOSE( CONTROL!$C$32, 6.5874, 6.5825) * CHOOSE( CONTROL!$C$15, $D$11, 100%, $F$11)</f>
        <v>6.5873999999999997</v>
      </c>
      <c r="E202" s="12">
        <f>CHOOSE( CONTROL!$C$32, 6.5827, 6.5778) * CHOOSE( CONTROL!$C$15, $D$11, 100%, $F$11)</f>
        <v>6.5827</v>
      </c>
      <c r="F202" s="4">
        <f>CHOOSE( CONTROL!$C$32, 7.2607, 7.2558) * CHOOSE(CONTROL!$C$15, $D$11, 100%, $F$11)</f>
        <v>7.2606999999999999</v>
      </c>
      <c r="G202" s="8">
        <f>CHOOSE( CONTROL!$C$32, 6.4321, 6.4273) * CHOOSE( CONTROL!$C$15, $D$11, 100%, $F$11)</f>
        <v>6.4321000000000002</v>
      </c>
      <c r="H202" s="4">
        <f>CHOOSE( CONTROL!$C$32, 7.3691, 7.3643) * CHOOSE(CONTROL!$C$15, $D$11, 100%, $F$11)</f>
        <v>7.3691000000000004</v>
      </c>
      <c r="I202" s="8">
        <f>CHOOSE( CONTROL!$C$32, 6.4187, 6.414) * CHOOSE(CONTROL!$C$15, $D$11, 100%, $F$11)</f>
        <v>6.4187000000000003</v>
      </c>
      <c r="J202" s="4">
        <f>CHOOSE( CONTROL!$C$32, 6.3198, 6.3151) * CHOOSE(CONTROL!$C$15, $D$11, 100%, $F$11)</f>
        <v>6.3197999999999999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6.851, 6.8461) * CHOOSE(CONTROL!$C$15, $D$11, 100%, $F$11)</f>
        <v>6.851</v>
      </c>
      <c r="C203" s="8">
        <f>CHOOSE( CONTROL!$C$32, 6.859, 6.8541) * CHOOSE(CONTROL!$C$15, $D$11, 100%, $F$11)</f>
        <v>6.859</v>
      </c>
      <c r="D203" s="8">
        <f>CHOOSE( CONTROL!$C$32, 6.8687, 6.8638) * CHOOSE( CONTROL!$C$15, $D$11, 100%, $F$11)</f>
        <v>6.8686999999999996</v>
      </c>
      <c r="E203" s="12">
        <f>CHOOSE( CONTROL!$C$32, 6.864, 6.8591) * CHOOSE( CONTROL!$C$15, $D$11, 100%, $F$11)</f>
        <v>6.8639999999999999</v>
      </c>
      <c r="F203" s="4">
        <f>CHOOSE( CONTROL!$C$32, 7.5418, 7.5369) * CHOOSE(CONTROL!$C$15, $D$11, 100%, $F$11)</f>
        <v>7.5418000000000003</v>
      </c>
      <c r="G203" s="8">
        <f>CHOOSE( CONTROL!$C$32, 6.7089, 6.7041) * CHOOSE( CONTROL!$C$15, $D$11, 100%, $F$11)</f>
        <v>6.7088999999999999</v>
      </c>
      <c r="H203" s="4">
        <f>CHOOSE( CONTROL!$C$32, 7.6455, 7.6407) * CHOOSE(CONTROL!$C$15, $D$11, 100%, $F$11)</f>
        <v>7.6455000000000002</v>
      </c>
      <c r="I203" s="8">
        <f>CHOOSE( CONTROL!$C$32, 6.6917, 6.687) * CHOOSE(CONTROL!$C$15, $D$11, 100%, $F$11)</f>
        <v>6.6917</v>
      </c>
      <c r="J203" s="4">
        <f>CHOOSE( CONTROL!$C$32, 6.5916, 6.5869) * CHOOSE(CONTROL!$C$15, $D$11, 100%, $F$11)</f>
        <v>6.5915999999999997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6.325, 6.3201) * CHOOSE(CONTROL!$C$15, $D$11, 100%, $F$11)</f>
        <v>6.3250000000000002</v>
      </c>
      <c r="C204" s="8">
        <f>CHOOSE( CONTROL!$C$32, 6.333, 6.3281) * CHOOSE(CONTROL!$C$15, $D$11, 100%, $F$11)</f>
        <v>6.3330000000000002</v>
      </c>
      <c r="D204" s="8">
        <f>CHOOSE( CONTROL!$C$32, 6.3428, 6.3379) * CHOOSE( CONTROL!$C$15, $D$11, 100%, $F$11)</f>
        <v>6.3428000000000004</v>
      </c>
      <c r="E204" s="12">
        <f>CHOOSE( CONTROL!$C$32, 6.338, 6.3331) * CHOOSE( CONTROL!$C$15, $D$11, 100%, $F$11)</f>
        <v>6.3380000000000001</v>
      </c>
      <c r="F204" s="4">
        <f>CHOOSE( CONTROL!$C$32, 7.0158, 7.0109) * CHOOSE(CONTROL!$C$15, $D$11, 100%, $F$11)</f>
        <v>7.0157999999999996</v>
      </c>
      <c r="G204" s="8">
        <f>CHOOSE( CONTROL!$C$32, 6.1917, 6.1869) * CHOOSE( CONTROL!$C$15, $D$11, 100%, $F$11)</f>
        <v>6.1917</v>
      </c>
      <c r="H204" s="4">
        <f>CHOOSE( CONTROL!$C$32, 7.1283, 7.1235) * CHOOSE(CONTROL!$C$15, $D$11, 100%, $F$11)</f>
        <v>7.1283000000000003</v>
      </c>
      <c r="I204" s="8">
        <f>CHOOSE( CONTROL!$C$32, 6.1833, 6.1786) * CHOOSE(CONTROL!$C$15, $D$11, 100%, $F$11)</f>
        <v>6.1833</v>
      </c>
      <c r="J204" s="4">
        <f>CHOOSE( CONTROL!$C$32, 6.0831, 6.0784) * CHOOSE(CONTROL!$C$15, $D$11, 100%, $F$11)</f>
        <v>6.0831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6.1933, 6.1884) * CHOOSE(CONTROL!$C$15, $D$11, 100%, $F$11)</f>
        <v>6.1932999999999998</v>
      </c>
      <c r="C205" s="8">
        <f>CHOOSE( CONTROL!$C$32, 6.2013, 6.1964) * CHOOSE(CONTROL!$C$15, $D$11, 100%, $F$11)</f>
        <v>6.2012999999999998</v>
      </c>
      <c r="D205" s="8">
        <f>CHOOSE( CONTROL!$C$32, 6.2111, 6.2062) * CHOOSE( CONTROL!$C$15, $D$11, 100%, $F$11)</f>
        <v>6.2111000000000001</v>
      </c>
      <c r="E205" s="12">
        <f>CHOOSE( CONTROL!$C$32, 6.2063, 6.2014) * CHOOSE( CONTROL!$C$15, $D$11, 100%, $F$11)</f>
        <v>6.2062999999999997</v>
      </c>
      <c r="F205" s="4">
        <f>CHOOSE( CONTROL!$C$32, 6.8841, 6.8792) * CHOOSE(CONTROL!$C$15, $D$11, 100%, $F$11)</f>
        <v>6.8841000000000001</v>
      </c>
      <c r="G205" s="8">
        <f>CHOOSE( CONTROL!$C$32, 6.0622, 6.0574) * CHOOSE( CONTROL!$C$15, $D$11, 100%, $F$11)</f>
        <v>6.0621999999999998</v>
      </c>
      <c r="H205" s="4">
        <f>CHOOSE( CONTROL!$C$32, 6.9987, 6.9939) * CHOOSE(CONTROL!$C$15, $D$11, 100%, $F$11)</f>
        <v>6.9987000000000004</v>
      </c>
      <c r="I205" s="8">
        <f>CHOOSE( CONTROL!$C$32, 6.0558, 6.051) * CHOOSE(CONTROL!$C$15, $D$11, 100%, $F$11)</f>
        <v>6.0557999999999996</v>
      </c>
      <c r="J205" s="4">
        <f>CHOOSE( CONTROL!$C$32, 5.9558, 5.9511) * CHOOSE(CONTROL!$C$15, $D$11, 100%, $F$11)</f>
        <v>5.9558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6.4601 * CHOOSE(CONTROL!$C$15, $D$11, 100%, $F$11)</f>
        <v>6.4600999999999997</v>
      </c>
      <c r="C206" s="8">
        <f>6.4655 * CHOOSE(CONTROL!$C$15, $D$11, 100%, $F$11)</f>
        <v>6.4654999999999996</v>
      </c>
      <c r="D206" s="8">
        <f>6.48 * CHOOSE( CONTROL!$C$15, $D$11, 100%, $F$11)</f>
        <v>6.48</v>
      </c>
      <c r="E206" s="12">
        <f>6.4746 * CHOOSE( CONTROL!$C$15, $D$11, 100%, $F$11)</f>
        <v>6.4745999999999997</v>
      </c>
      <c r="F206" s="4">
        <f>7.1527 * CHOOSE(CONTROL!$C$15, $D$11, 100%, $F$11)</f>
        <v>7.1527000000000003</v>
      </c>
      <c r="G206" s="8">
        <f>6.3255 * CHOOSE( CONTROL!$C$15, $D$11, 100%, $F$11)</f>
        <v>6.3254999999999999</v>
      </c>
      <c r="H206" s="4">
        <f>7.2629 * CHOOSE(CONTROL!$C$15, $D$11, 100%, $F$11)</f>
        <v>7.2629000000000001</v>
      </c>
      <c r="I206" s="8">
        <f>6.3164 * CHOOSE(CONTROL!$C$15, $D$11, 100%, $F$11)</f>
        <v>6.3163999999999998</v>
      </c>
      <c r="J206" s="4">
        <f>6.2154 * CHOOSE(CONTROL!$C$15, $D$11, 100%, $F$11)</f>
        <v>6.2153999999999998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6.9645 * CHOOSE(CONTROL!$C$15, $D$11, 100%, $F$11)</f>
        <v>6.9645000000000001</v>
      </c>
      <c r="C207" s="8">
        <f>6.9696 * CHOOSE(CONTROL!$C$15, $D$11, 100%, $F$11)</f>
        <v>6.9695999999999998</v>
      </c>
      <c r="D207" s="8">
        <f>6.9466 * CHOOSE( CONTROL!$C$15, $D$11, 100%, $F$11)</f>
        <v>6.9466000000000001</v>
      </c>
      <c r="E207" s="12">
        <f>6.9545 * CHOOSE( CONTROL!$C$15, $D$11, 100%, $F$11)</f>
        <v>6.9545000000000003</v>
      </c>
      <c r="F207" s="4">
        <f>7.6094 * CHOOSE(CONTROL!$C$15, $D$11, 100%, $F$11)</f>
        <v>7.6093999999999999</v>
      </c>
      <c r="G207" s="8">
        <f>6.8299 * CHOOSE( CONTROL!$C$15, $D$11, 100%, $F$11)</f>
        <v>6.8299000000000003</v>
      </c>
      <c r="H207" s="4">
        <f>7.712 * CHOOSE(CONTROL!$C$15, $D$11, 100%, $F$11)</f>
        <v>7.7119999999999997</v>
      </c>
      <c r="I207" s="8">
        <f>6.8292 * CHOOSE(CONTROL!$C$15, $D$11, 100%, $F$11)</f>
        <v>6.8292000000000002</v>
      </c>
      <c r="J207" s="4">
        <f>6.7034 * CHOOSE(CONTROL!$C$15, $D$11, 100%, $F$11)</f>
        <v>6.7034000000000002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6.9519 * CHOOSE(CONTROL!$C$15, $D$11, 100%, $F$11)</f>
        <v>6.9519000000000002</v>
      </c>
      <c r="C208" s="8">
        <f>6.957 * CHOOSE(CONTROL!$C$15, $D$11, 100%, $F$11)</f>
        <v>6.9569999999999999</v>
      </c>
      <c r="D208" s="8">
        <f>6.9355 * CHOOSE( CONTROL!$C$15, $D$11, 100%, $F$11)</f>
        <v>6.9355000000000002</v>
      </c>
      <c r="E208" s="12">
        <f>6.9428 * CHOOSE( CONTROL!$C$15, $D$11, 100%, $F$11)</f>
        <v>6.9428000000000001</v>
      </c>
      <c r="F208" s="4">
        <f>7.5968 * CHOOSE(CONTROL!$C$15, $D$11, 100%, $F$11)</f>
        <v>7.5968</v>
      </c>
      <c r="G208" s="8">
        <f>6.8187 * CHOOSE( CONTROL!$C$15, $D$11, 100%, $F$11)</f>
        <v>6.8186999999999998</v>
      </c>
      <c r="H208" s="4">
        <f>7.6996 * CHOOSE(CONTROL!$C$15, $D$11, 100%, $F$11)</f>
        <v>7.6996000000000002</v>
      </c>
      <c r="I208" s="8">
        <f>6.822 * CHOOSE(CONTROL!$C$15, $D$11, 100%, $F$11)</f>
        <v>6.8220000000000001</v>
      </c>
      <c r="J208" s="4">
        <f>6.6912 * CHOOSE(CONTROL!$C$15, $D$11, 100%, $F$11)</f>
        <v>6.6912000000000003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7.2052 * CHOOSE(CONTROL!$C$15, $D$11, 100%, $F$11)</f>
        <v>7.2051999999999996</v>
      </c>
      <c r="C209" s="8">
        <f>7.2103 * CHOOSE(CONTROL!$C$15, $D$11, 100%, $F$11)</f>
        <v>7.2103000000000002</v>
      </c>
      <c r="D209" s="8">
        <f>7.1849 * CHOOSE( CONTROL!$C$15, $D$11, 100%, $F$11)</f>
        <v>7.1848999999999998</v>
      </c>
      <c r="E209" s="12">
        <f>7.1936 * CHOOSE( CONTROL!$C$15, $D$11, 100%, $F$11)</f>
        <v>7.1936</v>
      </c>
      <c r="F209" s="4">
        <f>7.8475 * CHOOSE(CONTROL!$C$15, $D$11, 100%, $F$11)</f>
        <v>7.8475000000000001</v>
      </c>
      <c r="G209" s="8">
        <f>7.0625 * CHOOSE( CONTROL!$C$15, $D$11, 100%, $F$11)</f>
        <v>7.0625</v>
      </c>
      <c r="H209" s="4">
        <f>7.9461 * CHOOSE(CONTROL!$C$15, $D$11, 100%, $F$11)</f>
        <v>7.9461000000000004</v>
      </c>
      <c r="I209" s="8">
        <f>7.0473 * CHOOSE(CONTROL!$C$15, $D$11, 100%, $F$11)</f>
        <v>7.0472999999999999</v>
      </c>
      <c r="J209" s="4">
        <f>6.9361 * CHOOSE(CONTROL!$C$15, $D$11, 100%, $F$11)</f>
        <v>6.9360999999999997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6.7413 * CHOOSE(CONTROL!$C$15, $D$11, 100%, $F$11)</f>
        <v>6.7412999999999998</v>
      </c>
      <c r="C210" s="8">
        <f>6.7464 * CHOOSE(CONTROL!$C$15, $D$11, 100%, $F$11)</f>
        <v>6.7464000000000004</v>
      </c>
      <c r="D210" s="8">
        <f>6.7211 * CHOOSE( CONTROL!$C$15, $D$11, 100%, $F$11)</f>
        <v>6.7210999999999999</v>
      </c>
      <c r="E210" s="12">
        <f>6.7298 * CHOOSE( CONTROL!$C$15, $D$11, 100%, $F$11)</f>
        <v>6.7298</v>
      </c>
      <c r="F210" s="4">
        <f>7.3836 * CHOOSE(CONTROL!$C$15, $D$11, 100%, $F$11)</f>
        <v>7.3836000000000004</v>
      </c>
      <c r="G210" s="8">
        <f>6.6064 * CHOOSE( CONTROL!$C$15, $D$11, 100%, $F$11)</f>
        <v>6.6063999999999998</v>
      </c>
      <c r="H210" s="4">
        <f>7.49 * CHOOSE(CONTROL!$C$15, $D$11, 100%, $F$11)</f>
        <v>7.49</v>
      </c>
      <c r="I210" s="8">
        <f>6.5989 * CHOOSE(CONTROL!$C$15, $D$11, 100%, $F$11)</f>
        <v>6.5989000000000004</v>
      </c>
      <c r="J210" s="4">
        <f>6.4877 * CHOOSE(CONTROL!$C$15, $D$11, 100%, $F$11)</f>
        <v>6.4877000000000002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6.5985 * CHOOSE(CONTROL!$C$15, $D$11, 100%, $F$11)</f>
        <v>6.5984999999999996</v>
      </c>
      <c r="C211" s="8">
        <f>6.6036 * CHOOSE(CONTROL!$C$15, $D$11, 100%, $F$11)</f>
        <v>6.6036000000000001</v>
      </c>
      <c r="D211" s="8">
        <f>6.578 * CHOOSE( CONTROL!$C$15, $D$11, 100%, $F$11)</f>
        <v>6.5780000000000003</v>
      </c>
      <c r="E211" s="12">
        <f>6.5868 * CHOOSE( CONTROL!$C$15, $D$11, 100%, $F$11)</f>
        <v>6.5868000000000002</v>
      </c>
      <c r="F211" s="4">
        <f>7.2408 * CHOOSE(CONTROL!$C$15, $D$11, 100%, $F$11)</f>
        <v>7.2408000000000001</v>
      </c>
      <c r="G211" s="8">
        <f>6.4657 * CHOOSE( CONTROL!$C$15, $D$11, 100%, $F$11)</f>
        <v>6.4657</v>
      </c>
      <c r="H211" s="4">
        <f>7.3495 * CHOOSE(CONTROL!$C$15, $D$11, 100%, $F$11)</f>
        <v>7.3494999999999999</v>
      </c>
      <c r="I211" s="8">
        <f>6.4599 * CHOOSE(CONTROL!$C$15, $D$11, 100%, $F$11)</f>
        <v>6.4599000000000002</v>
      </c>
      <c r="J211" s="4">
        <f>6.3496 * CHOOSE(CONTROL!$C$15, $D$11, 100%, $F$11)</f>
        <v>6.3495999999999997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6.6991 * CHOOSE(CONTROL!$C$15, $D$11, 100%, $F$11)</f>
        <v>6.6990999999999996</v>
      </c>
      <c r="C212" s="8">
        <f>6.7036 * CHOOSE(CONTROL!$C$15, $D$11, 100%, $F$11)</f>
        <v>6.7035999999999998</v>
      </c>
      <c r="D212" s="8">
        <f>6.7179 * CHOOSE( CONTROL!$C$15, $D$11, 100%, $F$11)</f>
        <v>6.7179000000000002</v>
      </c>
      <c r="E212" s="12">
        <f>6.7127 * CHOOSE( CONTROL!$C$15, $D$11, 100%, $F$11)</f>
        <v>6.7126999999999999</v>
      </c>
      <c r="F212" s="4">
        <f>7.3913 * CHOOSE(CONTROL!$C$15, $D$11, 100%, $F$11)</f>
        <v>7.3913000000000002</v>
      </c>
      <c r="G212" s="8">
        <f>6.5591 * CHOOSE( CONTROL!$C$15, $D$11, 100%, $F$11)</f>
        <v>6.5590999999999999</v>
      </c>
      <c r="H212" s="4">
        <f>7.4975 * CHOOSE(CONTROL!$C$15, $D$11, 100%, $F$11)</f>
        <v>7.4974999999999996</v>
      </c>
      <c r="I212" s="8">
        <f>6.5436 * CHOOSE(CONTROL!$C$15, $D$11, 100%, $F$11)</f>
        <v>6.5435999999999996</v>
      </c>
      <c r="J212" s="4">
        <f>6.4461 * CHOOSE(CONTROL!$C$15, $D$11, 100%, $F$11)</f>
        <v>6.4461000000000004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6.883, 6.8781) * CHOOSE(CONTROL!$C$15, $D$11, 100%, $F$11)</f>
        <v>6.883</v>
      </c>
      <c r="C213" s="8">
        <f>CHOOSE( CONTROL!$C$32, 6.891, 6.8861) * CHOOSE(CONTROL!$C$15, $D$11, 100%, $F$11)</f>
        <v>6.891</v>
      </c>
      <c r="D213" s="8">
        <f>CHOOSE( CONTROL!$C$32, 6.9003, 6.8954) * CHOOSE( CONTROL!$C$15, $D$11, 100%, $F$11)</f>
        <v>6.9002999999999997</v>
      </c>
      <c r="E213" s="12">
        <f>CHOOSE( CONTROL!$C$32, 6.8957, 6.8908) * CHOOSE( CONTROL!$C$15, $D$11, 100%, $F$11)</f>
        <v>6.8956999999999997</v>
      </c>
      <c r="F213" s="4">
        <f>CHOOSE( CONTROL!$C$32, 7.5739, 7.569) * CHOOSE(CONTROL!$C$15, $D$11, 100%, $F$11)</f>
        <v>7.5739000000000001</v>
      </c>
      <c r="G213" s="8">
        <f>CHOOSE( CONTROL!$C$32, 6.7397, 6.7349) * CHOOSE( CONTROL!$C$15, $D$11, 100%, $F$11)</f>
        <v>6.7397</v>
      </c>
      <c r="H213" s="4">
        <f>CHOOSE( CONTROL!$C$32, 7.677, 7.6722) * CHOOSE(CONTROL!$C$15, $D$11, 100%, $F$11)</f>
        <v>7.6769999999999996</v>
      </c>
      <c r="I213" s="8">
        <f>CHOOSE( CONTROL!$C$32, 6.7206, 6.7158) * CHOOSE(CONTROL!$C$15, $D$11, 100%, $F$11)</f>
        <v>6.7206000000000001</v>
      </c>
      <c r="J213" s="4">
        <f>CHOOSE( CONTROL!$C$32, 6.6226, 6.6178) * CHOOSE(CONTROL!$C$15, $D$11, 100%, $F$11)</f>
        <v>6.6226000000000003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6.7729, 6.768) * CHOOSE(CONTROL!$C$15, $D$11, 100%, $F$11)</f>
        <v>6.7728999999999999</v>
      </c>
      <c r="C214" s="8">
        <f>CHOOSE( CONTROL!$C$32, 6.7809, 6.7761) * CHOOSE(CONTROL!$C$15, $D$11, 100%, $F$11)</f>
        <v>6.7808999999999999</v>
      </c>
      <c r="D214" s="8">
        <f>CHOOSE( CONTROL!$C$32, 6.7905, 6.7856) * CHOOSE( CONTROL!$C$15, $D$11, 100%, $F$11)</f>
        <v>6.7904999999999998</v>
      </c>
      <c r="E214" s="12">
        <f>CHOOSE( CONTROL!$C$32, 6.7858, 6.7809) * CHOOSE( CONTROL!$C$15, $D$11, 100%, $F$11)</f>
        <v>6.7858000000000001</v>
      </c>
      <c r="F214" s="4">
        <f>CHOOSE( CONTROL!$C$32, 7.4638, 7.4589) * CHOOSE(CONTROL!$C$15, $D$11, 100%, $F$11)</f>
        <v>7.4638</v>
      </c>
      <c r="G214" s="8">
        <f>CHOOSE( CONTROL!$C$32, 6.6318, 6.627) * CHOOSE( CONTROL!$C$15, $D$11, 100%, $F$11)</f>
        <v>6.6318000000000001</v>
      </c>
      <c r="H214" s="4">
        <f>CHOOSE( CONTROL!$C$32, 7.5688, 7.564) * CHOOSE(CONTROL!$C$15, $D$11, 100%, $F$11)</f>
        <v>7.5688000000000004</v>
      </c>
      <c r="I214" s="8">
        <f>CHOOSE( CONTROL!$C$32, 6.6152, 6.6104) * CHOOSE(CONTROL!$C$15, $D$11, 100%, $F$11)</f>
        <v>6.6151999999999997</v>
      </c>
      <c r="J214" s="4">
        <f>CHOOSE( CONTROL!$C$32, 6.5162, 6.5114) * CHOOSE(CONTROL!$C$15, $D$11, 100%, $F$11)</f>
        <v>6.5162000000000004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7.0628, 7.0579) * CHOOSE(CONTROL!$C$15, $D$11, 100%, $F$11)</f>
        <v>7.0628000000000002</v>
      </c>
      <c r="C215" s="8">
        <f>CHOOSE( CONTROL!$C$32, 7.0708, 7.0659) * CHOOSE(CONTROL!$C$15, $D$11, 100%, $F$11)</f>
        <v>7.0708000000000002</v>
      </c>
      <c r="D215" s="8">
        <f>CHOOSE( CONTROL!$C$32, 7.0805, 7.0756) * CHOOSE( CONTROL!$C$15, $D$11, 100%, $F$11)</f>
        <v>7.0804999999999998</v>
      </c>
      <c r="E215" s="12">
        <f>CHOOSE( CONTROL!$C$32, 7.0758, 7.0709) * CHOOSE( CONTROL!$C$15, $D$11, 100%, $F$11)</f>
        <v>7.0758000000000001</v>
      </c>
      <c r="F215" s="4">
        <f>CHOOSE( CONTROL!$C$32, 7.7536, 7.7487) * CHOOSE(CONTROL!$C$15, $D$11, 100%, $F$11)</f>
        <v>7.7535999999999996</v>
      </c>
      <c r="G215" s="8">
        <f>CHOOSE( CONTROL!$C$32, 6.9172, 6.9124) * CHOOSE( CONTROL!$C$15, $D$11, 100%, $F$11)</f>
        <v>6.9172000000000002</v>
      </c>
      <c r="H215" s="4">
        <f>CHOOSE( CONTROL!$C$32, 7.8538, 7.849) * CHOOSE(CONTROL!$C$15, $D$11, 100%, $F$11)</f>
        <v>7.8537999999999997</v>
      </c>
      <c r="I215" s="8">
        <f>CHOOSE( CONTROL!$C$32, 6.8966, 6.8918) * CHOOSE(CONTROL!$C$15, $D$11, 100%, $F$11)</f>
        <v>6.8966000000000003</v>
      </c>
      <c r="J215" s="4">
        <f>CHOOSE( CONTROL!$C$32, 6.7963, 6.7916) * CHOOSE(CONTROL!$C$15, $D$11, 100%, $F$11)</f>
        <v>6.7962999999999996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6.5204, 6.5156) * CHOOSE(CONTROL!$C$15, $D$11, 100%, $F$11)</f>
        <v>6.5204000000000004</v>
      </c>
      <c r="C216" s="8">
        <f>CHOOSE( CONTROL!$C$32, 6.5285, 6.5236) * CHOOSE(CONTROL!$C$15, $D$11, 100%, $F$11)</f>
        <v>6.5285000000000002</v>
      </c>
      <c r="D216" s="8">
        <f>CHOOSE( CONTROL!$C$32, 6.5383, 6.5334) * CHOOSE( CONTROL!$C$15, $D$11, 100%, $F$11)</f>
        <v>6.5382999999999996</v>
      </c>
      <c r="E216" s="12">
        <f>CHOOSE( CONTROL!$C$32, 6.5335, 6.5286) * CHOOSE( CONTROL!$C$15, $D$11, 100%, $F$11)</f>
        <v>6.5335000000000001</v>
      </c>
      <c r="F216" s="4">
        <f>CHOOSE( CONTROL!$C$32, 7.2113, 7.2064) * CHOOSE(CONTROL!$C$15, $D$11, 100%, $F$11)</f>
        <v>7.2112999999999996</v>
      </c>
      <c r="G216" s="8">
        <f>CHOOSE( CONTROL!$C$32, 6.384, 6.3792) * CHOOSE( CONTROL!$C$15, $D$11, 100%, $F$11)</f>
        <v>6.3840000000000003</v>
      </c>
      <c r="H216" s="4">
        <f>CHOOSE( CONTROL!$C$32, 7.3205, 7.3157) * CHOOSE(CONTROL!$C$15, $D$11, 100%, $F$11)</f>
        <v>7.3205</v>
      </c>
      <c r="I216" s="8">
        <f>CHOOSE( CONTROL!$C$32, 6.3724, 6.3676) * CHOOSE(CONTROL!$C$15, $D$11, 100%, $F$11)</f>
        <v>6.3723999999999998</v>
      </c>
      <c r="J216" s="4">
        <f>CHOOSE( CONTROL!$C$32, 6.2721, 6.2674) * CHOOSE(CONTROL!$C$15, $D$11, 100%, $F$11)</f>
        <v>6.2721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6.3846, 6.3798) * CHOOSE(CONTROL!$C$15, $D$11, 100%, $F$11)</f>
        <v>6.3845999999999998</v>
      </c>
      <c r="C217" s="8">
        <f>CHOOSE( CONTROL!$C$32, 6.3927, 6.3878) * CHOOSE(CONTROL!$C$15, $D$11, 100%, $F$11)</f>
        <v>6.3926999999999996</v>
      </c>
      <c r="D217" s="8">
        <f>CHOOSE( CONTROL!$C$32, 6.4024, 6.3975) * CHOOSE( CONTROL!$C$15, $D$11, 100%, $F$11)</f>
        <v>6.4024000000000001</v>
      </c>
      <c r="E217" s="12">
        <f>CHOOSE( CONTROL!$C$32, 6.3977, 6.3928) * CHOOSE( CONTROL!$C$15, $D$11, 100%, $F$11)</f>
        <v>6.3977000000000004</v>
      </c>
      <c r="F217" s="4">
        <f>CHOOSE( CONTROL!$C$32, 7.0755, 7.0706) * CHOOSE(CONTROL!$C$15, $D$11, 100%, $F$11)</f>
        <v>7.0754999999999999</v>
      </c>
      <c r="G217" s="8">
        <f>CHOOSE( CONTROL!$C$32, 6.2504, 6.2456) * CHOOSE( CONTROL!$C$15, $D$11, 100%, $F$11)</f>
        <v>6.2504</v>
      </c>
      <c r="H217" s="4">
        <f>CHOOSE( CONTROL!$C$32, 7.1869, 7.1821) * CHOOSE(CONTROL!$C$15, $D$11, 100%, $F$11)</f>
        <v>7.1868999999999996</v>
      </c>
      <c r="I217" s="8">
        <f>CHOOSE( CONTROL!$C$32, 6.2409, 6.2361) * CHOOSE(CONTROL!$C$15, $D$11, 100%, $F$11)</f>
        <v>6.2408999999999999</v>
      </c>
      <c r="J217" s="4">
        <f>CHOOSE( CONTROL!$C$32, 6.1408, 6.1361) * CHOOSE(CONTROL!$C$15, $D$11, 100%, $F$11)</f>
        <v>6.1407999999999996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6.66 * CHOOSE(CONTROL!$C$15, $D$11, 100%, $F$11)</f>
        <v>6.66</v>
      </c>
      <c r="C218" s="8">
        <f>6.6654 * CHOOSE(CONTROL!$C$15, $D$11, 100%, $F$11)</f>
        <v>6.6654</v>
      </c>
      <c r="D218" s="8">
        <f>6.6799 * CHOOSE( CONTROL!$C$15, $D$11, 100%, $F$11)</f>
        <v>6.6798999999999999</v>
      </c>
      <c r="E218" s="12">
        <f>6.6745 * CHOOSE( CONTROL!$C$15, $D$11, 100%, $F$11)</f>
        <v>6.6745000000000001</v>
      </c>
      <c r="F218" s="4">
        <f>7.3526 * CHOOSE(CONTROL!$C$15, $D$11, 100%, $F$11)</f>
        <v>7.3525999999999998</v>
      </c>
      <c r="G218" s="8">
        <f>6.5221 * CHOOSE( CONTROL!$C$15, $D$11, 100%, $F$11)</f>
        <v>6.5221</v>
      </c>
      <c r="H218" s="4">
        <f>7.4594 * CHOOSE(CONTROL!$C$15, $D$11, 100%, $F$11)</f>
        <v>7.4593999999999996</v>
      </c>
      <c r="I218" s="8">
        <f>6.5097 * CHOOSE(CONTROL!$C$15, $D$11, 100%, $F$11)</f>
        <v>6.5096999999999996</v>
      </c>
      <c r="J218" s="4">
        <f>6.4087 * CHOOSE(CONTROL!$C$15, $D$11, 100%, $F$11)</f>
        <v>6.4086999999999996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7.1801 * CHOOSE(CONTROL!$C$15, $D$11, 100%, $F$11)</f>
        <v>7.1801000000000004</v>
      </c>
      <c r="C219" s="8">
        <f>7.1852 * CHOOSE(CONTROL!$C$15, $D$11, 100%, $F$11)</f>
        <v>7.1852</v>
      </c>
      <c r="D219" s="8">
        <f>7.1621 * CHOOSE( CONTROL!$C$15, $D$11, 100%, $F$11)</f>
        <v>7.1620999999999997</v>
      </c>
      <c r="E219" s="12">
        <f>7.17 * CHOOSE( CONTROL!$C$15, $D$11, 100%, $F$11)</f>
        <v>7.17</v>
      </c>
      <c r="F219" s="4">
        <f>7.825 * CHOOSE(CONTROL!$C$15, $D$11, 100%, $F$11)</f>
        <v>7.8250000000000002</v>
      </c>
      <c r="G219" s="8">
        <f>7.0419 * CHOOSE( CONTROL!$C$15, $D$11, 100%, $F$11)</f>
        <v>7.0419</v>
      </c>
      <c r="H219" s="4">
        <f>7.924 * CHOOSE(CONTROL!$C$15, $D$11, 100%, $F$11)</f>
        <v>7.9240000000000004</v>
      </c>
      <c r="I219" s="8">
        <f>7.0377 * CHOOSE(CONTROL!$C$15, $D$11, 100%, $F$11)</f>
        <v>7.0377000000000001</v>
      </c>
      <c r="J219" s="4">
        <f>6.9118 * CHOOSE(CONTROL!$C$15, $D$11, 100%, $F$11)</f>
        <v>6.9118000000000004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7.1671 * CHOOSE(CONTROL!$C$15, $D$11, 100%, $F$11)</f>
        <v>7.1670999999999996</v>
      </c>
      <c r="C220" s="8">
        <f>7.1722 * CHOOSE(CONTROL!$C$15, $D$11, 100%, $F$11)</f>
        <v>7.1722000000000001</v>
      </c>
      <c r="D220" s="8">
        <f>7.1507 * CHOOSE( CONTROL!$C$15, $D$11, 100%, $F$11)</f>
        <v>7.1506999999999996</v>
      </c>
      <c r="E220" s="12">
        <f>7.158 * CHOOSE( CONTROL!$C$15, $D$11, 100%, $F$11)</f>
        <v>7.1580000000000004</v>
      </c>
      <c r="F220" s="4">
        <f>7.812 * CHOOSE(CONTROL!$C$15, $D$11, 100%, $F$11)</f>
        <v>7.8120000000000003</v>
      </c>
      <c r="G220" s="8">
        <f>7.0303 * CHOOSE( CONTROL!$C$15, $D$11, 100%, $F$11)</f>
        <v>7.0303000000000004</v>
      </c>
      <c r="H220" s="4">
        <f>7.9112 * CHOOSE(CONTROL!$C$15, $D$11, 100%, $F$11)</f>
        <v>7.9112</v>
      </c>
      <c r="I220" s="8">
        <f>7.0301 * CHOOSE(CONTROL!$C$15, $D$11, 100%, $F$11)</f>
        <v>7.0301</v>
      </c>
      <c r="J220" s="4">
        <f>6.8992 * CHOOSE(CONTROL!$C$15, $D$11, 100%, $F$11)</f>
        <v>6.8992000000000004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7.4274 * CHOOSE(CONTROL!$C$15, $D$11, 100%, $F$11)</f>
        <v>7.4273999999999996</v>
      </c>
      <c r="C221" s="8">
        <f>7.4325 * CHOOSE(CONTROL!$C$15, $D$11, 100%, $F$11)</f>
        <v>7.4325000000000001</v>
      </c>
      <c r="D221" s="8">
        <f>7.4071 * CHOOSE( CONTROL!$C$15, $D$11, 100%, $F$11)</f>
        <v>7.4070999999999998</v>
      </c>
      <c r="E221" s="12">
        <f>7.4158 * CHOOSE( CONTROL!$C$15, $D$11, 100%, $F$11)</f>
        <v>7.4157999999999999</v>
      </c>
      <c r="F221" s="4">
        <f>8.0697 * CHOOSE(CONTROL!$C$15, $D$11, 100%, $F$11)</f>
        <v>8.0696999999999992</v>
      </c>
      <c r="G221" s="8">
        <f>7.281 * CHOOSE( CONTROL!$C$15, $D$11, 100%, $F$11)</f>
        <v>7.2809999999999997</v>
      </c>
      <c r="H221" s="4">
        <f>8.1646 * CHOOSE(CONTROL!$C$15, $D$11, 100%, $F$11)</f>
        <v>8.1646000000000001</v>
      </c>
      <c r="I221" s="8">
        <f>7.2622 * CHOOSE(CONTROL!$C$15, $D$11, 100%, $F$11)</f>
        <v>7.2622</v>
      </c>
      <c r="J221" s="4">
        <f>7.1509 * CHOOSE(CONTROL!$C$15, $D$11, 100%, $F$11)</f>
        <v>7.1509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6.9492 * CHOOSE(CONTROL!$C$15, $D$11, 100%, $F$11)</f>
        <v>6.9492000000000003</v>
      </c>
      <c r="C222" s="8">
        <f>6.9543 * CHOOSE(CONTROL!$C$15, $D$11, 100%, $F$11)</f>
        <v>6.9542999999999999</v>
      </c>
      <c r="D222" s="8">
        <f>6.929 * CHOOSE( CONTROL!$C$15, $D$11, 100%, $F$11)</f>
        <v>6.9290000000000003</v>
      </c>
      <c r="E222" s="12">
        <f>6.9377 * CHOOSE( CONTROL!$C$15, $D$11, 100%, $F$11)</f>
        <v>6.9377000000000004</v>
      </c>
      <c r="F222" s="4">
        <f>7.5915 * CHOOSE(CONTROL!$C$15, $D$11, 100%, $F$11)</f>
        <v>7.5914999999999999</v>
      </c>
      <c r="G222" s="8">
        <f>6.8107 * CHOOSE( CONTROL!$C$15, $D$11, 100%, $F$11)</f>
        <v>6.8106999999999998</v>
      </c>
      <c r="H222" s="4">
        <f>7.6943 * CHOOSE(CONTROL!$C$15, $D$11, 100%, $F$11)</f>
        <v>7.6943000000000001</v>
      </c>
      <c r="I222" s="8">
        <f>6.7999 * CHOOSE(CONTROL!$C$15, $D$11, 100%, $F$11)</f>
        <v>6.7999000000000001</v>
      </c>
      <c r="J222" s="4">
        <f>6.6886 * CHOOSE(CONTROL!$C$15, $D$11, 100%, $F$11)</f>
        <v>6.6886000000000001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6.8019 * CHOOSE(CONTROL!$C$15, $D$11, 100%, $F$11)</f>
        <v>6.8018999999999998</v>
      </c>
      <c r="C223" s="8">
        <f>6.807 * CHOOSE(CONTROL!$C$15, $D$11, 100%, $F$11)</f>
        <v>6.8070000000000004</v>
      </c>
      <c r="D223" s="8">
        <f>6.7814 * CHOOSE( CONTROL!$C$15, $D$11, 100%, $F$11)</f>
        <v>6.7813999999999997</v>
      </c>
      <c r="E223" s="12">
        <f>6.7902 * CHOOSE( CONTROL!$C$15, $D$11, 100%, $F$11)</f>
        <v>6.7901999999999996</v>
      </c>
      <c r="F223" s="4">
        <f>7.4442 * CHOOSE(CONTROL!$C$15, $D$11, 100%, $F$11)</f>
        <v>7.4442000000000004</v>
      </c>
      <c r="G223" s="8">
        <f>6.6657 * CHOOSE( CONTROL!$C$15, $D$11, 100%, $F$11)</f>
        <v>6.6657000000000002</v>
      </c>
      <c r="H223" s="4">
        <f>7.5495 * CHOOSE(CONTROL!$C$15, $D$11, 100%, $F$11)</f>
        <v>7.5495000000000001</v>
      </c>
      <c r="I223" s="8">
        <f>6.6566 * CHOOSE(CONTROL!$C$15, $D$11, 100%, $F$11)</f>
        <v>6.6566000000000001</v>
      </c>
      <c r="J223" s="4">
        <f>6.5462 * CHOOSE(CONTROL!$C$15, $D$11, 100%, $F$11)</f>
        <v>6.5461999999999998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6.9056 * CHOOSE(CONTROL!$C$15, $D$11, 100%, $F$11)</f>
        <v>6.9055999999999997</v>
      </c>
      <c r="C224" s="8">
        <f>6.9101 * CHOOSE(CONTROL!$C$15, $D$11, 100%, $F$11)</f>
        <v>6.9100999999999999</v>
      </c>
      <c r="D224" s="8">
        <f>6.9244 * CHOOSE( CONTROL!$C$15, $D$11, 100%, $F$11)</f>
        <v>6.9244000000000003</v>
      </c>
      <c r="E224" s="12">
        <f>6.9192 * CHOOSE( CONTROL!$C$15, $D$11, 100%, $F$11)</f>
        <v>6.9192</v>
      </c>
      <c r="F224" s="4">
        <f>7.5978 * CHOOSE(CONTROL!$C$15, $D$11, 100%, $F$11)</f>
        <v>7.5978000000000003</v>
      </c>
      <c r="G224" s="8">
        <f>6.7622 * CHOOSE( CONTROL!$C$15, $D$11, 100%, $F$11)</f>
        <v>6.7622</v>
      </c>
      <c r="H224" s="4">
        <f>7.7006 * CHOOSE(CONTROL!$C$15, $D$11, 100%, $F$11)</f>
        <v>7.7005999999999997</v>
      </c>
      <c r="I224" s="8">
        <f>6.7433 * CHOOSE(CONTROL!$C$15, $D$11, 100%, $F$11)</f>
        <v>6.7432999999999996</v>
      </c>
      <c r="J224" s="4">
        <f>6.6457 * CHOOSE(CONTROL!$C$15, $D$11, 100%, $F$11)</f>
        <v>6.6456999999999997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7.095, 7.0901) * CHOOSE(CONTROL!$C$15, $D$11, 100%, $F$11)</f>
        <v>7.0949999999999998</v>
      </c>
      <c r="C225" s="8">
        <f>CHOOSE( CONTROL!$C$32, 7.103, 7.0981) * CHOOSE(CONTROL!$C$15, $D$11, 100%, $F$11)</f>
        <v>7.1029999999999998</v>
      </c>
      <c r="D225" s="8">
        <f>CHOOSE( CONTROL!$C$32, 7.1123, 7.1074) * CHOOSE( CONTROL!$C$15, $D$11, 100%, $F$11)</f>
        <v>7.1123000000000003</v>
      </c>
      <c r="E225" s="12">
        <f>CHOOSE( CONTROL!$C$32, 7.1077, 7.1028) * CHOOSE( CONTROL!$C$15, $D$11, 100%, $F$11)</f>
        <v>7.1077000000000004</v>
      </c>
      <c r="F225" s="4">
        <f>CHOOSE( CONTROL!$C$32, 7.7859, 7.781) * CHOOSE(CONTROL!$C$15, $D$11, 100%, $F$11)</f>
        <v>7.7858999999999998</v>
      </c>
      <c r="G225" s="8">
        <f>CHOOSE( CONTROL!$C$32, 6.9482, 6.9434) * CHOOSE( CONTROL!$C$15, $D$11, 100%, $F$11)</f>
        <v>6.9481999999999999</v>
      </c>
      <c r="H225" s="4">
        <f>CHOOSE( CONTROL!$C$32, 7.8855, 7.8807) * CHOOSE(CONTROL!$C$15, $D$11, 100%, $F$11)</f>
        <v>7.8855000000000004</v>
      </c>
      <c r="I225" s="8">
        <f>CHOOSE( CONTROL!$C$32, 6.9256, 6.9209) * CHOOSE(CONTROL!$C$15, $D$11, 100%, $F$11)</f>
        <v>6.9256000000000002</v>
      </c>
      <c r="J225" s="4">
        <f>CHOOSE( CONTROL!$C$32, 6.8275, 6.8228) * CHOOSE(CONTROL!$C$15, $D$11, 100%, $F$11)</f>
        <v>6.8274999999999997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6.9815, 6.9766) * CHOOSE(CONTROL!$C$15, $D$11, 100%, $F$11)</f>
        <v>6.9814999999999996</v>
      </c>
      <c r="C226" s="8">
        <f>CHOOSE( CONTROL!$C$32, 6.9895, 6.9846) * CHOOSE(CONTROL!$C$15, $D$11, 100%, $F$11)</f>
        <v>6.9894999999999996</v>
      </c>
      <c r="D226" s="8">
        <f>CHOOSE( CONTROL!$C$32, 6.9991, 6.9942) * CHOOSE( CONTROL!$C$15, $D$11, 100%, $F$11)</f>
        <v>6.9991000000000003</v>
      </c>
      <c r="E226" s="12">
        <f>CHOOSE( CONTROL!$C$32, 6.9944, 6.9895) * CHOOSE( CONTROL!$C$15, $D$11, 100%, $F$11)</f>
        <v>6.9943999999999997</v>
      </c>
      <c r="F226" s="4">
        <f>CHOOSE( CONTROL!$C$32, 7.6724, 7.6675) * CHOOSE(CONTROL!$C$15, $D$11, 100%, $F$11)</f>
        <v>7.6723999999999997</v>
      </c>
      <c r="G226" s="8">
        <f>CHOOSE( CONTROL!$C$32, 6.837, 6.8321) * CHOOSE( CONTROL!$C$15, $D$11, 100%, $F$11)</f>
        <v>6.8369999999999997</v>
      </c>
      <c r="H226" s="4">
        <f>CHOOSE( CONTROL!$C$32, 7.7739, 7.7691) * CHOOSE(CONTROL!$C$15, $D$11, 100%, $F$11)</f>
        <v>7.7739000000000003</v>
      </c>
      <c r="I226" s="8">
        <f>CHOOSE( CONTROL!$C$32, 6.8169, 6.8122) * CHOOSE(CONTROL!$C$15, $D$11, 100%, $F$11)</f>
        <v>6.8169000000000004</v>
      </c>
      <c r="J226" s="4">
        <f>CHOOSE( CONTROL!$C$32, 6.7178, 6.7131) * CHOOSE(CONTROL!$C$15, $D$11, 100%, $F$11)</f>
        <v>6.7178000000000004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7.2803, 7.2754) * CHOOSE(CONTROL!$C$15, $D$11, 100%, $F$11)</f>
        <v>7.2803000000000004</v>
      </c>
      <c r="C227" s="8">
        <f>CHOOSE( CONTROL!$C$32, 7.2884, 7.2835) * CHOOSE(CONTROL!$C$15, $D$11, 100%, $F$11)</f>
        <v>7.2884000000000002</v>
      </c>
      <c r="D227" s="8">
        <f>CHOOSE( CONTROL!$C$32, 7.2981, 7.2932) * CHOOSE( CONTROL!$C$15, $D$11, 100%, $F$11)</f>
        <v>7.2980999999999998</v>
      </c>
      <c r="E227" s="12">
        <f>CHOOSE( CONTROL!$C$32, 7.2934, 7.2885) * CHOOSE( CONTROL!$C$15, $D$11, 100%, $F$11)</f>
        <v>7.2934000000000001</v>
      </c>
      <c r="F227" s="4">
        <f>CHOOSE( CONTROL!$C$32, 7.9712, 7.9663) * CHOOSE(CONTROL!$C$15, $D$11, 100%, $F$11)</f>
        <v>7.9711999999999996</v>
      </c>
      <c r="G227" s="8">
        <f>CHOOSE( CONTROL!$C$32, 7.1311, 7.1263) * CHOOSE( CONTROL!$C$15, $D$11, 100%, $F$11)</f>
        <v>7.1311</v>
      </c>
      <c r="H227" s="4">
        <f>CHOOSE( CONTROL!$C$32, 8.0678, 8.063) * CHOOSE(CONTROL!$C$15, $D$11, 100%, $F$11)</f>
        <v>8.0678000000000001</v>
      </c>
      <c r="I227" s="8">
        <f>CHOOSE( CONTROL!$C$32, 7.107, 7.1022) * CHOOSE(CONTROL!$C$15, $D$11, 100%, $F$11)</f>
        <v>7.1070000000000002</v>
      </c>
      <c r="J227" s="4">
        <f>CHOOSE( CONTROL!$C$32, 7.0067, 7.0019) * CHOOSE(CONTROL!$C$15, $D$11, 100%, $F$11)</f>
        <v>7.0067000000000004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6.7212, 6.7163) * CHOOSE(CONTROL!$C$15, $D$11, 100%, $F$11)</f>
        <v>6.7211999999999996</v>
      </c>
      <c r="C228" s="8">
        <f>CHOOSE( CONTROL!$C$32, 6.7292, 6.7243) * CHOOSE(CONTROL!$C$15, $D$11, 100%, $F$11)</f>
        <v>6.7291999999999996</v>
      </c>
      <c r="D228" s="8">
        <f>CHOOSE( CONTROL!$C$32, 6.739, 6.7342) * CHOOSE( CONTROL!$C$15, $D$11, 100%, $F$11)</f>
        <v>6.7389999999999999</v>
      </c>
      <c r="E228" s="12">
        <f>CHOOSE( CONTROL!$C$32, 6.7342, 6.7294) * CHOOSE( CONTROL!$C$15, $D$11, 100%, $F$11)</f>
        <v>6.7342000000000004</v>
      </c>
      <c r="F228" s="4">
        <f>CHOOSE( CONTROL!$C$32, 7.4121, 7.4072) * CHOOSE(CONTROL!$C$15, $D$11, 100%, $F$11)</f>
        <v>7.4120999999999997</v>
      </c>
      <c r="G228" s="8">
        <f>CHOOSE( CONTROL!$C$32, 6.5814, 6.5766) * CHOOSE( CONTROL!$C$15, $D$11, 100%, $F$11)</f>
        <v>6.5814000000000004</v>
      </c>
      <c r="H228" s="4">
        <f>CHOOSE( CONTROL!$C$32, 7.5179, 7.5131) * CHOOSE(CONTROL!$C$15, $D$11, 100%, $F$11)</f>
        <v>7.5179</v>
      </c>
      <c r="I228" s="8">
        <f>CHOOSE( CONTROL!$C$32, 6.5666, 6.5618) * CHOOSE(CONTROL!$C$15, $D$11, 100%, $F$11)</f>
        <v>6.5666000000000002</v>
      </c>
      <c r="J228" s="4">
        <f>CHOOSE( CONTROL!$C$32, 6.4662, 6.4614) * CHOOSE(CONTROL!$C$15, $D$11, 100%, $F$11)</f>
        <v>6.4661999999999997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6.5812, 6.5763) * CHOOSE(CONTROL!$C$15, $D$11, 100%, $F$11)</f>
        <v>6.5811999999999999</v>
      </c>
      <c r="C229" s="8">
        <f>CHOOSE( CONTROL!$C$32, 6.5892, 6.5843) * CHOOSE(CONTROL!$C$15, $D$11, 100%, $F$11)</f>
        <v>6.5891999999999999</v>
      </c>
      <c r="D229" s="8">
        <f>CHOOSE( CONTROL!$C$32, 6.599, 6.5941) * CHOOSE( CONTROL!$C$15, $D$11, 100%, $F$11)</f>
        <v>6.5990000000000002</v>
      </c>
      <c r="E229" s="12">
        <f>CHOOSE( CONTROL!$C$32, 6.5942, 6.5893) * CHOOSE( CONTROL!$C$15, $D$11, 100%, $F$11)</f>
        <v>6.5941999999999998</v>
      </c>
      <c r="F229" s="4">
        <f>CHOOSE( CONTROL!$C$32, 7.2721, 7.2672) * CHOOSE(CONTROL!$C$15, $D$11, 100%, $F$11)</f>
        <v>7.2721</v>
      </c>
      <c r="G229" s="8">
        <f>CHOOSE( CONTROL!$C$32, 6.4437, 6.4389) * CHOOSE( CONTROL!$C$15, $D$11, 100%, $F$11)</f>
        <v>6.4436999999999998</v>
      </c>
      <c r="H229" s="4">
        <f>CHOOSE( CONTROL!$C$32, 7.3802, 7.3754) * CHOOSE(CONTROL!$C$15, $D$11, 100%, $F$11)</f>
        <v>7.3802000000000003</v>
      </c>
      <c r="I229" s="8">
        <f>CHOOSE( CONTROL!$C$32, 6.431, 6.4262) * CHOOSE(CONTROL!$C$15, $D$11, 100%, $F$11)</f>
        <v>6.431</v>
      </c>
      <c r="J229" s="4">
        <f>CHOOSE( CONTROL!$C$32, 6.3308, 6.3261) * CHOOSE(CONTROL!$C$15, $D$11, 100%, $F$11)</f>
        <v>6.3308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6.8653 * CHOOSE(CONTROL!$C$15, $D$11, 100%, $F$11)</f>
        <v>6.8653000000000004</v>
      </c>
      <c r="C230" s="8">
        <f>6.8707 * CHOOSE(CONTROL!$C$15, $D$11, 100%, $F$11)</f>
        <v>6.8707000000000003</v>
      </c>
      <c r="D230" s="8">
        <f>6.8852 * CHOOSE( CONTROL!$C$15, $D$11, 100%, $F$11)</f>
        <v>6.8852000000000002</v>
      </c>
      <c r="E230" s="12">
        <f>6.8798 * CHOOSE( CONTROL!$C$15, $D$11, 100%, $F$11)</f>
        <v>6.8798000000000004</v>
      </c>
      <c r="F230" s="4">
        <f>7.5579 * CHOOSE(CONTROL!$C$15, $D$11, 100%, $F$11)</f>
        <v>7.5579000000000001</v>
      </c>
      <c r="G230" s="8">
        <f>6.724 * CHOOSE( CONTROL!$C$15, $D$11, 100%, $F$11)</f>
        <v>6.7240000000000002</v>
      </c>
      <c r="H230" s="4">
        <f>7.6613 * CHOOSE(CONTROL!$C$15, $D$11, 100%, $F$11)</f>
        <v>7.6612999999999998</v>
      </c>
      <c r="I230" s="8">
        <f>6.7082 * CHOOSE(CONTROL!$C$15, $D$11, 100%, $F$11)</f>
        <v>6.7081999999999997</v>
      </c>
      <c r="J230" s="4">
        <f>6.6071 * CHOOSE(CONTROL!$C$15, $D$11, 100%, $F$11)</f>
        <v>6.6071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7.4015 * CHOOSE(CONTROL!$C$15, $D$11, 100%, $F$11)</f>
        <v>7.4015000000000004</v>
      </c>
      <c r="C231" s="8">
        <f>7.4066 * CHOOSE(CONTROL!$C$15, $D$11, 100%, $F$11)</f>
        <v>7.4066000000000001</v>
      </c>
      <c r="D231" s="8">
        <f>7.3836 * CHOOSE( CONTROL!$C$15, $D$11, 100%, $F$11)</f>
        <v>7.3836000000000004</v>
      </c>
      <c r="E231" s="12">
        <f>7.3915 * CHOOSE( CONTROL!$C$15, $D$11, 100%, $F$11)</f>
        <v>7.3914999999999997</v>
      </c>
      <c r="F231" s="4">
        <f>8.0464 * CHOOSE(CONTROL!$C$15, $D$11, 100%, $F$11)</f>
        <v>8.0464000000000002</v>
      </c>
      <c r="G231" s="8">
        <f>7.2597 * CHOOSE( CONTROL!$C$15, $D$11, 100%, $F$11)</f>
        <v>7.2596999999999996</v>
      </c>
      <c r="H231" s="4">
        <f>8.1417 * CHOOSE(CONTROL!$C$15, $D$11, 100%, $F$11)</f>
        <v>8.1417000000000002</v>
      </c>
      <c r="I231" s="8">
        <f>7.2519 * CHOOSE(CONTROL!$C$15, $D$11, 100%, $F$11)</f>
        <v>7.2519</v>
      </c>
      <c r="J231" s="4">
        <f>7.1258 * CHOOSE(CONTROL!$C$15, $D$11, 100%, $F$11)</f>
        <v>7.1257999999999999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7.3881 * CHOOSE(CONTROL!$C$15, $D$11, 100%, $F$11)</f>
        <v>7.3880999999999997</v>
      </c>
      <c r="C232" s="8">
        <f>7.3932 * CHOOSE(CONTROL!$C$15, $D$11, 100%, $F$11)</f>
        <v>7.3932000000000002</v>
      </c>
      <c r="D232" s="8">
        <f>7.3717 * CHOOSE( CONTROL!$C$15, $D$11, 100%, $F$11)</f>
        <v>7.3716999999999997</v>
      </c>
      <c r="E232" s="12">
        <f>7.379 * CHOOSE( CONTROL!$C$15, $D$11, 100%, $F$11)</f>
        <v>7.3789999999999996</v>
      </c>
      <c r="F232" s="4">
        <f>8.033 * CHOOSE(CONTROL!$C$15, $D$11, 100%, $F$11)</f>
        <v>8.0329999999999995</v>
      </c>
      <c r="G232" s="8">
        <f>7.2476 * CHOOSE( CONTROL!$C$15, $D$11, 100%, $F$11)</f>
        <v>7.2476000000000003</v>
      </c>
      <c r="H232" s="4">
        <f>8.1285 * CHOOSE(CONTROL!$C$15, $D$11, 100%, $F$11)</f>
        <v>8.1285000000000007</v>
      </c>
      <c r="I232" s="8">
        <f>7.2439 * CHOOSE(CONTROL!$C$15, $D$11, 100%, $F$11)</f>
        <v>7.2439</v>
      </c>
      <c r="J232" s="4">
        <f>7.1129 * CHOOSE(CONTROL!$C$15, $D$11, 100%, $F$11)</f>
        <v>7.1128999999999998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7.6556 * CHOOSE(CONTROL!$C$15, $D$11, 100%, $F$11)</f>
        <v>7.6555999999999997</v>
      </c>
      <c r="C233" s="8">
        <f>7.6607 * CHOOSE(CONTROL!$C$15, $D$11, 100%, $F$11)</f>
        <v>7.6607000000000003</v>
      </c>
      <c r="D233" s="8">
        <f>7.6353 * CHOOSE( CONTROL!$C$15, $D$11, 100%, $F$11)</f>
        <v>7.6353</v>
      </c>
      <c r="E233" s="12">
        <f>7.644 * CHOOSE( CONTROL!$C$15, $D$11, 100%, $F$11)</f>
        <v>7.6440000000000001</v>
      </c>
      <c r="F233" s="4">
        <f>8.2979 * CHOOSE(CONTROL!$C$15, $D$11, 100%, $F$11)</f>
        <v>8.2979000000000003</v>
      </c>
      <c r="G233" s="8">
        <f>7.5054 * CHOOSE( CONTROL!$C$15, $D$11, 100%, $F$11)</f>
        <v>7.5053999999999998</v>
      </c>
      <c r="H233" s="4">
        <f>8.3891 * CHOOSE(CONTROL!$C$15, $D$11, 100%, $F$11)</f>
        <v>8.3890999999999991</v>
      </c>
      <c r="I233" s="8">
        <f>7.4829 * CHOOSE(CONTROL!$C$15, $D$11, 100%, $F$11)</f>
        <v>7.4828999999999999</v>
      </c>
      <c r="J233" s="4">
        <f>7.3715 * CHOOSE(CONTROL!$C$15, $D$11, 100%, $F$11)</f>
        <v>7.3715000000000002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7.1626 * CHOOSE(CONTROL!$C$15, $D$11, 100%, $F$11)</f>
        <v>7.1626000000000003</v>
      </c>
      <c r="C234" s="8">
        <f>7.1677 * CHOOSE(CONTROL!$C$15, $D$11, 100%, $F$11)</f>
        <v>7.1677</v>
      </c>
      <c r="D234" s="8">
        <f>7.1424 * CHOOSE( CONTROL!$C$15, $D$11, 100%, $F$11)</f>
        <v>7.1424000000000003</v>
      </c>
      <c r="E234" s="12">
        <f>7.1511 * CHOOSE( CONTROL!$C$15, $D$11, 100%, $F$11)</f>
        <v>7.1510999999999996</v>
      </c>
      <c r="F234" s="4">
        <f>7.8049 * CHOOSE(CONTROL!$C$15, $D$11, 100%, $F$11)</f>
        <v>7.8048999999999999</v>
      </c>
      <c r="G234" s="8">
        <f>7.0207 * CHOOSE( CONTROL!$C$15, $D$11, 100%, $F$11)</f>
        <v>7.0206999999999997</v>
      </c>
      <c r="H234" s="4">
        <f>7.9043 * CHOOSE(CONTROL!$C$15, $D$11, 100%, $F$11)</f>
        <v>7.9043000000000001</v>
      </c>
      <c r="I234" s="8">
        <f>7.0064 * CHOOSE(CONTROL!$C$15, $D$11, 100%, $F$11)</f>
        <v>7.0064000000000002</v>
      </c>
      <c r="J234" s="4">
        <f>6.8949 * CHOOSE(CONTROL!$C$15, $D$11, 100%, $F$11)</f>
        <v>6.8948999999999998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7.0108 * CHOOSE(CONTROL!$C$15, $D$11, 100%, $F$11)</f>
        <v>7.0107999999999997</v>
      </c>
      <c r="C235" s="8">
        <f>7.0159 * CHOOSE(CONTROL!$C$15, $D$11, 100%, $F$11)</f>
        <v>7.0159000000000002</v>
      </c>
      <c r="D235" s="8">
        <f>6.9903 * CHOOSE( CONTROL!$C$15, $D$11, 100%, $F$11)</f>
        <v>6.9903000000000004</v>
      </c>
      <c r="E235" s="12">
        <f>6.9991 * CHOOSE( CONTROL!$C$15, $D$11, 100%, $F$11)</f>
        <v>6.9991000000000003</v>
      </c>
      <c r="F235" s="4">
        <f>7.6531 * CHOOSE(CONTROL!$C$15, $D$11, 100%, $F$11)</f>
        <v>7.6531000000000002</v>
      </c>
      <c r="G235" s="8">
        <f>6.8712 * CHOOSE( CONTROL!$C$15, $D$11, 100%, $F$11)</f>
        <v>6.8712</v>
      </c>
      <c r="H235" s="4">
        <f>7.7549 * CHOOSE(CONTROL!$C$15, $D$11, 100%, $F$11)</f>
        <v>7.7549000000000001</v>
      </c>
      <c r="I235" s="8">
        <f>6.8587 * CHOOSE(CONTROL!$C$15, $D$11, 100%, $F$11)</f>
        <v>6.8586999999999998</v>
      </c>
      <c r="J235" s="4">
        <f>6.7482 * CHOOSE(CONTROL!$C$15, $D$11, 100%, $F$11)</f>
        <v>6.7481999999999998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7.1176 * CHOOSE(CONTROL!$C$15, $D$11, 100%, $F$11)</f>
        <v>7.1176000000000004</v>
      </c>
      <c r="C236" s="8">
        <f>7.1222 * CHOOSE(CONTROL!$C$15, $D$11, 100%, $F$11)</f>
        <v>7.1222000000000003</v>
      </c>
      <c r="D236" s="8">
        <f>7.1365 * CHOOSE( CONTROL!$C$15, $D$11, 100%, $F$11)</f>
        <v>7.1364999999999998</v>
      </c>
      <c r="E236" s="12">
        <f>7.1313 * CHOOSE( CONTROL!$C$15, $D$11, 100%, $F$11)</f>
        <v>7.1313000000000004</v>
      </c>
      <c r="F236" s="4">
        <f>7.8099 * CHOOSE(CONTROL!$C$15, $D$11, 100%, $F$11)</f>
        <v>7.8098999999999998</v>
      </c>
      <c r="G236" s="8">
        <f>6.9707 * CHOOSE( CONTROL!$C$15, $D$11, 100%, $F$11)</f>
        <v>6.9706999999999999</v>
      </c>
      <c r="H236" s="4">
        <f>7.9091 * CHOOSE(CONTROL!$C$15, $D$11, 100%, $F$11)</f>
        <v>7.9090999999999996</v>
      </c>
      <c r="I236" s="8">
        <f>6.9485 * CHOOSE(CONTROL!$C$15, $D$11, 100%, $F$11)</f>
        <v>6.9485000000000001</v>
      </c>
      <c r="J236" s="4">
        <f>6.8507 * CHOOSE(CONTROL!$C$15, $D$11, 100%, $F$11)</f>
        <v>6.8506999999999998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7.3127, 7.3078) * CHOOSE(CONTROL!$C$15, $D$11, 100%, $F$11)</f>
        <v>7.3127000000000004</v>
      </c>
      <c r="C237" s="8">
        <f>CHOOSE( CONTROL!$C$32, 7.3207, 7.3159) * CHOOSE(CONTROL!$C$15, $D$11, 100%, $F$11)</f>
        <v>7.3207000000000004</v>
      </c>
      <c r="D237" s="8">
        <f>CHOOSE( CONTROL!$C$32, 7.3301, 7.3252) * CHOOSE( CONTROL!$C$15, $D$11, 100%, $F$11)</f>
        <v>7.3300999999999998</v>
      </c>
      <c r="E237" s="12">
        <f>CHOOSE( CONTROL!$C$32, 7.3255, 7.3206) * CHOOSE( CONTROL!$C$15, $D$11, 100%, $F$11)</f>
        <v>7.3254999999999999</v>
      </c>
      <c r="F237" s="4">
        <f>CHOOSE( CONTROL!$C$32, 8.0036, 7.9987) * CHOOSE(CONTROL!$C$15, $D$11, 100%, $F$11)</f>
        <v>8.0036000000000005</v>
      </c>
      <c r="G237" s="8">
        <f>CHOOSE( CONTROL!$C$32, 7.1624, 7.1575) * CHOOSE( CONTROL!$C$15, $D$11, 100%, $F$11)</f>
        <v>7.1623999999999999</v>
      </c>
      <c r="H237" s="4">
        <f>CHOOSE( CONTROL!$C$32, 8.0996, 8.0948) * CHOOSE(CONTROL!$C$15, $D$11, 100%, $F$11)</f>
        <v>8.0996000000000006</v>
      </c>
      <c r="I237" s="8">
        <f>CHOOSE( CONTROL!$C$32, 7.1362, 7.1315) * CHOOSE(CONTROL!$C$15, $D$11, 100%, $F$11)</f>
        <v>7.1361999999999997</v>
      </c>
      <c r="J237" s="4">
        <f>CHOOSE( CONTROL!$C$32, 7.038, 7.0333) * CHOOSE(CONTROL!$C$15, $D$11, 100%, $F$11)</f>
        <v>7.0380000000000003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7.1958, 7.1909) * CHOOSE(CONTROL!$C$15, $D$11, 100%, $F$11)</f>
        <v>7.1958000000000002</v>
      </c>
      <c r="C238" s="8">
        <f>CHOOSE( CONTROL!$C$32, 7.2038, 7.1989) * CHOOSE(CONTROL!$C$15, $D$11, 100%, $F$11)</f>
        <v>7.2038000000000002</v>
      </c>
      <c r="D238" s="8">
        <f>CHOOSE( CONTROL!$C$32, 7.2133, 7.2084) * CHOOSE( CONTROL!$C$15, $D$11, 100%, $F$11)</f>
        <v>7.2133000000000003</v>
      </c>
      <c r="E238" s="12">
        <f>CHOOSE( CONTROL!$C$32, 7.2086, 7.2037) * CHOOSE( CONTROL!$C$15, $D$11, 100%, $F$11)</f>
        <v>7.2085999999999997</v>
      </c>
      <c r="F238" s="4">
        <f>CHOOSE( CONTROL!$C$32, 7.8866, 7.8817) * CHOOSE(CONTROL!$C$15, $D$11, 100%, $F$11)</f>
        <v>7.8865999999999996</v>
      </c>
      <c r="G238" s="8">
        <f>CHOOSE( CONTROL!$C$32, 7.0476, 7.0428) * CHOOSE( CONTROL!$C$15, $D$11, 100%, $F$11)</f>
        <v>7.0476000000000001</v>
      </c>
      <c r="H238" s="4">
        <f>CHOOSE( CONTROL!$C$32, 7.9846, 7.9798) * CHOOSE(CONTROL!$C$15, $D$11, 100%, $F$11)</f>
        <v>7.9846000000000004</v>
      </c>
      <c r="I238" s="8">
        <f>CHOOSE( CONTROL!$C$32, 7.0241, 7.0194) * CHOOSE(CONTROL!$C$15, $D$11, 100%, $F$11)</f>
        <v>7.0240999999999998</v>
      </c>
      <c r="J238" s="4">
        <f>CHOOSE( CONTROL!$C$32, 6.9249, 6.9202) * CHOOSE(CONTROL!$C$15, $D$11, 100%, $F$11)</f>
        <v>6.9249000000000001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7.5038, 7.4989) * CHOOSE(CONTROL!$C$15, $D$11, 100%, $F$11)</f>
        <v>7.5038</v>
      </c>
      <c r="C239" s="8">
        <f>CHOOSE( CONTROL!$C$32, 7.5118, 7.5069) * CHOOSE(CONTROL!$C$15, $D$11, 100%, $F$11)</f>
        <v>7.5118</v>
      </c>
      <c r="D239" s="8">
        <f>CHOOSE( CONTROL!$C$32, 7.5216, 7.5167) * CHOOSE( CONTROL!$C$15, $D$11, 100%, $F$11)</f>
        <v>7.5216000000000003</v>
      </c>
      <c r="E239" s="12">
        <f>CHOOSE( CONTROL!$C$32, 7.5168, 7.5119) * CHOOSE( CONTROL!$C$15, $D$11, 100%, $F$11)</f>
        <v>7.5167999999999999</v>
      </c>
      <c r="F239" s="4">
        <f>CHOOSE( CONTROL!$C$32, 8.1947, 8.1898) * CHOOSE(CONTROL!$C$15, $D$11, 100%, $F$11)</f>
        <v>8.1946999999999992</v>
      </c>
      <c r="G239" s="8">
        <f>CHOOSE( CONTROL!$C$32, 7.3509, 7.3461) * CHOOSE( CONTROL!$C$15, $D$11, 100%, $F$11)</f>
        <v>7.3509000000000002</v>
      </c>
      <c r="H239" s="4">
        <f>CHOOSE( CONTROL!$C$32, 8.2875, 8.2827) * CHOOSE(CONTROL!$C$15, $D$11, 100%, $F$11)</f>
        <v>8.2874999999999996</v>
      </c>
      <c r="I239" s="8">
        <f>CHOOSE( CONTROL!$C$32, 7.3231, 7.3184) * CHOOSE(CONTROL!$C$15, $D$11, 100%, $F$11)</f>
        <v>7.3231000000000002</v>
      </c>
      <c r="J239" s="4">
        <f>CHOOSE( CONTROL!$C$32, 7.2227, 7.218) * CHOOSE(CONTROL!$C$15, $D$11, 100%, $F$11)</f>
        <v>7.2226999999999997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6.9274, 6.9225) * CHOOSE(CONTROL!$C$15, $D$11, 100%, $F$11)</f>
        <v>6.9273999999999996</v>
      </c>
      <c r="C240" s="8">
        <f>CHOOSE( CONTROL!$C$32, 6.9354, 6.9306) * CHOOSE(CONTROL!$C$15, $D$11, 100%, $F$11)</f>
        <v>6.9353999999999996</v>
      </c>
      <c r="D240" s="8">
        <f>CHOOSE( CONTROL!$C$32, 6.9453, 6.9404) * CHOOSE( CONTROL!$C$15, $D$11, 100%, $F$11)</f>
        <v>6.9452999999999996</v>
      </c>
      <c r="E240" s="12">
        <f>CHOOSE( CONTROL!$C$32, 6.9405, 6.9356) * CHOOSE( CONTROL!$C$15, $D$11, 100%, $F$11)</f>
        <v>6.9405000000000001</v>
      </c>
      <c r="F240" s="4">
        <f>CHOOSE( CONTROL!$C$32, 7.6183, 7.6134) * CHOOSE(CONTROL!$C$15, $D$11, 100%, $F$11)</f>
        <v>7.6182999999999996</v>
      </c>
      <c r="G240" s="8">
        <f>CHOOSE( CONTROL!$C$32, 6.7842, 6.7794) * CHOOSE( CONTROL!$C$15, $D$11, 100%, $F$11)</f>
        <v>6.7842000000000002</v>
      </c>
      <c r="H240" s="4">
        <f>CHOOSE( CONTROL!$C$32, 7.7207, 7.7159) * CHOOSE(CONTROL!$C$15, $D$11, 100%, $F$11)</f>
        <v>7.7206999999999999</v>
      </c>
      <c r="I240" s="8">
        <f>CHOOSE( CONTROL!$C$32, 6.766, 6.7613) * CHOOSE(CONTROL!$C$15, $D$11, 100%, $F$11)</f>
        <v>6.766</v>
      </c>
      <c r="J240" s="4">
        <f>CHOOSE( CONTROL!$C$32, 6.6655, 6.6608) * CHOOSE(CONTROL!$C$15, $D$11, 100%, $F$11)</f>
        <v>6.6654999999999998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6.7831, 6.7782) * CHOOSE(CONTROL!$C$15, $D$11, 100%, $F$11)</f>
        <v>6.7831000000000001</v>
      </c>
      <c r="C241" s="8">
        <f>CHOOSE( CONTROL!$C$32, 6.7911, 6.7862) * CHOOSE(CONTROL!$C$15, $D$11, 100%, $F$11)</f>
        <v>6.7911000000000001</v>
      </c>
      <c r="D241" s="8">
        <f>CHOOSE( CONTROL!$C$32, 6.8009, 6.796) * CHOOSE( CONTROL!$C$15, $D$11, 100%, $F$11)</f>
        <v>6.8009000000000004</v>
      </c>
      <c r="E241" s="12">
        <f>CHOOSE( CONTROL!$C$32, 6.7961, 6.7912) * CHOOSE( CONTROL!$C$15, $D$11, 100%, $F$11)</f>
        <v>6.7961</v>
      </c>
      <c r="F241" s="4">
        <f>CHOOSE( CONTROL!$C$32, 7.474, 7.4691) * CHOOSE(CONTROL!$C$15, $D$11, 100%, $F$11)</f>
        <v>7.4740000000000002</v>
      </c>
      <c r="G241" s="8">
        <f>CHOOSE( CONTROL!$C$32, 6.6422, 6.6374) * CHOOSE( CONTROL!$C$15, $D$11, 100%, $F$11)</f>
        <v>6.6421999999999999</v>
      </c>
      <c r="H241" s="4">
        <f>CHOOSE( CONTROL!$C$32, 7.5788, 7.574) * CHOOSE(CONTROL!$C$15, $D$11, 100%, $F$11)</f>
        <v>7.5788000000000002</v>
      </c>
      <c r="I241" s="8">
        <f>CHOOSE( CONTROL!$C$32, 6.6262, 6.6215) * CHOOSE(CONTROL!$C$15, $D$11, 100%, $F$11)</f>
        <v>6.6261999999999999</v>
      </c>
      <c r="J241" s="4">
        <f>CHOOSE( CONTROL!$C$32, 6.526, 6.5213) * CHOOSE(CONTROL!$C$15, $D$11, 100%, $F$11)</f>
        <v>6.5259999999999998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7.0762 * CHOOSE(CONTROL!$C$15, $D$11, 100%, $F$11)</f>
        <v>7.0762</v>
      </c>
      <c r="C242" s="8">
        <f>7.0815 * CHOOSE(CONTROL!$C$15, $D$11, 100%, $F$11)</f>
        <v>7.0815000000000001</v>
      </c>
      <c r="D242" s="8">
        <f>7.0961 * CHOOSE( CONTROL!$C$15, $D$11, 100%, $F$11)</f>
        <v>7.0960999999999999</v>
      </c>
      <c r="E242" s="12">
        <f>7.0907 * CHOOSE( CONTROL!$C$15, $D$11, 100%, $F$11)</f>
        <v>7.0907</v>
      </c>
      <c r="F242" s="4">
        <f>7.7687 * CHOOSE(CONTROL!$C$15, $D$11, 100%, $F$11)</f>
        <v>7.7686999999999999</v>
      </c>
      <c r="G242" s="8">
        <f>6.9314 * CHOOSE( CONTROL!$C$15, $D$11, 100%, $F$11)</f>
        <v>6.9314</v>
      </c>
      <c r="H242" s="4">
        <f>7.8687 * CHOOSE(CONTROL!$C$15, $D$11, 100%, $F$11)</f>
        <v>7.8686999999999996</v>
      </c>
      <c r="I242" s="8">
        <f>6.9122 * CHOOSE(CONTROL!$C$15, $D$11, 100%, $F$11)</f>
        <v>6.9122000000000003</v>
      </c>
      <c r="J242" s="4">
        <f>6.811 * CHOOSE(CONTROL!$C$15, $D$11, 100%, $F$11)</f>
        <v>6.8109999999999999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7.6289 * CHOOSE(CONTROL!$C$15, $D$11, 100%, $F$11)</f>
        <v>7.6288999999999998</v>
      </c>
      <c r="C243" s="8">
        <f>7.634 * CHOOSE(CONTROL!$C$15, $D$11, 100%, $F$11)</f>
        <v>7.6340000000000003</v>
      </c>
      <c r="D243" s="8">
        <f>7.611 * CHOOSE( CONTROL!$C$15, $D$11, 100%, $F$11)</f>
        <v>7.6109999999999998</v>
      </c>
      <c r="E243" s="12">
        <f>7.6189 * CHOOSE( CONTROL!$C$15, $D$11, 100%, $F$11)</f>
        <v>7.6189</v>
      </c>
      <c r="F243" s="4">
        <f>8.2738 * CHOOSE(CONTROL!$C$15, $D$11, 100%, $F$11)</f>
        <v>8.2737999999999996</v>
      </c>
      <c r="G243" s="8">
        <f>7.4833 * CHOOSE( CONTROL!$C$15, $D$11, 100%, $F$11)</f>
        <v>7.4832999999999998</v>
      </c>
      <c r="H243" s="4">
        <f>8.3654 * CHOOSE(CONTROL!$C$15, $D$11, 100%, $F$11)</f>
        <v>8.3653999999999993</v>
      </c>
      <c r="I243" s="8">
        <f>7.4718 * CHOOSE(CONTROL!$C$15, $D$11, 100%, $F$11)</f>
        <v>7.4718</v>
      </c>
      <c r="J243" s="4">
        <f>7.3457 * CHOOSE(CONTROL!$C$15, $D$11, 100%, $F$11)</f>
        <v>7.3456999999999999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7.6151 * CHOOSE(CONTROL!$C$15, $D$11, 100%, $F$11)</f>
        <v>7.6151</v>
      </c>
      <c r="C244" s="8">
        <f>7.6202 * CHOOSE(CONTROL!$C$15, $D$11, 100%, $F$11)</f>
        <v>7.6201999999999996</v>
      </c>
      <c r="D244" s="8">
        <f>7.5987 * CHOOSE( CONTROL!$C$15, $D$11, 100%, $F$11)</f>
        <v>7.5987</v>
      </c>
      <c r="E244" s="12">
        <f>7.606 * CHOOSE( CONTROL!$C$15, $D$11, 100%, $F$11)</f>
        <v>7.6059999999999999</v>
      </c>
      <c r="F244" s="4">
        <f>8.26 * CHOOSE(CONTROL!$C$15, $D$11, 100%, $F$11)</f>
        <v>8.26</v>
      </c>
      <c r="G244" s="8">
        <f>7.4709 * CHOOSE( CONTROL!$C$15, $D$11, 100%, $F$11)</f>
        <v>7.4709000000000003</v>
      </c>
      <c r="H244" s="4">
        <f>8.3518 * CHOOSE(CONTROL!$C$15, $D$11, 100%, $F$11)</f>
        <v>8.3518000000000008</v>
      </c>
      <c r="I244" s="8">
        <f>7.4634 * CHOOSE(CONTROL!$C$15, $D$11, 100%, $F$11)</f>
        <v>7.4634</v>
      </c>
      <c r="J244" s="4">
        <f>7.3323 * CHOOSE(CONTROL!$C$15, $D$11, 100%, $F$11)</f>
        <v>7.3323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7.8081 * CHOOSE(CONTROL!$C$15, $D$11, 100%, $F$11)</f>
        <v>7.8080999999999996</v>
      </c>
      <c r="C245" s="8">
        <f>7.8132 * CHOOSE(CONTROL!$C$15, $D$11, 100%, $F$11)</f>
        <v>7.8132000000000001</v>
      </c>
      <c r="D245" s="8">
        <f>7.7878 * CHOOSE( CONTROL!$C$15, $D$11, 100%, $F$11)</f>
        <v>7.7877999999999998</v>
      </c>
      <c r="E245" s="12">
        <f>7.7965 * CHOOSE( CONTROL!$C$15, $D$11, 100%, $F$11)</f>
        <v>7.7965</v>
      </c>
      <c r="F245" s="4">
        <f>8.4504 * CHOOSE(CONTROL!$C$15, $D$11, 100%, $F$11)</f>
        <v>8.4504000000000001</v>
      </c>
      <c r="G245" s="8">
        <f>7.6554 * CHOOSE( CONTROL!$C$15, $D$11, 100%, $F$11)</f>
        <v>7.6554000000000002</v>
      </c>
      <c r="H245" s="4">
        <f>8.539 * CHOOSE(CONTROL!$C$15, $D$11, 100%, $F$11)</f>
        <v>8.5389999999999997</v>
      </c>
      <c r="I245" s="8">
        <f>7.6304 * CHOOSE(CONTROL!$C$15, $D$11, 100%, $F$11)</f>
        <v>7.6303999999999998</v>
      </c>
      <c r="J245" s="4">
        <f>7.5189 * CHOOSE(CONTROL!$C$15, $D$11, 100%, $F$11)</f>
        <v>7.5189000000000004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7.3053 * CHOOSE(CONTROL!$C$15, $D$11, 100%, $F$11)</f>
        <v>7.3052999999999999</v>
      </c>
      <c r="C246" s="8">
        <f>7.3104 * CHOOSE(CONTROL!$C$15, $D$11, 100%, $F$11)</f>
        <v>7.3103999999999996</v>
      </c>
      <c r="D246" s="8">
        <f>7.2851 * CHOOSE( CONTROL!$C$15, $D$11, 100%, $F$11)</f>
        <v>7.2850999999999999</v>
      </c>
      <c r="E246" s="12">
        <f>7.2938 * CHOOSE( CONTROL!$C$15, $D$11, 100%, $F$11)</f>
        <v>7.2938000000000001</v>
      </c>
      <c r="F246" s="4">
        <f>7.9476 * CHOOSE(CONTROL!$C$15, $D$11, 100%, $F$11)</f>
        <v>7.9476000000000004</v>
      </c>
      <c r="G246" s="8">
        <f>7.1609 * CHOOSE( CONTROL!$C$15, $D$11, 100%, $F$11)</f>
        <v>7.1608999999999998</v>
      </c>
      <c r="H246" s="4">
        <f>8.0445 * CHOOSE(CONTROL!$C$15, $D$11, 100%, $F$11)</f>
        <v>8.0444999999999993</v>
      </c>
      <c r="I246" s="8">
        <f>7.1443 * CHOOSE(CONTROL!$C$15, $D$11, 100%, $F$11)</f>
        <v>7.1443000000000003</v>
      </c>
      <c r="J246" s="4">
        <f>7.0328 * CHOOSE(CONTROL!$C$15, $D$11, 100%, $F$11)</f>
        <v>7.0327999999999999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7.1504 * CHOOSE(CONTROL!$C$15, $D$11, 100%, $F$11)</f>
        <v>7.1504000000000003</v>
      </c>
      <c r="C247" s="8">
        <f>7.1555 * CHOOSE(CONTROL!$C$15, $D$11, 100%, $F$11)</f>
        <v>7.1555</v>
      </c>
      <c r="D247" s="8">
        <f>7.1299 * CHOOSE( CONTROL!$C$15, $D$11, 100%, $F$11)</f>
        <v>7.1299000000000001</v>
      </c>
      <c r="E247" s="12">
        <f>7.1387 * CHOOSE( CONTROL!$C$15, $D$11, 100%, $F$11)</f>
        <v>7.1387</v>
      </c>
      <c r="F247" s="4">
        <f>7.7927 * CHOOSE(CONTROL!$C$15, $D$11, 100%, $F$11)</f>
        <v>7.7927</v>
      </c>
      <c r="G247" s="8">
        <f>7.0084 * CHOOSE( CONTROL!$C$15, $D$11, 100%, $F$11)</f>
        <v>7.0084</v>
      </c>
      <c r="H247" s="4">
        <f>7.8922 * CHOOSE(CONTROL!$C$15, $D$11, 100%, $F$11)</f>
        <v>7.8921999999999999</v>
      </c>
      <c r="I247" s="8">
        <f>6.9937 * CHOOSE(CONTROL!$C$15, $D$11, 100%, $F$11)</f>
        <v>6.9936999999999996</v>
      </c>
      <c r="J247" s="4">
        <f>6.8831 * CHOOSE(CONTROL!$C$15, $D$11, 100%, $F$11)</f>
        <v>6.8830999999999998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7.2594 * CHOOSE(CONTROL!$C$15, $D$11, 100%, $F$11)</f>
        <v>7.2594000000000003</v>
      </c>
      <c r="C248" s="8">
        <f>7.2639 * CHOOSE(CONTROL!$C$15, $D$11, 100%, $F$11)</f>
        <v>7.2638999999999996</v>
      </c>
      <c r="D248" s="8">
        <f>7.2782 * CHOOSE( CONTROL!$C$15, $D$11, 100%, $F$11)</f>
        <v>7.2782</v>
      </c>
      <c r="E248" s="12">
        <f>7.273 * CHOOSE( CONTROL!$C$15, $D$11, 100%, $F$11)</f>
        <v>7.2729999999999997</v>
      </c>
      <c r="F248" s="4">
        <f>7.9516 * CHOOSE(CONTROL!$C$15, $D$11, 100%, $F$11)</f>
        <v>7.9516</v>
      </c>
      <c r="G248" s="8">
        <f>7.1101 * CHOOSE( CONTROL!$C$15, $D$11, 100%, $F$11)</f>
        <v>7.1101000000000001</v>
      </c>
      <c r="H248" s="4">
        <f>8.0485 * CHOOSE(CONTROL!$C$15, $D$11, 100%, $F$11)</f>
        <v>8.0485000000000007</v>
      </c>
      <c r="I248" s="8">
        <f>7.0856 * CHOOSE(CONTROL!$C$15, $D$11, 100%, $F$11)</f>
        <v>7.0856000000000003</v>
      </c>
      <c r="J248" s="4">
        <f>6.9877 * CHOOSE(CONTROL!$C$15, $D$11, 100%, $F$11)</f>
        <v>6.9877000000000002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7.4582, 7.4534) * CHOOSE(CONTROL!$C$15, $D$11, 100%, $F$11)</f>
        <v>7.4581999999999997</v>
      </c>
      <c r="C249" s="8">
        <f>CHOOSE( CONTROL!$C$32, 7.4663, 7.4614) * CHOOSE(CONTROL!$C$15, $D$11, 100%, $F$11)</f>
        <v>7.4663000000000004</v>
      </c>
      <c r="D249" s="8">
        <f>CHOOSE( CONTROL!$C$32, 7.4756, 7.4707) * CHOOSE( CONTROL!$C$15, $D$11, 100%, $F$11)</f>
        <v>7.4756</v>
      </c>
      <c r="E249" s="12">
        <f>CHOOSE( CONTROL!$C$32, 7.471, 7.4661) * CHOOSE( CONTROL!$C$15, $D$11, 100%, $F$11)</f>
        <v>7.4710000000000001</v>
      </c>
      <c r="F249" s="4">
        <f>CHOOSE( CONTROL!$C$32, 8.1491, 8.1442) * CHOOSE(CONTROL!$C$15, $D$11, 100%, $F$11)</f>
        <v>8.1491000000000007</v>
      </c>
      <c r="G249" s="8">
        <f>CHOOSE( CONTROL!$C$32, 7.3055, 7.3006) * CHOOSE( CONTROL!$C$15, $D$11, 100%, $F$11)</f>
        <v>7.3055000000000003</v>
      </c>
      <c r="H249" s="4">
        <f>CHOOSE( CONTROL!$C$32, 8.2427, 8.2379) * CHOOSE(CONTROL!$C$15, $D$11, 100%, $F$11)</f>
        <v>8.2426999999999992</v>
      </c>
      <c r="I249" s="8">
        <f>CHOOSE( CONTROL!$C$32, 7.2769, 7.2722) * CHOOSE(CONTROL!$C$15, $D$11, 100%, $F$11)</f>
        <v>7.2769000000000004</v>
      </c>
      <c r="J249" s="4">
        <f>CHOOSE( CONTROL!$C$32, 7.1787, 7.1739) * CHOOSE(CONTROL!$C$15, $D$11, 100%, $F$11)</f>
        <v>7.1787000000000001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7.3389, 7.334) * CHOOSE(CONTROL!$C$15, $D$11, 100%, $F$11)</f>
        <v>7.3388999999999998</v>
      </c>
      <c r="C250" s="8">
        <f>CHOOSE( CONTROL!$C$32, 7.3469, 7.3421) * CHOOSE(CONTROL!$C$15, $D$11, 100%, $F$11)</f>
        <v>7.3468999999999998</v>
      </c>
      <c r="D250" s="8">
        <f>CHOOSE( CONTROL!$C$32, 7.3565, 7.3516) * CHOOSE( CONTROL!$C$15, $D$11, 100%, $F$11)</f>
        <v>7.3564999999999996</v>
      </c>
      <c r="E250" s="12">
        <f>CHOOSE( CONTROL!$C$32, 7.3518, 7.3469) * CHOOSE( CONTROL!$C$15, $D$11, 100%, $F$11)</f>
        <v>7.3517999999999999</v>
      </c>
      <c r="F250" s="4">
        <f>CHOOSE( CONTROL!$C$32, 8.0298, 8.0249) * CHOOSE(CONTROL!$C$15, $D$11, 100%, $F$11)</f>
        <v>8.0297999999999998</v>
      </c>
      <c r="G250" s="8">
        <f>CHOOSE( CONTROL!$C$32, 7.1884, 7.1836) * CHOOSE( CONTROL!$C$15, $D$11, 100%, $F$11)</f>
        <v>7.1883999999999997</v>
      </c>
      <c r="H250" s="4">
        <f>CHOOSE( CONTROL!$C$32, 8.1254, 8.1206) * CHOOSE(CONTROL!$C$15, $D$11, 100%, $F$11)</f>
        <v>8.1254000000000008</v>
      </c>
      <c r="I250" s="8">
        <f>CHOOSE( CONTROL!$C$32, 7.1626, 7.1579) * CHOOSE(CONTROL!$C$15, $D$11, 100%, $F$11)</f>
        <v>7.1626000000000003</v>
      </c>
      <c r="J250" s="4">
        <f>CHOOSE( CONTROL!$C$32, 7.0633, 7.0586) * CHOOSE(CONTROL!$C$15, $D$11, 100%, $F$11)</f>
        <v>7.0632999999999999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7.6531, 7.6482) * CHOOSE(CONTROL!$C$15, $D$11, 100%, $F$11)</f>
        <v>7.6531000000000002</v>
      </c>
      <c r="C251" s="8">
        <f>CHOOSE( CONTROL!$C$32, 7.6611, 7.6563) * CHOOSE(CONTROL!$C$15, $D$11, 100%, $F$11)</f>
        <v>7.6611000000000002</v>
      </c>
      <c r="D251" s="8">
        <f>CHOOSE( CONTROL!$C$32, 7.6709, 7.666) * CHOOSE( CONTROL!$C$15, $D$11, 100%, $F$11)</f>
        <v>7.6708999999999996</v>
      </c>
      <c r="E251" s="12">
        <f>CHOOSE( CONTROL!$C$32, 7.6661, 7.6613) * CHOOSE( CONTROL!$C$15, $D$11, 100%, $F$11)</f>
        <v>7.6661000000000001</v>
      </c>
      <c r="F251" s="4">
        <f>CHOOSE( CONTROL!$C$32, 8.344, 8.3391) * CHOOSE(CONTROL!$C$15, $D$11, 100%, $F$11)</f>
        <v>8.3439999999999994</v>
      </c>
      <c r="G251" s="8">
        <f>CHOOSE( CONTROL!$C$32, 7.4978, 7.4929) * CHOOSE( CONTROL!$C$15, $D$11, 100%, $F$11)</f>
        <v>7.4977999999999998</v>
      </c>
      <c r="H251" s="4">
        <f>CHOOSE( CONTROL!$C$32, 8.4344, 8.4296) * CHOOSE(CONTROL!$C$15, $D$11, 100%, $F$11)</f>
        <v>8.4344000000000001</v>
      </c>
      <c r="I251" s="8">
        <f>CHOOSE( CONTROL!$C$32, 7.4675, 7.4628) * CHOOSE(CONTROL!$C$15, $D$11, 100%, $F$11)</f>
        <v>7.4675000000000002</v>
      </c>
      <c r="J251" s="4">
        <f>CHOOSE( CONTROL!$C$32, 7.367, 7.3623) * CHOOSE(CONTROL!$C$15, $D$11, 100%, $F$11)</f>
        <v>7.367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7.0652, 7.0603) * CHOOSE(CONTROL!$C$15, $D$11, 100%, $F$11)</f>
        <v>7.0651999999999999</v>
      </c>
      <c r="C252" s="8">
        <f>CHOOSE( CONTROL!$C$32, 7.0732, 7.0684) * CHOOSE(CONTROL!$C$15, $D$11, 100%, $F$11)</f>
        <v>7.0731999999999999</v>
      </c>
      <c r="D252" s="8">
        <f>CHOOSE( CONTROL!$C$32, 7.0831, 7.0782) * CHOOSE( CONTROL!$C$15, $D$11, 100%, $F$11)</f>
        <v>7.0831</v>
      </c>
      <c r="E252" s="12">
        <f>CHOOSE( CONTROL!$C$32, 7.0783, 7.0734) * CHOOSE( CONTROL!$C$15, $D$11, 100%, $F$11)</f>
        <v>7.0782999999999996</v>
      </c>
      <c r="F252" s="4">
        <f>CHOOSE( CONTROL!$C$32, 7.7561, 7.7512) * CHOOSE(CONTROL!$C$15, $D$11, 100%, $F$11)</f>
        <v>7.7561</v>
      </c>
      <c r="G252" s="8">
        <f>CHOOSE( CONTROL!$C$32, 6.9197, 6.9149) * CHOOSE( CONTROL!$C$15, $D$11, 100%, $F$11)</f>
        <v>6.9196999999999997</v>
      </c>
      <c r="H252" s="4">
        <f>CHOOSE( CONTROL!$C$32, 7.8562, 7.8514) * CHOOSE(CONTROL!$C$15, $D$11, 100%, $F$11)</f>
        <v>7.8562000000000003</v>
      </c>
      <c r="I252" s="8">
        <f>CHOOSE( CONTROL!$C$32, 6.8993, 6.8946) * CHOOSE(CONTROL!$C$15, $D$11, 100%, $F$11)</f>
        <v>6.8993000000000002</v>
      </c>
      <c r="J252" s="4">
        <f>CHOOSE( CONTROL!$C$32, 6.7987, 6.794) * CHOOSE(CONTROL!$C$15, $D$11, 100%, $F$11)</f>
        <v>6.7987000000000002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6.918, 6.9131) * CHOOSE(CONTROL!$C$15, $D$11, 100%, $F$11)</f>
        <v>6.9180000000000001</v>
      </c>
      <c r="C253" s="8">
        <f>CHOOSE( CONTROL!$C$32, 6.926, 6.9211) * CHOOSE(CONTROL!$C$15, $D$11, 100%, $F$11)</f>
        <v>6.9260000000000002</v>
      </c>
      <c r="D253" s="8">
        <f>CHOOSE( CONTROL!$C$32, 6.9358, 6.9309) * CHOOSE( CONTROL!$C$15, $D$11, 100%, $F$11)</f>
        <v>6.9358000000000004</v>
      </c>
      <c r="E253" s="12">
        <f>CHOOSE( CONTROL!$C$32, 6.931, 6.9261) * CHOOSE( CONTROL!$C$15, $D$11, 100%, $F$11)</f>
        <v>6.931</v>
      </c>
      <c r="F253" s="4">
        <f>CHOOSE( CONTROL!$C$32, 7.6089, 7.604) * CHOOSE(CONTROL!$C$15, $D$11, 100%, $F$11)</f>
        <v>7.6089000000000002</v>
      </c>
      <c r="G253" s="8">
        <f>CHOOSE( CONTROL!$C$32, 6.7749, 6.7701) * CHOOSE( CONTROL!$C$15, $D$11, 100%, $F$11)</f>
        <v>6.7748999999999997</v>
      </c>
      <c r="H253" s="4">
        <f>CHOOSE( CONTROL!$C$32, 7.7115, 7.7067) * CHOOSE(CONTROL!$C$15, $D$11, 100%, $F$11)</f>
        <v>7.7115</v>
      </c>
      <c r="I253" s="8">
        <f>CHOOSE( CONTROL!$C$32, 6.7567, 6.752) * CHOOSE(CONTROL!$C$15, $D$11, 100%, $F$11)</f>
        <v>6.7567000000000004</v>
      </c>
      <c r="J253" s="4">
        <f>CHOOSE( CONTROL!$C$32, 6.6564, 6.6517) * CHOOSE(CONTROL!$C$15, $D$11, 100%, $F$11)</f>
        <v>6.6563999999999997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7.2171 * CHOOSE(CONTROL!$C$15, $D$11, 100%, $F$11)</f>
        <v>7.2171000000000003</v>
      </c>
      <c r="C254" s="8">
        <f>7.2224 * CHOOSE(CONTROL!$C$15, $D$11, 100%, $F$11)</f>
        <v>7.2224000000000004</v>
      </c>
      <c r="D254" s="8">
        <f>7.237 * CHOOSE( CONTROL!$C$15, $D$11, 100%, $F$11)</f>
        <v>7.2370000000000001</v>
      </c>
      <c r="E254" s="12">
        <f>7.2316 * CHOOSE( CONTROL!$C$15, $D$11, 100%, $F$11)</f>
        <v>7.2316000000000003</v>
      </c>
      <c r="F254" s="4">
        <f>7.9097 * CHOOSE(CONTROL!$C$15, $D$11, 100%, $F$11)</f>
        <v>7.9097</v>
      </c>
      <c r="G254" s="8">
        <f>7.0699 * CHOOSE( CONTROL!$C$15, $D$11, 100%, $F$11)</f>
        <v>7.0698999999999996</v>
      </c>
      <c r="H254" s="4">
        <f>8.0073 * CHOOSE(CONTROL!$C$15, $D$11, 100%, $F$11)</f>
        <v>8.0073000000000008</v>
      </c>
      <c r="I254" s="8">
        <f>7.0485 * CHOOSE(CONTROL!$C$15, $D$11, 100%, $F$11)</f>
        <v>7.0484999999999998</v>
      </c>
      <c r="J254" s="4">
        <f>6.9472 * CHOOSE(CONTROL!$C$15, $D$11, 100%, $F$11)</f>
        <v>6.9471999999999996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7.7809 * CHOOSE(CONTROL!$C$15, $D$11, 100%, $F$11)</f>
        <v>7.7808999999999999</v>
      </c>
      <c r="C255" s="8">
        <f>7.786 * CHOOSE(CONTROL!$C$15, $D$11, 100%, $F$11)</f>
        <v>7.7859999999999996</v>
      </c>
      <c r="D255" s="8">
        <f>7.7629 * CHOOSE( CONTROL!$C$15, $D$11, 100%, $F$11)</f>
        <v>7.7629000000000001</v>
      </c>
      <c r="E255" s="12">
        <f>7.7708 * CHOOSE( CONTROL!$C$15, $D$11, 100%, $F$11)</f>
        <v>7.7708000000000004</v>
      </c>
      <c r="F255" s="4">
        <f>8.4258 * CHOOSE(CONTROL!$C$15, $D$11, 100%, $F$11)</f>
        <v>8.4258000000000006</v>
      </c>
      <c r="G255" s="8">
        <f>7.6328 * CHOOSE( CONTROL!$C$15, $D$11, 100%, $F$11)</f>
        <v>7.6327999999999996</v>
      </c>
      <c r="H255" s="4">
        <f>8.5148 * CHOOSE(CONTROL!$C$15, $D$11, 100%, $F$11)</f>
        <v>8.5147999999999993</v>
      </c>
      <c r="I255" s="8">
        <f>7.6188 * CHOOSE(CONTROL!$C$15, $D$11, 100%, $F$11)</f>
        <v>7.6188000000000002</v>
      </c>
      <c r="J255" s="4">
        <f>7.4926 * CHOOSE(CONTROL!$C$15, $D$11, 100%, $F$11)</f>
        <v>7.4926000000000004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7.7668 * CHOOSE(CONTROL!$C$15, $D$11, 100%, $F$11)</f>
        <v>7.7667999999999999</v>
      </c>
      <c r="C256" s="8">
        <f>7.7719 * CHOOSE(CONTROL!$C$15, $D$11, 100%, $F$11)</f>
        <v>7.7718999999999996</v>
      </c>
      <c r="D256" s="8">
        <f>7.7504 * CHOOSE( CONTROL!$C$15, $D$11, 100%, $F$11)</f>
        <v>7.7504</v>
      </c>
      <c r="E256" s="12">
        <f>7.7577 * CHOOSE( CONTROL!$C$15, $D$11, 100%, $F$11)</f>
        <v>7.7576999999999998</v>
      </c>
      <c r="F256" s="4">
        <f>8.4117 * CHOOSE(CONTROL!$C$15, $D$11, 100%, $F$11)</f>
        <v>8.4116999999999997</v>
      </c>
      <c r="G256" s="8">
        <f>7.6201 * CHOOSE( CONTROL!$C$15, $D$11, 100%, $F$11)</f>
        <v>7.6200999999999999</v>
      </c>
      <c r="H256" s="4">
        <f>8.5009 * CHOOSE(CONTROL!$C$15, $D$11, 100%, $F$11)</f>
        <v>8.5008999999999997</v>
      </c>
      <c r="I256" s="8">
        <f>7.6101 * CHOOSE(CONTROL!$C$15, $D$11, 100%, $F$11)</f>
        <v>7.6101000000000001</v>
      </c>
      <c r="J256" s="4">
        <f>7.479 * CHOOSE(CONTROL!$C$15, $D$11, 100%, $F$11)</f>
        <v>7.4790000000000001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7.9637 * CHOOSE(CONTROL!$C$15, $D$11, 100%, $F$11)</f>
        <v>7.9637000000000002</v>
      </c>
      <c r="C257" s="8">
        <f>7.9688 * CHOOSE(CONTROL!$C$15, $D$11, 100%, $F$11)</f>
        <v>7.9687999999999999</v>
      </c>
      <c r="D257" s="8">
        <f>7.9434 * CHOOSE( CONTROL!$C$15, $D$11, 100%, $F$11)</f>
        <v>7.9433999999999996</v>
      </c>
      <c r="E257" s="12">
        <f>7.9521 * CHOOSE( CONTROL!$C$15, $D$11, 100%, $F$11)</f>
        <v>7.9520999999999997</v>
      </c>
      <c r="F257" s="4">
        <f>8.606 * CHOOSE(CONTROL!$C$15, $D$11, 100%, $F$11)</f>
        <v>8.6059999999999999</v>
      </c>
      <c r="G257" s="8">
        <f>7.8083 * CHOOSE( CONTROL!$C$15, $D$11, 100%, $F$11)</f>
        <v>7.8083</v>
      </c>
      <c r="H257" s="4">
        <f>8.692 * CHOOSE(CONTROL!$C$15, $D$11, 100%, $F$11)</f>
        <v>8.6920000000000002</v>
      </c>
      <c r="I257" s="8">
        <f>7.7808 * CHOOSE(CONTROL!$C$15, $D$11, 100%, $F$11)</f>
        <v>7.7808000000000002</v>
      </c>
      <c r="J257" s="4">
        <f>7.6693 * CHOOSE(CONTROL!$C$15, $D$11, 100%, $F$11)</f>
        <v>7.6692999999999998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7.4508 * CHOOSE(CONTROL!$C$15, $D$11, 100%, $F$11)</f>
        <v>7.4508000000000001</v>
      </c>
      <c r="C258" s="8">
        <f>7.4559 * CHOOSE(CONTROL!$C$15, $D$11, 100%, $F$11)</f>
        <v>7.4558999999999997</v>
      </c>
      <c r="D258" s="8">
        <f>7.4306 * CHOOSE( CONTROL!$C$15, $D$11, 100%, $F$11)</f>
        <v>7.4306000000000001</v>
      </c>
      <c r="E258" s="12">
        <f>7.4393 * CHOOSE( CONTROL!$C$15, $D$11, 100%, $F$11)</f>
        <v>7.4393000000000002</v>
      </c>
      <c r="F258" s="4">
        <f>8.0931 * CHOOSE(CONTROL!$C$15, $D$11, 100%, $F$11)</f>
        <v>8.0930999999999997</v>
      </c>
      <c r="G258" s="8">
        <f>7.304 * CHOOSE( CONTROL!$C$15, $D$11, 100%, $F$11)</f>
        <v>7.3040000000000003</v>
      </c>
      <c r="H258" s="4">
        <f>8.1876 * CHOOSE(CONTROL!$C$15, $D$11, 100%, $F$11)</f>
        <v>8.1875999999999998</v>
      </c>
      <c r="I258" s="8">
        <f>7.2851 * CHOOSE(CONTROL!$C$15, $D$11, 100%, $F$11)</f>
        <v>7.2850999999999999</v>
      </c>
      <c r="J258" s="4">
        <f>7.1735 * CHOOSE(CONTROL!$C$15, $D$11, 100%, $F$11)</f>
        <v>7.1734999999999998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7.2928 * CHOOSE(CONTROL!$C$15, $D$11, 100%, $F$11)</f>
        <v>7.2927999999999997</v>
      </c>
      <c r="C259" s="8">
        <f>7.2979 * CHOOSE(CONTROL!$C$15, $D$11, 100%, $F$11)</f>
        <v>7.2979000000000003</v>
      </c>
      <c r="D259" s="8">
        <f>7.2723 * CHOOSE( CONTROL!$C$15, $D$11, 100%, $F$11)</f>
        <v>7.2723000000000004</v>
      </c>
      <c r="E259" s="12">
        <f>7.2811 * CHOOSE( CONTROL!$C$15, $D$11, 100%, $F$11)</f>
        <v>7.2811000000000003</v>
      </c>
      <c r="F259" s="4">
        <f>7.9351 * CHOOSE(CONTROL!$C$15, $D$11, 100%, $F$11)</f>
        <v>7.9351000000000003</v>
      </c>
      <c r="G259" s="8">
        <f>7.1485 * CHOOSE( CONTROL!$C$15, $D$11, 100%, $F$11)</f>
        <v>7.1485000000000003</v>
      </c>
      <c r="H259" s="4">
        <f>8.0323 * CHOOSE(CONTROL!$C$15, $D$11, 100%, $F$11)</f>
        <v>8.0322999999999993</v>
      </c>
      <c r="I259" s="8">
        <f>7.1315 * CHOOSE(CONTROL!$C$15, $D$11, 100%, $F$11)</f>
        <v>7.1315</v>
      </c>
      <c r="J259" s="4">
        <f>7.0208 * CHOOSE(CONTROL!$C$15, $D$11, 100%, $F$11)</f>
        <v>7.0208000000000004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7.404 * CHOOSE(CONTROL!$C$15, $D$11, 100%, $F$11)</f>
        <v>7.4039999999999999</v>
      </c>
      <c r="C260" s="8">
        <f>7.4085 * CHOOSE(CONTROL!$C$15, $D$11, 100%, $F$11)</f>
        <v>7.4085000000000001</v>
      </c>
      <c r="D260" s="8">
        <f>7.4228 * CHOOSE( CONTROL!$C$15, $D$11, 100%, $F$11)</f>
        <v>7.4227999999999996</v>
      </c>
      <c r="E260" s="12">
        <f>7.4176 * CHOOSE( CONTROL!$C$15, $D$11, 100%, $F$11)</f>
        <v>7.4176000000000002</v>
      </c>
      <c r="F260" s="4">
        <f>8.0962 * CHOOSE(CONTROL!$C$15, $D$11, 100%, $F$11)</f>
        <v>8.0961999999999996</v>
      </c>
      <c r="G260" s="8">
        <f>7.2523 * CHOOSE( CONTROL!$C$15, $D$11, 100%, $F$11)</f>
        <v>7.2523</v>
      </c>
      <c r="H260" s="4">
        <f>8.1907 * CHOOSE(CONTROL!$C$15, $D$11, 100%, $F$11)</f>
        <v>8.1906999999999996</v>
      </c>
      <c r="I260" s="8">
        <f>7.2254 * CHOOSE(CONTROL!$C$15, $D$11, 100%, $F$11)</f>
        <v>7.2253999999999996</v>
      </c>
      <c r="J260" s="4">
        <f>7.1275 * CHOOSE(CONTROL!$C$15, $D$11, 100%, $F$11)</f>
        <v>7.1275000000000004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7.6067, 7.6018) * CHOOSE(CONTROL!$C$15, $D$11, 100%, $F$11)</f>
        <v>7.6067</v>
      </c>
      <c r="C261" s="8">
        <f>CHOOSE( CONTROL!$C$32, 7.6147, 7.6098) * CHOOSE(CONTROL!$C$15, $D$11, 100%, $F$11)</f>
        <v>7.6147</v>
      </c>
      <c r="D261" s="8">
        <f>CHOOSE( CONTROL!$C$32, 7.624, 7.6191) * CHOOSE( CONTROL!$C$15, $D$11, 100%, $F$11)</f>
        <v>7.6239999999999997</v>
      </c>
      <c r="E261" s="12">
        <f>CHOOSE( CONTROL!$C$32, 7.6194, 7.6145) * CHOOSE( CONTROL!$C$15, $D$11, 100%, $F$11)</f>
        <v>7.6193999999999997</v>
      </c>
      <c r="F261" s="4">
        <f>CHOOSE( CONTROL!$C$32, 8.2975, 8.2926) * CHOOSE(CONTROL!$C$15, $D$11, 100%, $F$11)</f>
        <v>8.2974999999999994</v>
      </c>
      <c r="G261" s="8">
        <f>CHOOSE( CONTROL!$C$32, 7.4514, 7.4466) * CHOOSE( CONTROL!$C$15, $D$11, 100%, $F$11)</f>
        <v>7.4513999999999996</v>
      </c>
      <c r="H261" s="4">
        <f>CHOOSE( CONTROL!$C$32, 8.3887, 8.3839) * CHOOSE(CONTROL!$C$15, $D$11, 100%, $F$11)</f>
        <v>8.3887</v>
      </c>
      <c r="I261" s="8">
        <f>CHOOSE( CONTROL!$C$32, 7.4205, 7.4158) * CHOOSE(CONTROL!$C$15, $D$11, 100%, $F$11)</f>
        <v>7.4204999999999997</v>
      </c>
      <c r="J261" s="4">
        <f>CHOOSE( CONTROL!$C$32, 7.3221, 7.3174) * CHOOSE(CONTROL!$C$15, $D$11, 100%, $F$11)</f>
        <v>7.3220999999999998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7.485, 7.4801) * CHOOSE(CONTROL!$C$15, $D$11, 100%, $F$11)</f>
        <v>7.4850000000000003</v>
      </c>
      <c r="C262" s="8">
        <f>CHOOSE( CONTROL!$C$32, 7.493, 7.4881) * CHOOSE(CONTROL!$C$15, $D$11, 100%, $F$11)</f>
        <v>7.4930000000000003</v>
      </c>
      <c r="D262" s="8">
        <f>CHOOSE( CONTROL!$C$32, 7.5025, 7.4976) * CHOOSE( CONTROL!$C$15, $D$11, 100%, $F$11)</f>
        <v>7.5025000000000004</v>
      </c>
      <c r="E262" s="12">
        <f>CHOOSE( CONTROL!$C$32, 7.4978, 7.4929) * CHOOSE( CONTROL!$C$15, $D$11, 100%, $F$11)</f>
        <v>7.4977999999999998</v>
      </c>
      <c r="F262" s="4">
        <f>CHOOSE( CONTROL!$C$32, 8.1758, 8.1709) * CHOOSE(CONTROL!$C$15, $D$11, 100%, $F$11)</f>
        <v>8.1758000000000006</v>
      </c>
      <c r="G262" s="8">
        <f>CHOOSE( CONTROL!$C$32, 7.3321, 7.3272) * CHOOSE( CONTROL!$C$15, $D$11, 100%, $F$11)</f>
        <v>7.3320999999999996</v>
      </c>
      <c r="H262" s="4">
        <f>CHOOSE( CONTROL!$C$32, 8.269, 8.2642) * CHOOSE(CONTROL!$C$15, $D$11, 100%, $F$11)</f>
        <v>8.2690000000000001</v>
      </c>
      <c r="I262" s="8">
        <f>CHOOSE( CONTROL!$C$32, 7.3038, 7.2991) * CHOOSE(CONTROL!$C$15, $D$11, 100%, $F$11)</f>
        <v>7.3037999999999998</v>
      </c>
      <c r="J262" s="4">
        <f>CHOOSE( CONTROL!$C$32, 7.2045, 7.1998) * CHOOSE(CONTROL!$C$15, $D$11, 100%, $F$11)</f>
        <v>7.2045000000000003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7.8054, 7.8006) * CHOOSE(CONTROL!$C$15, $D$11, 100%, $F$11)</f>
        <v>7.8053999999999997</v>
      </c>
      <c r="C263" s="8">
        <f>CHOOSE( CONTROL!$C$32, 7.8135, 7.8086) * CHOOSE(CONTROL!$C$15, $D$11, 100%, $F$11)</f>
        <v>7.8135000000000003</v>
      </c>
      <c r="D263" s="8">
        <f>CHOOSE( CONTROL!$C$32, 7.8232, 7.8183) * CHOOSE( CONTROL!$C$15, $D$11, 100%, $F$11)</f>
        <v>7.8231999999999999</v>
      </c>
      <c r="E263" s="12">
        <f>CHOOSE( CONTROL!$C$32, 7.8185, 7.8136) * CHOOSE( CONTROL!$C$15, $D$11, 100%, $F$11)</f>
        <v>7.8185000000000002</v>
      </c>
      <c r="F263" s="4">
        <f>CHOOSE( CONTROL!$C$32, 8.4963, 8.4914) * CHOOSE(CONTROL!$C$15, $D$11, 100%, $F$11)</f>
        <v>8.4962999999999997</v>
      </c>
      <c r="G263" s="8">
        <f>CHOOSE( CONTROL!$C$32, 7.6476, 7.6427) * CHOOSE( CONTROL!$C$15, $D$11, 100%, $F$11)</f>
        <v>7.6475999999999997</v>
      </c>
      <c r="H263" s="4">
        <f>CHOOSE( CONTROL!$C$32, 8.5842, 8.5794) * CHOOSE(CONTROL!$C$15, $D$11, 100%, $F$11)</f>
        <v>8.5841999999999992</v>
      </c>
      <c r="I263" s="8">
        <f>CHOOSE( CONTROL!$C$32, 7.6149, 7.6101) * CHOOSE(CONTROL!$C$15, $D$11, 100%, $F$11)</f>
        <v>7.6148999999999996</v>
      </c>
      <c r="J263" s="4">
        <f>CHOOSE( CONTROL!$C$32, 7.5143, 7.5096) * CHOOSE(CONTROL!$C$15, $D$11, 100%, $F$11)</f>
        <v>7.5143000000000004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7.2058, 7.2009) * CHOOSE(CONTROL!$C$15, $D$11, 100%, $F$11)</f>
        <v>7.2058</v>
      </c>
      <c r="C264" s="8">
        <f>CHOOSE( CONTROL!$C$32, 7.2138, 7.2089) * CHOOSE(CONTROL!$C$15, $D$11, 100%, $F$11)</f>
        <v>7.2138</v>
      </c>
      <c r="D264" s="8">
        <f>CHOOSE( CONTROL!$C$32, 7.2236, 7.2187) * CHOOSE( CONTROL!$C$15, $D$11, 100%, $F$11)</f>
        <v>7.2236000000000002</v>
      </c>
      <c r="E264" s="12">
        <f>CHOOSE( CONTROL!$C$32, 7.2188, 7.2139) * CHOOSE( CONTROL!$C$15, $D$11, 100%, $F$11)</f>
        <v>7.2187999999999999</v>
      </c>
      <c r="F264" s="4">
        <f>CHOOSE( CONTROL!$C$32, 7.8967, 7.8918) * CHOOSE(CONTROL!$C$15, $D$11, 100%, $F$11)</f>
        <v>7.8967000000000001</v>
      </c>
      <c r="G264" s="8">
        <f>CHOOSE( CONTROL!$C$32, 7.058, 7.0531) * CHOOSE( CONTROL!$C$15, $D$11, 100%, $F$11)</f>
        <v>7.0579999999999998</v>
      </c>
      <c r="H264" s="4">
        <f>CHOOSE( CONTROL!$C$32, 7.9945, 7.9897) * CHOOSE(CONTROL!$C$15, $D$11, 100%, $F$11)</f>
        <v>7.9945000000000004</v>
      </c>
      <c r="I264" s="8">
        <f>CHOOSE( CONTROL!$C$32, 7.0352, 7.0305) * CHOOSE(CONTROL!$C$15, $D$11, 100%, $F$11)</f>
        <v>7.0351999999999997</v>
      </c>
      <c r="J264" s="4">
        <f>CHOOSE( CONTROL!$C$32, 6.9346, 6.9299) * CHOOSE(CONTROL!$C$15, $D$11, 100%, $F$11)</f>
        <v>6.9345999999999997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7.0556, 7.0507) * CHOOSE(CONTROL!$C$15, $D$11, 100%, $F$11)</f>
        <v>7.0556000000000001</v>
      </c>
      <c r="C265" s="8">
        <f>CHOOSE( CONTROL!$C$32, 7.0636, 7.0588) * CHOOSE(CONTROL!$C$15, $D$11, 100%, $F$11)</f>
        <v>7.0636000000000001</v>
      </c>
      <c r="D265" s="8">
        <f>CHOOSE( CONTROL!$C$32, 7.0734, 7.0685) * CHOOSE( CONTROL!$C$15, $D$11, 100%, $F$11)</f>
        <v>7.0734000000000004</v>
      </c>
      <c r="E265" s="12">
        <f>CHOOSE( CONTROL!$C$32, 7.0686, 7.0638) * CHOOSE( CONTROL!$C$15, $D$11, 100%, $F$11)</f>
        <v>7.0686</v>
      </c>
      <c r="F265" s="4">
        <f>CHOOSE( CONTROL!$C$32, 7.7465, 7.7416) * CHOOSE(CONTROL!$C$15, $D$11, 100%, $F$11)</f>
        <v>7.7465000000000002</v>
      </c>
      <c r="G265" s="8">
        <f>CHOOSE( CONTROL!$C$32, 6.9102, 6.9054) * CHOOSE( CONTROL!$C$15, $D$11, 100%, $F$11)</f>
        <v>6.9101999999999997</v>
      </c>
      <c r="H265" s="4">
        <f>CHOOSE( CONTROL!$C$32, 7.8468, 7.842) * CHOOSE(CONTROL!$C$15, $D$11, 100%, $F$11)</f>
        <v>7.8468</v>
      </c>
      <c r="I265" s="8">
        <f>CHOOSE( CONTROL!$C$32, 6.8898, 6.8851) * CHOOSE(CONTROL!$C$15, $D$11, 100%, $F$11)</f>
        <v>6.8898000000000001</v>
      </c>
      <c r="J265" s="4">
        <f>CHOOSE( CONTROL!$C$32, 6.7894, 6.7847) * CHOOSE(CONTROL!$C$15, $D$11, 100%, $F$11)</f>
        <v>6.7893999999999997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7.3608 * CHOOSE(CONTROL!$C$15, $D$11, 100%, $F$11)</f>
        <v>7.3608000000000002</v>
      </c>
      <c r="C266" s="8">
        <f>7.3662 * CHOOSE(CONTROL!$C$15, $D$11, 100%, $F$11)</f>
        <v>7.3662000000000001</v>
      </c>
      <c r="D266" s="8">
        <f>7.3807 * CHOOSE( CONTROL!$C$15, $D$11, 100%, $F$11)</f>
        <v>7.3807</v>
      </c>
      <c r="E266" s="12">
        <f>7.3753 * CHOOSE( CONTROL!$C$15, $D$11, 100%, $F$11)</f>
        <v>7.3753000000000002</v>
      </c>
      <c r="F266" s="4">
        <f>8.0534 * CHOOSE(CONTROL!$C$15, $D$11, 100%, $F$11)</f>
        <v>8.0533999999999999</v>
      </c>
      <c r="G266" s="8">
        <f>7.2113 * CHOOSE( CONTROL!$C$15, $D$11, 100%, $F$11)</f>
        <v>7.2112999999999996</v>
      </c>
      <c r="H266" s="4">
        <f>8.1486 * CHOOSE(CONTROL!$C$15, $D$11, 100%, $F$11)</f>
        <v>8.1486000000000001</v>
      </c>
      <c r="I266" s="8">
        <f>7.1875 * CHOOSE(CONTROL!$C$15, $D$11, 100%, $F$11)</f>
        <v>7.1875</v>
      </c>
      <c r="J266" s="4">
        <f>7.0861 * CHOOSE(CONTROL!$C$15, $D$11, 100%, $F$11)</f>
        <v>7.0861000000000001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7.9359 * CHOOSE(CONTROL!$C$15, $D$11, 100%, $F$11)</f>
        <v>7.9359000000000002</v>
      </c>
      <c r="C267" s="8">
        <f>7.941 * CHOOSE(CONTROL!$C$15, $D$11, 100%, $F$11)</f>
        <v>7.9409999999999998</v>
      </c>
      <c r="D267" s="8">
        <f>7.918 * CHOOSE( CONTROL!$C$15, $D$11, 100%, $F$11)</f>
        <v>7.9180000000000001</v>
      </c>
      <c r="E267" s="12">
        <f>7.9259 * CHOOSE( CONTROL!$C$15, $D$11, 100%, $F$11)</f>
        <v>7.9259000000000004</v>
      </c>
      <c r="F267" s="4">
        <f>8.5808 * CHOOSE(CONTROL!$C$15, $D$11, 100%, $F$11)</f>
        <v>8.5808</v>
      </c>
      <c r="G267" s="8">
        <f>7.7852 * CHOOSE( CONTROL!$C$15, $D$11, 100%, $F$11)</f>
        <v>7.7851999999999997</v>
      </c>
      <c r="H267" s="4">
        <f>8.6673 * CHOOSE(CONTROL!$C$15, $D$11, 100%, $F$11)</f>
        <v>8.6672999999999991</v>
      </c>
      <c r="I267" s="8">
        <f>7.7688 * CHOOSE(CONTROL!$C$15, $D$11, 100%, $F$11)</f>
        <v>7.7687999999999997</v>
      </c>
      <c r="J267" s="4">
        <f>7.6424 * CHOOSE(CONTROL!$C$15, $D$11, 100%, $F$11)</f>
        <v>7.6424000000000003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7.9215 * CHOOSE(CONTROL!$C$15, $D$11, 100%, $F$11)</f>
        <v>7.9215</v>
      </c>
      <c r="C268" s="8">
        <f>7.9266 * CHOOSE(CONTROL!$C$15, $D$11, 100%, $F$11)</f>
        <v>7.9265999999999996</v>
      </c>
      <c r="D268" s="8">
        <f>7.9051 * CHOOSE( CONTROL!$C$15, $D$11, 100%, $F$11)</f>
        <v>7.9051</v>
      </c>
      <c r="E268" s="12">
        <f>7.9124 * CHOOSE( CONTROL!$C$15, $D$11, 100%, $F$11)</f>
        <v>7.9123999999999999</v>
      </c>
      <c r="F268" s="4">
        <f>8.5664 * CHOOSE(CONTROL!$C$15, $D$11, 100%, $F$11)</f>
        <v>8.5663999999999998</v>
      </c>
      <c r="G268" s="8">
        <f>7.7722 * CHOOSE( CONTROL!$C$15, $D$11, 100%, $F$11)</f>
        <v>7.7721999999999998</v>
      </c>
      <c r="H268" s="4">
        <f>8.6531 * CHOOSE(CONTROL!$C$15, $D$11, 100%, $F$11)</f>
        <v>8.6531000000000002</v>
      </c>
      <c r="I268" s="8">
        <f>7.7598 * CHOOSE(CONTROL!$C$15, $D$11, 100%, $F$11)</f>
        <v>7.7598000000000003</v>
      </c>
      <c r="J268" s="4">
        <f>7.6285 * CHOOSE(CONTROL!$C$15, $D$11, 100%, $F$11)</f>
        <v>7.6284999999999998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8.2231 * CHOOSE(CONTROL!$C$15, $D$11, 100%, $F$11)</f>
        <v>8.2231000000000005</v>
      </c>
      <c r="C269" s="8">
        <f>8.2282 * CHOOSE(CONTROL!$C$15, $D$11, 100%, $F$11)</f>
        <v>8.2281999999999993</v>
      </c>
      <c r="D269" s="8">
        <f>8.2028 * CHOOSE( CONTROL!$C$15, $D$11, 100%, $F$11)</f>
        <v>8.2027999999999999</v>
      </c>
      <c r="E269" s="12">
        <f>8.2115 * CHOOSE( CONTROL!$C$15, $D$11, 100%, $F$11)</f>
        <v>8.2114999999999991</v>
      </c>
      <c r="F269" s="4">
        <f>8.8654 * CHOOSE(CONTROL!$C$15, $D$11, 100%, $F$11)</f>
        <v>8.8653999999999993</v>
      </c>
      <c r="G269" s="8">
        <f>8.0635 * CHOOSE( CONTROL!$C$15, $D$11, 100%, $F$11)</f>
        <v>8.0634999999999994</v>
      </c>
      <c r="H269" s="4">
        <f>8.9472 * CHOOSE(CONTROL!$C$15, $D$11, 100%, $F$11)</f>
        <v>8.9472000000000005</v>
      </c>
      <c r="I269" s="8">
        <f>8.0318 * CHOOSE(CONTROL!$C$15, $D$11, 100%, $F$11)</f>
        <v>8.0318000000000005</v>
      </c>
      <c r="J269" s="4">
        <f>7.9201 * CHOOSE(CONTROL!$C$15, $D$11, 100%, $F$11)</f>
        <v>7.9200999999999997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7.6934 * CHOOSE(CONTROL!$C$15, $D$11, 100%, $F$11)</f>
        <v>7.6933999999999996</v>
      </c>
      <c r="C270" s="8">
        <f>7.6986 * CHOOSE(CONTROL!$C$15, $D$11, 100%, $F$11)</f>
        <v>7.6985999999999999</v>
      </c>
      <c r="D270" s="8">
        <f>7.6732 * CHOOSE( CONTROL!$C$15, $D$11, 100%, $F$11)</f>
        <v>7.6731999999999996</v>
      </c>
      <c r="E270" s="12">
        <f>7.6819 * CHOOSE( CONTROL!$C$15, $D$11, 100%, $F$11)</f>
        <v>7.6818999999999997</v>
      </c>
      <c r="F270" s="4">
        <f>8.3357 * CHOOSE(CONTROL!$C$15, $D$11, 100%, $F$11)</f>
        <v>8.3356999999999992</v>
      </c>
      <c r="G270" s="8">
        <f>7.5427 * CHOOSE( CONTROL!$C$15, $D$11, 100%, $F$11)</f>
        <v>7.5427</v>
      </c>
      <c r="H270" s="4">
        <f>8.4263 * CHOOSE(CONTROL!$C$15, $D$11, 100%, $F$11)</f>
        <v>8.4262999999999995</v>
      </c>
      <c r="I270" s="8">
        <f>7.5198 * CHOOSE(CONTROL!$C$15, $D$11, 100%, $F$11)</f>
        <v>7.5198</v>
      </c>
      <c r="J270" s="4">
        <f>7.4081 * CHOOSE(CONTROL!$C$15, $D$11, 100%, $F$11)</f>
        <v>7.4081000000000001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7.5303 * CHOOSE(CONTROL!$C$15, $D$11, 100%, $F$11)</f>
        <v>7.5303000000000004</v>
      </c>
      <c r="C271" s="8">
        <f>7.5354 * CHOOSE(CONTROL!$C$15, $D$11, 100%, $F$11)</f>
        <v>7.5354000000000001</v>
      </c>
      <c r="D271" s="8">
        <f>7.5098 * CHOOSE( CONTROL!$C$15, $D$11, 100%, $F$11)</f>
        <v>7.5098000000000003</v>
      </c>
      <c r="E271" s="12">
        <f>7.5186 * CHOOSE( CONTROL!$C$15, $D$11, 100%, $F$11)</f>
        <v>7.5186000000000002</v>
      </c>
      <c r="F271" s="4">
        <f>8.1726 * CHOOSE(CONTROL!$C$15, $D$11, 100%, $F$11)</f>
        <v>8.1725999999999992</v>
      </c>
      <c r="G271" s="8">
        <f>7.3821 * CHOOSE( CONTROL!$C$15, $D$11, 100%, $F$11)</f>
        <v>7.3821000000000003</v>
      </c>
      <c r="H271" s="4">
        <f>8.2659 * CHOOSE(CONTROL!$C$15, $D$11, 100%, $F$11)</f>
        <v>8.2659000000000002</v>
      </c>
      <c r="I271" s="8">
        <f>7.3612 * CHOOSE(CONTROL!$C$15, $D$11, 100%, $F$11)</f>
        <v>7.3612000000000002</v>
      </c>
      <c r="J271" s="4">
        <f>7.2504 * CHOOSE(CONTROL!$C$15, $D$11, 100%, $F$11)</f>
        <v>7.2504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7.6451 * CHOOSE(CONTROL!$C$15, $D$11, 100%, $F$11)</f>
        <v>7.6451000000000002</v>
      </c>
      <c r="C272" s="8">
        <f>7.6496 * CHOOSE(CONTROL!$C$15, $D$11, 100%, $F$11)</f>
        <v>7.6496000000000004</v>
      </c>
      <c r="D272" s="8">
        <f>7.6639 * CHOOSE( CONTROL!$C$15, $D$11, 100%, $F$11)</f>
        <v>7.6638999999999999</v>
      </c>
      <c r="E272" s="12">
        <f>7.6587 * CHOOSE( CONTROL!$C$15, $D$11, 100%, $F$11)</f>
        <v>7.6586999999999996</v>
      </c>
      <c r="F272" s="4">
        <f>8.3373 * CHOOSE(CONTROL!$C$15, $D$11, 100%, $F$11)</f>
        <v>8.3373000000000008</v>
      </c>
      <c r="G272" s="8">
        <f>7.4894 * CHOOSE( CONTROL!$C$15, $D$11, 100%, $F$11)</f>
        <v>7.4893999999999998</v>
      </c>
      <c r="H272" s="4">
        <f>8.4278 * CHOOSE(CONTROL!$C$15, $D$11, 100%, $F$11)</f>
        <v>8.4277999999999995</v>
      </c>
      <c r="I272" s="8">
        <f>7.4586 * CHOOSE(CONTROL!$C$15, $D$11, 100%, $F$11)</f>
        <v>7.4585999999999997</v>
      </c>
      <c r="J272" s="4">
        <f>7.3606 * CHOOSE(CONTROL!$C$15, $D$11, 100%, $F$11)</f>
        <v>7.3605999999999998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7.8542, 7.8493) * CHOOSE(CONTROL!$C$15, $D$11, 100%, $F$11)</f>
        <v>7.8541999999999996</v>
      </c>
      <c r="C273" s="8">
        <f>CHOOSE( CONTROL!$C$32, 7.8622, 7.8573) * CHOOSE(CONTROL!$C$15, $D$11, 100%, $F$11)</f>
        <v>7.8621999999999996</v>
      </c>
      <c r="D273" s="8">
        <f>CHOOSE( CONTROL!$C$32, 7.8715, 7.8666) * CHOOSE( CONTROL!$C$15, $D$11, 100%, $F$11)</f>
        <v>7.8715000000000002</v>
      </c>
      <c r="E273" s="12">
        <f>CHOOSE( CONTROL!$C$32, 7.8669, 7.862) * CHOOSE( CONTROL!$C$15, $D$11, 100%, $F$11)</f>
        <v>7.8669000000000002</v>
      </c>
      <c r="F273" s="4">
        <f>CHOOSE( CONTROL!$C$32, 8.5451, 8.5402) * CHOOSE(CONTROL!$C$15, $D$11, 100%, $F$11)</f>
        <v>8.5450999999999997</v>
      </c>
      <c r="G273" s="8">
        <f>CHOOSE( CONTROL!$C$32, 7.6949, 7.69) * CHOOSE( CONTROL!$C$15, $D$11, 100%, $F$11)</f>
        <v>7.6948999999999996</v>
      </c>
      <c r="H273" s="4">
        <f>CHOOSE( CONTROL!$C$32, 8.6321, 8.6273) * CHOOSE(CONTROL!$C$15, $D$11, 100%, $F$11)</f>
        <v>8.6320999999999994</v>
      </c>
      <c r="I273" s="8">
        <f>CHOOSE( CONTROL!$C$32, 7.6599, 7.6552) * CHOOSE(CONTROL!$C$15, $D$11, 100%, $F$11)</f>
        <v>7.6599000000000004</v>
      </c>
      <c r="J273" s="4">
        <f>CHOOSE( CONTROL!$C$32, 7.5614, 7.5567) * CHOOSE(CONTROL!$C$15, $D$11, 100%, $F$11)</f>
        <v>7.5613999999999999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7.7285, 7.7236) * CHOOSE(CONTROL!$C$15, $D$11, 100%, $F$11)</f>
        <v>7.7285000000000004</v>
      </c>
      <c r="C274" s="8">
        <f>CHOOSE( CONTROL!$C$32, 7.7366, 7.7317) * CHOOSE(CONTROL!$C$15, $D$11, 100%, $F$11)</f>
        <v>7.7366000000000001</v>
      </c>
      <c r="D274" s="8">
        <f>CHOOSE( CONTROL!$C$32, 7.7461, 7.7412) * CHOOSE( CONTROL!$C$15, $D$11, 100%, $F$11)</f>
        <v>7.7461000000000002</v>
      </c>
      <c r="E274" s="12">
        <f>CHOOSE( CONTROL!$C$32, 7.7414, 7.7365) * CHOOSE( CONTROL!$C$15, $D$11, 100%, $F$11)</f>
        <v>7.7413999999999996</v>
      </c>
      <c r="F274" s="4">
        <f>CHOOSE( CONTROL!$C$32, 8.4194, 8.4145) * CHOOSE(CONTROL!$C$15, $D$11, 100%, $F$11)</f>
        <v>8.4193999999999996</v>
      </c>
      <c r="G274" s="8">
        <f>CHOOSE( CONTROL!$C$32, 7.5716, 7.5668) * CHOOSE( CONTROL!$C$15, $D$11, 100%, $F$11)</f>
        <v>7.5716000000000001</v>
      </c>
      <c r="H274" s="4">
        <f>CHOOSE( CONTROL!$C$32, 8.5085, 8.5037) * CHOOSE(CONTROL!$C$15, $D$11, 100%, $F$11)</f>
        <v>8.5084999999999997</v>
      </c>
      <c r="I274" s="8">
        <f>CHOOSE( CONTROL!$C$32, 7.5394, 7.5347) * CHOOSE(CONTROL!$C$15, $D$11, 100%, $F$11)</f>
        <v>7.5393999999999997</v>
      </c>
      <c r="J274" s="4">
        <f>CHOOSE( CONTROL!$C$32, 7.4399, 7.4352) * CHOOSE(CONTROL!$C$15, $D$11, 100%, $F$11)</f>
        <v>7.4398999999999997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8.0595, 8.0546) * CHOOSE(CONTROL!$C$15, $D$11, 100%, $F$11)</f>
        <v>8.0594999999999999</v>
      </c>
      <c r="C275" s="8">
        <f>CHOOSE( CONTROL!$C$32, 8.0675, 8.0626) * CHOOSE(CONTROL!$C$15, $D$11, 100%, $F$11)</f>
        <v>8.0675000000000008</v>
      </c>
      <c r="D275" s="8">
        <f>CHOOSE( CONTROL!$C$32, 8.0773, 8.0724) * CHOOSE( CONTROL!$C$15, $D$11, 100%, $F$11)</f>
        <v>8.0772999999999993</v>
      </c>
      <c r="E275" s="12">
        <f>CHOOSE( CONTROL!$C$32, 8.0725, 8.0676) * CHOOSE( CONTROL!$C$15, $D$11, 100%, $F$11)</f>
        <v>8.0724999999999998</v>
      </c>
      <c r="F275" s="4">
        <f>CHOOSE( CONTROL!$C$32, 8.7504, 8.7455) * CHOOSE(CONTROL!$C$15, $D$11, 100%, $F$11)</f>
        <v>8.7504000000000008</v>
      </c>
      <c r="G275" s="8">
        <f>CHOOSE( CONTROL!$C$32, 7.8974, 7.8926) * CHOOSE( CONTROL!$C$15, $D$11, 100%, $F$11)</f>
        <v>7.8974000000000002</v>
      </c>
      <c r="H275" s="4">
        <f>CHOOSE( CONTROL!$C$32, 8.834, 8.8292) * CHOOSE(CONTROL!$C$15, $D$11, 100%, $F$11)</f>
        <v>8.8339999999999996</v>
      </c>
      <c r="I275" s="8">
        <f>CHOOSE( CONTROL!$C$32, 7.8606, 7.8558) * CHOOSE(CONTROL!$C$15, $D$11, 100%, $F$11)</f>
        <v>7.8605999999999998</v>
      </c>
      <c r="J275" s="4">
        <f>CHOOSE( CONTROL!$C$32, 7.7599, 7.7552) * CHOOSE(CONTROL!$C$15, $D$11, 100%, $F$11)</f>
        <v>7.7599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7.4402, 7.4353) * CHOOSE(CONTROL!$C$15, $D$11, 100%, $F$11)</f>
        <v>7.4401999999999999</v>
      </c>
      <c r="C276" s="8">
        <f>CHOOSE( CONTROL!$C$32, 7.4482, 7.4434) * CHOOSE(CONTROL!$C$15, $D$11, 100%, $F$11)</f>
        <v>7.4481999999999999</v>
      </c>
      <c r="D276" s="8">
        <f>CHOOSE( CONTROL!$C$32, 7.4581, 7.4532) * CHOOSE( CONTROL!$C$15, $D$11, 100%, $F$11)</f>
        <v>7.4581</v>
      </c>
      <c r="E276" s="12">
        <f>CHOOSE( CONTROL!$C$32, 7.4533, 7.4484) * CHOOSE( CONTROL!$C$15, $D$11, 100%, $F$11)</f>
        <v>7.4532999999999996</v>
      </c>
      <c r="F276" s="4">
        <f>CHOOSE( CONTROL!$C$32, 8.1311, 8.1262) * CHOOSE(CONTROL!$C$15, $D$11, 100%, $F$11)</f>
        <v>8.1311</v>
      </c>
      <c r="G276" s="8">
        <f>CHOOSE( CONTROL!$C$32, 7.2885, 7.2837) * CHOOSE( CONTROL!$C$15, $D$11, 100%, $F$11)</f>
        <v>7.2885</v>
      </c>
      <c r="H276" s="4">
        <f>CHOOSE( CONTROL!$C$32, 8.225, 8.2202) * CHOOSE(CONTROL!$C$15, $D$11, 100%, $F$11)</f>
        <v>8.2249999999999996</v>
      </c>
      <c r="I276" s="8">
        <f>CHOOSE( CONTROL!$C$32, 7.262, 7.2572) * CHOOSE(CONTROL!$C$15, $D$11, 100%, $F$11)</f>
        <v>7.2619999999999996</v>
      </c>
      <c r="J276" s="4">
        <f>CHOOSE( CONTROL!$C$32, 7.1612, 7.1565) * CHOOSE(CONTROL!$C$15, $D$11, 100%, $F$11)</f>
        <v>7.1612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7.2852, 7.2803) * CHOOSE(CONTROL!$C$15, $D$11, 100%, $F$11)</f>
        <v>7.2851999999999997</v>
      </c>
      <c r="C277" s="8">
        <f>CHOOSE( CONTROL!$C$32, 7.2932, 7.2883) * CHOOSE(CONTROL!$C$15, $D$11, 100%, $F$11)</f>
        <v>7.2931999999999997</v>
      </c>
      <c r="D277" s="8">
        <f>CHOOSE( CONTROL!$C$32, 7.303, 7.2981) * CHOOSE( CONTROL!$C$15, $D$11, 100%, $F$11)</f>
        <v>7.3029999999999999</v>
      </c>
      <c r="E277" s="12">
        <f>CHOOSE( CONTROL!$C$32, 7.2982, 7.2933) * CHOOSE( CONTROL!$C$15, $D$11, 100%, $F$11)</f>
        <v>7.2981999999999996</v>
      </c>
      <c r="F277" s="4">
        <f>CHOOSE( CONTROL!$C$32, 7.976, 7.9711) * CHOOSE(CONTROL!$C$15, $D$11, 100%, $F$11)</f>
        <v>7.976</v>
      </c>
      <c r="G277" s="8">
        <f>CHOOSE( CONTROL!$C$32, 7.1359, 7.1311) * CHOOSE( CONTROL!$C$15, $D$11, 100%, $F$11)</f>
        <v>7.1359000000000004</v>
      </c>
      <c r="H277" s="4">
        <f>CHOOSE( CONTROL!$C$32, 8.0725, 8.0677) * CHOOSE(CONTROL!$C$15, $D$11, 100%, $F$11)</f>
        <v>8.0724999999999998</v>
      </c>
      <c r="I277" s="8">
        <f>CHOOSE( CONTROL!$C$32, 7.1118, 7.1071) * CHOOSE(CONTROL!$C$15, $D$11, 100%, $F$11)</f>
        <v>7.1117999999999997</v>
      </c>
      <c r="J277" s="4">
        <f>CHOOSE( CONTROL!$C$32, 7.0113, 7.0066) * CHOOSE(CONTROL!$C$15, $D$11, 100%, $F$11)</f>
        <v>7.0113000000000003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7.6005 * CHOOSE(CONTROL!$C$15, $D$11, 100%, $F$11)</f>
        <v>7.6005000000000003</v>
      </c>
      <c r="C278" s="8">
        <f>7.6059 * CHOOSE(CONTROL!$C$15, $D$11, 100%, $F$11)</f>
        <v>7.6059000000000001</v>
      </c>
      <c r="D278" s="8">
        <f>7.6204 * CHOOSE( CONTROL!$C$15, $D$11, 100%, $F$11)</f>
        <v>7.6204000000000001</v>
      </c>
      <c r="E278" s="12">
        <f>7.615 * CHOOSE( CONTROL!$C$15, $D$11, 100%, $F$11)</f>
        <v>7.6150000000000002</v>
      </c>
      <c r="F278" s="4">
        <f>8.2931 * CHOOSE(CONTROL!$C$15, $D$11, 100%, $F$11)</f>
        <v>8.2931000000000008</v>
      </c>
      <c r="G278" s="8">
        <f>7.447 * CHOOSE( CONTROL!$C$15, $D$11, 100%, $F$11)</f>
        <v>7.4470000000000001</v>
      </c>
      <c r="H278" s="4">
        <f>8.3844 * CHOOSE(CONTROL!$C$15, $D$11, 100%, $F$11)</f>
        <v>8.3843999999999994</v>
      </c>
      <c r="I278" s="8">
        <f>7.4193 * CHOOSE(CONTROL!$C$15, $D$11, 100%, $F$11)</f>
        <v>7.4192999999999998</v>
      </c>
      <c r="J278" s="4">
        <f>7.3179 * CHOOSE(CONTROL!$C$15, $D$11, 100%, $F$11)</f>
        <v>7.3178999999999998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8.1944 * CHOOSE(CONTROL!$C$15, $D$11, 100%, $F$11)</f>
        <v>8.1943999999999999</v>
      </c>
      <c r="C279" s="8">
        <f>8.1995 * CHOOSE(CONTROL!$C$15, $D$11, 100%, $F$11)</f>
        <v>8.1995000000000005</v>
      </c>
      <c r="D279" s="8">
        <f>8.1765 * CHOOSE( CONTROL!$C$15, $D$11, 100%, $F$11)</f>
        <v>8.1765000000000008</v>
      </c>
      <c r="E279" s="12">
        <f>8.1844 * CHOOSE( CONTROL!$C$15, $D$11, 100%, $F$11)</f>
        <v>8.1844000000000001</v>
      </c>
      <c r="F279" s="4">
        <f>8.8393 * CHOOSE(CONTROL!$C$15, $D$11, 100%, $F$11)</f>
        <v>8.8392999999999997</v>
      </c>
      <c r="G279" s="8">
        <f>8.0395 * CHOOSE( CONTROL!$C$15, $D$11, 100%, $F$11)</f>
        <v>8.0395000000000003</v>
      </c>
      <c r="H279" s="4">
        <f>8.9215 * CHOOSE(CONTROL!$C$15, $D$11, 100%, $F$11)</f>
        <v>8.9215</v>
      </c>
      <c r="I279" s="8">
        <f>8.0188 * CHOOSE(CONTROL!$C$15, $D$11, 100%, $F$11)</f>
        <v>8.0188000000000006</v>
      </c>
      <c r="J279" s="4">
        <f>7.8924 * CHOOSE(CONTROL!$C$15, $D$11, 100%, $F$11)</f>
        <v>7.8924000000000003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8.1796 * CHOOSE(CONTROL!$C$15, $D$11, 100%, $F$11)</f>
        <v>8.1796000000000006</v>
      </c>
      <c r="C280" s="8">
        <f>8.1847 * CHOOSE(CONTROL!$C$15, $D$11, 100%, $F$11)</f>
        <v>8.1846999999999994</v>
      </c>
      <c r="D280" s="8">
        <f>8.1632 * CHOOSE( CONTROL!$C$15, $D$11, 100%, $F$11)</f>
        <v>8.1631999999999998</v>
      </c>
      <c r="E280" s="12">
        <f>8.1705 * CHOOSE( CONTROL!$C$15, $D$11, 100%, $F$11)</f>
        <v>8.1705000000000005</v>
      </c>
      <c r="F280" s="4">
        <f>8.8245 * CHOOSE(CONTROL!$C$15, $D$11, 100%, $F$11)</f>
        <v>8.8245000000000005</v>
      </c>
      <c r="G280" s="8">
        <f>8.026 * CHOOSE( CONTROL!$C$15, $D$11, 100%, $F$11)</f>
        <v>8.0259999999999998</v>
      </c>
      <c r="H280" s="4">
        <f>8.9069 * CHOOSE(CONTROL!$C$15, $D$11, 100%, $F$11)</f>
        <v>8.9069000000000003</v>
      </c>
      <c r="I280" s="8">
        <f>8.0094 * CHOOSE(CONTROL!$C$15, $D$11, 100%, $F$11)</f>
        <v>8.0093999999999994</v>
      </c>
      <c r="J280" s="4">
        <f>7.878 * CHOOSE(CONTROL!$C$15, $D$11, 100%, $F$11)</f>
        <v>7.8780000000000001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8.491 * CHOOSE(CONTROL!$C$15, $D$11, 100%, $F$11)</f>
        <v>8.4909999999999997</v>
      </c>
      <c r="C281" s="8">
        <f>8.4962 * CHOOSE(CONTROL!$C$15, $D$11, 100%, $F$11)</f>
        <v>8.4962</v>
      </c>
      <c r="D281" s="8">
        <f>8.4708 * CHOOSE( CONTROL!$C$15, $D$11, 100%, $F$11)</f>
        <v>8.4708000000000006</v>
      </c>
      <c r="E281" s="12">
        <f>8.4795 * CHOOSE( CONTROL!$C$15, $D$11, 100%, $F$11)</f>
        <v>8.4794999999999998</v>
      </c>
      <c r="F281" s="4">
        <f>9.1333 * CHOOSE(CONTROL!$C$15, $D$11, 100%, $F$11)</f>
        <v>9.1333000000000002</v>
      </c>
      <c r="G281" s="8">
        <f>8.327 * CHOOSE( CONTROL!$C$15, $D$11, 100%, $F$11)</f>
        <v>8.327</v>
      </c>
      <c r="H281" s="4">
        <f>9.2107 * CHOOSE(CONTROL!$C$15, $D$11, 100%, $F$11)</f>
        <v>9.2106999999999992</v>
      </c>
      <c r="I281" s="8">
        <f>8.2909 * CHOOSE(CONTROL!$C$15, $D$11, 100%, $F$11)</f>
        <v>8.2909000000000006</v>
      </c>
      <c r="J281" s="4">
        <f>8.1791 * CHOOSE(CONTROL!$C$15, $D$11, 100%, $F$11)</f>
        <v>8.1791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7.9441 * CHOOSE(CONTROL!$C$15, $D$11, 100%, $F$11)</f>
        <v>7.9440999999999997</v>
      </c>
      <c r="C282" s="8">
        <f>7.9492 * CHOOSE(CONTROL!$C$15, $D$11, 100%, $F$11)</f>
        <v>7.9492000000000003</v>
      </c>
      <c r="D282" s="8">
        <f>7.9239 * CHOOSE( CONTROL!$C$15, $D$11, 100%, $F$11)</f>
        <v>7.9238999999999997</v>
      </c>
      <c r="E282" s="12">
        <f>7.9326 * CHOOSE( CONTROL!$C$15, $D$11, 100%, $F$11)</f>
        <v>7.9325999999999999</v>
      </c>
      <c r="F282" s="4">
        <f>8.5864 * CHOOSE(CONTROL!$C$15, $D$11, 100%, $F$11)</f>
        <v>8.5863999999999994</v>
      </c>
      <c r="G282" s="8">
        <f>7.7891 * CHOOSE( CONTROL!$C$15, $D$11, 100%, $F$11)</f>
        <v>7.7891000000000004</v>
      </c>
      <c r="H282" s="4">
        <f>8.6728 * CHOOSE(CONTROL!$C$15, $D$11, 100%, $F$11)</f>
        <v>8.6728000000000005</v>
      </c>
      <c r="I282" s="8">
        <f>7.7622 * CHOOSE(CONTROL!$C$15, $D$11, 100%, $F$11)</f>
        <v>7.7622</v>
      </c>
      <c r="J282" s="4">
        <f>7.6504 * CHOOSE(CONTROL!$C$15, $D$11, 100%, $F$11)</f>
        <v>7.6504000000000003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7.7756 * CHOOSE(CONTROL!$C$15, $D$11, 100%, $F$11)</f>
        <v>7.7755999999999998</v>
      </c>
      <c r="C283" s="8">
        <f>7.7807 * CHOOSE(CONTROL!$C$15, $D$11, 100%, $F$11)</f>
        <v>7.7807000000000004</v>
      </c>
      <c r="D283" s="8">
        <f>7.7551 * CHOOSE( CONTROL!$C$15, $D$11, 100%, $F$11)</f>
        <v>7.7550999999999997</v>
      </c>
      <c r="E283" s="12">
        <f>7.7639 * CHOOSE( CONTROL!$C$15, $D$11, 100%, $F$11)</f>
        <v>7.7638999999999996</v>
      </c>
      <c r="F283" s="4">
        <f>8.4179 * CHOOSE(CONTROL!$C$15, $D$11, 100%, $F$11)</f>
        <v>8.4178999999999995</v>
      </c>
      <c r="G283" s="8">
        <f>7.6233 * CHOOSE( CONTROL!$C$15, $D$11, 100%, $F$11)</f>
        <v>7.6233000000000004</v>
      </c>
      <c r="H283" s="4">
        <f>8.5071 * CHOOSE(CONTROL!$C$15, $D$11, 100%, $F$11)</f>
        <v>8.5070999999999994</v>
      </c>
      <c r="I283" s="8">
        <f>7.5984 * CHOOSE(CONTROL!$C$15, $D$11, 100%, $F$11)</f>
        <v>7.5983999999999998</v>
      </c>
      <c r="J283" s="4">
        <f>7.4875 * CHOOSE(CONTROL!$C$15, $D$11, 100%, $F$11)</f>
        <v>7.4874999999999998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7.8941 * CHOOSE(CONTROL!$C$15, $D$11, 100%, $F$11)</f>
        <v>7.8940999999999999</v>
      </c>
      <c r="C284" s="8">
        <f>7.8986 * CHOOSE(CONTROL!$C$15, $D$11, 100%, $F$11)</f>
        <v>7.8986000000000001</v>
      </c>
      <c r="D284" s="8">
        <f>7.9129 * CHOOSE( CONTROL!$C$15, $D$11, 100%, $F$11)</f>
        <v>7.9128999999999996</v>
      </c>
      <c r="E284" s="12">
        <f>7.9077 * CHOOSE( CONTROL!$C$15, $D$11, 100%, $F$11)</f>
        <v>7.9077000000000002</v>
      </c>
      <c r="F284" s="4">
        <f>8.5863 * CHOOSE(CONTROL!$C$15, $D$11, 100%, $F$11)</f>
        <v>8.5862999999999996</v>
      </c>
      <c r="G284" s="8">
        <f>7.7343 * CHOOSE( CONTROL!$C$15, $D$11, 100%, $F$11)</f>
        <v>7.7343000000000002</v>
      </c>
      <c r="H284" s="4">
        <f>8.6727 * CHOOSE(CONTROL!$C$15, $D$11, 100%, $F$11)</f>
        <v>8.6727000000000007</v>
      </c>
      <c r="I284" s="8">
        <f>7.6994 * CHOOSE(CONTROL!$C$15, $D$11, 100%, $F$11)</f>
        <v>7.6993999999999998</v>
      </c>
      <c r="J284" s="4">
        <f>7.6013 * CHOOSE(CONTROL!$C$15, $D$11, 100%, $F$11)</f>
        <v>7.6013000000000002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8.1099, 8.105) * CHOOSE(CONTROL!$C$15, $D$11, 100%, $F$11)</f>
        <v>8.1098999999999997</v>
      </c>
      <c r="C285" s="8">
        <f>CHOOSE( CONTROL!$C$32, 8.1179, 8.113) * CHOOSE(CONTROL!$C$15, $D$11, 100%, $F$11)</f>
        <v>8.1179000000000006</v>
      </c>
      <c r="D285" s="8">
        <f>CHOOSE( CONTROL!$C$32, 8.1272, 8.1223) * CHOOSE( CONTROL!$C$15, $D$11, 100%, $F$11)</f>
        <v>8.1272000000000002</v>
      </c>
      <c r="E285" s="12">
        <f>CHOOSE( CONTROL!$C$32, 8.1226, 8.1177) * CHOOSE( CONTROL!$C$15, $D$11, 100%, $F$11)</f>
        <v>8.1226000000000003</v>
      </c>
      <c r="F285" s="4">
        <f>CHOOSE( CONTROL!$C$32, 8.8007, 8.7958) * CHOOSE(CONTROL!$C$15, $D$11, 100%, $F$11)</f>
        <v>8.8007000000000009</v>
      </c>
      <c r="G285" s="8">
        <f>CHOOSE( CONTROL!$C$32, 7.9463, 7.9415) * CHOOSE( CONTROL!$C$15, $D$11, 100%, $F$11)</f>
        <v>7.9462999999999999</v>
      </c>
      <c r="H285" s="4">
        <f>CHOOSE( CONTROL!$C$32, 8.8835, 8.8787) * CHOOSE(CONTROL!$C$15, $D$11, 100%, $F$11)</f>
        <v>8.8834999999999997</v>
      </c>
      <c r="I285" s="8">
        <f>CHOOSE( CONTROL!$C$32, 7.9072, 7.9024) * CHOOSE(CONTROL!$C$15, $D$11, 100%, $F$11)</f>
        <v>7.9071999999999996</v>
      </c>
      <c r="J285" s="4">
        <f>CHOOSE( CONTROL!$C$32, 7.8086, 7.8038) * CHOOSE(CONTROL!$C$15, $D$11, 100%, $F$11)</f>
        <v>7.8086000000000002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7.9801, 7.9752) * CHOOSE(CONTROL!$C$15, $D$11, 100%, $F$11)</f>
        <v>7.9801000000000002</v>
      </c>
      <c r="C286" s="8">
        <f>CHOOSE( CONTROL!$C$32, 7.9881, 7.9832) * CHOOSE(CONTROL!$C$15, $D$11, 100%, $F$11)</f>
        <v>7.9881000000000002</v>
      </c>
      <c r="D286" s="8">
        <f>CHOOSE( CONTROL!$C$32, 7.9976, 7.9927) * CHOOSE( CONTROL!$C$15, $D$11, 100%, $F$11)</f>
        <v>7.9976000000000003</v>
      </c>
      <c r="E286" s="12">
        <f>CHOOSE( CONTROL!$C$32, 7.9929, 7.988) * CHOOSE( CONTROL!$C$15, $D$11, 100%, $F$11)</f>
        <v>7.9928999999999997</v>
      </c>
      <c r="F286" s="4">
        <f>CHOOSE( CONTROL!$C$32, 8.6709, 8.666) * CHOOSE(CONTROL!$C$15, $D$11, 100%, $F$11)</f>
        <v>8.6708999999999996</v>
      </c>
      <c r="G286" s="8">
        <f>CHOOSE( CONTROL!$C$32, 7.8189, 7.8141) * CHOOSE( CONTROL!$C$15, $D$11, 100%, $F$11)</f>
        <v>7.8189000000000002</v>
      </c>
      <c r="H286" s="4">
        <f>CHOOSE( CONTROL!$C$32, 8.7559, 8.7511) * CHOOSE(CONTROL!$C$15, $D$11, 100%, $F$11)</f>
        <v>8.7559000000000005</v>
      </c>
      <c r="I286" s="8">
        <f>CHOOSE( CONTROL!$C$32, 7.7827, 7.778) * CHOOSE(CONTROL!$C$15, $D$11, 100%, $F$11)</f>
        <v>7.7827000000000002</v>
      </c>
      <c r="J286" s="4">
        <f>CHOOSE( CONTROL!$C$32, 7.6831, 7.6784) * CHOOSE(CONTROL!$C$15, $D$11, 100%, $F$11)</f>
        <v>7.6830999999999996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8.3219, 8.317) * CHOOSE(CONTROL!$C$15, $D$11, 100%, $F$11)</f>
        <v>8.3218999999999994</v>
      </c>
      <c r="C287" s="8">
        <f>CHOOSE( CONTROL!$C$32, 8.3299, 8.325) * CHOOSE(CONTROL!$C$15, $D$11, 100%, $F$11)</f>
        <v>8.3299000000000003</v>
      </c>
      <c r="D287" s="8">
        <f>CHOOSE( CONTROL!$C$32, 8.3396, 8.3347) * CHOOSE( CONTROL!$C$15, $D$11, 100%, $F$11)</f>
        <v>8.3396000000000008</v>
      </c>
      <c r="E287" s="12">
        <f>CHOOSE( CONTROL!$C$32, 8.3349, 8.33) * CHOOSE( CONTROL!$C$15, $D$11, 100%, $F$11)</f>
        <v>8.3348999999999993</v>
      </c>
      <c r="F287" s="4">
        <f>CHOOSE( CONTROL!$C$32, 9.0127, 9.0078) * CHOOSE(CONTROL!$C$15, $D$11, 100%, $F$11)</f>
        <v>9.0127000000000006</v>
      </c>
      <c r="G287" s="8">
        <f>CHOOSE( CONTROL!$C$32, 8.1554, 8.1506) * CHOOSE( CONTROL!$C$15, $D$11, 100%, $F$11)</f>
        <v>8.1554000000000002</v>
      </c>
      <c r="H287" s="4">
        <f>CHOOSE( CONTROL!$C$32, 9.092, 9.0872) * CHOOSE(CONTROL!$C$15, $D$11, 100%, $F$11)</f>
        <v>9.0920000000000005</v>
      </c>
      <c r="I287" s="8">
        <f>CHOOSE( CONTROL!$C$32, 8.1143, 8.1096) * CHOOSE(CONTROL!$C$15, $D$11, 100%, $F$11)</f>
        <v>8.1143000000000001</v>
      </c>
      <c r="J287" s="4">
        <f>CHOOSE( CONTROL!$C$32, 8.0135, 8.0088) * CHOOSE(CONTROL!$C$15, $D$11, 100%, $F$11)</f>
        <v>8.0135000000000005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7.6823, 7.6774) * CHOOSE(CONTROL!$C$15, $D$11, 100%, $F$11)</f>
        <v>7.6822999999999997</v>
      </c>
      <c r="C288" s="8">
        <f>CHOOSE( CONTROL!$C$32, 7.6904, 7.6855) * CHOOSE(CONTROL!$C$15, $D$11, 100%, $F$11)</f>
        <v>7.6904000000000003</v>
      </c>
      <c r="D288" s="8">
        <f>CHOOSE( CONTROL!$C$32, 7.7002, 7.6953) * CHOOSE( CONTROL!$C$15, $D$11, 100%, $F$11)</f>
        <v>7.7001999999999997</v>
      </c>
      <c r="E288" s="12">
        <f>CHOOSE( CONTROL!$C$32, 7.6954, 7.6905) * CHOOSE( CONTROL!$C$15, $D$11, 100%, $F$11)</f>
        <v>7.6954000000000002</v>
      </c>
      <c r="F288" s="4">
        <f>CHOOSE( CONTROL!$C$32, 8.3732, 8.3683) * CHOOSE(CONTROL!$C$15, $D$11, 100%, $F$11)</f>
        <v>8.3732000000000006</v>
      </c>
      <c r="G288" s="8">
        <f>CHOOSE( CONTROL!$C$32, 7.5266, 7.5218) * CHOOSE( CONTROL!$C$15, $D$11, 100%, $F$11)</f>
        <v>7.5266000000000002</v>
      </c>
      <c r="H288" s="4">
        <f>CHOOSE( CONTROL!$C$32, 8.4631, 8.4583) * CHOOSE(CONTROL!$C$15, $D$11, 100%, $F$11)</f>
        <v>8.4631000000000007</v>
      </c>
      <c r="I288" s="8">
        <f>CHOOSE( CONTROL!$C$32, 7.4961, 7.4914) * CHOOSE(CONTROL!$C$15, $D$11, 100%, $F$11)</f>
        <v>7.4961000000000002</v>
      </c>
      <c r="J288" s="4">
        <f>CHOOSE( CONTROL!$C$32, 7.3953, 7.3906) * CHOOSE(CONTROL!$C$15, $D$11, 100%, $F$11)</f>
        <v>7.3952999999999998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7.5222, 7.5173) * CHOOSE(CONTROL!$C$15, $D$11, 100%, $F$11)</f>
        <v>7.5221999999999998</v>
      </c>
      <c r="C289" s="8">
        <f>CHOOSE( CONTROL!$C$32, 7.5302, 7.5253) * CHOOSE(CONTROL!$C$15, $D$11, 100%, $F$11)</f>
        <v>7.5301999999999998</v>
      </c>
      <c r="D289" s="8">
        <f>CHOOSE( CONTROL!$C$32, 7.54, 7.5351) * CHOOSE( CONTROL!$C$15, $D$11, 100%, $F$11)</f>
        <v>7.54</v>
      </c>
      <c r="E289" s="12">
        <f>CHOOSE( CONTROL!$C$32, 7.5352, 7.5303) * CHOOSE( CONTROL!$C$15, $D$11, 100%, $F$11)</f>
        <v>7.5351999999999997</v>
      </c>
      <c r="F289" s="4">
        <f>CHOOSE( CONTROL!$C$32, 8.2131, 8.2082) * CHOOSE(CONTROL!$C$15, $D$11, 100%, $F$11)</f>
        <v>8.2131000000000007</v>
      </c>
      <c r="G289" s="8">
        <f>CHOOSE( CONTROL!$C$32, 7.3691, 7.3642) * CHOOSE( CONTROL!$C$15, $D$11, 100%, $F$11)</f>
        <v>7.3691000000000004</v>
      </c>
      <c r="H289" s="4">
        <f>CHOOSE( CONTROL!$C$32, 8.3056, 8.3008) * CHOOSE(CONTROL!$C$15, $D$11, 100%, $F$11)</f>
        <v>8.3056000000000001</v>
      </c>
      <c r="I289" s="8">
        <f>CHOOSE( CONTROL!$C$32, 7.3411, 7.3363) * CHOOSE(CONTROL!$C$15, $D$11, 100%, $F$11)</f>
        <v>7.3411</v>
      </c>
      <c r="J289" s="4">
        <f>CHOOSE( CONTROL!$C$32, 7.2405, 7.2357) * CHOOSE(CONTROL!$C$15, $D$11, 100%, $F$11)</f>
        <v>7.2404999999999999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7.8481 * CHOOSE(CONTROL!$C$15, $D$11, 100%, $F$11)</f>
        <v>7.8480999999999996</v>
      </c>
      <c r="C290" s="8">
        <f>7.8535 * CHOOSE(CONTROL!$C$15, $D$11, 100%, $F$11)</f>
        <v>7.8535000000000004</v>
      </c>
      <c r="D290" s="8">
        <f>7.868 * CHOOSE( CONTROL!$C$15, $D$11, 100%, $F$11)</f>
        <v>7.8680000000000003</v>
      </c>
      <c r="E290" s="12">
        <f>7.8626 * CHOOSE( CONTROL!$C$15, $D$11, 100%, $F$11)</f>
        <v>7.8625999999999996</v>
      </c>
      <c r="F290" s="4">
        <f>8.5407 * CHOOSE(CONTROL!$C$15, $D$11, 100%, $F$11)</f>
        <v>8.5406999999999993</v>
      </c>
      <c r="G290" s="8">
        <f>7.6905 * CHOOSE( CONTROL!$C$15, $D$11, 100%, $F$11)</f>
        <v>7.6905000000000001</v>
      </c>
      <c r="H290" s="4">
        <f>8.6278 * CHOOSE(CONTROL!$C$15, $D$11, 100%, $F$11)</f>
        <v>8.6278000000000006</v>
      </c>
      <c r="I290" s="8">
        <f>7.6588 * CHOOSE(CONTROL!$C$15, $D$11, 100%, $F$11)</f>
        <v>7.6588000000000003</v>
      </c>
      <c r="J290" s="4">
        <f>7.5572 * CHOOSE(CONTROL!$C$15, $D$11, 100%, $F$11)</f>
        <v>7.5571999999999999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8.4614 * CHOOSE(CONTROL!$C$15, $D$11, 100%, $F$11)</f>
        <v>8.4613999999999994</v>
      </c>
      <c r="C291" s="8">
        <f>8.4665 * CHOOSE(CONTROL!$C$15, $D$11, 100%, $F$11)</f>
        <v>8.4664999999999999</v>
      </c>
      <c r="D291" s="8">
        <f>8.4435 * CHOOSE( CONTROL!$C$15, $D$11, 100%, $F$11)</f>
        <v>8.4435000000000002</v>
      </c>
      <c r="E291" s="12">
        <f>8.4514 * CHOOSE( CONTROL!$C$15, $D$11, 100%, $F$11)</f>
        <v>8.4513999999999996</v>
      </c>
      <c r="F291" s="4">
        <f>9.1063 * CHOOSE(CONTROL!$C$15, $D$11, 100%, $F$11)</f>
        <v>9.1062999999999992</v>
      </c>
      <c r="G291" s="8">
        <f>8.3021 * CHOOSE( CONTROL!$C$15, $D$11, 100%, $F$11)</f>
        <v>8.3020999999999994</v>
      </c>
      <c r="H291" s="4">
        <f>9.1841 * CHOOSE(CONTROL!$C$15, $D$11, 100%, $F$11)</f>
        <v>9.1841000000000008</v>
      </c>
      <c r="I291" s="8">
        <f>8.2771 * CHOOSE(CONTROL!$C$15, $D$11, 100%, $F$11)</f>
        <v>8.2771000000000008</v>
      </c>
      <c r="J291" s="4">
        <f>8.1505 * CHOOSE(CONTROL!$C$15, $D$11, 100%, $F$11)</f>
        <v>8.1504999999999992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8.4461 * CHOOSE(CONTROL!$C$15, $D$11, 100%, $F$11)</f>
        <v>8.4460999999999995</v>
      </c>
      <c r="C292" s="8">
        <f>8.4512 * CHOOSE(CONTROL!$C$15, $D$11, 100%, $F$11)</f>
        <v>8.4512</v>
      </c>
      <c r="D292" s="8">
        <f>8.4297 * CHOOSE( CONTROL!$C$15, $D$11, 100%, $F$11)</f>
        <v>8.4297000000000004</v>
      </c>
      <c r="E292" s="12">
        <f>8.437 * CHOOSE( CONTROL!$C$15, $D$11, 100%, $F$11)</f>
        <v>8.4369999999999994</v>
      </c>
      <c r="F292" s="4">
        <f>9.091 * CHOOSE(CONTROL!$C$15, $D$11, 100%, $F$11)</f>
        <v>9.0909999999999993</v>
      </c>
      <c r="G292" s="8">
        <f>8.2881 * CHOOSE( CONTROL!$C$15, $D$11, 100%, $F$11)</f>
        <v>8.2881</v>
      </c>
      <c r="H292" s="4">
        <f>9.169 * CHOOSE(CONTROL!$C$15, $D$11, 100%, $F$11)</f>
        <v>9.1690000000000005</v>
      </c>
      <c r="I292" s="8">
        <f>8.2672 * CHOOSE(CONTROL!$C$15, $D$11, 100%, $F$11)</f>
        <v>8.2672000000000008</v>
      </c>
      <c r="J292" s="4">
        <f>8.1357 * CHOOSE(CONTROL!$C$15, $D$11, 100%, $F$11)</f>
        <v>8.1356999999999999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8.7678 * CHOOSE(CONTROL!$C$15, $D$11, 100%, $F$11)</f>
        <v>8.7677999999999994</v>
      </c>
      <c r="C293" s="8">
        <f>8.7729 * CHOOSE(CONTROL!$C$15, $D$11, 100%, $F$11)</f>
        <v>8.7728999999999999</v>
      </c>
      <c r="D293" s="8">
        <f>8.7475 * CHOOSE( CONTROL!$C$15, $D$11, 100%, $F$11)</f>
        <v>8.7475000000000005</v>
      </c>
      <c r="E293" s="12">
        <f>8.7562 * CHOOSE( CONTROL!$C$15, $D$11, 100%, $F$11)</f>
        <v>8.7561999999999998</v>
      </c>
      <c r="F293" s="4">
        <f>9.41 * CHOOSE(CONTROL!$C$15, $D$11, 100%, $F$11)</f>
        <v>9.41</v>
      </c>
      <c r="G293" s="8">
        <f>8.5991 * CHOOSE( CONTROL!$C$15, $D$11, 100%, $F$11)</f>
        <v>8.5991</v>
      </c>
      <c r="H293" s="4">
        <f>9.4828 * CHOOSE(CONTROL!$C$15, $D$11, 100%, $F$11)</f>
        <v>9.4827999999999992</v>
      </c>
      <c r="I293" s="8">
        <f>8.5585 * CHOOSE(CONTROL!$C$15, $D$11, 100%, $F$11)</f>
        <v>8.5585000000000004</v>
      </c>
      <c r="J293" s="4">
        <f>8.4466 * CHOOSE(CONTROL!$C$15, $D$11, 100%, $F$11)</f>
        <v>8.4466000000000001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8.2029 * CHOOSE(CONTROL!$C$15, $D$11, 100%, $F$11)</f>
        <v>8.2028999999999996</v>
      </c>
      <c r="C294" s="8">
        <f>8.208 * CHOOSE(CONTROL!$C$15, $D$11, 100%, $F$11)</f>
        <v>8.2080000000000002</v>
      </c>
      <c r="D294" s="8">
        <f>8.1827 * CHOOSE( CONTROL!$C$15, $D$11, 100%, $F$11)</f>
        <v>8.1827000000000005</v>
      </c>
      <c r="E294" s="12">
        <f>8.1914 * CHOOSE( CONTROL!$C$15, $D$11, 100%, $F$11)</f>
        <v>8.1913999999999998</v>
      </c>
      <c r="F294" s="4">
        <f>8.8452 * CHOOSE(CONTROL!$C$15, $D$11, 100%, $F$11)</f>
        <v>8.8452000000000002</v>
      </c>
      <c r="G294" s="8">
        <f>8.0437 * CHOOSE( CONTROL!$C$15, $D$11, 100%, $F$11)</f>
        <v>8.0436999999999994</v>
      </c>
      <c r="H294" s="4">
        <f>8.9273 * CHOOSE(CONTROL!$C$15, $D$11, 100%, $F$11)</f>
        <v>8.9273000000000007</v>
      </c>
      <c r="I294" s="8">
        <f>8.0125 * CHOOSE(CONTROL!$C$15, $D$11, 100%, $F$11)</f>
        <v>8.0124999999999993</v>
      </c>
      <c r="J294" s="4">
        <f>7.9006 * CHOOSE(CONTROL!$C$15, $D$11, 100%, $F$11)</f>
        <v>7.9005999999999998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8.0289 * CHOOSE(CONTROL!$C$15, $D$11, 100%, $F$11)</f>
        <v>8.0289000000000001</v>
      </c>
      <c r="C295" s="8">
        <f>8.034 * CHOOSE(CONTROL!$C$15, $D$11, 100%, $F$11)</f>
        <v>8.0340000000000007</v>
      </c>
      <c r="D295" s="8">
        <f>8.0084 * CHOOSE( CONTROL!$C$15, $D$11, 100%, $F$11)</f>
        <v>8.0084</v>
      </c>
      <c r="E295" s="12">
        <f>8.0172 * CHOOSE( CONTROL!$C$15, $D$11, 100%, $F$11)</f>
        <v>8.0172000000000008</v>
      </c>
      <c r="F295" s="4">
        <f>8.6712 * CHOOSE(CONTROL!$C$15, $D$11, 100%, $F$11)</f>
        <v>8.6712000000000007</v>
      </c>
      <c r="G295" s="8">
        <f>7.8724 * CHOOSE( CONTROL!$C$15, $D$11, 100%, $F$11)</f>
        <v>7.8723999999999998</v>
      </c>
      <c r="H295" s="4">
        <f>8.7562 * CHOOSE(CONTROL!$C$15, $D$11, 100%, $F$11)</f>
        <v>8.7561999999999998</v>
      </c>
      <c r="I295" s="8">
        <f>7.8434 * CHOOSE(CONTROL!$C$15, $D$11, 100%, $F$11)</f>
        <v>7.8433999999999999</v>
      </c>
      <c r="J295" s="4">
        <f>7.7324 * CHOOSE(CONTROL!$C$15, $D$11, 100%, $F$11)</f>
        <v>7.7324000000000002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8.1512 * CHOOSE(CONTROL!$C$15, $D$11, 100%, $F$11)</f>
        <v>8.1511999999999993</v>
      </c>
      <c r="C296" s="8">
        <f>8.1558 * CHOOSE(CONTROL!$C$15, $D$11, 100%, $F$11)</f>
        <v>8.1557999999999993</v>
      </c>
      <c r="D296" s="8">
        <f>8.1701 * CHOOSE( CONTROL!$C$15, $D$11, 100%, $F$11)</f>
        <v>8.1700999999999997</v>
      </c>
      <c r="E296" s="12">
        <f>8.1649 * CHOOSE( CONTROL!$C$15, $D$11, 100%, $F$11)</f>
        <v>8.1648999999999994</v>
      </c>
      <c r="F296" s="4">
        <f>8.8435 * CHOOSE(CONTROL!$C$15, $D$11, 100%, $F$11)</f>
        <v>8.8435000000000006</v>
      </c>
      <c r="G296" s="8">
        <f>7.9872 * CHOOSE( CONTROL!$C$15, $D$11, 100%, $F$11)</f>
        <v>7.9871999999999996</v>
      </c>
      <c r="H296" s="4">
        <f>8.9256 * CHOOSE(CONTROL!$C$15, $D$11, 100%, $F$11)</f>
        <v>8.9255999999999993</v>
      </c>
      <c r="I296" s="8">
        <f>7.9481 * CHOOSE(CONTROL!$C$15, $D$11, 100%, $F$11)</f>
        <v>7.9481000000000002</v>
      </c>
      <c r="J296" s="4">
        <f>7.8499 * CHOOSE(CONTROL!$C$15, $D$11, 100%, $F$11)</f>
        <v>7.8498999999999999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8.3739, 8.369) * CHOOSE(CONTROL!$C$15, $D$11, 100%, $F$11)</f>
        <v>8.3739000000000008</v>
      </c>
      <c r="C297" s="8">
        <f>CHOOSE( CONTROL!$C$32, 8.3819, 8.377) * CHOOSE(CONTROL!$C$15, $D$11, 100%, $F$11)</f>
        <v>8.3818999999999999</v>
      </c>
      <c r="D297" s="8">
        <f>CHOOSE( CONTROL!$C$32, 8.3912, 8.3863) * CHOOSE( CONTROL!$C$15, $D$11, 100%, $F$11)</f>
        <v>8.3911999999999995</v>
      </c>
      <c r="E297" s="12">
        <f>CHOOSE( CONTROL!$C$32, 8.3866, 8.3817) * CHOOSE( CONTROL!$C$15, $D$11, 100%, $F$11)</f>
        <v>8.3865999999999996</v>
      </c>
      <c r="F297" s="4">
        <f>CHOOSE( CONTROL!$C$32, 9.0647, 9.0598) * CHOOSE(CONTROL!$C$15, $D$11, 100%, $F$11)</f>
        <v>9.0647000000000002</v>
      </c>
      <c r="G297" s="8">
        <f>CHOOSE( CONTROL!$C$32, 8.2059, 8.2011) * CHOOSE( CONTROL!$C$15, $D$11, 100%, $F$11)</f>
        <v>8.2058999999999997</v>
      </c>
      <c r="H297" s="4">
        <f>CHOOSE( CONTROL!$C$32, 9.1432, 9.1384) * CHOOSE(CONTROL!$C$15, $D$11, 100%, $F$11)</f>
        <v>9.1432000000000002</v>
      </c>
      <c r="I297" s="8">
        <f>CHOOSE( CONTROL!$C$32, 8.1625, 8.1578) * CHOOSE(CONTROL!$C$15, $D$11, 100%, $F$11)</f>
        <v>8.1624999999999996</v>
      </c>
      <c r="J297" s="4">
        <f>CHOOSE( CONTROL!$C$32, 8.0638, 8.0591) * CHOOSE(CONTROL!$C$15, $D$11, 100%, $F$11)</f>
        <v>8.0638000000000005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8.2398, 8.2349) * CHOOSE(CONTROL!$C$15, $D$11, 100%, $F$11)</f>
        <v>8.2398000000000007</v>
      </c>
      <c r="C298" s="8">
        <f>CHOOSE( CONTROL!$C$32, 8.2478, 8.243) * CHOOSE(CONTROL!$C$15, $D$11, 100%, $F$11)</f>
        <v>8.2477999999999998</v>
      </c>
      <c r="D298" s="8">
        <f>CHOOSE( CONTROL!$C$32, 8.2574, 8.2525) * CHOOSE( CONTROL!$C$15, $D$11, 100%, $F$11)</f>
        <v>8.2574000000000005</v>
      </c>
      <c r="E298" s="12">
        <f>CHOOSE( CONTROL!$C$32, 8.2527, 8.2478) * CHOOSE( CONTROL!$C$15, $D$11, 100%, $F$11)</f>
        <v>8.2527000000000008</v>
      </c>
      <c r="F298" s="4">
        <f>CHOOSE( CONTROL!$C$32, 8.9307, 8.9258) * CHOOSE(CONTROL!$C$15, $D$11, 100%, $F$11)</f>
        <v>8.9306999999999999</v>
      </c>
      <c r="G298" s="8">
        <f>CHOOSE( CONTROL!$C$32, 8.0744, 8.0696) * CHOOSE( CONTROL!$C$15, $D$11, 100%, $F$11)</f>
        <v>8.0744000000000007</v>
      </c>
      <c r="H298" s="4">
        <f>CHOOSE( CONTROL!$C$32, 9.0114, 9.0066) * CHOOSE(CONTROL!$C$15, $D$11, 100%, $F$11)</f>
        <v>9.0114000000000001</v>
      </c>
      <c r="I298" s="8">
        <f>CHOOSE( CONTROL!$C$32, 8.0339, 8.0292) * CHOOSE(CONTROL!$C$15, $D$11, 100%, $F$11)</f>
        <v>8.0338999999999992</v>
      </c>
      <c r="J298" s="4">
        <f>CHOOSE( CONTROL!$C$32, 7.9342, 7.9295) * CHOOSE(CONTROL!$C$15, $D$11, 100%, $F$11)</f>
        <v>7.9341999999999997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8.5928, 8.5879) * CHOOSE(CONTROL!$C$15, $D$11, 100%, $F$11)</f>
        <v>8.5928000000000004</v>
      </c>
      <c r="C299" s="8">
        <f>CHOOSE( CONTROL!$C$32, 8.6008, 8.5959) * CHOOSE(CONTROL!$C$15, $D$11, 100%, $F$11)</f>
        <v>8.6007999999999996</v>
      </c>
      <c r="D299" s="8">
        <f>CHOOSE( CONTROL!$C$32, 8.6106, 8.6057) * CHOOSE( CONTROL!$C$15, $D$11, 100%, $F$11)</f>
        <v>8.6105999999999998</v>
      </c>
      <c r="E299" s="12">
        <f>CHOOSE( CONTROL!$C$32, 8.6058, 8.6009) * CHOOSE( CONTROL!$C$15, $D$11, 100%, $F$11)</f>
        <v>8.6058000000000003</v>
      </c>
      <c r="F299" s="4">
        <f>CHOOSE( CONTROL!$C$32, 9.2837, 9.2788) * CHOOSE(CONTROL!$C$15, $D$11, 100%, $F$11)</f>
        <v>9.2836999999999996</v>
      </c>
      <c r="G299" s="8">
        <f>CHOOSE( CONTROL!$C$32, 8.4218, 8.417) * CHOOSE( CONTROL!$C$15, $D$11, 100%, $F$11)</f>
        <v>8.4217999999999993</v>
      </c>
      <c r="H299" s="4">
        <f>CHOOSE( CONTROL!$C$32, 9.3585, 9.3537) * CHOOSE(CONTROL!$C$15, $D$11, 100%, $F$11)</f>
        <v>9.3584999999999994</v>
      </c>
      <c r="I299" s="8">
        <f>CHOOSE( CONTROL!$C$32, 8.3764, 8.3716) * CHOOSE(CONTROL!$C$15, $D$11, 100%, $F$11)</f>
        <v>8.3764000000000003</v>
      </c>
      <c r="J299" s="4">
        <f>CHOOSE( CONTROL!$C$32, 8.2754, 8.2707) * CHOOSE(CONTROL!$C$15, $D$11, 100%, $F$11)</f>
        <v>8.2753999999999994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7.9324, 7.9275) * CHOOSE(CONTROL!$C$15, $D$11, 100%, $F$11)</f>
        <v>7.9324000000000003</v>
      </c>
      <c r="C300" s="8">
        <f>CHOOSE( CONTROL!$C$32, 7.9404, 7.9355) * CHOOSE(CONTROL!$C$15, $D$11, 100%, $F$11)</f>
        <v>7.9404000000000003</v>
      </c>
      <c r="D300" s="8">
        <f>CHOOSE( CONTROL!$C$32, 7.9502, 7.9453) * CHOOSE( CONTROL!$C$15, $D$11, 100%, $F$11)</f>
        <v>7.9501999999999997</v>
      </c>
      <c r="E300" s="12">
        <f>CHOOSE( CONTROL!$C$32, 7.9454, 7.9405) * CHOOSE( CONTROL!$C$15, $D$11, 100%, $F$11)</f>
        <v>7.9454000000000002</v>
      </c>
      <c r="F300" s="4">
        <f>CHOOSE( CONTROL!$C$32, 8.6232, 8.6183) * CHOOSE(CONTROL!$C$15, $D$11, 100%, $F$11)</f>
        <v>8.6232000000000006</v>
      </c>
      <c r="G300" s="8">
        <f>CHOOSE( CONTROL!$C$32, 7.7725, 7.7677) * CHOOSE( CONTROL!$C$15, $D$11, 100%, $F$11)</f>
        <v>7.7725</v>
      </c>
      <c r="H300" s="4">
        <f>CHOOSE( CONTROL!$C$32, 8.709, 8.7042) * CHOOSE(CONTROL!$C$15, $D$11, 100%, $F$11)</f>
        <v>8.7089999999999996</v>
      </c>
      <c r="I300" s="8">
        <f>CHOOSE( CONTROL!$C$32, 7.738, 7.7332) * CHOOSE(CONTROL!$C$15, $D$11, 100%, $F$11)</f>
        <v>7.7380000000000004</v>
      </c>
      <c r="J300" s="4">
        <f>CHOOSE( CONTROL!$C$32, 7.637, 7.6323) * CHOOSE(CONTROL!$C$15, $D$11, 100%, $F$11)</f>
        <v>7.6369999999999996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7.767, 7.7621) * CHOOSE(CONTROL!$C$15, $D$11, 100%, $F$11)</f>
        <v>7.7670000000000003</v>
      </c>
      <c r="C301" s="8">
        <f>CHOOSE( CONTROL!$C$32, 7.775, 7.7701) * CHOOSE(CONTROL!$C$15, $D$11, 100%, $F$11)</f>
        <v>7.7750000000000004</v>
      </c>
      <c r="D301" s="8">
        <f>CHOOSE( CONTROL!$C$32, 7.7848, 7.7799) * CHOOSE( CONTROL!$C$15, $D$11, 100%, $F$11)</f>
        <v>7.7847999999999997</v>
      </c>
      <c r="E301" s="12">
        <f>CHOOSE( CONTROL!$C$32, 7.78, 7.7751) * CHOOSE( CONTROL!$C$15, $D$11, 100%, $F$11)</f>
        <v>7.78</v>
      </c>
      <c r="F301" s="4">
        <f>CHOOSE( CONTROL!$C$32, 8.4578, 8.453) * CHOOSE(CONTROL!$C$15, $D$11, 100%, $F$11)</f>
        <v>8.4578000000000007</v>
      </c>
      <c r="G301" s="8">
        <f>CHOOSE( CONTROL!$C$32, 7.6098, 7.605) * CHOOSE( CONTROL!$C$15, $D$11, 100%, $F$11)</f>
        <v>7.6097999999999999</v>
      </c>
      <c r="H301" s="4">
        <f>CHOOSE( CONTROL!$C$32, 8.5464, 8.5416) * CHOOSE(CONTROL!$C$15, $D$11, 100%, $F$11)</f>
        <v>8.5464000000000002</v>
      </c>
      <c r="I301" s="8">
        <f>CHOOSE( CONTROL!$C$32, 7.5778, 7.5731) * CHOOSE(CONTROL!$C$15, $D$11, 100%, $F$11)</f>
        <v>7.5777999999999999</v>
      </c>
      <c r="J301" s="4">
        <f>CHOOSE( CONTROL!$C$32, 7.4771, 7.4724) * CHOOSE(CONTROL!$C$15, $D$11, 100%, $F$11)</f>
        <v>7.4771000000000001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8.1038 * CHOOSE(CONTROL!$C$15, $D$11, 100%, $F$11)</f>
        <v>8.1037999999999997</v>
      </c>
      <c r="C302" s="8">
        <f>8.1091 * CHOOSE(CONTROL!$C$15, $D$11, 100%, $F$11)</f>
        <v>8.1090999999999998</v>
      </c>
      <c r="D302" s="8">
        <f>8.1237 * CHOOSE( CONTROL!$C$15, $D$11, 100%, $F$11)</f>
        <v>8.1236999999999995</v>
      </c>
      <c r="E302" s="12">
        <f>8.1183 * CHOOSE( CONTROL!$C$15, $D$11, 100%, $F$11)</f>
        <v>8.1182999999999996</v>
      </c>
      <c r="F302" s="4">
        <f>8.7963 * CHOOSE(CONTROL!$C$15, $D$11, 100%, $F$11)</f>
        <v>8.7963000000000005</v>
      </c>
      <c r="G302" s="8">
        <f>7.9419 * CHOOSE( CONTROL!$C$15, $D$11, 100%, $F$11)</f>
        <v>7.9419000000000004</v>
      </c>
      <c r="H302" s="4">
        <f>8.8792 * CHOOSE(CONTROL!$C$15, $D$11, 100%, $F$11)</f>
        <v>8.8792000000000009</v>
      </c>
      <c r="I302" s="8">
        <f>7.9061 * CHOOSE(CONTROL!$C$15, $D$11, 100%, $F$11)</f>
        <v>7.9061000000000003</v>
      </c>
      <c r="J302" s="4">
        <f>7.8043 * CHOOSE(CONTROL!$C$15, $D$11, 100%, $F$11)</f>
        <v>7.8042999999999996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8.7372 * CHOOSE(CONTROL!$C$15, $D$11, 100%, $F$11)</f>
        <v>8.7371999999999996</v>
      </c>
      <c r="C303" s="8">
        <f>8.7423 * CHOOSE(CONTROL!$C$15, $D$11, 100%, $F$11)</f>
        <v>8.7423000000000002</v>
      </c>
      <c r="D303" s="8">
        <f>8.7192 * CHOOSE( CONTROL!$C$15, $D$11, 100%, $F$11)</f>
        <v>8.7192000000000007</v>
      </c>
      <c r="E303" s="12">
        <f>8.7271 * CHOOSE( CONTROL!$C$15, $D$11, 100%, $F$11)</f>
        <v>8.7271000000000001</v>
      </c>
      <c r="F303" s="4">
        <f>9.3821 * CHOOSE(CONTROL!$C$15, $D$11, 100%, $F$11)</f>
        <v>9.3820999999999994</v>
      </c>
      <c r="G303" s="8">
        <f>8.5732 * CHOOSE( CONTROL!$C$15, $D$11, 100%, $F$11)</f>
        <v>8.5731999999999999</v>
      </c>
      <c r="H303" s="4">
        <f>9.4552 * CHOOSE(CONTROL!$C$15, $D$11, 100%, $F$11)</f>
        <v>9.4551999999999996</v>
      </c>
      <c r="I303" s="8">
        <f>8.5437 * CHOOSE(CONTROL!$C$15, $D$11, 100%, $F$11)</f>
        <v>8.5436999999999994</v>
      </c>
      <c r="J303" s="4">
        <f>8.417 * CHOOSE(CONTROL!$C$15, $D$11, 100%, $F$11)</f>
        <v>8.4169999999999998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8.7213 * CHOOSE(CONTROL!$C$15, $D$11, 100%, $F$11)</f>
        <v>8.7212999999999994</v>
      </c>
      <c r="C304" s="8">
        <f>8.7264 * CHOOSE(CONTROL!$C$15, $D$11, 100%, $F$11)</f>
        <v>8.7263999999999999</v>
      </c>
      <c r="D304" s="8">
        <f>8.705 * CHOOSE( CONTROL!$C$15, $D$11, 100%, $F$11)</f>
        <v>8.7050000000000001</v>
      </c>
      <c r="E304" s="12">
        <f>8.7123 * CHOOSE( CONTROL!$C$15, $D$11, 100%, $F$11)</f>
        <v>8.7123000000000008</v>
      </c>
      <c r="F304" s="4">
        <f>9.3662 * CHOOSE(CONTROL!$C$15, $D$11, 100%, $F$11)</f>
        <v>9.3661999999999992</v>
      </c>
      <c r="G304" s="8">
        <f>8.5588 * CHOOSE( CONTROL!$C$15, $D$11, 100%, $F$11)</f>
        <v>8.5587999999999997</v>
      </c>
      <c r="H304" s="4">
        <f>9.4397 * CHOOSE(CONTROL!$C$15, $D$11, 100%, $F$11)</f>
        <v>9.4397000000000002</v>
      </c>
      <c r="I304" s="8">
        <f>8.5334 * CHOOSE(CONTROL!$C$15, $D$11, 100%, $F$11)</f>
        <v>8.5334000000000003</v>
      </c>
      <c r="J304" s="4">
        <f>8.4017 * CHOOSE(CONTROL!$C$15, $D$11, 100%, $F$11)</f>
        <v>8.4016999999999999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9.0535 * CHOOSE(CONTROL!$C$15, $D$11, 100%, $F$11)</f>
        <v>9.0534999999999997</v>
      </c>
      <c r="C305" s="8">
        <f>9.0586 * CHOOSE(CONTROL!$C$15, $D$11, 100%, $F$11)</f>
        <v>9.0586000000000002</v>
      </c>
      <c r="D305" s="8">
        <f>9.0332 * CHOOSE( CONTROL!$C$15, $D$11, 100%, $F$11)</f>
        <v>9.0332000000000008</v>
      </c>
      <c r="E305" s="12">
        <f>9.0419 * CHOOSE( CONTROL!$C$15, $D$11, 100%, $F$11)</f>
        <v>9.0419</v>
      </c>
      <c r="F305" s="4">
        <f>9.6958 * CHOOSE(CONTROL!$C$15, $D$11, 100%, $F$11)</f>
        <v>9.6958000000000002</v>
      </c>
      <c r="G305" s="8">
        <f>8.8801 * CHOOSE( CONTROL!$C$15, $D$11, 100%, $F$11)</f>
        <v>8.8801000000000005</v>
      </c>
      <c r="H305" s="4">
        <f>9.7638 * CHOOSE(CONTROL!$C$15, $D$11, 100%, $F$11)</f>
        <v>9.7637999999999998</v>
      </c>
      <c r="I305" s="8">
        <f>8.8349 * CHOOSE(CONTROL!$C$15, $D$11, 100%, $F$11)</f>
        <v>8.8348999999999993</v>
      </c>
      <c r="J305" s="4">
        <f>8.7228 * CHOOSE(CONTROL!$C$15, $D$11, 100%, $F$11)</f>
        <v>8.7227999999999994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8.4702 * CHOOSE(CONTROL!$C$15, $D$11, 100%, $F$11)</f>
        <v>8.4702000000000002</v>
      </c>
      <c r="C306" s="8">
        <f>8.4753 * CHOOSE(CONTROL!$C$15, $D$11, 100%, $F$11)</f>
        <v>8.4753000000000007</v>
      </c>
      <c r="D306" s="8">
        <f>8.45 * CHOOSE( CONTROL!$C$15, $D$11, 100%, $F$11)</f>
        <v>8.4499999999999993</v>
      </c>
      <c r="E306" s="12">
        <f>8.4587 * CHOOSE( CONTROL!$C$15, $D$11, 100%, $F$11)</f>
        <v>8.4587000000000003</v>
      </c>
      <c r="F306" s="4">
        <f>9.1125 * CHOOSE(CONTROL!$C$15, $D$11, 100%, $F$11)</f>
        <v>9.1125000000000007</v>
      </c>
      <c r="G306" s="8">
        <f>8.3065 * CHOOSE( CONTROL!$C$15, $D$11, 100%, $F$11)</f>
        <v>8.3064999999999998</v>
      </c>
      <c r="H306" s="4">
        <f>9.1901 * CHOOSE(CONTROL!$C$15, $D$11, 100%, $F$11)</f>
        <v>9.1900999999999993</v>
      </c>
      <c r="I306" s="8">
        <f>8.271 * CHOOSE(CONTROL!$C$15, $D$11, 100%, $F$11)</f>
        <v>8.2710000000000008</v>
      </c>
      <c r="J306" s="4">
        <f>8.1589 * CHOOSE(CONTROL!$C$15, $D$11, 100%, $F$11)</f>
        <v>8.1588999999999992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8.2905 * CHOOSE(CONTROL!$C$15, $D$11, 100%, $F$11)</f>
        <v>8.2904999999999998</v>
      </c>
      <c r="C307" s="8">
        <f>8.2956 * CHOOSE(CONTROL!$C$15, $D$11, 100%, $F$11)</f>
        <v>8.2956000000000003</v>
      </c>
      <c r="D307" s="8">
        <f>8.27 * CHOOSE( CONTROL!$C$15, $D$11, 100%, $F$11)</f>
        <v>8.27</v>
      </c>
      <c r="E307" s="12">
        <f>8.2788 * CHOOSE( CONTROL!$C$15, $D$11, 100%, $F$11)</f>
        <v>8.2788000000000004</v>
      </c>
      <c r="F307" s="4">
        <f>8.9328 * CHOOSE(CONTROL!$C$15, $D$11, 100%, $F$11)</f>
        <v>8.9328000000000003</v>
      </c>
      <c r="G307" s="8">
        <f>8.1296 * CHOOSE( CONTROL!$C$15, $D$11, 100%, $F$11)</f>
        <v>8.1295999999999999</v>
      </c>
      <c r="H307" s="4">
        <f>9.0134 * CHOOSE(CONTROL!$C$15, $D$11, 100%, $F$11)</f>
        <v>9.0134000000000007</v>
      </c>
      <c r="I307" s="8">
        <f>8.0964 * CHOOSE(CONTROL!$C$15, $D$11, 100%, $F$11)</f>
        <v>8.0963999999999992</v>
      </c>
      <c r="J307" s="4">
        <f>7.9852 * CHOOSE(CONTROL!$C$15, $D$11, 100%, $F$11)</f>
        <v>7.9851999999999999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8.4168 * CHOOSE(CONTROL!$C$15, $D$11, 100%, $F$11)</f>
        <v>8.4168000000000003</v>
      </c>
      <c r="C308" s="8">
        <f>8.4214 * CHOOSE(CONTROL!$C$15, $D$11, 100%, $F$11)</f>
        <v>8.4214000000000002</v>
      </c>
      <c r="D308" s="8">
        <f>8.4357 * CHOOSE( CONTROL!$C$15, $D$11, 100%, $F$11)</f>
        <v>8.4357000000000006</v>
      </c>
      <c r="E308" s="12">
        <f>8.4305 * CHOOSE( CONTROL!$C$15, $D$11, 100%, $F$11)</f>
        <v>8.4305000000000003</v>
      </c>
      <c r="F308" s="4">
        <f>9.109 * CHOOSE(CONTROL!$C$15, $D$11, 100%, $F$11)</f>
        <v>9.109</v>
      </c>
      <c r="G308" s="8">
        <f>8.2483 * CHOOSE( CONTROL!$C$15, $D$11, 100%, $F$11)</f>
        <v>8.2483000000000004</v>
      </c>
      <c r="H308" s="4">
        <f>9.1867 * CHOOSE(CONTROL!$C$15, $D$11, 100%, $F$11)</f>
        <v>9.1867000000000001</v>
      </c>
      <c r="I308" s="8">
        <f>8.205 * CHOOSE(CONTROL!$C$15, $D$11, 100%, $F$11)</f>
        <v>8.2050000000000001</v>
      </c>
      <c r="J308" s="4">
        <f>8.1066 * CHOOSE(CONTROL!$C$15, $D$11, 100%, $F$11)</f>
        <v>8.1066000000000003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8.6465, 8.6416) * CHOOSE(CONTROL!$C$15, $D$11, 100%, $F$11)</f>
        <v>8.6464999999999996</v>
      </c>
      <c r="C309" s="8">
        <f>CHOOSE( CONTROL!$C$32, 8.6545, 8.6496) * CHOOSE(CONTROL!$C$15, $D$11, 100%, $F$11)</f>
        <v>8.6545000000000005</v>
      </c>
      <c r="D309" s="8">
        <f>CHOOSE( CONTROL!$C$32, 8.6638, 8.6589) * CHOOSE( CONTROL!$C$15, $D$11, 100%, $F$11)</f>
        <v>8.6638000000000002</v>
      </c>
      <c r="E309" s="12">
        <f>CHOOSE( CONTROL!$C$32, 8.6592, 8.6543) * CHOOSE( CONTROL!$C$15, $D$11, 100%, $F$11)</f>
        <v>8.6592000000000002</v>
      </c>
      <c r="F309" s="4">
        <f>CHOOSE( CONTROL!$C$32, 9.3374, 9.3325) * CHOOSE(CONTROL!$C$15, $D$11, 100%, $F$11)</f>
        <v>9.3374000000000006</v>
      </c>
      <c r="G309" s="8">
        <f>CHOOSE( CONTROL!$C$32, 8.474, 8.4692) * CHOOSE( CONTROL!$C$15, $D$11, 100%, $F$11)</f>
        <v>8.4740000000000002</v>
      </c>
      <c r="H309" s="4">
        <f>CHOOSE( CONTROL!$C$32, 9.4113, 9.4065) * CHOOSE(CONTROL!$C$15, $D$11, 100%, $F$11)</f>
        <v>9.4113000000000007</v>
      </c>
      <c r="I309" s="8">
        <f>CHOOSE( CONTROL!$C$32, 8.4262, 8.4215) * CHOOSE(CONTROL!$C$15, $D$11, 100%, $F$11)</f>
        <v>8.4261999999999997</v>
      </c>
      <c r="J309" s="4">
        <f>CHOOSE( CONTROL!$C$32, 8.3273, 8.3226) * CHOOSE(CONTROL!$C$15, $D$11, 100%, $F$11)</f>
        <v>8.3272999999999993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8.5081, 8.5032) * CHOOSE(CONTROL!$C$15, $D$11, 100%, $F$11)</f>
        <v>8.5081000000000007</v>
      </c>
      <c r="C310" s="8">
        <f>CHOOSE( CONTROL!$C$32, 8.5161, 8.5112) * CHOOSE(CONTROL!$C$15, $D$11, 100%, $F$11)</f>
        <v>8.5160999999999998</v>
      </c>
      <c r="D310" s="8">
        <f>CHOOSE( CONTROL!$C$32, 8.5256, 8.5207) * CHOOSE( CONTROL!$C$15, $D$11, 100%, $F$11)</f>
        <v>8.5256000000000007</v>
      </c>
      <c r="E310" s="12">
        <f>CHOOSE( CONTROL!$C$32, 8.5209, 8.516) * CHOOSE( CONTROL!$C$15, $D$11, 100%, $F$11)</f>
        <v>8.5208999999999993</v>
      </c>
      <c r="F310" s="4">
        <f>CHOOSE( CONTROL!$C$32, 9.1989, 9.1941) * CHOOSE(CONTROL!$C$15, $D$11, 100%, $F$11)</f>
        <v>9.1989000000000001</v>
      </c>
      <c r="G310" s="8">
        <f>CHOOSE( CONTROL!$C$32, 8.3382, 8.3334) * CHOOSE( CONTROL!$C$15, $D$11, 100%, $F$11)</f>
        <v>8.3382000000000005</v>
      </c>
      <c r="H310" s="4">
        <f>CHOOSE( CONTROL!$C$32, 9.2752, 9.2704) * CHOOSE(CONTROL!$C$15, $D$11, 100%, $F$11)</f>
        <v>9.2751999999999999</v>
      </c>
      <c r="I310" s="8">
        <f>CHOOSE( CONTROL!$C$32, 8.2934, 8.2886) * CHOOSE(CONTROL!$C$15, $D$11, 100%, $F$11)</f>
        <v>8.2934000000000001</v>
      </c>
      <c r="J310" s="4">
        <f>CHOOSE( CONTROL!$C$32, 8.1935, 8.1888) * CHOOSE(CONTROL!$C$15, $D$11, 100%, $F$11)</f>
        <v>8.1935000000000002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8.8726, 8.8677) * CHOOSE(CONTROL!$C$15, $D$11, 100%, $F$11)</f>
        <v>8.8726000000000003</v>
      </c>
      <c r="C311" s="8">
        <f>CHOOSE( CONTROL!$C$32, 8.8806, 8.8757) * CHOOSE(CONTROL!$C$15, $D$11, 100%, $F$11)</f>
        <v>8.8805999999999994</v>
      </c>
      <c r="D311" s="8">
        <f>CHOOSE( CONTROL!$C$32, 8.8904, 8.8855) * CHOOSE( CONTROL!$C$15, $D$11, 100%, $F$11)</f>
        <v>8.8903999999999996</v>
      </c>
      <c r="E311" s="12">
        <f>CHOOSE( CONTROL!$C$32, 8.8856, 8.8807) * CHOOSE( CONTROL!$C$15, $D$11, 100%, $F$11)</f>
        <v>8.8856000000000002</v>
      </c>
      <c r="F311" s="4">
        <f>CHOOSE( CONTROL!$C$32, 9.5635, 9.5586) * CHOOSE(CONTROL!$C$15, $D$11, 100%, $F$11)</f>
        <v>9.5634999999999994</v>
      </c>
      <c r="G311" s="8">
        <f>CHOOSE( CONTROL!$C$32, 8.697, 8.6922) * CHOOSE( CONTROL!$C$15, $D$11, 100%, $F$11)</f>
        <v>8.6969999999999992</v>
      </c>
      <c r="H311" s="4">
        <f>CHOOSE( CONTROL!$C$32, 9.6336, 9.6288) * CHOOSE(CONTROL!$C$15, $D$11, 100%, $F$11)</f>
        <v>9.6335999999999995</v>
      </c>
      <c r="I311" s="8">
        <f>CHOOSE( CONTROL!$C$32, 8.647, 8.6423) * CHOOSE(CONTROL!$C$15, $D$11, 100%, $F$11)</f>
        <v>8.6470000000000002</v>
      </c>
      <c r="J311" s="4">
        <f>CHOOSE( CONTROL!$C$32, 8.5459, 8.5412) * CHOOSE(CONTROL!$C$15, $D$11, 100%, $F$11)</f>
        <v>8.5458999999999996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8.1906, 8.1857) * CHOOSE(CONTROL!$C$15, $D$11, 100%, $F$11)</f>
        <v>8.1905999999999999</v>
      </c>
      <c r="C312" s="8">
        <f>CHOOSE( CONTROL!$C$32, 8.1986, 8.1937) * CHOOSE(CONTROL!$C$15, $D$11, 100%, $F$11)</f>
        <v>8.1986000000000008</v>
      </c>
      <c r="D312" s="8">
        <f>CHOOSE( CONTROL!$C$32, 8.2084, 8.2035) * CHOOSE( CONTROL!$C$15, $D$11, 100%, $F$11)</f>
        <v>8.2083999999999993</v>
      </c>
      <c r="E312" s="12">
        <f>CHOOSE( CONTROL!$C$32, 8.2036, 8.1987) * CHOOSE( CONTROL!$C$15, $D$11, 100%, $F$11)</f>
        <v>8.2035999999999998</v>
      </c>
      <c r="F312" s="4">
        <f>CHOOSE( CONTROL!$C$32, 8.8814, 8.8765) * CHOOSE(CONTROL!$C$15, $D$11, 100%, $F$11)</f>
        <v>8.8813999999999993</v>
      </c>
      <c r="G312" s="8">
        <f>CHOOSE( CONTROL!$C$32, 8.0264, 8.0216) * CHOOSE( CONTROL!$C$15, $D$11, 100%, $F$11)</f>
        <v>8.0264000000000006</v>
      </c>
      <c r="H312" s="4">
        <f>CHOOSE( CONTROL!$C$32, 8.9629, 8.9581) * CHOOSE(CONTROL!$C$15, $D$11, 100%, $F$11)</f>
        <v>8.9628999999999994</v>
      </c>
      <c r="I312" s="8">
        <f>CHOOSE( CONTROL!$C$32, 7.9877, 7.983) * CHOOSE(CONTROL!$C$15, $D$11, 100%, $F$11)</f>
        <v>7.9877000000000002</v>
      </c>
      <c r="J312" s="4">
        <f>CHOOSE( CONTROL!$C$32, 7.8866, 7.8819) * CHOOSE(CONTROL!$C$15, $D$11, 100%, $F$11)</f>
        <v>7.8865999999999996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8.0198, 8.0149) * CHOOSE(CONTROL!$C$15, $D$11, 100%, $F$11)</f>
        <v>8.0198</v>
      </c>
      <c r="C313" s="8">
        <f>CHOOSE( CONTROL!$C$32, 8.0278, 8.0229) * CHOOSE(CONTROL!$C$15, $D$11, 100%, $F$11)</f>
        <v>8.0277999999999992</v>
      </c>
      <c r="D313" s="8">
        <f>CHOOSE( CONTROL!$C$32, 8.0376, 8.0327) * CHOOSE( CONTROL!$C$15, $D$11, 100%, $F$11)</f>
        <v>8.0375999999999994</v>
      </c>
      <c r="E313" s="12">
        <f>CHOOSE( CONTROL!$C$32, 8.0328, 8.0279) * CHOOSE( CONTROL!$C$15, $D$11, 100%, $F$11)</f>
        <v>8.0327999999999999</v>
      </c>
      <c r="F313" s="4">
        <f>CHOOSE( CONTROL!$C$32, 8.7106, 8.7057) * CHOOSE(CONTROL!$C$15, $D$11, 100%, $F$11)</f>
        <v>8.7105999999999995</v>
      </c>
      <c r="G313" s="8">
        <f>CHOOSE( CONTROL!$C$32, 7.8584, 7.8536) * CHOOSE( CONTROL!$C$15, $D$11, 100%, $F$11)</f>
        <v>7.8583999999999996</v>
      </c>
      <c r="H313" s="4">
        <f>CHOOSE( CONTROL!$C$32, 8.795, 8.7902) * CHOOSE(CONTROL!$C$15, $D$11, 100%, $F$11)</f>
        <v>8.7949999999999999</v>
      </c>
      <c r="I313" s="8">
        <f>CHOOSE( CONTROL!$C$32, 7.8223, 7.8176) * CHOOSE(CONTROL!$C$15, $D$11, 100%, $F$11)</f>
        <v>7.8223000000000003</v>
      </c>
      <c r="J313" s="4">
        <f>CHOOSE( CONTROL!$C$32, 7.7215, 7.7168) * CHOOSE(CONTROL!$C$15, $D$11, 100%, $F$11)</f>
        <v>7.7214999999999998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8.3678 * CHOOSE(CONTROL!$C$15, $D$11, 100%, $F$11)</f>
        <v>8.3678000000000008</v>
      </c>
      <c r="C314" s="8">
        <f>8.3731 * CHOOSE(CONTROL!$C$15, $D$11, 100%, $F$11)</f>
        <v>8.3731000000000009</v>
      </c>
      <c r="D314" s="8">
        <f>8.3877 * CHOOSE( CONTROL!$C$15, $D$11, 100%, $F$11)</f>
        <v>8.3877000000000006</v>
      </c>
      <c r="E314" s="12">
        <f>8.3823 * CHOOSE( CONTROL!$C$15, $D$11, 100%, $F$11)</f>
        <v>8.3823000000000008</v>
      </c>
      <c r="F314" s="4">
        <f>9.0604 * CHOOSE(CONTROL!$C$15, $D$11, 100%, $F$11)</f>
        <v>9.0603999999999996</v>
      </c>
      <c r="G314" s="8">
        <f>8.2016 * CHOOSE( CONTROL!$C$15, $D$11, 100%, $F$11)</f>
        <v>8.2015999999999991</v>
      </c>
      <c r="H314" s="4">
        <f>9.1389 * CHOOSE(CONTROL!$C$15, $D$11, 100%, $F$11)</f>
        <v>9.1388999999999996</v>
      </c>
      <c r="I314" s="8">
        <f>8.1614 * CHOOSE(CONTROL!$C$15, $D$11, 100%, $F$11)</f>
        <v>8.1614000000000004</v>
      </c>
      <c r="J314" s="4">
        <f>8.0596 * CHOOSE(CONTROL!$C$15, $D$11, 100%, $F$11)</f>
        <v>8.0595999999999997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9.0219 * CHOOSE(CONTROL!$C$15, $D$11, 100%, $F$11)</f>
        <v>9.0219000000000005</v>
      </c>
      <c r="C315" s="8">
        <f>9.027 * CHOOSE(CONTROL!$C$15, $D$11, 100%, $F$11)</f>
        <v>9.0269999999999992</v>
      </c>
      <c r="D315" s="8">
        <f>9.004 * CHOOSE( CONTROL!$C$15, $D$11, 100%, $F$11)</f>
        <v>9.0039999999999996</v>
      </c>
      <c r="E315" s="12">
        <f>9.0119 * CHOOSE( CONTROL!$C$15, $D$11, 100%, $F$11)</f>
        <v>9.0119000000000007</v>
      </c>
      <c r="F315" s="4">
        <f>9.6668 * CHOOSE(CONTROL!$C$15, $D$11, 100%, $F$11)</f>
        <v>9.6668000000000003</v>
      </c>
      <c r="G315" s="8">
        <f>8.8532 * CHOOSE( CONTROL!$C$15, $D$11, 100%, $F$11)</f>
        <v>8.8531999999999993</v>
      </c>
      <c r="H315" s="4">
        <f>9.7353 * CHOOSE(CONTROL!$C$15, $D$11, 100%, $F$11)</f>
        <v>9.7353000000000005</v>
      </c>
      <c r="I315" s="8">
        <f>8.8191 * CHOOSE(CONTROL!$C$15, $D$11, 100%, $F$11)</f>
        <v>8.8191000000000006</v>
      </c>
      <c r="J315" s="4">
        <f>8.6923 * CHOOSE(CONTROL!$C$15, $D$11, 100%, $F$11)</f>
        <v>8.6922999999999995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9.0056 * CHOOSE(CONTROL!$C$15, $D$11, 100%, $F$11)</f>
        <v>9.0055999999999994</v>
      </c>
      <c r="C316" s="8">
        <f>9.0107 * CHOOSE(CONTROL!$C$15, $D$11, 100%, $F$11)</f>
        <v>9.0106999999999999</v>
      </c>
      <c r="D316" s="8">
        <f>8.9892 * CHOOSE( CONTROL!$C$15, $D$11, 100%, $F$11)</f>
        <v>8.9892000000000003</v>
      </c>
      <c r="E316" s="12">
        <f>8.9965 * CHOOSE( CONTROL!$C$15, $D$11, 100%, $F$11)</f>
        <v>8.9964999999999993</v>
      </c>
      <c r="F316" s="4">
        <f>9.6504 * CHOOSE(CONTROL!$C$15, $D$11, 100%, $F$11)</f>
        <v>9.6503999999999994</v>
      </c>
      <c r="G316" s="8">
        <f>8.8383 * CHOOSE( CONTROL!$C$15, $D$11, 100%, $F$11)</f>
        <v>8.8383000000000003</v>
      </c>
      <c r="H316" s="4">
        <f>9.7192 * CHOOSE(CONTROL!$C$15, $D$11, 100%, $F$11)</f>
        <v>9.7192000000000007</v>
      </c>
      <c r="I316" s="8">
        <f>8.8083 * CHOOSE(CONTROL!$C$15, $D$11, 100%, $F$11)</f>
        <v>8.8082999999999991</v>
      </c>
      <c r="J316" s="4">
        <f>8.6765 * CHOOSE(CONTROL!$C$15, $D$11, 100%, $F$11)</f>
        <v>8.6765000000000008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9.3486 * CHOOSE(CONTROL!$C$15, $D$11, 100%, $F$11)</f>
        <v>9.3485999999999994</v>
      </c>
      <c r="C317" s="8">
        <f>9.3537 * CHOOSE(CONTROL!$C$15, $D$11, 100%, $F$11)</f>
        <v>9.3536999999999999</v>
      </c>
      <c r="D317" s="8">
        <f>9.3283 * CHOOSE( CONTROL!$C$15, $D$11, 100%, $F$11)</f>
        <v>9.3283000000000005</v>
      </c>
      <c r="E317" s="12">
        <f>9.337 * CHOOSE( CONTROL!$C$15, $D$11, 100%, $F$11)</f>
        <v>9.3369999999999997</v>
      </c>
      <c r="F317" s="4">
        <f>9.9909 * CHOOSE(CONTROL!$C$15, $D$11, 100%, $F$11)</f>
        <v>9.9908999999999999</v>
      </c>
      <c r="G317" s="8">
        <f>9.1703 * CHOOSE( CONTROL!$C$15, $D$11, 100%, $F$11)</f>
        <v>9.1702999999999992</v>
      </c>
      <c r="H317" s="4">
        <f>10.054 * CHOOSE(CONTROL!$C$15, $D$11, 100%, $F$11)</f>
        <v>10.054</v>
      </c>
      <c r="I317" s="8">
        <f>9.1203 * CHOOSE(CONTROL!$C$15, $D$11, 100%, $F$11)</f>
        <v>9.1203000000000003</v>
      </c>
      <c r="J317" s="4">
        <f>9.0081 * CHOOSE(CONTROL!$C$15, $D$11, 100%, $F$11)</f>
        <v>9.0081000000000007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8.7462 * CHOOSE(CONTROL!$C$15, $D$11, 100%, $F$11)</f>
        <v>8.7462</v>
      </c>
      <c r="C318" s="8">
        <f>8.7513 * CHOOSE(CONTROL!$C$15, $D$11, 100%, $F$11)</f>
        <v>8.7513000000000005</v>
      </c>
      <c r="D318" s="8">
        <f>8.726 * CHOOSE( CONTROL!$C$15, $D$11, 100%, $F$11)</f>
        <v>8.7260000000000009</v>
      </c>
      <c r="E318" s="12">
        <f>8.7347 * CHOOSE( CONTROL!$C$15, $D$11, 100%, $F$11)</f>
        <v>8.7347000000000001</v>
      </c>
      <c r="F318" s="4">
        <f>9.3885 * CHOOSE(CONTROL!$C$15, $D$11, 100%, $F$11)</f>
        <v>9.3885000000000005</v>
      </c>
      <c r="G318" s="8">
        <f>8.578 * CHOOSE( CONTROL!$C$15, $D$11, 100%, $F$11)</f>
        <v>8.5779999999999994</v>
      </c>
      <c r="H318" s="4">
        <f>9.4616 * CHOOSE(CONTROL!$C$15, $D$11, 100%, $F$11)</f>
        <v>9.4616000000000007</v>
      </c>
      <c r="I318" s="8">
        <f>8.538 * CHOOSE(CONTROL!$C$15, $D$11, 100%, $F$11)</f>
        <v>8.5380000000000003</v>
      </c>
      <c r="J318" s="4">
        <f>8.4258 * CHOOSE(CONTROL!$C$15, $D$11, 100%, $F$11)</f>
        <v>8.4258000000000006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8.5606 * CHOOSE(CONTROL!$C$15, $D$11, 100%, $F$11)</f>
        <v>8.5606000000000009</v>
      </c>
      <c r="C319" s="8">
        <f>8.5658 * CHOOSE(CONTROL!$C$15, $D$11, 100%, $F$11)</f>
        <v>8.5657999999999994</v>
      </c>
      <c r="D319" s="8">
        <f>8.5402 * CHOOSE( CONTROL!$C$15, $D$11, 100%, $F$11)</f>
        <v>8.5402000000000005</v>
      </c>
      <c r="E319" s="12">
        <f>8.549 * CHOOSE( CONTROL!$C$15, $D$11, 100%, $F$11)</f>
        <v>8.5489999999999995</v>
      </c>
      <c r="F319" s="4">
        <f>9.2029 * CHOOSE(CONTROL!$C$15, $D$11, 100%, $F$11)</f>
        <v>9.2028999999999996</v>
      </c>
      <c r="G319" s="8">
        <f>8.3953 * CHOOSE( CONTROL!$C$15, $D$11, 100%, $F$11)</f>
        <v>8.3953000000000007</v>
      </c>
      <c r="H319" s="4">
        <f>9.2791 * CHOOSE(CONTROL!$C$15, $D$11, 100%, $F$11)</f>
        <v>9.2790999999999997</v>
      </c>
      <c r="I319" s="8">
        <f>8.3577 * CHOOSE(CONTROL!$C$15, $D$11, 100%, $F$11)</f>
        <v>8.3576999999999995</v>
      </c>
      <c r="J319" s="4">
        <f>8.2464 * CHOOSE(CONTROL!$C$15, $D$11, 100%, $F$11)</f>
        <v>8.2463999999999995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8.6911 * CHOOSE(CONTROL!$C$15, $D$11, 100%, $F$11)</f>
        <v>8.6911000000000005</v>
      </c>
      <c r="C320" s="8">
        <f>8.6956 * CHOOSE(CONTROL!$C$15, $D$11, 100%, $F$11)</f>
        <v>8.6956000000000007</v>
      </c>
      <c r="D320" s="8">
        <f>8.7099 * CHOOSE( CONTROL!$C$15, $D$11, 100%, $F$11)</f>
        <v>8.7098999999999993</v>
      </c>
      <c r="E320" s="12">
        <f>8.7047 * CHOOSE( CONTROL!$C$15, $D$11, 100%, $F$11)</f>
        <v>8.7047000000000008</v>
      </c>
      <c r="F320" s="4">
        <f>9.3833 * CHOOSE(CONTROL!$C$15, $D$11, 100%, $F$11)</f>
        <v>9.3833000000000002</v>
      </c>
      <c r="G320" s="8">
        <f>8.518 * CHOOSE( CONTROL!$C$15, $D$11, 100%, $F$11)</f>
        <v>8.5180000000000007</v>
      </c>
      <c r="H320" s="4">
        <f>9.4564 * CHOOSE(CONTROL!$C$15, $D$11, 100%, $F$11)</f>
        <v>9.4564000000000004</v>
      </c>
      <c r="I320" s="8">
        <f>8.4702 * CHOOSE(CONTROL!$C$15, $D$11, 100%, $F$11)</f>
        <v>8.4702000000000002</v>
      </c>
      <c r="J320" s="4">
        <f>8.3717 * CHOOSE(CONTROL!$C$15, $D$11, 100%, $F$11)</f>
        <v>8.3717000000000006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8.9281, 8.9232) * CHOOSE(CONTROL!$C$15, $D$11, 100%, $F$11)</f>
        <v>8.9281000000000006</v>
      </c>
      <c r="C321" s="8">
        <f>CHOOSE( CONTROL!$C$32, 8.9361, 8.9312) * CHOOSE(CONTROL!$C$15, $D$11, 100%, $F$11)</f>
        <v>8.9360999999999997</v>
      </c>
      <c r="D321" s="8">
        <f>CHOOSE( CONTROL!$C$32, 8.9454, 8.9405) * CHOOSE( CONTROL!$C$15, $D$11, 100%, $F$11)</f>
        <v>8.9453999999999994</v>
      </c>
      <c r="E321" s="12">
        <f>CHOOSE( CONTROL!$C$32, 8.9408, 8.9359) * CHOOSE( CONTROL!$C$15, $D$11, 100%, $F$11)</f>
        <v>8.9407999999999994</v>
      </c>
      <c r="F321" s="4">
        <f>CHOOSE( CONTROL!$C$32, 9.6189, 9.614) * CHOOSE(CONTROL!$C$15, $D$11, 100%, $F$11)</f>
        <v>9.6189</v>
      </c>
      <c r="G321" s="8">
        <f>CHOOSE( CONTROL!$C$32, 8.7509, 8.7461) * CHOOSE( CONTROL!$C$15, $D$11, 100%, $F$11)</f>
        <v>8.7508999999999997</v>
      </c>
      <c r="H321" s="4">
        <f>CHOOSE( CONTROL!$C$32, 9.6882, 9.6834) * CHOOSE(CONTROL!$C$15, $D$11, 100%, $F$11)</f>
        <v>9.6882000000000001</v>
      </c>
      <c r="I321" s="8">
        <f>CHOOSE( CONTROL!$C$32, 8.6985, 8.6938) * CHOOSE(CONTROL!$C$15, $D$11, 100%, $F$11)</f>
        <v>8.6984999999999992</v>
      </c>
      <c r="J321" s="4">
        <f>CHOOSE( CONTROL!$C$32, 8.5995, 8.5948) * CHOOSE(CONTROL!$C$15, $D$11, 100%, $F$11)</f>
        <v>8.5995000000000008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8.7851, 8.7802) * CHOOSE(CONTROL!$C$15, $D$11, 100%, $F$11)</f>
        <v>8.7850999999999999</v>
      </c>
      <c r="C322" s="8">
        <f>CHOOSE( CONTROL!$C$32, 8.7931, 8.7882) * CHOOSE(CONTROL!$C$15, $D$11, 100%, $F$11)</f>
        <v>8.7931000000000008</v>
      </c>
      <c r="D322" s="8">
        <f>CHOOSE( CONTROL!$C$32, 8.8027, 8.7978) * CHOOSE( CONTROL!$C$15, $D$11, 100%, $F$11)</f>
        <v>8.8026999999999997</v>
      </c>
      <c r="E322" s="12">
        <f>CHOOSE( CONTROL!$C$32, 8.798, 8.7931) * CHOOSE( CONTROL!$C$15, $D$11, 100%, $F$11)</f>
        <v>8.798</v>
      </c>
      <c r="F322" s="4">
        <f>CHOOSE( CONTROL!$C$32, 9.476, 9.4711) * CHOOSE(CONTROL!$C$15, $D$11, 100%, $F$11)</f>
        <v>9.4760000000000009</v>
      </c>
      <c r="G322" s="8">
        <f>CHOOSE( CONTROL!$C$32, 8.6106, 8.6058) * CHOOSE( CONTROL!$C$15, $D$11, 100%, $F$11)</f>
        <v>8.6105999999999998</v>
      </c>
      <c r="H322" s="4">
        <f>CHOOSE( CONTROL!$C$32, 9.5476, 9.5428) * CHOOSE(CONTROL!$C$15, $D$11, 100%, $F$11)</f>
        <v>9.5475999999999992</v>
      </c>
      <c r="I322" s="8">
        <f>CHOOSE( CONTROL!$C$32, 8.5613, 8.5566) * CHOOSE(CONTROL!$C$15, $D$11, 100%, $F$11)</f>
        <v>8.5612999999999992</v>
      </c>
      <c r="J322" s="4">
        <f>CHOOSE( CONTROL!$C$32, 8.4613, 8.4566) * CHOOSE(CONTROL!$C$15, $D$11, 100%, $F$11)</f>
        <v>8.4612999999999996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9.1615, 9.1567) * CHOOSE(CONTROL!$C$15, $D$11, 100%, $F$11)</f>
        <v>9.1615000000000002</v>
      </c>
      <c r="C323" s="8">
        <f>CHOOSE( CONTROL!$C$32, 9.1696, 9.1647) * CHOOSE(CONTROL!$C$15, $D$11, 100%, $F$11)</f>
        <v>9.1696000000000009</v>
      </c>
      <c r="D323" s="8">
        <f>CHOOSE( CONTROL!$C$32, 9.1793, 9.1744) * CHOOSE( CONTROL!$C$15, $D$11, 100%, $F$11)</f>
        <v>9.1792999999999996</v>
      </c>
      <c r="E323" s="12">
        <f>CHOOSE( CONTROL!$C$32, 9.1746, 9.1697) * CHOOSE( CONTROL!$C$15, $D$11, 100%, $F$11)</f>
        <v>9.1745999999999999</v>
      </c>
      <c r="F323" s="4">
        <f>CHOOSE( CONTROL!$C$32, 9.8524, 9.8475) * CHOOSE(CONTROL!$C$15, $D$11, 100%, $F$11)</f>
        <v>9.8523999999999994</v>
      </c>
      <c r="G323" s="8">
        <f>CHOOSE( CONTROL!$C$32, 8.9812, 8.9764) * CHOOSE( CONTROL!$C$15, $D$11, 100%, $F$11)</f>
        <v>8.9811999999999994</v>
      </c>
      <c r="H323" s="4">
        <f>CHOOSE( CONTROL!$C$32, 9.9178, 9.913) * CHOOSE(CONTROL!$C$15, $D$11, 100%, $F$11)</f>
        <v>9.9177999999999997</v>
      </c>
      <c r="I323" s="8">
        <f>CHOOSE( CONTROL!$C$32, 8.9265, 8.9217) * CHOOSE(CONTROL!$C$15, $D$11, 100%, $F$11)</f>
        <v>8.9265000000000008</v>
      </c>
      <c r="J323" s="4">
        <f>CHOOSE( CONTROL!$C$32, 8.8252, 8.8205) * CHOOSE(CONTROL!$C$15, $D$11, 100%, $F$11)</f>
        <v>8.8252000000000006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8.4572, 8.4523) * CHOOSE(CONTROL!$C$15, $D$11, 100%, $F$11)</f>
        <v>8.4572000000000003</v>
      </c>
      <c r="C324" s="8">
        <f>CHOOSE( CONTROL!$C$32, 8.4652, 8.4603) * CHOOSE(CONTROL!$C$15, $D$11, 100%, $F$11)</f>
        <v>8.4651999999999994</v>
      </c>
      <c r="D324" s="8">
        <f>CHOOSE( CONTROL!$C$32, 8.475, 8.4701) * CHOOSE( CONTROL!$C$15, $D$11, 100%, $F$11)</f>
        <v>8.4749999999999996</v>
      </c>
      <c r="E324" s="12">
        <f>CHOOSE( CONTROL!$C$32, 8.4702, 8.4653) * CHOOSE( CONTROL!$C$15, $D$11, 100%, $F$11)</f>
        <v>8.4702000000000002</v>
      </c>
      <c r="F324" s="4">
        <f>CHOOSE( CONTROL!$C$32, 9.1481, 9.1432) * CHOOSE(CONTROL!$C$15, $D$11, 100%, $F$11)</f>
        <v>9.1480999999999995</v>
      </c>
      <c r="G324" s="8">
        <f>CHOOSE( CONTROL!$C$32, 8.2886, 8.2838) * CHOOSE( CONTROL!$C$15, $D$11, 100%, $F$11)</f>
        <v>8.2886000000000006</v>
      </c>
      <c r="H324" s="4">
        <f>CHOOSE( CONTROL!$C$32, 9.2251, 9.2203) * CHOOSE(CONTROL!$C$15, $D$11, 100%, $F$11)</f>
        <v>9.2250999999999994</v>
      </c>
      <c r="I324" s="8">
        <f>CHOOSE( CONTROL!$C$32, 8.2456, 8.2408) * CHOOSE(CONTROL!$C$15, $D$11, 100%, $F$11)</f>
        <v>8.2455999999999996</v>
      </c>
      <c r="J324" s="4">
        <f>CHOOSE( CONTROL!$C$32, 8.1444, 8.1396) * CHOOSE(CONTROL!$C$15, $D$11, 100%, $F$11)</f>
        <v>8.1443999999999992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8.2808, 8.2759) * CHOOSE(CONTROL!$C$15, $D$11, 100%, $F$11)</f>
        <v>8.2807999999999993</v>
      </c>
      <c r="C325" s="8">
        <f>CHOOSE( CONTROL!$C$32, 8.2889, 8.284) * CHOOSE(CONTROL!$C$15, $D$11, 100%, $F$11)</f>
        <v>8.2888999999999999</v>
      </c>
      <c r="D325" s="8">
        <f>CHOOSE( CONTROL!$C$32, 8.2986, 8.2937) * CHOOSE( CONTROL!$C$15, $D$11, 100%, $F$11)</f>
        <v>8.2986000000000004</v>
      </c>
      <c r="E325" s="12">
        <f>CHOOSE( CONTROL!$C$32, 8.2939, 8.289) * CHOOSE( CONTROL!$C$15, $D$11, 100%, $F$11)</f>
        <v>8.2939000000000007</v>
      </c>
      <c r="F325" s="4">
        <f>CHOOSE( CONTROL!$C$32, 8.9717, 8.9668) * CHOOSE(CONTROL!$C$15, $D$11, 100%, $F$11)</f>
        <v>8.9717000000000002</v>
      </c>
      <c r="G325" s="8">
        <f>CHOOSE( CONTROL!$C$32, 8.1151, 8.1103) * CHOOSE( CONTROL!$C$15, $D$11, 100%, $F$11)</f>
        <v>8.1151</v>
      </c>
      <c r="H325" s="4">
        <f>CHOOSE( CONTROL!$C$32, 9.0517, 9.0469) * CHOOSE(CONTROL!$C$15, $D$11, 100%, $F$11)</f>
        <v>9.0517000000000003</v>
      </c>
      <c r="I325" s="8">
        <f>CHOOSE( CONTROL!$C$32, 8.0748, 8.0701) * CHOOSE(CONTROL!$C$15, $D$11, 100%, $F$11)</f>
        <v>8.0747999999999998</v>
      </c>
      <c r="J325" s="4">
        <f>CHOOSE( CONTROL!$C$32, 7.9739, 7.9691) * CHOOSE(CONTROL!$C$15, $D$11, 100%, $F$11)</f>
        <v>7.9739000000000004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8.6404 * CHOOSE(CONTROL!$C$15, $D$11, 100%, $F$11)</f>
        <v>8.6403999999999996</v>
      </c>
      <c r="C326" s="8">
        <f>8.6458 * CHOOSE(CONTROL!$C$15, $D$11, 100%, $F$11)</f>
        <v>8.6457999999999995</v>
      </c>
      <c r="D326" s="8">
        <f>8.6603 * CHOOSE( CONTROL!$C$15, $D$11, 100%, $F$11)</f>
        <v>8.6602999999999994</v>
      </c>
      <c r="E326" s="12">
        <f>8.6549 * CHOOSE( CONTROL!$C$15, $D$11, 100%, $F$11)</f>
        <v>8.6548999999999996</v>
      </c>
      <c r="F326" s="4">
        <f>9.333 * CHOOSE(CONTROL!$C$15, $D$11, 100%, $F$11)</f>
        <v>9.3330000000000002</v>
      </c>
      <c r="G326" s="8">
        <f>8.4697 * CHOOSE( CONTROL!$C$15, $D$11, 100%, $F$11)</f>
        <v>8.4696999999999996</v>
      </c>
      <c r="H326" s="4">
        <f>9.407 * CHOOSE(CONTROL!$C$15, $D$11, 100%, $F$11)</f>
        <v>9.407</v>
      </c>
      <c r="I326" s="8">
        <f>8.4251 * CHOOSE(CONTROL!$C$15, $D$11, 100%, $F$11)</f>
        <v>8.4251000000000005</v>
      </c>
      <c r="J326" s="4">
        <f>8.3231 * CHOOSE(CONTROL!$C$15, $D$11, 100%, $F$11)</f>
        <v>8.3231000000000002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9.316 * CHOOSE(CONTROL!$C$15, $D$11, 100%, $F$11)</f>
        <v>9.3160000000000007</v>
      </c>
      <c r="C327" s="8">
        <f>9.3211 * CHOOSE(CONTROL!$C$15, $D$11, 100%, $F$11)</f>
        <v>9.3210999999999995</v>
      </c>
      <c r="D327" s="8">
        <f>9.2981 * CHOOSE( CONTROL!$C$15, $D$11, 100%, $F$11)</f>
        <v>9.2980999999999998</v>
      </c>
      <c r="E327" s="12">
        <f>9.306 * CHOOSE( CONTROL!$C$15, $D$11, 100%, $F$11)</f>
        <v>9.3059999999999992</v>
      </c>
      <c r="F327" s="4">
        <f>9.9609 * CHOOSE(CONTROL!$C$15, $D$11, 100%, $F$11)</f>
        <v>9.9609000000000005</v>
      </c>
      <c r="G327" s="8">
        <f>9.1424 * CHOOSE( CONTROL!$C$15, $D$11, 100%, $F$11)</f>
        <v>9.1424000000000003</v>
      </c>
      <c r="H327" s="4">
        <f>10.0245 * CHOOSE(CONTROL!$C$15, $D$11, 100%, $F$11)</f>
        <v>10.0245</v>
      </c>
      <c r="I327" s="8">
        <f>9.1036 * CHOOSE(CONTROL!$C$15, $D$11, 100%, $F$11)</f>
        <v>9.1036000000000001</v>
      </c>
      <c r="J327" s="4">
        <f>8.9766 * CHOOSE(CONTROL!$C$15, $D$11, 100%, $F$11)</f>
        <v>8.9765999999999995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9.2991 * CHOOSE(CONTROL!$C$15, $D$11, 100%, $F$11)</f>
        <v>9.2990999999999993</v>
      </c>
      <c r="C328" s="8">
        <f>9.3042 * CHOOSE(CONTROL!$C$15, $D$11, 100%, $F$11)</f>
        <v>9.3041999999999998</v>
      </c>
      <c r="D328" s="8">
        <f>9.2827 * CHOOSE( CONTROL!$C$15, $D$11, 100%, $F$11)</f>
        <v>9.2827000000000002</v>
      </c>
      <c r="E328" s="12">
        <f>9.29 * CHOOSE( CONTROL!$C$15, $D$11, 100%, $F$11)</f>
        <v>9.2899999999999991</v>
      </c>
      <c r="F328" s="4">
        <f>9.944 * CHOOSE(CONTROL!$C$15, $D$11, 100%, $F$11)</f>
        <v>9.9440000000000008</v>
      </c>
      <c r="G328" s="8">
        <f>9.127 * CHOOSE( CONTROL!$C$15, $D$11, 100%, $F$11)</f>
        <v>9.1270000000000007</v>
      </c>
      <c r="H328" s="4">
        <f>10.0079 * CHOOSE(CONTROL!$C$15, $D$11, 100%, $F$11)</f>
        <v>10.007899999999999</v>
      </c>
      <c r="I328" s="8">
        <f>9.0922 * CHOOSE(CONTROL!$C$15, $D$11, 100%, $F$11)</f>
        <v>9.0922000000000001</v>
      </c>
      <c r="J328" s="4">
        <f>8.9603 * CHOOSE(CONTROL!$C$15, $D$11, 100%, $F$11)</f>
        <v>8.9603000000000002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9.6533 * CHOOSE(CONTROL!$C$15, $D$11, 100%, $F$11)</f>
        <v>9.6532999999999998</v>
      </c>
      <c r="C329" s="8">
        <f>9.6585 * CHOOSE(CONTROL!$C$15, $D$11, 100%, $F$11)</f>
        <v>9.6585000000000001</v>
      </c>
      <c r="D329" s="8">
        <f>9.633 * CHOOSE( CONTROL!$C$15, $D$11, 100%, $F$11)</f>
        <v>9.6329999999999991</v>
      </c>
      <c r="E329" s="12">
        <f>9.6418 * CHOOSE( CONTROL!$C$15, $D$11, 100%, $F$11)</f>
        <v>9.6417999999999999</v>
      </c>
      <c r="F329" s="4">
        <f>10.2956 * CHOOSE(CONTROL!$C$15, $D$11, 100%, $F$11)</f>
        <v>10.2956</v>
      </c>
      <c r="G329" s="8">
        <f>9.47 * CHOOSE( CONTROL!$C$15, $D$11, 100%, $F$11)</f>
        <v>9.4700000000000006</v>
      </c>
      <c r="H329" s="4">
        <f>10.3537 * CHOOSE(CONTROL!$C$15, $D$11, 100%, $F$11)</f>
        <v>10.3537</v>
      </c>
      <c r="I329" s="8">
        <f>9.4151 * CHOOSE(CONTROL!$C$15, $D$11, 100%, $F$11)</f>
        <v>9.4151000000000007</v>
      </c>
      <c r="J329" s="4">
        <f>9.3027 * CHOOSE(CONTROL!$C$15, $D$11, 100%, $F$11)</f>
        <v>9.3026999999999997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9.0312 * CHOOSE(CONTROL!$C$15, $D$11, 100%, $F$11)</f>
        <v>9.0312000000000001</v>
      </c>
      <c r="C330" s="8">
        <f>9.0363 * CHOOSE(CONTROL!$C$15, $D$11, 100%, $F$11)</f>
        <v>9.0363000000000007</v>
      </c>
      <c r="D330" s="8">
        <f>9.011 * CHOOSE( CONTROL!$C$15, $D$11, 100%, $F$11)</f>
        <v>9.0109999999999992</v>
      </c>
      <c r="E330" s="12">
        <f>9.0197 * CHOOSE( CONTROL!$C$15, $D$11, 100%, $F$11)</f>
        <v>9.0197000000000003</v>
      </c>
      <c r="F330" s="4">
        <f>9.6735 * CHOOSE(CONTROL!$C$15, $D$11, 100%, $F$11)</f>
        <v>9.6735000000000007</v>
      </c>
      <c r="G330" s="8">
        <f>8.8583 * CHOOSE( CONTROL!$C$15, $D$11, 100%, $F$11)</f>
        <v>8.8582999999999998</v>
      </c>
      <c r="H330" s="4">
        <f>9.7419 * CHOOSE(CONTROL!$C$15, $D$11, 100%, $F$11)</f>
        <v>9.7418999999999993</v>
      </c>
      <c r="I330" s="8">
        <f>8.8137 * CHOOSE(CONTROL!$C$15, $D$11, 100%, $F$11)</f>
        <v>8.8137000000000008</v>
      </c>
      <c r="J330" s="4">
        <f>8.7013 * CHOOSE(CONTROL!$C$15, $D$11, 100%, $F$11)</f>
        <v>8.7012999999999998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8.8396 * CHOOSE(CONTROL!$C$15, $D$11, 100%, $F$11)</f>
        <v>8.8396000000000008</v>
      </c>
      <c r="C331" s="8">
        <f>8.8447 * CHOOSE(CONTROL!$C$15, $D$11, 100%, $F$11)</f>
        <v>8.8446999999999996</v>
      </c>
      <c r="D331" s="8">
        <f>8.8191 * CHOOSE( CONTROL!$C$15, $D$11, 100%, $F$11)</f>
        <v>8.8191000000000006</v>
      </c>
      <c r="E331" s="12">
        <f>8.8279 * CHOOSE( CONTROL!$C$15, $D$11, 100%, $F$11)</f>
        <v>8.8278999999999996</v>
      </c>
      <c r="F331" s="4">
        <f>9.4819 * CHOOSE(CONTROL!$C$15, $D$11, 100%, $F$11)</f>
        <v>9.4818999999999996</v>
      </c>
      <c r="G331" s="8">
        <f>8.6697 * CHOOSE( CONTROL!$C$15, $D$11, 100%, $F$11)</f>
        <v>8.6697000000000006</v>
      </c>
      <c r="H331" s="4">
        <f>9.5534 * CHOOSE(CONTROL!$C$15, $D$11, 100%, $F$11)</f>
        <v>9.5533999999999999</v>
      </c>
      <c r="I331" s="8">
        <f>8.6275 * CHOOSE(CONTROL!$C$15, $D$11, 100%, $F$11)</f>
        <v>8.6274999999999995</v>
      </c>
      <c r="J331" s="4">
        <f>8.5161 * CHOOSE(CONTROL!$C$15, $D$11, 100%, $F$11)</f>
        <v>8.5160999999999998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8.9743 * CHOOSE(CONTROL!$C$15, $D$11, 100%, $F$11)</f>
        <v>8.9742999999999995</v>
      </c>
      <c r="C332" s="8">
        <f>8.9788 * CHOOSE(CONTROL!$C$15, $D$11, 100%, $F$11)</f>
        <v>8.9787999999999997</v>
      </c>
      <c r="D332" s="8">
        <f>8.9931 * CHOOSE( CONTROL!$C$15, $D$11, 100%, $F$11)</f>
        <v>8.9931000000000001</v>
      </c>
      <c r="E332" s="12">
        <f>8.9879 * CHOOSE( CONTROL!$C$15, $D$11, 100%, $F$11)</f>
        <v>8.9878999999999998</v>
      </c>
      <c r="F332" s="4">
        <f>9.6665 * CHOOSE(CONTROL!$C$15, $D$11, 100%, $F$11)</f>
        <v>9.6664999999999992</v>
      </c>
      <c r="G332" s="8">
        <f>8.7966 * CHOOSE( CONTROL!$C$15, $D$11, 100%, $F$11)</f>
        <v>8.7965999999999998</v>
      </c>
      <c r="H332" s="4">
        <f>9.735 * CHOOSE(CONTROL!$C$15, $D$11, 100%, $F$11)</f>
        <v>9.7349999999999994</v>
      </c>
      <c r="I332" s="8">
        <f>8.7442 * CHOOSE(CONTROL!$C$15, $D$11, 100%, $F$11)</f>
        <v>8.7441999999999993</v>
      </c>
      <c r="J332" s="4">
        <f>8.6455 * CHOOSE(CONTROL!$C$15, $D$11, 100%, $F$11)</f>
        <v>8.6455000000000002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9.2188, 9.2139) * CHOOSE(CONTROL!$C$15, $D$11, 100%, $F$11)</f>
        <v>9.2187999999999999</v>
      </c>
      <c r="C333" s="8">
        <f>CHOOSE( CONTROL!$C$32, 9.2268, 9.222) * CHOOSE(CONTROL!$C$15, $D$11, 100%, $F$11)</f>
        <v>9.2268000000000008</v>
      </c>
      <c r="D333" s="8">
        <f>CHOOSE( CONTROL!$C$32, 9.2361, 9.2313) * CHOOSE( CONTROL!$C$15, $D$11, 100%, $F$11)</f>
        <v>9.2361000000000004</v>
      </c>
      <c r="E333" s="12">
        <f>CHOOSE( CONTROL!$C$32, 9.2315, 9.2267) * CHOOSE( CONTROL!$C$15, $D$11, 100%, $F$11)</f>
        <v>9.2315000000000005</v>
      </c>
      <c r="F333" s="4">
        <f>CHOOSE( CONTROL!$C$32, 9.9097, 9.9048) * CHOOSE(CONTROL!$C$15, $D$11, 100%, $F$11)</f>
        <v>9.9097000000000008</v>
      </c>
      <c r="G333" s="8">
        <f>CHOOSE( CONTROL!$C$32, 9.0368, 9.032) * CHOOSE( CONTROL!$C$15, $D$11, 100%, $F$11)</f>
        <v>9.0367999999999995</v>
      </c>
      <c r="H333" s="4">
        <f>CHOOSE( CONTROL!$C$32, 9.9741, 9.9693) * CHOOSE(CONTROL!$C$15, $D$11, 100%, $F$11)</f>
        <v>9.9741</v>
      </c>
      <c r="I333" s="8">
        <f>CHOOSE( CONTROL!$C$32, 8.9798, 8.975) * CHOOSE(CONTROL!$C$15, $D$11, 100%, $F$11)</f>
        <v>8.9797999999999991</v>
      </c>
      <c r="J333" s="4">
        <f>CHOOSE( CONTROL!$C$32, 8.8806, 8.8759) * CHOOSE(CONTROL!$C$15, $D$11, 100%, $F$11)</f>
        <v>8.8805999999999994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9.0712, 9.0663) * CHOOSE(CONTROL!$C$15, $D$11, 100%, $F$11)</f>
        <v>9.0711999999999993</v>
      </c>
      <c r="C334" s="8">
        <f>CHOOSE( CONTROL!$C$32, 9.0792, 9.0743) * CHOOSE(CONTROL!$C$15, $D$11, 100%, $F$11)</f>
        <v>9.0792000000000002</v>
      </c>
      <c r="D334" s="8">
        <f>CHOOSE( CONTROL!$C$32, 9.0887, 9.0839) * CHOOSE( CONTROL!$C$15, $D$11, 100%, $F$11)</f>
        <v>9.0886999999999993</v>
      </c>
      <c r="E334" s="12">
        <f>CHOOSE( CONTROL!$C$32, 9.084, 9.0792) * CHOOSE( CONTROL!$C$15, $D$11, 100%, $F$11)</f>
        <v>9.0839999999999996</v>
      </c>
      <c r="F334" s="4">
        <f>CHOOSE( CONTROL!$C$32, 9.7621, 9.7572) * CHOOSE(CONTROL!$C$15, $D$11, 100%, $F$11)</f>
        <v>9.7621000000000002</v>
      </c>
      <c r="G334" s="8">
        <f>CHOOSE( CONTROL!$C$32, 8.892, 8.8872) * CHOOSE( CONTROL!$C$15, $D$11, 100%, $F$11)</f>
        <v>8.8919999999999995</v>
      </c>
      <c r="H334" s="4">
        <f>CHOOSE( CONTROL!$C$32, 9.829, 9.8241) * CHOOSE(CONTROL!$C$15, $D$11, 100%, $F$11)</f>
        <v>9.8290000000000006</v>
      </c>
      <c r="I334" s="8">
        <f>CHOOSE( CONTROL!$C$32, 8.838, 8.8333) * CHOOSE(CONTROL!$C$15, $D$11, 100%, $F$11)</f>
        <v>8.8379999999999992</v>
      </c>
      <c r="J334" s="4">
        <f>CHOOSE( CONTROL!$C$32, 8.7379, 8.7332) * CHOOSE(CONTROL!$C$15, $D$11, 100%, $F$11)</f>
        <v>8.7378999999999998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9.4599, 9.4551) * CHOOSE(CONTROL!$C$15, $D$11, 100%, $F$11)</f>
        <v>9.4598999999999993</v>
      </c>
      <c r="C335" s="8">
        <f>CHOOSE( CONTROL!$C$32, 9.468, 9.4631) * CHOOSE(CONTROL!$C$15, $D$11, 100%, $F$11)</f>
        <v>9.468</v>
      </c>
      <c r="D335" s="8">
        <f>CHOOSE( CONTROL!$C$32, 9.4777, 9.4728) * CHOOSE( CONTROL!$C$15, $D$11, 100%, $F$11)</f>
        <v>9.4777000000000005</v>
      </c>
      <c r="E335" s="12">
        <f>CHOOSE( CONTROL!$C$32, 9.473, 9.4681) * CHOOSE( CONTROL!$C$15, $D$11, 100%, $F$11)</f>
        <v>9.4730000000000008</v>
      </c>
      <c r="F335" s="4">
        <f>CHOOSE( CONTROL!$C$32, 10.1508, 10.1459) * CHOOSE(CONTROL!$C$15, $D$11, 100%, $F$11)</f>
        <v>10.1508</v>
      </c>
      <c r="G335" s="8">
        <f>CHOOSE( CONTROL!$C$32, 9.2746, 9.2698) * CHOOSE( CONTROL!$C$15, $D$11, 100%, $F$11)</f>
        <v>9.2745999999999995</v>
      </c>
      <c r="H335" s="4">
        <f>CHOOSE( CONTROL!$C$32, 10.2112, 10.2064) * CHOOSE(CONTROL!$C$15, $D$11, 100%, $F$11)</f>
        <v>10.2112</v>
      </c>
      <c r="I335" s="8">
        <f>CHOOSE( CONTROL!$C$32, 9.2151, 9.2103) * CHOOSE(CONTROL!$C$15, $D$11, 100%, $F$11)</f>
        <v>9.2150999999999996</v>
      </c>
      <c r="J335" s="4">
        <f>CHOOSE( CONTROL!$C$32, 9.1137, 9.109) * CHOOSE(CONTROL!$C$15, $D$11, 100%, $F$11)</f>
        <v>9.1136999999999997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8.7326, 8.7277) * CHOOSE(CONTROL!$C$15, $D$11, 100%, $F$11)</f>
        <v>8.7325999999999997</v>
      </c>
      <c r="C336" s="8">
        <f>CHOOSE( CONTROL!$C$32, 8.7406, 8.7357) * CHOOSE(CONTROL!$C$15, $D$11, 100%, $F$11)</f>
        <v>8.7406000000000006</v>
      </c>
      <c r="D336" s="8">
        <f>CHOOSE( CONTROL!$C$32, 8.7504, 8.7455) * CHOOSE( CONTROL!$C$15, $D$11, 100%, $F$11)</f>
        <v>8.7504000000000008</v>
      </c>
      <c r="E336" s="12">
        <f>CHOOSE( CONTROL!$C$32, 8.7456, 8.7407) * CHOOSE( CONTROL!$C$15, $D$11, 100%, $F$11)</f>
        <v>8.7455999999999996</v>
      </c>
      <c r="F336" s="4">
        <f>CHOOSE( CONTROL!$C$32, 9.4234, 9.4185) * CHOOSE(CONTROL!$C$15, $D$11, 100%, $F$11)</f>
        <v>9.4234000000000009</v>
      </c>
      <c r="G336" s="8">
        <f>CHOOSE( CONTROL!$C$32, 8.5594, 8.5546) * CHOOSE( CONTROL!$C$15, $D$11, 100%, $F$11)</f>
        <v>8.5594000000000001</v>
      </c>
      <c r="H336" s="4">
        <f>CHOOSE( CONTROL!$C$32, 9.4959, 9.4911) * CHOOSE(CONTROL!$C$15, $D$11, 100%, $F$11)</f>
        <v>9.4959000000000007</v>
      </c>
      <c r="I336" s="8">
        <f>CHOOSE( CONTROL!$C$32, 8.5119, 8.5072) * CHOOSE(CONTROL!$C$15, $D$11, 100%, $F$11)</f>
        <v>8.5119000000000007</v>
      </c>
      <c r="J336" s="4">
        <f>CHOOSE( CONTROL!$C$32, 8.4105, 8.4058) * CHOOSE(CONTROL!$C$15, $D$11, 100%, $F$11)</f>
        <v>8.4105000000000008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8.5504, 8.5455) * CHOOSE(CONTROL!$C$15, $D$11, 100%, $F$11)</f>
        <v>8.5503999999999998</v>
      </c>
      <c r="C337" s="8">
        <f>CHOOSE( CONTROL!$C$32, 8.5585, 8.5536) * CHOOSE(CONTROL!$C$15, $D$11, 100%, $F$11)</f>
        <v>8.5585000000000004</v>
      </c>
      <c r="D337" s="8">
        <f>CHOOSE( CONTROL!$C$32, 8.5682, 8.5633) * CHOOSE( CONTROL!$C$15, $D$11, 100%, $F$11)</f>
        <v>8.5681999999999992</v>
      </c>
      <c r="E337" s="12">
        <f>CHOOSE( CONTROL!$C$32, 8.5635, 8.5586) * CHOOSE( CONTROL!$C$15, $D$11, 100%, $F$11)</f>
        <v>8.5634999999999994</v>
      </c>
      <c r="F337" s="4">
        <f>CHOOSE( CONTROL!$C$32, 9.2413, 9.2364) * CHOOSE(CONTROL!$C$15, $D$11, 100%, $F$11)</f>
        <v>9.2413000000000007</v>
      </c>
      <c r="G337" s="8">
        <f>CHOOSE( CONTROL!$C$32, 8.3802, 8.3754) * CHOOSE( CONTROL!$C$15, $D$11, 100%, $F$11)</f>
        <v>8.3802000000000003</v>
      </c>
      <c r="H337" s="4">
        <f>CHOOSE( CONTROL!$C$32, 9.3168, 9.312) * CHOOSE(CONTROL!$C$15, $D$11, 100%, $F$11)</f>
        <v>9.3168000000000006</v>
      </c>
      <c r="I337" s="8">
        <f>CHOOSE( CONTROL!$C$32, 8.3356, 8.3308) * CHOOSE(CONTROL!$C$15, $D$11, 100%, $F$11)</f>
        <v>8.3355999999999995</v>
      </c>
      <c r="J337" s="4">
        <f>CHOOSE( CONTROL!$C$32, 8.2345, 8.2297) * CHOOSE(CONTROL!$C$15, $D$11, 100%, $F$11)</f>
        <v>8.2345000000000006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8.922 * CHOOSE(CONTROL!$C$15, $D$11, 100%, $F$11)</f>
        <v>8.9220000000000006</v>
      </c>
      <c r="C338" s="8">
        <f>8.9274 * CHOOSE(CONTROL!$C$15, $D$11, 100%, $F$11)</f>
        <v>8.9274000000000004</v>
      </c>
      <c r="D338" s="8">
        <f>8.9419 * CHOOSE( CONTROL!$C$15, $D$11, 100%, $F$11)</f>
        <v>8.9419000000000004</v>
      </c>
      <c r="E338" s="12">
        <f>8.9365 * CHOOSE( CONTROL!$C$15, $D$11, 100%, $F$11)</f>
        <v>8.9365000000000006</v>
      </c>
      <c r="F338" s="4">
        <f>9.6146 * CHOOSE(CONTROL!$C$15, $D$11, 100%, $F$11)</f>
        <v>9.6145999999999994</v>
      </c>
      <c r="G338" s="8">
        <f>8.7466 * CHOOSE( CONTROL!$C$15, $D$11, 100%, $F$11)</f>
        <v>8.7466000000000008</v>
      </c>
      <c r="H338" s="4">
        <f>9.6839 * CHOOSE(CONTROL!$C$15, $D$11, 100%, $F$11)</f>
        <v>9.6838999999999995</v>
      </c>
      <c r="I338" s="8">
        <f>8.6975 * CHOOSE(CONTROL!$C$15, $D$11, 100%, $F$11)</f>
        <v>8.6974999999999998</v>
      </c>
      <c r="J338" s="4">
        <f>8.5953 * CHOOSE(CONTROL!$C$15, $D$11, 100%, $F$11)</f>
        <v>8.5952999999999999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9.6197 * CHOOSE(CONTROL!$C$15, $D$11, 100%, $F$11)</f>
        <v>9.6196999999999999</v>
      </c>
      <c r="C339" s="8">
        <f>9.6248 * CHOOSE(CONTROL!$C$15, $D$11, 100%, $F$11)</f>
        <v>9.6248000000000005</v>
      </c>
      <c r="D339" s="8">
        <f>9.6017 * CHOOSE( CONTROL!$C$15, $D$11, 100%, $F$11)</f>
        <v>9.6016999999999992</v>
      </c>
      <c r="E339" s="12">
        <f>9.6096 * CHOOSE( CONTROL!$C$15, $D$11, 100%, $F$11)</f>
        <v>9.6096000000000004</v>
      </c>
      <c r="F339" s="4">
        <f>10.2645 * CHOOSE(CONTROL!$C$15, $D$11, 100%, $F$11)</f>
        <v>10.2645</v>
      </c>
      <c r="G339" s="8">
        <f>9.4411 * CHOOSE( CONTROL!$C$15, $D$11, 100%, $F$11)</f>
        <v>9.4411000000000005</v>
      </c>
      <c r="H339" s="4">
        <f>10.3231 * CHOOSE(CONTROL!$C$15, $D$11, 100%, $F$11)</f>
        <v>10.3231</v>
      </c>
      <c r="I339" s="8">
        <f>9.3973 * CHOOSE(CONTROL!$C$15, $D$11, 100%, $F$11)</f>
        <v>9.3972999999999995</v>
      </c>
      <c r="J339" s="4">
        <f>9.2702 * CHOOSE(CONTROL!$C$15, $D$11, 100%, $F$11)</f>
        <v>9.2702000000000009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9.6022 * CHOOSE(CONTROL!$C$15, $D$11, 100%, $F$11)</f>
        <v>9.6021999999999998</v>
      </c>
      <c r="C340" s="8">
        <f>9.6073 * CHOOSE(CONTROL!$C$15, $D$11, 100%, $F$11)</f>
        <v>9.6073000000000004</v>
      </c>
      <c r="D340" s="8">
        <f>9.5858 * CHOOSE( CONTROL!$C$15, $D$11, 100%, $F$11)</f>
        <v>9.5858000000000008</v>
      </c>
      <c r="E340" s="12">
        <f>9.5931 * CHOOSE( CONTROL!$C$15, $D$11, 100%, $F$11)</f>
        <v>9.5930999999999997</v>
      </c>
      <c r="F340" s="4">
        <f>10.2471 * CHOOSE(CONTROL!$C$15, $D$11, 100%, $F$11)</f>
        <v>10.2471</v>
      </c>
      <c r="G340" s="8">
        <f>9.4251 * CHOOSE( CONTROL!$C$15, $D$11, 100%, $F$11)</f>
        <v>9.4251000000000005</v>
      </c>
      <c r="H340" s="4">
        <f>10.306 * CHOOSE(CONTROL!$C$15, $D$11, 100%, $F$11)</f>
        <v>10.305999999999999</v>
      </c>
      <c r="I340" s="8">
        <f>9.3854 * CHOOSE(CONTROL!$C$15, $D$11, 100%, $F$11)</f>
        <v>9.3854000000000006</v>
      </c>
      <c r="J340" s="4">
        <f>9.2533 * CHOOSE(CONTROL!$C$15, $D$11, 100%, $F$11)</f>
        <v>9.2532999999999994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9.9681 * CHOOSE(CONTROL!$C$15, $D$11, 100%, $F$11)</f>
        <v>9.9680999999999997</v>
      </c>
      <c r="C341" s="8">
        <f>9.9732 * CHOOSE(CONTROL!$C$15, $D$11, 100%, $F$11)</f>
        <v>9.9732000000000003</v>
      </c>
      <c r="D341" s="8">
        <f>9.9478 * CHOOSE( CONTROL!$C$15, $D$11, 100%, $F$11)</f>
        <v>9.9478000000000009</v>
      </c>
      <c r="E341" s="12">
        <f>9.9565 * CHOOSE( CONTROL!$C$15, $D$11, 100%, $F$11)</f>
        <v>9.9565000000000001</v>
      </c>
      <c r="F341" s="4">
        <f>10.6104 * CHOOSE(CONTROL!$C$15, $D$11, 100%, $F$11)</f>
        <v>10.6104</v>
      </c>
      <c r="G341" s="8">
        <f>9.7795 * CHOOSE( CONTROL!$C$15, $D$11, 100%, $F$11)</f>
        <v>9.7795000000000005</v>
      </c>
      <c r="H341" s="4">
        <f>10.6632 * CHOOSE(CONTROL!$C$15, $D$11, 100%, $F$11)</f>
        <v>10.6632</v>
      </c>
      <c r="I341" s="8">
        <f>9.7195 * CHOOSE(CONTROL!$C$15, $D$11, 100%, $F$11)</f>
        <v>9.7195</v>
      </c>
      <c r="J341" s="4">
        <f>9.6069 * CHOOSE(CONTROL!$C$15, $D$11, 100%, $F$11)</f>
        <v>9.6068999999999996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9.3256 * CHOOSE(CONTROL!$C$15, $D$11, 100%, $F$11)</f>
        <v>9.3255999999999997</v>
      </c>
      <c r="C342" s="8">
        <f>9.3307 * CHOOSE(CONTROL!$C$15, $D$11, 100%, $F$11)</f>
        <v>9.3307000000000002</v>
      </c>
      <c r="D342" s="8">
        <f>9.3054 * CHOOSE( CONTROL!$C$15, $D$11, 100%, $F$11)</f>
        <v>9.3054000000000006</v>
      </c>
      <c r="E342" s="12">
        <f>9.3141 * CHOOSE( CONTROL!$C$15, $D$11, 100%, $F$11)</f>
        <v>9.3140999999999998</v>
      </c>
      <c r="F342" s="4">
        <f>9.9679 * CHOOSE(CONTROL!$C$15, $D$11, 100%, $F$11)</f>
        <v>9.9679000000000002</v>
      </c>
      <c r="G342" s="8">
        <f>9.1478 * CHOOSE( CONTROL!$C$15, $D$11, 100%, $F$11)</f>
        <v>9.1478000000000002</v>
      </c>
      <c r="H342" s="4">
        <f>10.0314 * CHOOSE(CONTROL!$C$15, $D$11, 100%, $F$11)</f>
        <v>10.0314</v>
      </c>
      <c r="I342" s="8">
        <f>9.0984 * CHOOSE(CONTROL!$C$15, $D$11, 100%, $F$11)</f>
        <v>9.0983999999999998</v>
      </c>
      <c r="J342" s="4">
        <f>8.9859 * CHOOSE(CONTROL!$C$15, $D$11, 100%, $F$11)</f>
        <v>8.9859000000000009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9.1277 * CHOOSE(CONTROL!$C$15, $D$11, 100%, $F$11)</f>
        <v>9.1277000000000008</v>
      </c>
      <c r="C343" s="8">
        <f>9.1328 * CHOOSE(CONTROL!$C$15, $D$11, 100%, $F$11)</f>
        <v>9.1327999999999996</v>
      </c>
      <c r="D343" s="8">
        <f>9.1072 * CHOOSE( CONTROL!$C$15, $D$11, 100%, $F$11)</f>
        <v>9.1072000000000006</v>
      </c>
      <c r="E343" s="12">
        <f>9.116 * CHOOSE( CONTROL!$C$15, $D$11, 100%, $F$11)</f>
        <v>9.1159999999999997</v>
      </c>
      <c r="F343" s="4">
        <f>9.77 * CHOOSE(CONTROL!$C$15, $D$11, 100%, $F$11)</f>
        <v>9.77</v>
      </c>
      <c r="G343" s="8">
        <f>8.953 * CHOOSE( CONTROL!$C$15, $D$11, 100%, $F$11)</f>
        <v>8.9529999999999994</v>
      </c>
      <c r="H343" s="4">
        <f>9.8368 * CHOOSE(CONTROL!$C$15, $D$11, 100%, $F$11)</f>
        <v>9.8368000000000002</v>
      </c>
      <c r="I343" s="8">
        <f>8.9062 * CHOOSE(CONTROL!$C$15, $D$11, 100%, $F$11)</f>
        <v>8.9062000000000001</v>
      </c>
      <c r="J343" s="4">
        <f>8.7946 * CHOOSE(CONTROL!$C$15, $D$11, 100%, $F$11)</f>
        <v>8.7946000000000009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9.2668 * CHOOSE(CONTROL!$C$15, $D$11, 100%, $F$11)</f>
        <v>9.2667999999999999</v>
      </c>
      <c r="C344" s="8">
        <f>9.2713 * CHOOSE(CONTROL!$C$15, $D$11, 100%, $F$11)</f>
        <v>9.2713000000000001</v>
      </c>
      <c r="D344" s="8">
        <f>9.2856 * CHOOSE( CONTROL!$C$15, $D$11, 100%, $F$11)</f>
        <v>9.2856000000000005</v>
      </c>
      <c r="E344" s="12">
        <f>9.2804 * CHOOSE( CONTROL!$C$15, $D$11, 100%, $F$11)</f>
        <v>9.2804000000000002</v>
      </c>
      <c r="F344" s="4">
        <f>9.959 * CHOOSE(CONTROL!$C$15, $D$11, 100%, $F$11)</f>
        <v>9.9589999999999996</v>
      </c>
      <c r="G344" s="8">
        <f>9.0842 * CHOOSE( CONTROL!$C$15, $D$11, 100%, $F$11)</f>
        <v>9.0841999999999992</v>
      </c>
      <c r="H344" s="4">
        <f>10.0226 * CHOOSE(CONTROL!$C$15, $D$11, 100%, $F$11)</f>
        <v>10.022600000000001</v>
      </c>
      <c r="I344" s="8">
        <f>9.027 * CHOOSE(CONTROL!$C$15, $D$11, 100%, $F$11)</f>
        <v>9.0269999999999992</v>
      </c>
      <c r="J344" s="4">
        <f>8.9283 * CHOOSE(CONTROL!$C$15, $D$11, 100%, $F$11)</f>
        <v>8.9283000000000001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9.5191, 9.5142) * CHOOSE(CONTROL!$C$15, $D$11, 100%, $F$11)</f>
        <v>9.5190999999999999</v>
      </c>
      <c r="C345" s="8">
        <f>CHOOSE( CONTROL!$C$32, 9.5271, 9.5222) * CHOOSE(CONTROL!$C$15, $D$11, 100%, $F$11)</f>
        <v>9.5271000000000008</v>
      </c>
      <c r="D345" s="8">
        <f>CHOOSE( CONTROL!$C$32, 9.5364, 9.5315) * CHOOSE( CONTROL!$C$15, $D$11, 100%, $F$11)</f>
        <v>9.5364000000000004</v>
      </c>
      <c r="E345" s="12">
        <f>CHOOSE( CONTROL!$C$32, 9.5318, 9.5269) * CHOOSE( CONTROL!$C$15, $D$11, 100%, $F$11)</f>
        <v>9.5318000000000005</v>
      </c>
      <c r="F345" s="4">
        <f>CHOOSE( CONTROL!$C$32, 10.21, 10.2051) * CHOOSE(CONTROL!$C$15, $D$11, 100%, $F$11)</f>
        <v>10.210000000000001</v>
      </c>
      <c r="G345" s="8">
        <f>CHOOSE( CONTROL!$C$32, 9.3321, 9.3273) * CHOOSE( CONTROL!$C$15, $D$11, 100%, $F$11)</f>
        <v>9.3321000000000005</v>
      </c>
      <c r="H345" s="4">
        <f>CHOOSE( CONTROL!$C$32, 10.2694, 10.2646) * CHOOSE(CONTROL!$C$15, $D$11, 100%, $F$11)</f>
        <v>10.269399999999999</v>
      </c>
      <c r="I345" s="8">
        <f>CHOOSE( CONTROL!$C$32, 9.2702, 9.2654) * CHOOSE(CONTROL!$C$15, $D$11, 100%, $F$11)</f>
        <v>9.2702000000000009</v>
      </c>
      <c r="J345" s="4">
        <f>CHOOSE( CONTROL!$C$32, 9.1709, 9.1662) * CHOOSE(CONTROL!$C$15, $D$11, 100%, $F$11)</f>
        <v>9.1708999999999996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9.3667, 9.3618) * CHOOSE(CONTROL!$C$15, $D$11, 100%, $F$11)</f>
        <v>9.3666999999999998</v>
      </c>
      <c r="C346" s="8">
        <f>CHOOSE( CONTROL!$C$32, 9.3747, 9.3698) * CHOOSE(CONTROL!$C$15, $D$11, 100%, $F$11)</f>
        <v>9.3747000000000007</v>
      </c>
      <c r="D346" s="8">
        <f>CHOOSE( CONTROL!$C$32, 9.3842, 9.3793) * CHOOSE( CONTROL!$C$15, $D$11, 100%, $F$11)</f>
        <v>9.3841999999999999</v>
      </c>
      <c r="E346" s="12">
        <f>CHOOSE( CONTROL!$C$32, 9.3795, 9.3746) * CHOOSE( CONTROL!$C$15, $D$11, 100%, $F$11)</f>
        <v>9.3795000000000002</v>
      </c>
      <c r="F346" s="4">
        <f>CHOOSE( CONTROL!$C$32, 10.0575, 10.0526) * CHOOSE(CONTROL!$C$15, $D$11, 100%, $F$11)</f>
        <v>10.057499999999999</v>
      </c>
      <c r="G346" s="8">
        <f>CHOOSE( CONTROL!$C$32, 9.1825, 9.1777) * CHOOSE( CONTROL!$C$15, $D$11, 100%, $F$11)</f>
        <v>9.1824999999999992</v>
      </c>
      <c r="H346" s="4">
        <f>CHOOSE( CONTROL!$C$32, 10.1195, 10.1147) * CHOOSE(CONTROL!$C$15, $D$11, 100%, $F$11)</f>
        <v>10.1195</v>
      </c>
      <c r="I346" s="8">
        <f>CHOOSE( CONTROL!$C$32, 9.1238, 9.119) * CHOOSE(CONTROL!$C$15, $D$11, 100%, $F$11)</f>
        <v>9.1237999999999992</v>
      </c>
      <c r="J346" s="4">
        <f>CHOOSE( CONTROL!$C$32, 9.0235, 9.0188) * CHOOSE(CONTROL!$C$15, $D$11, 100%, $F$11)</f>
        <v>9.0235000000000003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9.7681, 9.7632) * CHOOSE(CONTROL!$C$15, $D$11, 100%, $F$11)</f>
        <v>9.7681000000000004</v>
      </c>
      <c r="C347" s="8">
        <f>CHOOSE( CONTROL!$C$32, 9.7761, 9.7712) * CHOOSE(CONTROL!$C$15, $D$11, 100%, $F$11)</f>
        <v>9.7760999999999996</v>
      </c>
      <c r="D347" s="8">
        <f>CHOOSE( CONTROL!$C$32, 9.7859, 9.781) * CHOOSE( CONTROL!$C$15, $D$11, 100%, $F$11)</f>
        <v>9.7858999999999998</v>
      </c>
      <c r="E347" s="12">
        <f>CHOOSE( CONTROL!$C$32, 9.7811, 9.7762) * CHOOSE( CONTROL!$C$15, $D$11, 100%, $F$11)</f>
        <v>9.7811000000000003</v>
      </c>
      <c r="F347" s="4">
        <f>CHOOSE( CONTROL!$C$32, 10.459, 10.4541) * CHOOSE(CONTROL!$C$15, $D$11, 100%, $F$11)</f>
        <v>10.459</v>
      </c>
      <c r="G347" s="8">
        <f>CHOOSE( CONTROL!$C$32, 9.5777, 9.5729) * CHOOSE( CONTROL!$C$15, $D$11, 100%, $F$11)</f>
        <v>9.5777000000000001</v>
      </c>
      <c r="H347" s="4">
        <f>CHOOSE( CONTROL!$C$32, 10.5143, 10.5095) * CHOOSE(CONTROL!$C$15, $D$11, 100%, $F$11)</f>
        <v>10.5143</v>
      </c>
      <c r="I347" s="8">
        <f>CHOOSE( CONTROL!$C$32, 9.5131, 9.5084) * CHOOSE(CONTROL!$C$15, $D$11, 100%, $F$11)</f>
        <v>9.5130999999999997</v>
      </c>
      <c r="J347" s="4">
        <f>CHOOSE( CONTROL!$C$32, 9.4116, 9.4069) * CHOOSE(CONTROL!$C$15, $D$11, 100%, $F$11)</f>
        <v>9.4116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9.0169, 9.0121) * CHOOSE(CONTROL!$C$15, $D$11, 100%, $F$11)</f>
        <v>9.0168999999999997</v>
      </c>
      <c r="C348" s="8">
        <f>CHOOSE( CONTROL!$C$32, 9.025, 9.0201) * CHOOSE(CONTROL!$C$15, $D$11, 100%, $F$11)</f>
        <v>9.0250000000000004</v>
      </c>
      <c r="D348" s="8">
        <f>CHOOSE( CONTROL!$C$32, 9.0348, 9.0299) * CHOOSE( CONTROL!$C$15, $D$11, 100%, $F$11)</f>
        <v>9.0348000000000006</v>
      </c>
      <c r="E348" s="12">
        <f>CHOOSE( CONTROL!$C$32, 9.03, 9.0251) * CHOOSE( CONTROL!$C$15, $D$11, 100%, $F$11)</f>
        <v>9.0299999999999994</v>
      </c>
      <c r="F348" s="4">
        <f>CHOOSE( CONTROL!$C$32, 9.7078, 9.7029) * CHOOSE(CONTROL!$C$15, $D$11, 100%, $F$11)</f>
        <v>9.7078000000000007</v>
      </c>
      <c r="G348" s="8">
        <f>CHOOSE( CONTROL!$C$32, 8.8391, 8.8343) * CHOOSE( CONTROL!$C$15, $D$11, 100%, $F$11)</f>
        <v>8.8391000000000002</v>
      </c>
      <c r="H348" s="4">
        <f>CHOOSE( CONTROL!$C$32, 9.7756, 9.7708) * CHOOSE(CONTROL!$C$15, $D$11, 100%, $F$11)</f>
        <v>9.7756000000000007</v>
      </c>
      <c r="I348" s="8">
        <f>CHOOSE( CONTROL!$C$32, 8.7869, 8.7822) * CHOOSE(CONTROL!$C$15, $D$11, 100%, $F$11)</f>
        <v>8.7868999999999993</v>
      </c>
      <c r="J348" s="4">
        <f>CHOOSE( CONTROL!$C$32, 8.6855, 8.6807) * CHOOSE(CONTROL!$C$15, $D$11, 100%, $F$11)</f>
        <v>8.6854999999999993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8.8289, 8.824) * CHOOSE(CONTROL!$C$15, $D$11, 100%, $F$11)</f>
        <v>8.8289000000000009</v>
      </c>
      <c r="C349" s="8">
        <f>CHOOSE( CONTROL!$C$32, 8.8369, 8.832) * CHOOSE(CONTROL!$C$15, $D$11, 100%, $F$11)</f>
        <v>8.8369</v>
      </c>
      <c r="D349" s="8">
        <f>CHOOSE( CONTROL!$C$32, 8.8466, 8.8418) * CHOOSE( CONTROL!$C$15, $D$11, 100%, $F$11)</f>
        <v>8.8466000000000005</v>
      </c>
      <c r="E349" s="12">
        <f>CHOOSE( CONTROL!$C$32, 8.8419, 8.837) * CHOOSE( CONTROL!$C$15, $D$11, 100%, $F$11)</f>
        <v>8.8419000000000008</v>
      </c>
      <c r="F349" s="4">
        <f>CHOOSE( CONTROL!$C$32, 9.5197, 9.5148) * CHOOSE(CONTROL!$C$15, $D$11, 100%, $F$11)</f>
        <v>9.5197000000000003</v>
      </c>
      <c r="G349" s="8">
        <f>CHOOSE( CONTROL!$C$32, 8.654, 8.6492) * CHOOSE( CONTROL!$C$15, $D$11, 100%, $F$11)</f>
        <v>8.6539999999999999</v>
      </c>
      <c r="H349" s="4">
        <f>CHOOSE( CONTROL!$C$32, 9.5906, 9.5858) * CHOOSE(CONTROL!$C$15, $D$11, 100%, $F$11)</f>
        <v>9.5906000000000002</v>
      </c>
      <c r="I349" s="8">
        <f>CHOOSE( CONTROL!$C$32, 8.6048, 8.6001) * CHOOSE(CONTROL!$C$15, $D$11, 100%, $F$11)</f>
        <v>8.6047999999999991</v>
      </c>
      <c r="J349" s="4">
        <f>CHOOSE( CONTROL!$C$32, 8.5036, 8.4989) * CHOOSE(CONTROL!$C$15, $D$11, 100%, $F$11)</f>
        <v>8.5036000000000005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9.2128 * CHOOSE(CONTROL!$C$15, $D$11, 100%, $F$11)</f>
        <v>9.2127999999999997</v>
      </c>
      <c r="C350" s="8">
        <f>9.2182 * CHOOSE(CONTROL!$C$15, $D$11, 100%, $F$11)</f>
        <v>9.2181999999999995</v>
      </c>
      <c r="D350" s="8">
        <f>9.2327 * CHOOSE( CONTROL!$C$15, $D$11, 100%, $F$11)</f>
        <v>9.2326999999999995</v>
      </c>
      <c r="E350" s="12">
        <f>9.2273 * CHOOSE( CONTROL!$C$15, $D$11, 100%, $F$11)</f>
        <v>9.2272999999999996</v>
      </c>
      <c r="F350" s="4">
        <f>9.9054 * CHOOSE(CONTROL!$C$15, $D$11, 100%, $F$11)</f>
        <v>9.9054000000000002</v>
      </c>
      <c r="G350" s="8">
        <f>9.0326 * CHOOSE( CONTROL!$C$15, $D$11, 100%, $F$11)</f>
        <v>9.0326000000000004</v>
      </c>
      <c r="H350" s="4">
        <f>9.9699 * CHOOSE(CONTROL!$C$15, $D$11, 100%, $F$11)</f>
        <v>9.9699000000000009</v>
      </c>
      <c r="I350" s="8">
        <f>8.9787 * CHOOSE(CONTROL!$C$15, $D$11, 100%, $F$11)</f>
        <v>8.9786999999999999</v>
      </c>
      <c r="J350" s="4">
        <f>8.8764 * CHOOSE(CONTROL!$C$15, $D$11, 100%, $F$11)</f>
        <v>8.8764000000000003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9.9333 * CHOOSE(CONTROL!$C$15, $D$11, 100%, $F$11)</f>
        <v>9.9332999999999991</v>
      </c>
      <c r="C351" s="8">
        <f>9.9384 * CHOOSE(CONTROL!$C$15, $D$11, 100%, $F$11)</f>
        <v>9.9383999999999997</v>
      </c>
      <c r="D351" s="8">
        <f>9.9154 * CHOOSE( CONTROL!$C$15, $D$11, 100%, $F$11)</f>
        <v>9.9154</v>
      </c>
      <c r="E351" s="12">
        <f>9.9233 * CHOOSE( CONTROL!$C$15, $D$11, 100%, $F$11)</f>
        <v>9.9232999999999993</v>
      </c>
      <c r="F351" s="4">
        <f>10.5782 * CHOOSE(CONTROL!$C$15, $D$11, 100%, $F$11)</f>
        <v>10.578200000000001</v>
      </c>
      <c r="G351" s="8">
        <f>9.7495 * CHOOSE( CONTROL!$C$15, $D$11, 100%, $F$11)</f>
        <v>9.7494999999999994</v>
      </c>
      <c r="H351" s="4">
        <f>10.6315 * CHOOSE(CONTROL!$C$15, $D$11, 100%, $F$11)</f>
        <v>10.631500000000001</v>
      </c>
      <c r="I351" s="8">
        <f>9.7006 * CHOOSE(CONTROL!$C$15, $D$11, 100%, $F$11)</f>
        <v>9.7005999999999997</v>
      </c>
      <c r="J351" s="4">
        <f>9.5733 * CHOOSE(CONTROL!$C$15, $D$11, 100%, $F$11)</f>
        <v>9.5732999999999997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9.9153 * CHOOSE(CONTROL!$C$15, $D$11, 100%, $F$11)</f>
        <v>9.9153000000000002</v>
      </c>
      <c r="C352" s="8">
        <f>9.9204 * CHOOSE(CONTROL!$C$15, $D$11, 100%, $F$11)</f>
        <v>9.9204000000000008</v>
      </c>
      <c r="D352" s="8">
        <f>9.8989 * CHOOSE( CONTROL!$C$15, $D$11, 100%, $F$11)</f>
        <v>9.8988999999999994</v>
      </c>
      <c r="E352" s="12">
        <f>9.9062 * CHOOSE( CONTROL!$C$15, $D$11, 100%, $F$11)</f>
        <v>9.9062000000000001</v>
      </c>
      <c r="F352" s="4">
        <f>10.5601 * CHOOSE(CONTROL!$C$15, $D$11, 100%, $F$11)</f>
        <v>10.5601</v>
      </c>
      <c r="G352" s="8">
        <f>9.7329 * CHOOSE( CONTROL!$C$15, $D$11, 100%, $F$11)</f>
        <v>9.7329000000000008</v>
      </c>
      <c r="H352" s="4">
        <f>10.6138 * CHOOSE(CONTROL!$C$15, $D$11, 100%, $F$11)</f>
        <v>10.613799999999999</v>
      </c>
      <c r="I352" s="8">
        <f>9.6881 * CHOOSE(CONTROL!$C$15, $D$11, 100%, $F$11)</f>
        <v>9.6881000000000004</v>
      </c>
      <c r="J352" s="4">
        <f>9.5559 * CHOOSE(CONTROL!$C$15, $D$11, 100%, $F$11)</f>
        <v>9.5558999999999994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10.2931 * CHOOSE(CONTROL!$C$15, $D$11, 100%, $F$11)</f>
        <v>10.293100000000001</v>
      </c>
      <c r="C353" s="8">
        <f>10.2982 * CHOOSE(CONTROL!$C$15, $D$11, 100%, $F$11)</f>
        <v>10.2982</v>
      </c>
      <c r="D353" s="8">
        <f>10.2728 * CHOOSE( CONTROL!$C$15, $D$11, 100%, $F$11)</f>
        <v>10.2728</v>
      </c>
      <c r="E353" s="12">
        <f>10.2815 * CHOOSE( CONTROL!$C$15, $D$11, 100%, $F$11)</f>
        <v>10.281499999999999</v>
      </c>
      <c r="F353" s="4">
        <f>10.9354 * CHOOSE(CONTROL!$C$15, $D$11, 100%, $F$11)</f>
        <v>10.9354</v>
      </c>
      <c r="G353" s="8">
        <f>10.0991 * CHOOSE( CONTROL!$C$15, $D$11, 100%, $F$11)</f>
        <v>10.0991</v>
      </c>
      <c r="H353" s="4">
        <f>10.9828 * CHOOSE(CONTROL!$C$15, $D$11, 100%, $F$11)</f>
        <v>10.982799999999999</v>
      </c>
      <c r="I353" s="8">
        <f>10.0338 * CHOOSE(CONTROL!$C$15, $D$11, 100%, $F$11)</f>
        <v>10.033799999999999</v>
      </c>
      <c r="J353" s="4">
        <f>9.9211 * CHOOSE(CONTROL!$C$15, $D$11, 100%, $F$11)</f>
        <v>9.9210999999999991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9.6296 * CHOOSE(CONTROL!$C$15, $D$11, 100%, $F$11)</f>
        <v>9.6295999999999999</v>
      </c>
      <c r="C354" s="8">
        <f>9.6347 * CHOOSE(CONTROL!$C$15, $D$11, 100%, $F$11)</f>
        <v>9.6347000000000005</v>
      </c>
      <c r="D354" s="8">
        <f>9.6094 * CHOOSE( CONTROL!$C$15, $D$11, 100%, $F$11)</f>
        <v>9.6094000000000008</v>
      </c>
      <c r="E354" s="12">
        <f>9.6181 * CHOOSE( CONTROL!$C$15, $D$11, 100%, $F$11)</f>
        <v>9.6181000000000001</v>
      </c>
      <c r="F354" s="4">
        <f>10.2719 * CHOOSE(CONTROL!$C$15, $D$11, 100%, $F$11)</f>
        <v>10.2719</v>
      </c>
      <c r="G354" s="8">
        <f>9.4467 * CHOOSE( CONTROL!$C$15, $D$11, 100%, $F$11)</f>
        <v>9.4466999999999999</v>
      </c>
      <c r="H354" s="4">
        <f>10.3303 * CHOOSE(CONTROL!$C$15, $D$11, 100%, $F$11)</f>
        <v>10.330299999999999</v>
      </c>
      <c r="I354" s="8">
        <f>9.3924 * CHOOSE(CONTROL!$C$15, $D$11, 100%, $F$11)</f>
        <v>9.3924000000000003</v>
      </c>
      <c r="J354" s="4">
        <f>9.2797 * CHOOSE(CONTROL!$C$15, $D$11, 100%, $F$11)</f>
        <v>9.2797000000000001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9.4252 * CHOOSE(CONTROL!$C$15, $D$11, 100%, $F$11)</f>
        <v>9.4252000000000002</v>
      </c>
      <c r="C355" s="8">
        <f>9.4304 * CHOOSE(CONTROL!$C$15, $D$11, 100%, $F$11)</f>
        <v>9.4304000000000006</v>
      </c>
      <c r="D355" s="8">
        <f>9.4048 * CHOOSE( CONTROL!$C$15, $D$11, 100%, $F$11)</f>
        <v>9.4047999999999998</v>
      </c>
      <c r="E355" s="12">
        <f>9.4136 * CHOOSE( CONTROL!$C$15, $D$11, 100%, $F$11)</f>
        <v>9.4136000000000006</v>
      </c>
      <c r="F355" s="4">
        <f>10.0675 * CHOOSE(CONTROL!$C$15, $D$11, 100%, $F$11)</f>
        <v>10.067500000000001</v>
      </c>
      <c r="G355" s="8">
        <f>9.2456 * CHOOSE( CONTROL!$C$15, $D$11, 100%, $F$11)</f>
        <v>9.2455999999999996</v>
      </c>
      <c r="H355" s="4">
        <f>10.1294 * CHOOSE(CONTROL!$C$15, $D$11, 100%, $F$11)</f>
        <v>10.1294</v>
      </c>
      <c r="I355" s="8">
        <f>9.1939 * CHOOSE(CONTROL!$C$15, $D$11, 100%, $F$11)</f>
        <v>9.1938999999999993</v>
      </c>
      <c r="J355" s="4">
        <f>9.0822 * CHOOSE(CONTROL!$C$15, $D$11, 100%, $F$11)</f>
        <v>9.0822000000000003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9.5688 * CHOOSE(CONTROL!$C$15, $D$11, 100%, $F$11)</f>
        <v>9.5687999999999995</v>
      </c>
      <c r="C356" s="8">
        <f>9.5733 * CHOOSE(CONTROL!$C$15, $D$11, 100%, $F$11)</f>
        <v>9.5732999999999997</v>
      </c>
      <c r="D356" s="8">
        <f>9.5877 * CHOOSE( CONTROL!$C$15, $D$11, 100%, $F$11)</f>
        <v>9.5876999999999999</v>
      </c>
      <c r="E356" s="12">
        <f>9.5824 * CHOOSE( CONTROL!$C$15, $D$11, 100%, $F$11)</f>
        <v>9.5823999999999998</v>
      </c>
      <c r="F356" s="4">
        <f>10.261 * CHOOSE(CONTROL!$C$15, $D$11, 100%, $F$11)</f>
        <v>10.260999999999999</v>
      </c>
      <c r="G356" s="8">
        <f>9.3812 * CHOOSE( CONTROL!$C$15, $D$11, 100%, $F$11)</f>
        <v>9.3811999999999998</v>
      </c>
      <c r="H356" s="4">
        <f>10.3196 * CHOOSE(CONTROL!$C$15, $D$11, 100%, $F$11)</f>
        <v>10.319599999999999</v>
      </c>
      <c r="I356" s="8">
        <f>9.3192 * CHOOSE(CONTROL!$C$15, $D$11, 100%, $F$11)</f>
        <v>9.3192000000000004</v>
      </c>
      <c r="J356" s="4">
        <f>9.2202 * CHOOSE(CONTROL!$C$15, $D$11, 100%, $F$11)</f>
        <v>9.2202000000000002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9.8292, 9.8243) * CHOOSE(CONTROL!$C$15, $D$11, 100%, $F$11)</f>
        <v>9.8292000000000002</v>
      </c>
      <c r="C357" s="8">
        <f>CHOOSE( CONTROL!$C$32, 9.8372, 9.8323) * CHOOSE(CONTROL!$C$15, $D$11, 100%, $F$11)</f>
        <v>9.8371999999999993</v>
      </c>
      <c r="D357" s="8">
        <f>CHOOSE( CONTROL!$C$32, 9.8465, 9.8416) * CHOOSE( CONTROL!$C$15, $D$11, 100%, $F$11)</f>
        <v>9.8465000000000007</v>
      </c>
      <c r="E357" s="12">
        <f>CHOOSE( CONTROL!$C$32, 9.8419, 9.837) * CHOOSE( CONTROL!$C$15, $D$11, 100%, $F$11)</f>
        <v>9.8419000000000008</v>
      </c>
      <c r="F357" s="4">
        <f>CHOOSE( CONTROL!$C$32, 10.5201, 10.5152) * CHOOSE(CONTROL!$C$15, $D$11, 100%, $F$11)</f>
        <v>10.520099999999999</v>
      </c>
      <c r="G357" s="8">
        <f>CHOOSE( CONTROL!$C$32, 9.6371, 9.6323) * CHOOSE( CONTROL!$C$15, $D$11, 100%, $F$11)</f>
        <v>9.6371000000000002</v>
      </c>
      <c r="H357" s="4">
        <f>CHOOSE( CONTROL!$C$32, 10.5744, 10.5696) * CHOOSE(CONTROL!$C$15, $D$11, 100%, $F$11)</f>
        <v>10.574400000000001</v>
      </c>
      <c r="I357" s="8">
        <f>CHOOSE( CONTROL!$C$32, 9.5701, 9.5654) * CHOOSE(CONTROL!$C$15, $D$11, 100%, $F$11)</f>
        <v>9.5701000000000001</v>
      </c>
      <c r="J357" s="4">
        <f>CHOOSE( CONTROL!$C$32, 9.4706, 9.4659) * CHOOSE(CONTROL!$C$15, $D$11, 100%, $F$11)</f>
        <v>9.4705999999999992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9.6718, 9.6669) * CHOOSE(CONTROL!$C$15, $D$11, 100%, $F$11)</f>
        <v>9.6717999999999993</v>
      </c>
      <c r="C358" s="8">
        <f>CHOOSE( CONTROL!$C$32, 9.6798, 9.6749) * CHOOSE(CONTROL!$C$15, $D$11, 100%, $F$11)</f>
        <v>9.6798000000000002</v>
      </c>
      <c r="D358" s="8">
        <f>CHOOSE( CONTROL!$C$32, 9.6893, 9.6844) * CHOOSE( CONTROL!$C$15, $D$11, 100%, $F$11)</f>
        <v>9.6892999999999994</v>
      </c>
      <c r="E358" s="12">
        <f>CHOOSE( CONTROL!$C$32, 9.6846, 9.6797) * CHOOSE( CONTROL!$C$15, $D$11, 100%, $F$11)</f>
        <v>9.6845999999999997</v>
      </c>
      <c r="F358" s="4">
        <f>CHOOSE( CONTROL!$C$32, 10.3626, 10.3577) * CHOOSE(CONTROL!$C$15, $D$11, 100%, $F$11)</f>
        <v>10.3626</v>
      </c>
      <c r="G358" s="8">
        <f>CHOOSE( CONTROL!$C$32, 9.4826, 9.4778) * CHOOSE( CONTROL!$C$15, $D$11, 100%, $F$11)</f>
        <v>9.4825999999999997</v>
      </c>
      <c r="H358" s="4">
        <f>CHOOSE( CONTROL!$C$32, 10.4196, 10.4147) * CHOOSE(CONTROL!$C$15, $D$11, 100%, $F$11)</f>
        <v>10.419600000000001</v>
      </c>
      <c r="I358" s="8">
        <f>CHOOSE( CONTROL!$C$32, 9.4189, 9.4141) * CHOOSE(CONTROL!$C$15, $D$11, 100%, $F$11)</f>
        <v>9.4189000000000007</v>
      </c>
      <c r="J358" s="4">
        <f>CHOOSE( CONTROL!$C$32, 9.3185, 9.3137) * CHOOSE(CONTROL!$C$15, $D$11, 100%, $F$11)</f>
        <v>9.3185000000000002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10.0863, 10.0814) * CHOOSE(CONTROL!$C$15, $D$11, 100%, $F$11)</f>
        <v>10.0863</v>
      </c>
      <c r="C359" s="8">
        <f>CHOOSE( CONTROL!$C$32, 10.0944, 10.0895) * CHOOSE(CONTROL!$C$15, $D$11, 100%, $F$11)</f>
        <v>10.0944</v>
      </c>
      <c r="D359" s="8">
        <f>CHOOSE( CONTROL!$C$32, 10.1041, 10.0992) * CHOOSE( CONTROL!$C$15, $D$11, 100%, $F$11)</f>
        <v>10.104100000000001</v>
      </c>
      <c r="E359" s="12">
        <f>CHOOSE( CONTROL!$C$32, 10.0994, 10.0945) * CHOOSE( CONTROL!$C$15, $D$11, 100%, $F$11)</f>
        <v>10.099399999999999</v>
      </c>
      <c r="F359" s="4">
        <f>CHOOSE( CONTROL!$C$32, 10.7772, 10.7723) * CHOOSE(CONTROL!$C$15, $D$11, 100%, $F$11)</f>
        <v>10.777200000000001</v>
      </c>
      <c r="G359" s="8">
        <f>CHOOSE( CONTROL!$C$32, 9.8906, 9.8858) * CHOOSE( CONTROL!$C$15, $D$11, 100%, $F$11)</f>
        <v>9.8905999999999992</v>
      </c>
      <c r="H359" s="4">
        <f>CHOOSE( CONTROL!$C$32, 10.8273, 10.8224) * CHOOSE(CONTROL!$C$15, $D$11, 100%, $F$11)</f>
        <v>10.827299999999999</v>
      </c>
      <c r="I359" s="8">
        <f>CHOOSE( CONTROL!$C$32, 9.8209, 9.8162) * CHOOSE(CONTROL!$C$15, $D$11, 100%, $F$11)</f>
        <v>9.8209</v>
      </c>
      <c r="J359" s="4">
        <f>CHOOSE( CONTROL!$C$32, 9.7192, 9.7145) * CHOOSE(CONTROL!$C$15, $D$11, 100%, $F$11)</f>
        <v>9.7192000000000007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9.3106, 9.3057) * CHOOSE(CONTROL!$C$15, $D$11, 100%, $F$11)</f>
        <v>9.3106000000000009</v>
      </c>
      <c r="C360" s="8">
        <f>CHOOSE( CONTROL!$C$32, 9.3186, 9.3137) * CHOOSE(CONTROL!$C$15, $D$11, 100%, $F$11)</f>
        <v>9.3186</v>
      </c>
      <c r="D360" s="8">
        <f>CHOOSE( CONTROL!$C$32, 9.3284, 9.3236) * CHOOSE( CONTROL!$C$15, $D$11, 100%, $F$11)</f>
        <v>9.3284000000000002</v>
      </c>
      <c r="E360" s="12">
        <f>CHOOSE( CONTROL!$C$32, 9.3236, 9.3188) * CHOOSE( CONTROL!$C$15, $D$11, 100%, $F$11)</f>
        <v>9.3236000000000008</v>
      </c>
      <c r="F360" s="4">
        <f>CHOOSE( CONTROL!$C$32, 10.0015, 9.9966) * CHOOSE(CONTROL!$C$15, $D$11, 100%, $F$11)</f>
        <v>10.0015</v>
      </c>
      <c r="G360" s="8">
        <f>CHOOSE( CONTROL!$C$32, 9.1279, 9.1231) * CHOOSE( CONTROL!$C$15, $D$11, 100%, $F$11)</f>
        <v>9.1279000000000003</v>
      </c>
      <c r="H360" s="4">
        <f>CHOOSE( CONTROL!$C$32, 10.0644, 10.0596) * CHOOSE(CONTROL!$C$15, $D$11, 100%, $F$11)</f>
        <v>10.064399999999999</v>
      </c>
      <c r="I360" s="8">
        <f>CHOOSE( CONTROL!$C$32, 9.071, 9.0663) * CHOOSE(CONTROL!$C$15, $D$11, 100%, $F$11)</f>
        <v>9.0709999999999997</v>
      </c>
      <c r="J360" s="4">
        <f>CHOOSE( CONTROL!$C$32, 8.9693, 8.9646) * CHOOSE(CONTROL!$C$15, $D$11, 100%, $F$11)</f>
        <v>8.9693000000000005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9.1164, 9.1115) * CHOOSE(CONTROL!$C$15, $D$11, 100%, $F$11)</f>
        <v>9.1164000000000005</v>
      </c>
      <c r="C361" s="8">
        <f>CHOOSE( CONTROL!$C$32, 9.1244, 9.1195) * CHOOSE(CONTROL!$C$15, $D$11, 100%, $F$11)</f>
        <v>9.1243999999999996</v>
      </c>
      <c r="D361" s="8">
        <f>CHOOSE( CONTROL!$C$32, 9.1342, 9.1293) * CHOOSE( CONTROL!$C$15, $D$11, 100%, $F$11)</f>
        <v>9.1341999999999999</v>
      </c>
      <c r="E361" s="12">
        <f>CHOOSE( CONTROL!$C$32, 9.1294, 9.1245) * CHOOSE( CONTROL!$C$15, $D$11, 100%, $F$11)</f>
        <v>9.1294000000000004</v>
      </c>
      <c r="F361" s="4">
        <f>CHOOSE( CONTROL!$C$32, 9.8072, 9.8023) * CHOOSE(CONTROL!$C$15, $D$11, 100%, $F$11)</f>
        <v>9.8071999999999999</v>
      </c>
      <c r="G361" s="8">
        <f>CHOOSE( CONTROL!$C$32, 8.9368, 8.932) * CHOOSE( CONTROL!$C$15, $D$11, 100%, $F$11)</f>
        <v>8.9367999999999999</v>
      </c>
      <c r="H361" s="4">
        <f>CHOOSE( CONTROL!$C$32, 9.8734, 9.8686) * CHOOSE(CONTROL!$C$15, $D$11, 100%, $F$11)</f>
        <v>9.8734000000000002</v>
      </c>
      <c r="I361" s="8">
        <f>CHOOSE( CONTROL!$C$32, 8.8829, 8.8782) * CHOOSE(CONTROL!$C$15, $D$11, 100%, $F$11)</f>
        <v>8.8828999999999994</v>
      </c>
      <c r="J361" s="4">
        <f>CHOOSE( CONTROL!$C$32, 8.7816, 8.7768) * CHOOSE(CONTROL!$C$15, $D$11, 100%, $F$11)</f>
        <v>8.7815999999999992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9.5131 * CHOOSE(CONTROL!$C$15, $D$11, 100%, $F$11)</f>
        <v>9.5130999999999997</v>
      </c>
      <c r="C362" s="8">
        <f>9.5185 * CHOOSE(CONTROL!$C$15, $D$11, 100%, $F$11)</f>
        <v>9.5184999999999995</v>
      </c>
      <c r="D362" s="8">
        <f>9.533 * CHOOSE( CONTROL!$C$15, $D$11, 100%, $F$11)</f>
        <v>9.5329999999999995</v>
      </c>
      <c r="E362" s="12">
        <f>9.5276 * CHOOSE( CONTROL!$C$15, $D$11, 100%, $F$11)</f>
        <v>9.5275999999999996</v>
      </c>
      <c r="F362" s="4">
        <f>10.2057 * CHOOSE(CONTROL!$C$15, $D$11, 100%, $F$11)</f>
        <v>10.2057</v>
      </c>
      <c r="G362" s="8">
        <f>9.3279 * CHOOSE( CONTROL!$C$15, $D$11, 100%, $F$11)</f>
        <v>9.3278999999999996</v>
      </c>
      <c r="H362" s="4">
        <f>10.2652 * CHOOSE(CONTROL!$C$15, $D$11, 100%, $F$11)</f>
        <v>10.2652</v>
      </c>
      <c r="I362" s="8">
        <f>9.2691 * CHOOSE(CONTROL!$C$15, $D$11, 100%, $F$11)</f>
        <v>9.2690999999999999</v>
      </c>
      <c r="J362" s="4">
        <f>9.1667 * CHOOSE(CONTROL!$C$15, $D$11, 100%, $F$11)</f>
        <v>9.1667000000000005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10.2571 * CHOOSE(CONTROL!$C$15, $D$11, 100%, $F$11)</f>
        <v>10.257099999999999</v>
      </c>
      <c r="C363" s="8">
        <f>10.2623 * CHOOSE(CONTROL!$C$15, $D$11, 100%, $F$11)</f>
        <v>10.2623</v>
      </c>
      <c r="D363" s="8">
        <f>10.2392 * CHOOSE( CONTROL!$C$15, $D$11, 100%, $F$11)</f>
        <v>10.2392</v>
      </c>
      <c r="E363" s="12">
        <f>10.2471 * CHOOSE( CONTROL!$C$15, $D$11, 100%, $F$11)</f>
        <v>10.2471</v>
      </c>
      <c r="F363" s="4">
        <f>10.902 * CHOOSE(CONTROL!$C$15, $D$11, 100%, $F$11)</f>
        <v>10.901999999999999</v>
      </c>
      <c r="G363" s="8">
        <f>10.068 * CHOOSE( CONTROL!$C$15, $D$11, 100%, $F$11)</f>
        <v>10.068</v>
      </c>
      <c r="H363" s="4">
        <f>10.95 * CHOOSE(CONTROL!$C$15, $D$11, 100%, $F$11)</f>
        <v>10.95</v>
      </c>
      <c r="I363" s="8">
        <f>10.0138 * CHOOSE(CONTROL!$C$15, $D$11, 100%, $F$11)</f>
        <v>10.0138</v>
      </c>
      <c r="J363" s="4">
        <f>9.8864 * CHOOSE(CONTROL!$C$15, $D$11, 100%, $F$11)</f>
        <v>9.8864000000000001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10.2385 * CHOOSE(CONTROL!$C$15, $D$11, 100%, $F$11)</f>
        <v>10.2385</v>
      </c>
      <c r="C364" s="8">
        <f>10.2437 * CHOOSE(CONTROL!$C$15, $D$11, 100%, $F$11)</f>
        <v>10.2437</v>
      </c>
      <c r="D364" s="8">
        <f>10.2222 * CHOOSE( CONTROL!$C$15, $D$11, 100%, $F$11)</f>
        <v>10.222200000000001</v>
      </c>
      <c r="E364" s="12">
        <f>10.2295 * CHOOSE( CONTROL!$C$15, $D$11, 100%, $F$11)</f>
        <v>10.2295</v>
      </c>
      <c r="F364" s="4">
        <f>10.8834 * CHOOSE(CONTROL!$C$15, $D$11, 100%, $F$11)</f>
        <v>10.8834</v>
      </c>
      <c r="G364" s="8">
        <f>10.0508 * CHOOSE( CONTROL!$C$15, $D$11, 100%, $F$11)</f>
        <v>10.050800000000001</v>
      </c>
      <c r="H364" s="4">
        <f>10.9317 * CHOOSE(CONTROL!$C$15, $D$11, 100%, $F$11)</f>
        <v>10.931699999999999</v>
      </c>
      <c r="I364" s="8">
        <f>10.0008 * CHOOSE(CONTROL!$C$15, $D$11, 100%, $F$11)</f>
        <v>10.0008</v>
      </c>
      <c r="J364" s="4">
        <f>9.8684 * CHOOSE(CONTROL!$C$15, $D$11, 100%, $F$11)</f>
        <v>9.8683999999999994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10.6287 * CHOOSE(CONTROL!$C$15, $D$11, 100%, $F$11)</f>
        <v>10.6287</v>
      </c>
      <c r="C365" s="8">
        <f>10.6338 * CHOOSE(CONTROL!$C$15, $D$11, 100%, $F$11)</f>
        <v>10.633800000000001</v>
      </c>
      <c r="D365" s="8">
        <f>10.6084 * CHOOSE( CONTROL!$C$15, $D$11, 100%, $F$11)</f>
        <v>10.6084</v>
      </c>
      <c r="E365" s="12">
        <f>10.6171 * CHOOSE( CONTROL!$C$15, $D$11, 100%, $F$11)</f>
        <v>10.617100000000001</v>
      </c>
      <c r="F365" s="4">
        <f>11.271 * CHOOSE(CONTROL!$C$15, $D$11, 100%, $F$11)</f>
        <v>11.271000000000001</v>
      </c>
      <c r="G365" s="8">
        <f>10.4292 * CHOOSE( CONTROL!$C$15, $D$11, 100%, $F$11)</f>
        <v>10.4292</v>
      </c>
      <c r="H365" s="4">
        <f>11.3129 * CHOOSE(CONTROL!$C$15, $D$11, 100%, $F$11)</f>
        <v>11.312900000000001</v>
      </c>
      <c r="I365" s="8">
        <f>10.3584 * CHOOSE(CONTROL!$C$15, $D$11, 100%, $F$11)</f>
        <v>10.3584</v>
      </c>
      <c r="J365" s="4">
        <f>10.2456 * CHOOSE(CONTROL!$C$15, $D$11, 100%, $F$11)</f>
        <v>10.2456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9.9435 * CHOOSE(CONTROL!$C$15, $D$11, 100%, $F$11)</f>
        <v>9.9435000000000002</v>
      </c>
      <c r="C366" s="8">
        <f>9.9486 * CHOOSE(CONTROL!$C$15, $D$11, 100%, $F$11)</f>
        <v>9.9486000000000008</v>
      </c>
      <c r="D366" s="8">
        <f>9.9233 * CHOOSE( CONTROL!$C$15, $D$11, 100%, $F$11)</f>
        <v>9.9232999999999993</v>
      </c>
      <c r="E366" s="12">
        <f>9.932 * CHOOSE( CONTROL!$C$15, $D$11, 100%, $F$11)</f>
        <v>9.9320000000000004</v>
      </c>
      <c r="F366" s="4">
        <f>10.5858 * CHOOSE(CONTROL!$C$15, $D$11, 100%, $F$11)</f>
        <v>10.585800000000001</v>
      </c>
      <c r="G366" s="8">
        <f>9.7554 * CHOOSE( CONTROL!$C$15, $D$11, 100%, $F$11)</f>
        <v>9.7553999999999998</v>
      </c>
      <c r="H366" s="4">
        <f>10.6391 * CHOOSE(CONTROL!$C$15, $D$11, 100%, $F$11)</f>
        <v>10.639099999999999</v>
      </c>
      <c r="I366" s="8">
        <f>9.696 * CHOOSE(CONTROL!$C$15, $D$11, 100%, $F$11)</f>
        <v>9.6959999999999997</v>
      </c>
      <c r="J366" s="4">
        <f>9.5832 * CHOOSE(CONTROL!$C$15, $D$11, 100%, $F$11)</f>
        <v>9.5831999999999997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9.7325 * CHOOSE(CONTROL!$C$15, $D$11, 100%, $F$11)</f>
        <v>9.7324999999999999</v>
      </c>
      <c r="C367" s="8">
        <f>9.7376 * CHOOSE(CONTROL!$C$15, $D$11, 100%, $F$11)</f>
        <v>9.7376000000000005</v>
      </c>
      <c r="D367" s="8">
        <f>9.712 * CHOOSE( CONTROL!$C$15, $D$11, 100%, $F$11)</f>
        <v>9.7119999999999997</v>
      </c>
      <c r="E367" s="12">
        <f>9.7208 * CHOOSE( CONTROL!$C$15, $D$11, 100%, $F$11)</f>
        <v>9.7208000000000006</v>
      </c>
      <c r="F367" s="4">
        <f>10.3748 * CHOOSE(CONTROL!$C$15, $D$11, 100%, $F$11)</f>
        <v>10.3748</v>
      </c>
      <c r="G367" s="8">
        <f>9.5477 * CHOOSE( CONTROL!$C$15, $D$11, 100%, $F$11)</f>
        <v>9.5477000000000007</v>
      </c>
      <c r="H367" s="4">
        <f>10.4315 * CHOOSE(CONTROL!$C$15, $D$11, 100%, $F$11)</f>
        <v>10.4315</v>
      </c>
      <c r="I367" s="8">
        <f>9.4911 * CHOOSE(CONTROL!$C$15, $D$11, 100%, $F$11)</f>
        <v>9.4910999999999994</v>
      </c>
      <c r="J367" s="4">
        <f>9.3792 * CHOOSE(CONTROL!$C$15, $D$11, 100%, $F$11)</f>
        <v>9.3792000000000009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9.8807 * CHOOSE(CONTROL!$C$15, $D$11, 100%, $F$11)</f>
        <v>9.8806999999999992</v>
      </c>
      <c r="C368" s="8">
        <f>9.8853 * CHOOSE(CONTROL!$C$15, $D$11, 100%, $F$11)</f>
        <v>9.8853000000000009</v>
      </c>
      <c r="D368" s="8">
        <f>9.8996 * CHOOSE( CONTROL!$C$15, $D$11, 100%, $F$11)</f>
        <v>9.8995999999999995</v>
      </c>
      <c r="E368" s="12">
        <f>9.8944 * CHOOSE( CONTROL!$C$15, $D$11, 100%, $F$11)</f>
        <v>9.8943999999999992</v>
      </c>
      <c r="F368" s="4">
        <f>10.5729 * CHOOSE(CONTROL!$C$15, $D$11, 100%, $F$11)</f>
        <v>10.572900000000001</v>
      </c>
      <c r="G368" s="8">
        <f>9.688 * CHOOSE( CONTROL!$C$15, $D$11, 100%, $F$11)</f>
        <v>9.6880000000000006</v>
      </c>
      <c r="H368" s="4">
        <f>10.6264 * CHOOSE(CONTROL!$C$15, $D$11, 100%, $F$11)</f>
        <v>10.6264</v>
      </c>
      <c r="I368" s="8">
        <f>9.6209 * CHOOSE(CONTROL!$C$15, $D$11, 100%, $F$11)</f>
        <v>9.6209000000000007</v>
      </c>
      <c r="J368" s="4">
        <f>9.5218 * CHOOSE(CONTROL!$C$15, $D$11, 100%, $F$11)</f>
        <v>9.5218000000000007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10.1494, 10.1445) * CHOOSE(CONTROL!$C$15, $D$11, 100%, $F$11)</f>
        <v>10.1494</v>
      </c>
      <c r="C369" s="8">
        <f>CHOOSE( CONTROL!$C$32, 10.1574, 10.1526) * CHOOSE(CONTROL!$C$15, $D$11, 100%, $F$11)</f>
        <v>10.157400000000001</v>
      </c>
      <c r="D369" s="8">
        <f>CHOOSE( CONTROL!$C$32, 10.1667, 10.1619) * CHOOSE( CONTROL!$C$15, $D$11, 100%, $F$11)</f>
        <v>10.166700000000001</v>
      </c>
      <c r="E369" s="12">
        <f>CHOOSE( CONTROL!$C$32, 10.1621, 10.1573) * CHOOSE( CONTROL!$C$15, $D$11, 100%, $F$11)</f>
        <v>10.162100000000001</v>
      </c>
      <c r="F369" s="4">
        <f>CHOOSE( CONTROL!$C$32, 10.8403, 10.8354) * CHOOSE(CONTROL!$C$15, $D$11, 100%, $F$11)</f>
        <v>10.840299999999999</v>
      </c>
      <c r="G369" s="8">
        <f>CHOOSE( CONTROL!$C$32, 9.952, 9.9472) * CHOOSE( CONTROL!$C$15, $D$11, 100%, $F$11)</f>
        <v>9.952</v>
      </c>
      <c r="H369" s="4">
        <f>CHOOSE( CONTROL!$C$32, 10.8893, 10.8845) * CHOOSE(CONTROL!$C$15, $D$11, 100%, $F$11)</f>
        <v>10.8893</v>
      </c>
      <c r="I369" s="8">
        <f>CHOOSE( CONTROL!$C$32, 9.8798, 9.8751) * CHOOSE(CONTROL!$C$15, $D$11, 100%, $F$11)</f>
        <v>9.8797999999999995</v>
      </c>
      <c r="J369" s="4">
        <f>CHOOSE( CONTROL!$C$32, 9.7802, 9.7755) * CHOOSE(CONTROL!$C$15, $D$11, 100%, $F$11)</f>
        <v>9.7802000000000007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9.9868, 9.982) * CHOOSE(CONTROL!$C$15, $D$11, 100%, $F$11)</f>
        <v>9.9868000000000006</v>
      </c>
      <c r="C370" s="8">
        <f>CHOOSE( CONTROL!$C$32, 9.9949, 9.99) * CHOOSE(CONTROL!$C$15, $D$11, 100%, $F$11)</f>
        <v>9.9948999999999995</v>
      </c>
      <c r="D370" s="8">
        <f>CHOOSE( CONTROL!$C$32, 10.0044, 9.9995) * CHOOSE( CONTROL!$C$15, $D$11, 100%, $F$11)</f>
        <v>10.0044</v>
      </c>
      <c r="E370" s="12">
        <f>CHOOSE( CONTROL!$C$32, 9.9997, 9.9948) * CHOOSE( CONTROL!$C$15, $D$11, 100%, $F$11)</f>
        <v>9.9997000000000007</v>
      </c>
      <c r="F370" s="4">
        <f>CHOOSE( CONTROL!$C$32, 10.6777, 10.6728) * CHOOSE(CONTROL!$C$15, $D$11, 100%, $F$11)</f>
        <v>10.6777</v>
      </c>
      <c r="G370" s="8">
        <f>CHOOSE( CONTROL!$C$32, 9.7924, 9.7876) * CHOOSE( CONTROL!$C$15, $D$11, 100%, $F$11)</f>
        <v>9.7924000000000007</v>
      </c>
      <c r="H370" s="4">
        <f>CHOOSE( CONTROL!$C$32, 10.7294, 10.7246) * CHOOSE(CONTROL!$C$15, $D$11, 100%, $F$11)</f>
        <v>10.7294</v>
      </c>
      <c r="I370" s="8">
        <f>CHOOSE( CONTROL!$C$32, 9.7236, 9.7189) * CHOOSE(CONTROL!$C$15, $D$11, 100%, $F$11)</f>
        <v>9.7235999999999994</v>
      </c>
      <c r="J370" s="4">
        <f>CHOOSE( CONTROL!$C$32, 9.6231, 9.6183) * CHOOSE(CONTROL!$C$15, $D$11, 100%, $F$11)</f>
        <v>9.6231000000000009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10.415, 10.4101) * CHOOSE(CONTROL!$C$15, $D$11, 100%, $F$11)</f>
        <v>10.414999999999999</v>
      </c>
      <c r="C371" s="8">
        <f>CHOOSE( CONTROL!$C$32, 10.423, 10.4181) * CHOOSE(CONTROL!$C$15, $D$11, 100%, $F$11)</f>
        <v>10.423</v>
      </c>
      <c r="D371" s="8">
        <f>CHOOSE( CONTROL!$C$32, 10.4327, 10.4279) * CHOOSE( CONTROL!$C$15, $D$11, 100%, $F$11)</f>
        <v>10.432700000000001</v>
      </c>
      <c r="E371" s="12">
        <f>CHOOSE( CONTROL!$C$32, 10.428, 10.4231) * CHOOSE( CONTROL!$C$15, $D$11, 100%, $F$11)</f>
        <v>10.428000000000001</v>
      </c>
      <c r="F371" s="4">
        <f>CHOOSE( CONTROL!$C$32, 11.1058, 11.1009) * CHOOSE(CONTROL!$C$15, $D$11, 100%, $F$11)</f>
        <v>11.1058</v>
      </c>
      <c r="G371" s="8">
        <f>CHOOSE( CONTROL!$C$32, 10.2138, 10.209) * CHOOSE( CONTROL!$C$15, $D$11, 100%, $F$11)</f>
        <v>10.213800000000001</v>
      </c>
      <c r="H371" s="4">
        <f>CHOOSE( CONTROL!$C$32, 11.1504, 11.1456) * CHOOSE(CONTROL!$C$15, $D$11, 100%, $F$11)</f>
        <v>11.150399999999999</v>
      </c>
      <c r="I371" s="8">
        <f>CHOOSE( CONTROL!$C$32, 10.1388, 10.134) * CHOOSE(CONTROL!$C$15, $D$11, 100%, $F$11)</f>
        <v>10.1388</v>
      </c>
      <c r="J371" s="4">
        <f>CHOOSE( CONTROL!$C$32, 10.0369, 10.0322) * CHOOSE(CONTROL!$C$15, $D$11, 100%, $F$11)</f>
        <v>10.036899999999999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9.6139, 9.609) * CHOOSE(CONTROL!$C$15, $D$11, 100%, $F$11)</f>
        <v>9.6138999999999992</v>
      </c>
      <c r="C372" s="8">
        <f>CHOOSE( CONTROL!$C$32, 9.6219, 9.617) * CHOOSE(CONTROL!$C$15, $D$11, 100%, $F$11)</f>
        <v>9.6219000000000001</v>
      </c>
      <c r="D372" s="8">
        <f>CHOOSE( CONTROL!$C$32, 9.6317, 9.6268) * CHOOSE( CONTROL!$C$15, $D$11, 100%, $F$11)</f>
        <v>9.6317000000000004</v>
      </c>
      <c r="E372" s="12">
        <f>CHOOSE( CONTROL!$C$32, 9.6269, 9.622) * CHOOSE( CONTROL!$C$15, $D$11, 100%, $F$11)</f>
        <v>9.6268999999999991</v>
      </c>
      <c r="F372" s="4">
        <f>CHOOSE( CONTROL!$C$32, 10.3048, 10.2999) * CHOOSE(CONTROL!$C$15, $D$11, 100%, $F$11)</f>
        <v>10.3048</v>
      </c>
      <c r="G372" s="8">
        <f>CHOOSE( CONTROL!$C$32, 9.4261, 9.4213) * CHOOSE( CONTROL!$C$15, $D$11, 100%, $F$11)</f>
        <v>9.4260999999999999</v>
      </c>
      <c r="H372" s="4">
        <f>CHOOSE( CONTROL!$C$32, 10.3626, 10.3578) * CHOOSE(CONTROL!$C$15, $D$11, 100%, $F$11)</f>
        <v>10.3626</v>
      </c>
      <c r="I372" s="8">
        <f>CHOOSE( CONTROL!$C$32, 9.3643, 9.3596) * CHOOSE(CONTROL!$C$15, $D$11, 100%, $F$11)</f>
        <v>9.3643000000000001</v>
      </c>
      <c r="J372" s="4">
        <f>CHOOSE( CONTROL!$C$32, 9.2625, 9.2578) * CHOOSE(CONTROL!$C$15, $D$11, 100%, $F$11)</f>
        <v>9.2624999999999993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9.4133, 9.4084) * CHOOSE(CONTROL!$C$15, $D$11, 100%, $F$11)</f>
        <v>9.4132999999999996</v>
      </c>
      <c r="C373" s="8">
        <f>CHOOSE( CONTROL!$C$32, 9.4213, 9.4164) * CHOOSE(CONTROL!$C$15, $D$11, 100%, $F$11)</f>
        <v>9.4213000000000005</v>
      </c>
      <c r="D373" s="8">
        <f>CHOOSE( CONTROL!$C$32, 9.4311, 9.4262) * CHOOSE( CONTROL!$C$15, $D$11, 100%, $F$11)</f>
        <v>9.4311000000000007</v>
      </c>
      <c r="E373" s="12">
        <f>CHOOSE( CONTROL!$C$32, 9.4263, 9.4214) * CHOOSE( CONTROL!$C$15, $D$11, 100%, $F$11)</f>
        <v>9.4262999999999995</v>
      </c>
      <c r="F373" s="4">
        <f>CHOOSE( CONTROL!$C$32, 10.1041, 10.0993) * CHOOSE(CONTROL!$C$15, $D$11, 100%, $F$11)</f>
        <v>10.104100000000001</v>
      </c>
      <c r="G373" s="8">
        <f>CHOOSE( CONTROL!$C$32, 9.2288, 9.224) * CHOOSE( CONTROL!$C$15, $D$11, 100%, $F$11)</f>
        <v>9.2287999999999997</v>
      </c>
      <c r="H373" s="4">
        <f>CHOOSE( CONTROL!$C$32, 10.1654, 10.1606) * CHOOSE(CONTROL!$C$15, $D$11, 100%, $F$11)</f>
        <v>10.1654</v>
      </c>
      <c r="I373" s="8">
        <f>CHOOSE( CONTROL!$C$32, 9.1701, 9.1654) * CHOOSE(CONTROL!$C$15, $D$11, 100%, $F$11)</f>
        <v>9.1700999999999997</v>
      </c>
      <c r="J373" s="4">
        <f>CHOOSE( CONTROL!$C$32, 9.0686, 9.0639) * CHOOSE(CONTROL!$C$15, $D$11, 100%, $F$11)</f>
        <v>9.0686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9.8232 * CHOOSE(CONTROL!$C$15, $D$11, 100%, $F$11)</f>
        <v>9.8231999999999999</v>
      </c>
      <c r="C374" s="8">
        <f>9.8286 * CHOOSE(CONTROL!$C$15, $D$11, 100%, $F$11)</f>
        <v>9.8285999999999998</v>
      </c>
      <c r="D374" s="8">
        <f>9.8431 * CHOOSE( CONTROL!$C$15, $D$11, 100%, $F$11)</f>
        <v>9.8430999999999997</v>
      </c>
      <c r="E374" s="12">
        <f>9.8377 * CHOOSE( CONTROL!$C$15, $D$11, 100%, $F$11)</f>
        <v>9.8376999999999999</v>
      </c>
      <c r="F374" s="4">
        <f>10.5158 * CHOOSE(CONTROL!$C$15, $D$11, 100%, $F$11)</f>
        <v>10.5158</v>
      </c>
      <c r="G374" s="8">
        <f>9.6329 * CHOOSE( CONTROL!$C$15, $D$11, 100%, $F$11)</f>
        <v>9.6328999999999994</v>
      </c>
      <c r="H374" s="4">
        <f>10.5702 * CHOOSE(CONTROL!$C$15, $D$11, 100%, $F$11)</f>
        <v>10.5702</v>
      </c>
      <c r="I374" s="8">
        <f>9.5691 * CHOOSE(CONTROL!$C$15, $D$11, 100%, $F$11)</f>
        <v>9.5691000000000006</v>
      </c>
      <c r="J374" s="4">
        <f>9.4665 * CHOOSE(CONTROL!$C$15, $D$11, 100%, $F$11)</f>
        <v>9.4664999999999999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10.5916 * CHOOSE(CONTROL!$C$15, $D$11, 100%, $F$11)</f>
        <v>10.5916</v>
      </c>
      <c r="C375" s="8">
        <f>10.5967 * CHOOSE(CONTROL!$C$15, $D$11, 100%, $F$11)</f>
        <v>10.5967</v>
      </c>
      <c r="D375" s="8">
        <f>10.5737 * CHOOSE( CONTROL!$C$15, $D$11, 100%, $F$11)</f>
        <v>10.573700000000001</v>
      </c>
      <c r="E375" s="12">
        <f>10.5816 * CHOOSE( CONTROL!$C$15, $D$11, 100%, $F$11)</f>
        <v>10.5816</v>
      </c>
      <c r="F375" s="4">
        <f>11.2365 * CHOOSE(CONTROL!$C$15, $D$11, 100%, $F$11)</f>
        <v>11.236499999999999</v>
      </c>
      <c r="G375" s="8">
        <f>10.3969 * CHOOSE( CONTROL!$C$15, $D$11, 100%, $F$11)</f>
        <v>10.3969</v>
      </c>
      <c r="H375" s="4">
        <f>11.2789 * CHOOSE(CONTROL!$C$15, $D$11, 100%, $F$11)</f>
        <v>11.2789</v>
      </c>
      <c r="I375" s="8">
        <f>10.3373 * CHOOSE(CONTROL!$C$15, $D$11, 100%, $F$11)</f>
        <v>10.337300000000001</v>
      </c>
      <c r="J375" s="4">
        <f>10.2097 * CHOOSE(CONTROL!$C$15, $D$11, 100%, $F$11)</f>
        <v>10.2097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10.5724 * CHOOSE(CONTROL!$C$15, $D$11, 100%, $F$11)</f>
        <v>10.5724</v>
      </c>
      <c r="C376" s="8">
        <f>10.5775 * CHOOSE(CONTROL!$C$15, $D$11, 100%, $F$11)</f>
        <v>10.577500000000001</v>
      </c>
      <c r="D376" s="8">
        <f>10.556 * CHOOSE( CONTROL!$C$15, $D$11, 100%, $F$11)</f>
        <v>10.555999999999999</v>
      </c>
      <c r="E376" s="12">
        <f>10.5633 * CHOOSE( CONTROL!$C$15, $D$11, 100%, $F$11)</f>
        <v>10.5633</v>
      </c>
      <c r="F376" s="4">
        <f>11.2173 * CHOOSE(CONTROL!$C$15, $D$11, 100%, $F$11)</f>
        <v>11.2173</v>
      </c>
      <c r="G376" s="8">
        <f>10.3792 * CHOOSE( CONTROL!$C$15, $D$11, 100%, $F$11)</f>
        <v>10.379200000000001</v>
      </c>
      <c r="H376" s="4">
        <f>11.26 * CHOOSE(CONTROL!$C$15, $D$11, 100%, $F$11)</f>
        <v>11.26</v>
      </c>
      <c r="I376" s="8">
        <f>10.3237 * CHOOSE(CONTROL!$C$15, $D$11, 100%, $F$11)</f>
        <v>10.323700000000001</v>
      </c>
      <c r="J376" s="4">
        <f>10.1912 * CHOOSE(CONTROL!$C$15, $D$11, 100%, $F$11)</f>
        <v>10.1912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10.9753 * CHOOSE(CONTROL!$C$15, $D$11, 100%, $F$11)</f>
        <v>10.975300000000001</v>
      </c>
      <c r="C377" s="8">
        <f>10.9804 * CHOOSE(CONTROL!$C$15, $D$11, 100%, $F$11)</f>
        <v>10.980399999999999</v>
      </c>
      <c r="D377" s="8">
        <f>10.955 * CHOOSE( CONTROL!$C$15, $D$11, 100%, $F$11)</f>
        <v>10.955</v>
      </c>
      <c r="E377" s="12">
        <f>10.9637 * CHOOSE( CONTROL!$C$15, $D$11, 100%, $F$11)</f>
        <v>10.963699999999999</v>
      </c>
      <c r="F377" s="4">
        <f>11.6176 * CHOOSE(CONTROL!$C$15, $D$11, 100%, $F$11)</f>
        <v>11.617599999999999</v>
      </c>
      <c r="G377" s="8">
        <f>10.7701 * CHOOSE( CONTROL!$C$15, $D$11, 100%, $F$11)</f>
        <v>10.770099999999999</v>
      </c>
      <c r="H377" s="4">
        <f>11.6537 * CHOOSE(CONTROL!$C$15, $D$11, 100%, $F$11)</f>
        <v>11.653700000000001</v>
      </c>
      <c r="I377" s="8">
        <f>10.6937 * CHOOSE(CONTROL!$C$15, $D$11, 100%, $F$11)</f>
        <v>10.6937</v>
      </c>
      <c r="J377" s="4">
        <f>10.5807 * CHOOSE(CONTROL!$C$15, $D$11, 100%, $F$11)</f>
        <v>10.5807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10.2677 * CHOOSE(CONTROL!$C$15, $D$11, 100%, $F$11)</f>
        <v>10.2677</v>
      </c>
      <c r="C378" s="8">
        <f>10.2728 * CHOOSE(CONTROL!$C$15, $D$11, 100%, $F$11)</f>
        <v>10.2728</v>
      </c>
      <c r="D378" s="8">
        <f>10.2475 * CHOOSE( CONTROL!$C$15, $D$11, 100%, $F$11)</f>
        <v>10.2475</v>
      </c>
      <c r="E378" s="12">
        <f>10.2562 * CHOOSE( CONTROL!$C$15, $D$11, 100%, $F$11)</f>
        <v>10.2562</v>
      </c>
      <c r="F378" s="4">
        <f>10.91 * CHOOSE(CONTROL!$C$15, $D$11, 100%, $F$11)</f>
        <v>10.91</v>
      </c>
      <c r="G378" s="8">
        <f>10.0743 * CHOOSE( CONTROL!$C$15, $D$11, 100%, $F$11)</f>
        <v>10.074299999999999</v>
      </c>
      <c r="H378" s="4">
        <f>10.9579 * CHOOSE(CONTROL!$C$15, $D$11, 100%, $F$11)</f>
        <v>10.9579</v>
      </c>
      <c r="I378" s="8">
        <f>10.0096 * CHOOSE(CONTROL!$C$15, $D$11, 100%, $F$11)</f>
        <v>10.009600000000001</v>
      </c>
      <c r="J378" s="4">
        <f>9.8966 * CHOOSE(CONTROL!$C$15, $D$11, 100%, $F$11)</f>
        <v>9.8965999999999994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10.0498 * CHOOSE(CONTROL!$C$15, $D$11, 100%, $F$11)</f>
        <v>10.049799999999999</v>
      </c>
      <c r="C379" s="8">
        <f>10.0549 * CHOOSE(CONTROL!$C$15, $D$11, 100%, $F$11)</f>
        <v>10.0549</v>
      </c>
      <c r="D379" s="8">
        <f>10.0293 * CHOOSE( CONTROL!$C$15, $D$11, 100%, $F$11)</f>
        <v>10.029299999999999</v>
      </c>
      <c r="E379" s="12">
        <f>10.0381 * CHOOSE( CONTROL!$C$15, $D$11, 100%, $F$11)</f>
        <v>10.0381</v>
      </c>
      <c r="F379" s="4">
        <f>10.6921 * CHOOSE(CONTROL!$C$15, $D$11, 100%, $F$11)</f>
        <v>10.6921</v>
      </c>
      <c r="G379" s="8">
        <f>9.8598 * CHOOSE( CONTROL!$C$15, $D$11, 100%, $F$11)</f>
        <v>9.8597999999999999</v>
      </c>
      <c r="H379" s="4">
        <f>10.7436 * CHOOSE(CONTROL!$C$15, $D$11, 100%, $F$11)</f>
        <v>10.743600000000001</v>
      </c>
      <c r="I379" s="8">
        <f>9.798 * CHOOSE(CONTROL!$C$15, $D$11, 100%, $F$11)</f>
        <v>9.798</v>
      </c>
      <c r="J379" s="4">
        <f>9.686 * CHOOSE(CONTROL!$C$15, $D$11, 100%, $F$11)</f>
        <v>9.6859999999999999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10.2028 * CHOOSE(CONTROL!$C$15, $D$11, 100%, $F$11)</f>
        <v>10.2028</v>
      </c>
      <c r="C380" s="8">
        <f>10.2074 * CHOOSE(CONTROL!$C$15, $D$11, 100%, $F$11)</f>
        <v>10.2074</v>
      </c>
      <c r="D380" s="8">
        <f>10.2217 * CHOOSE( CONTROL!$C$15, $D$11, 100%, $F$11)</f>
        <v>10.2217</v>
      </c>
      <c r="E380" s="12">
        <f>10.2165 * CHOOSE( CONTROL!$C$15, $D$11, 100%, $F$11)</f>
        <v>10.2165</v>
      </c>
      <c r="F380" s="4">
        <f>10.8951 * CHOOSE(CONTROL!$C$15, $D$11, 100%, $F$11)</f>
        <v>10.895099999999999</v>
      </c>
      <c r="G380" s="8">
        <f>10.0048 * CHOOSE( CONTROL!$C$15, $D$11, 100%, $F$11)</f>
        <v>10.004799999999999</v>
      </c>
      <c r="H380" s="4">
        <f>10.9432 * CHOOSE(CONTROL!$C$15, $D$11, 100%, $F$11)</f>
        <v>10.943199999999999</v>
      </c>
      <c r="I380" s="8">
        <f>9.9324 * CHOOSE(CONTROL!$C$15, $D$11, 100%, $F$11)</f>
        <v>9.9323999999999995</v>
      </c>
      <c r="J380" s="4">
        <f>9.8332 * CHOOSE(CONTROL!$C$15, $D$11, 100%, $F$11)</f>
        <v>9.8331999999999997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10.4801, 10.4752) * CHOOSE(CONTROL!$C$15, $D$11, 100%, $F$11)</f>
        <v>10.4801</v>
      </c>
      <c r="C381" s="8">
        <f>CHOOSE( CONTROL!$C$32, 10.4882, 10.4833) * CHOOSE(CONTROL!$C$15, $D$11, 100%, $F$11)</f>
        <v>10.488200000000001</v>
      </c>
      <c r="D381" s="8">
        <f>CHOOSE( CONTROL!$C$32, 10.4975, 10.4926) * CHOOSE( CONTROL!$C$15, $D$11, 100%, $F$11)</f>
        <v>10.4975</v>
      </c>
      <c r="E381" s="12">
        <f>CHOOSE( CONTROL!$C$32, 10.4929, 10.488) * CHOOSE( CONTROL!$C$15, $D$11, 100%, $F$11)</f>
        <v>10.492900000000001</v>
      </c>
      <c r="F381" s="4">
        <f>CHOOSE( CONTROL!$C$32, 11.171, 11.1661) * CHOOSE(CONTROL!$C$15, $D$11, 100%, $F$11)</f>
        <v>11.170999999999999</v>
      </c>
      <c r="G381" s="8">
        <f>CHOOSE( CONTROL!$C$32, 10.2772, 10.2724) * CHOOSE( CONTROL!$C$15, $D$11, 100%, $F$11)</f>
        <v>10.277200000000001</v>
      </c>
      <c r="H381" s="4">
        <f>CHOOSE( CONTROL!$C$32, 11.2145, 11.2097) * CHOOSE(CONTROL!$C$15, $D$11, 100%, $F$11)</f>
        <v>11.214499999999999</v>
      </c>
      <c r="I381" s="8">
        <f>CHOOSE( CONTROL!$C$32, 10.1997, 10.1949) * CHOOSE(CONTROL!$C$15, $D$11, 100%, $F$11)</f>
        <v>10.1997</v>
      </c>
      <c r="J381" s="4">
        <f>CHOOSE( CONTROL!$C$32, 10.0999, 10.0952) * CHOOSE(CONTROL!$C$15, $D$11, 100%, $F$11)</f>
        <v>10.0999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10.3122, 10.3073) * CHOOSE(CONTROL!$C$15, $D$11, 100%, $F$11)</f>
        <v>10.312200000000001</v>
      </c>
      <c r="C382" s="8">
        <f>CHOOSE( CONTROL!$C$32, 10.3203, 10.3154) * CHOOSE(CONTROL!$C$15, $D$11, 100%, $F$11)</f>
        <v>10.3203</v>
      </c>
      <c r="D382" s="8">
        <f>CHOOSE( CONTROL!$C$32, 10.3298, 10.3249) * CHOOSE( CONTROL!$C$15, $D$11, 100%, $F$11)</f>
        <v>10.329800000000001</v>
      </c>
      <c r="E382" s="12">
        <f>CHOOSE( CONTROL!$C$32, 10.3251, 10.3202) * CHOOSE( CONTROL!$C$15, $D$11, 100%, $F$11)</f>
        <v>10.325100000000001</v>
      </c>
      <c r="F382" s="4">
        <f>CHOOSE( CONTROL!$C$32, 11.0031, 10.9982) * CHOOSE(CONTROL!$C$15, $D$11, 100%, $F$11)</f>
        <v>11.0031</v>
      </c>
      <c r="G382" s="8">
        <f>CHOOSE( CONTROL!$C$32, 10.1124, 10.1076) * CHOOSE( CONTROL!$C$15, $D$11, 100%, $F$11)</f>
        <v>10.112399999999999</v>
      </c>
      <c r="H382" s="4">
        <f>CHOOSE( CONTROL!$C$32, 11.0494, 11.0446) * CHOOSE(CONTROL!$C$15, $D$11, 100%, $F$11)</f>
        <v>11.0494</v>
      </c>
      <c r="I382" s="8">
        <f>CHOOSE( CONTROL!$C$32, 10.0383, 10.0336) * CHOOSE(CONTROL!$C$15, $D$11, 100%, $F$11)</f>
        <v>10.0383</v>
      </c>
      <c r="J382" s="4">
        <f>CHOOSE( CONTROL!$C$32, 9.9376, 9.9329) * CHOOSE(CONTROL!$C$15, $D$11, 100%, $F$11)</f>
        <v>9.9375999999999998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10.7544, 10.7495) * CHOOSE(CONTROL!$C$15, $D$11, 100%, $F$11)</f>
        <v>10.7544</v>
      </c>
      <c r="C383" s="8">
        <f>CHOOSE( CONTROL!$C$32, 10.7624, 10.7575) * CHOOSE(CONTROL!$C$15, $D$11, 100%, $F$11)</f>
        <v>10.7624</v>
      </c>
      <c r="D383" s="8">
        <f>CHOOSE( CONTROL!$C$32, 10.7721, 10.7672) * CHOOSE( CONTROL!$C$15, $D$11, 100%, $F$11)</f>
        <v>10.7721</v>
      </c>
      <c r="E383" s="12">
        <f>CHOOSE( CONTROL!$C$32, 10.7674, 10.7625) * CHOOSE( CONTROL!$C$15, $D$11, 100%, $F$11)</f>
        <v>10.7674</v>
      </c>
      <c r="F383" s="4">
        <f>CHOOSE( CONTROL!$C$32, 11.4452, 11.4403) * CHOOSE(CONTROL!$C$15, $D$11, 100%, $F$11)</f>
        <v>11.4452</v>
      </c>
      <c r="G383" s="8">
        <f>CHOOSE( CONTROL!$C$32, 10.5476, 10.5428) * CHOOSE( CONTROL!$C$15, $D$11, 100%, $F$11)</f>
        <v>10.547599999999999</v>
      </c>
      <c r="H383" s="4">
        <f>CHOOSE( CONTROL!$C$32, 11.4842, 11.4794) * CHOOSE(CONTROL!$C$15, $D$11, 100%, $F$11)</f>
        <v>11.4842</v>
      </c>
      <c r="I383" s="8">
        <f>CHOOSE( CONTROL!$C$32, 10.467, 10.4623) * CHOOSE(CONTROL!$C$15, $D$11, 100%, $F$11)</f>
        <v>10.467000000000001</v>
      </c>
      <c r="J383" s="4">
        <f>CHOOSE( CONTROL!$C$32, 10.365, 10.3603) * CHOOSE(CONTROL!$C$15, $D$11, 100%, $F$11)</f>
        <v>10.365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9.9271, 9.9222) * CHOOSE(CONTROL!$C$15, $D$11, 100%, $F$11)</f>
        <v>9.9270999999999994</v>
      </c>
      <c r="C384" s="8">
        <f>CHOOSE( CONTROL!$C$32, 9.9351, 9.9302) * CHOOSE(CONTROL!$C$15, $D$11, 100%, $F$11)</f>
        <v>9.9351000000000003</v>
      </c>
      <c r="D384" s="8">
        <f>CHOOSE( CONTROL!$C$32, 9.9449, 9.94) * CHOOSE( CONTROL!$C$15, $D$11, 100%, $F$11)</f>
        <v>9.9449000000000005</v>
      </c>
      <c r="E384" s="12">
        <f>CHOOSE( CONTROL!$C$32, 9.9401, 9.9352) * CHOOSE( CONTROL!$C$15, $D$11, 100%, $F$11)</f>
        <v>9.9400999999999993</v>
      </c>
      <c r="F384" s="4">
        <f>CHOOSE( CONTROL!$C$32, 10.6179, 10.6131) * CHOOSE(CONTROL!$C$15, $D$11, 100%, $F$11)</f>
        <v>10.617900000000001</v>
      </c>
      <c r="G384" s="8">
        <f>CHOOSE( CONTROL!$C$32, 9.7341, 9.7293) * CHOOSE( CONTROL!$C$15, $D$11, 100%, $F$11)</f>
        <v>9.7340999999999998</v>
      </c>
      <c r="H384" s="4">
        <f>CHOOSE( CONTROL!$C$32, 10.6706, 10.6658) * CHOOSE(CONTROL!$C$15, $D$11, 100%, $F$11)</f>
        <v>10.6706</v>
      </c>
      <c r="I384" s="8">
        <f>CHOOSE( CONTROL!$C$32, 9.6672, 9.6625) * CHOOSE(CONTROL!$C$15, $D$11, 100%, $F$11)</f>
        <v>9.6671999999999993</v>
      </c>
      <c r="J384" s="4">
        <f>CHOOSE( CONTROL!$C$32, 9.5653, 9.5606) * CHOOSE(CONTROL!$C$15, $D$11, 100%, $F$11)</f>
        <v>9.5653000000000006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9.7199, 9.715) * CHOOSE(CONTROL!$C$15, $D$11, 100%, $F$11)</f>
        <v>9.7199000000000009</v>
      </c>
      <c r="C385" s="8">
        <f>CHOOSE( CONTROL!$C$32, 9.7279, 9.723) * CHOOSE(CONTROL!$C$15, $D$11, 100%, $F$11)</f>
        <v>9.7279</v>
      </c>
      <c r="D385" s="8">
        <f>CHOOSE( CONTROL!$C$32, 9.7377, 9.7328) * CHOOSE( CONTROL!$C$15, $D$11, 100%, $F$11)</f>
        <v>9.7377000000000002</v>
      </c>
      <c r="E385" s="12">
        <f>CHOOSE( CONTROL!$C$32, 9.7329, 9.728) * CHOOSE( CONTROL!$C$15, $D$11, 100%, $F$11)</f>
        <v>9.7329000000000008</v>
      </c>
      <c r="F385" s="4">
        <f>CHOOSE( CONTROL!$C$32, 10.4108, 10.4059) * CHOOSE(CONTROL!$C$15, $D$11, 100%, $F$11)</f>
        <v>10.4108</v>
      </c>
      <c r="G385" s="8">
        <f>CHOOSE( CONTROL!$C$32, 9.5303, 9.5255) * CHOOSE( CONTROL!$C$15, $D$11, 100%, $F$11)</f>
        <v>9.5303000000000004</v>
      </c>
      <c r="H385" s="4">
        <f>CHOOSE( CONTROL!$C$32, 10.4669, 10.4621) * CHOOSE(CONTROL!$C$15, $D$11, 100%, $F$11)</f>
        <v>10.466900000000001</v>
      </c>
      <c r="I385" s="8">
        <f>CHOOSE( CONTROL!$C$32, 9.4667, 9.462) * CHOOSE(CONTROL!$C$15, $D$11, 100%, $F$11)</f>
        <v>9.4666999999999994</v>
      </c>
      <c r="J385" s="4">
        <f>CHOOSE( CONTROL!$C$32, 9.365, 9.3603) * CHOOSE(CONTROL!$C$15, $D$11, 100%, $F$11)</f>
        <v>9.3650000000000002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10.1435 * CHOOSE(CONTROL!$C$15, $D$11, 100%, $F$11)</f>
        <v>10.1435</v>
      </c>
      <c r="C386" s="8">
        <f>10.1488 * CHOOSE(CONTROL!$C$15, $D$11, 100%, $F$11)</f>
        <v>10.1488</v>
      </c>
      <c r="D386" s="8">
        <f>10.1634 * CHOOSE( CONTROL!$C$15, $D$11, 100%, $F$11)</f>
        <v>10.163399999999999</v>
      </c>
      <c r="E386" s="12">
        <f>10.158 * CHOOSE( CONTROL!$C$15, $D$11, 100%, $F$11)</f>
        <v>10.157999999999999</v>
      </c>
      <c r="F386" s="4">
        <f>10.836 * CHOOSE(CONTROL!$C$15, $D$11, 100%, $F$11)</f>
        <v>10.836</v>
      </c>
      <c r="G386" s="8">
        <f>9.9478 * CHOOSE( CONTROL!$C$15, $D$11, 100%, $F$11)</f>
        <v>9.9478000000000009</v>
      </c>
      <c r="H386" s="4">
        <f>10.8851 * CHOOSE(CONTROL!$C$15, $D$11, 100%, $F$11)</f>
        <v>10.8851</v>
      </c>
      <c r="I386" s="8">
        <f>9.8788 * CHOOSE(CONTROL!$C$15, $D$11, 100%, $F$11)</f>
        <v>9.8788</v>
      </c>
      <c r="J386" s="4">
        <f>9.7761 * CHOOSE(CONTROL!$C$15, $D$11, 100%, $F$11)</f>
        <v>9.7760999999999996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10.937 * CHOOSE(CONTROL!$C$15, $D$11, 100%, $F$11)</f>
        <v>10.936999999999999</v>
      </c>
      <c r="C387" s="8">
        <f>10.9421 * CHOOSE(CONTROL!$C$15, $D$11, 100%, $F$11)</f>
        <v>10.9421</v>
      </c>
      <c r="D387" s="8">
        <f>10.9191 * CHOOSE( CONTROL!$C$15, $D$11, 100%, $F$11)</f>
        <v>10.9191</v>
      </c>
      <c r="E387" s="12">
        <f>10.927 * CHOOSE( CONTROL!$C$15, $D$11, 100%, $F$11)</f>
        <v>10.927</v>
      </c>
      <c r="F387" s="4">
        <f>11.5819 * CHOOSE(CONTROL!$C$15, $D$11, 100%, $F$11)</f>
        <v>11.581899999999999</v>
      </c>
      <c r="G387" s="8">
        <f>10.7366 * CHOOSE( CONTROL!$C$15, $D$11, 100%, $F$11)</f>
        <v>10.736599999999999</v>
      </c>
      <c r="H387" s="4">
        <f>11.6186 * CHOOSE(CONTROL!$C$15, $D$11, 100%, $F$11)</f>
        <v>11.618600000000001</v>
      </c>
      <c r="I387" s="8">
        <f>10.6714 * CHOOSE(CONTROL!$C$15, $D$11, 100%, $F$11)</f>
        <v>10.6714</v>
      </c>
      <c r="J387" s="4">
        <f>10.5436 * CHOOSE(CONTROL!$C$15, $D$11, 100%, $F$11)</f>
        <v>10.5436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10.9172 * CHOOSE(CONTROL!$C$15, $D$11, 100%, $F$11)</f>
        <v>10.917199999999999</v>
      </c>
      <c r="C388" s="8">
        <f>10.9223 * CHOOSE(CONTROL!$C$15, $D$11, 100%, $F$11)</f>
        <v>10.9223</v>
      </c>
      <c r="D388" s="8">
        <f>10.9008 * CHOOSE( CONTROL!$C$15, $D$11, 100%, $F$11)</f>
        <v>10.9008</v>
      </c>
      <c r="E388" s="12">
        <f>10.9081 * CHOOSE( CONTROL!$C$15, $D$11, 100%, $F$11)</f>
        <v>10.908099999999999</v>
      </c>
      <c r="F388" s="4">
        <f>11.562 * CHOOSE(CONTROL!$C$15, $D$11, 100%, $F$11)</f>
        <v>11.561999999999999</v>
      </c>
      <c r="G388" s="8">
        <f>10.7182 * CHOOSE( CONTROL!$C$15, $D$11, 100%, $F$11)</f>
        <v>10.7182</v>
      </c>
      <c r="H388" s="4">
        <f>11.5991 * CHOOSE(CONTROL!$C$15, $D$11, 100%, $F$11)</f>
        <v>11.5991</v>
      </c>
      <c r="I388" s="8">
        <f>10.6571 * CHOOSE(CONTROL!$C$15, $D$11, 100%, $F$11)</f>
        <v>10.6571</v>
      </c>
      <c r="J388" s="4">
        <f>10.5244 * CHOOSE(CONTROL!$C$15, $D$11, 100%, $F$11)</f>
        <v>10.5244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11.3333 * CHOOSE(CONTROL!$C$15, $D$11, 100%, $F$11)</f>
        <v>11.333299999999999</v>
      </c>
      <c r="C389" s="8">
        <f>11.3384 * CHOOSE(CONTROL!$C$15, $D$11, 100%, $F$11)</f>
        <v>11.3384</v>
      </c>
      <c r="D389" s="8">
        <f>11.313 * CHOOSE( CONTROL!$C$15, $D$11, 100%, $F$11)</f>
        <v>11.313000000000001</v>
      </c>
      <c r="E389" s="12">
        <f>11.3217 * CHOOSE( CONTROL!$C$15, $D$11, 100%, $F$11)</f>
        <v>11.3217</v>
      </c>
      <c r="F389" s="4">
        <f>11.9756 * CHOOSE(CONTROL!$C$15, $D$11, 100%, $F$11)</f>
        <v>11.9756</v>
      </c>
      <c r="G389" s="8">
        <f>11.1221 * CHOOSE( CONTROL!$C$15, $D$11, 100%, $F$11)</f>
        <v>11.1221</v>
      </c>
      <c r="H389" s="4">
        <f>12.0057 * CHOOSE(CONTROL!$C$15, $D$11, 100%, $F$11)</f>
        <v>12.005699999999999</v>
      </c>
      <c r="I389" s="8">
        <f>11.0399 * CHOOSE(CONTROL!$C$15, $D$11, 100%, $F$11)</f>
        <v>11.039899999999999</v>
      </c>
      <c r="J389" s="4">
        <f>10.9267 * CHOOSE(CONTROL!$C$15, $D$11, 100%, $F$11)</f>
        <v>10.9267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10.6025 * CHOOSE(CONTROL!$C$15, $D$11, 100%, $F$11)</f>
        <v>10.602499999999999</v>
      </c>
      <c r="C390" s="8">
        <f>10.6076 * CHOOSE(CONTROL!$C$15, $D$11, 100%, $F$11)</f>
        <v>10.6076</v>
      </c>
      <c r="D390" s="8">
        <f>10.5823 * CHOOSE( CONTROL!$C$15, $D$11, 100%, $F$11)</f>
        <v>10.5823</v>
      </c>
      <c r="E390" s="12">
        <f>10.591 * CHOOSE( CONTROL!$C$15, $D$11, 100%, $F$11)</f>
        <v>10.590999999999999</v>
      </c>
      <c r="F390" s="4">
        <f>11.2448 * CHOOSE(CONTROL!$C$15, $D$11, 100%, $F$11)</f>
        <v>11.2448</v>
      </c>
      <c r="G390" s="8">
        <f>10.4035 * CHOOSE( CONTROL!$C$15, $D$11, 100%, $F$11)</f>
        <v>10.403499999999999</v>
      </c>
      <c r="H390" s="4">
        <f>11.2871 * CHOOSE(CONTROL!$C$15, $D$11, 100%, $F$11)</f>
        <v>11.287100000000001</v>
      </c>
      <c r="I390" s="8">
        <f>10.3334 * CHOOSE(CONTROL!$C$15, $D$11, 100%, $F$11)</f>
        <v>10.333399999999999</v>
      </c>
      <c r="J390" s="4">
        <f>10.2203 * CHOOSE(CONTROL!$C$15, $D$11, 100%, $F$11)</f>
        <v>10.2203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10.3775 * CHOOSE(CONTROL!$C$15, $D$11, 100%, $F$11)</f>
        <v>10.3775</v>
      </c>
      <c r="C391" s="8">
        <f>10.3826 * CHOOSE(CONTROL!$C$15, $D$11, 100%, $F$11)</f>
        <v>10.3826</v>
      </c>
      <c r="D391" s="8">
        <f>10.357 * CHOOSE( CONTROL!$C$15, $D$11, 100%, $F$11)</f>
        <v>10.356999999999999</v>
      </c>
      <c r="E391" s="12">
        <f>10.3658 * CHOOSE( CONTROL!$C$15, $D$11, 100%, $F$11)</f>
        <v>10.3658</v>
      </c>
      <c r="F391" s="4">
        <f>11.0198 * CHOOSE(CONTROL!$C$15, $D$11, 100%, $F$11)</f>
        <v>11.0198</v>
      </c>
      <c r="G391" s="8">
        <f>10.182 * CHOOSE( CONTROL!$C$15, $D$11, 100%, $F$11)</f>
        <v>10.182</v>
      </c>
      <c r="H391" s="4">
        <f>11.0658 * CHOOSE(CONTROL!$C$15, $D$11, 100%, $F$11)</f>
        <v>11.065799999999999</v>
      </c>
      <c r="I391" s="8">
        <f>10.1149 * CHOOSE(CONTROL!$C$15, $D$11, 100%, $F$11)</f>
        <v>10.1149</v>
      </c>
      <c r="J391" s="4">
        <f>10.0027 * CHOOSE(CONTROL!$C$15, $D$11, 100%, $F$11)</f>
        <v>10.002700000000001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10.5355 * CHOOSE(CONTROL!$C$15, $D$11, 100%, $F$11)</f>
        <v>10.535500000000001</v>
      </c>
      <c r="C392" s="8">
        <f>10.54 * CHOOSE(CONTROL!$C$15, $D$11, 100%, $F$11)</f>
        <v>10.54</v>
      </c>
      <c r="D392" s="8">
        <f>10.5544 * CHOOSE( CONTROL!$C$15, $D$11, 100%, $F$11)</f>
        <v>10.554399999999999</v>
      </c>
      <c r="E392" s="12">
        <f>10.5491 * CHOOSE( CONTROL!$C$15, $D$11, 100%, $F$11)</f>
        <v>10.549099999999999</v>
      </c>
      <c r="F392" s="4">
        <f>11.2277 * CHOOSE(CONTROL!$C$15, $D$11, 100%, $F$11)</f>
        <v>11.2277</v>
      </c>
      <c r="G392" s="8">
        <f>10.3319 * CHOOSE( CONTROL!$C$15, $D$11, 100%, $F$11)</f>
        <v>10.331899999999999</v>
      </c>
      <c r="H392" s="4">
        <f>11.2703 * CHOOSE(CONTROL!$C$15, $D$11, 100%, $F$11)</f>
        <v>11.270300000000001</v>
      </c>
      <c r="I392" s="8">
        <f>10.2542 * CHOOSE(CONTROL!$C$15, $D$11, 100%, $F$11)</f>
        <v>10.254200000000001</v>
      </c>
      <c r="J392" s="4">
        <f>10.1548 * CHOOSE(CONTROL!$C$15, $D$11, 100%, $F$11)</f>
        <v>10.1548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10.8217, 10.8168) * CHOOSE(CONTROL!$C$15, $D$11, 100%, $F$11)</f>
        <v>10.8217</v>
      </c>
      <c r="C393" s="8">
        <f>CHOOSE( CONTROL!$C$32, 10.8297, 10.8248) * CHOOSE(CONTROL!$C$15, $D$11, 100%, $F$11)</f>
        <v>10.829700000000001</v>
      </c>
      <c r="D393" s="8">
        <f>CHOOSE( CONTROL!$C$32, 10.839, 10.8341) * CHOOSE( CONTROL!$C$15, $D$11, 100%, $F$11)</f>
        <v>10.839</v>
      </c>
      <c r="E393" s="12">
        <f>CHOOSE( CONTROL!$C$32, 10.8344, 10.8295) * CHOOSE( CONTROL!$C$15, $D$11, 100%, $F$11)</f>
        <v>10.8344</v>
      </c>
      <c r="F393" s="4">
        <f>CHOOSE( CONTROL!$C$32, 11.5125, 11.5076) * CHOOSE(CONTROL!$C$15, $D$11, 100%, $F$11)</f>
        <v>11.512499999999999</v>
      </c>
      <c r="G393" s="8">
        <f>CHOOSE( CONTROL!$C$32, 10.6131, 10.6083) * CHOOSE( CONTROL!$C$15, $D$11, 100%, $F$11)</f>
        <v>10.613099999999999</v>
      </c>
      <c r="H393" s="4">
        <f>CHOOSE( CONTROL!$C$32, 11.5504, 11.5456) * CHOOSE(CONTROL!$C$15, $D$11, 100%, $F$11)</f>
        <v>11.5504</v>
      </c>
      <c r="I393" s="8">
        <f>CHOOSE( CONTROL!$C$32, 10.53, 10.5253) * CHOOSE(CONTROL!$C$15, $D$11, 100%, $F$11)</f>
        <v>10.53</v>
      </c>
      <c r="J393" s="4">
        <f>CHOOSE( CONTROL!$C$32, 10.4301, 10.4253) * CHOOSE(CONTROL!$C$15, $D$11, 100%, $F$11)</f>
        <v>10.430099999999999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10.6483, 10.6434) * CHOOSE(CONTROL!$C$15, $D$11, 100%, $F$11)</f>
        <v>10.648300000000001</v>
      </c>
      <c r="C394" s="8">
        <f>CHOOSE( CONTROL!$C$32, 10.6563, 10.6514) * CHOOSE(CONTROL!$C$15, $D$11, 100%, $F$11)</f>
        <v>10.6563</v>
      </c>
      <c r="D394" s="8">
        <f>CHOOSE( CONTROL!$C$32, 10.6658, 10.6609) * CHOOSE( CONTROL!$C$15, $D$11, 100%, $F$11)</f>
        <v>10.665800000000001</v>
      </c>
      <c r="E394" s="12">
        <f>CHOOSE( CONTROL!$C$32, 10.6611, 10.6562) * CHOOSE( CONTROL!$C$15, $D$11, 100%, $F$11)</f>
        <v>10.661099999999999</v>
      </c>
      <c r="F394" s="4">
        <f>CHOOSE( CONTROL!$C$32, 11.3391, 11.3342) * CHOOSE(CONTROL!$C$15, $D$11, 100%, $F$11)</f>
        <v>11.3391</v>
      </c>
      <c r="G394" s="8">
        <f>CHOOSE( CONTROL!$C$32, 10.4429, 10.4381) * CHOOSE( CONTROL!$C$15, $D$11, 100%, $F$11)</f>
        <v>10.4429</v>
      </c>
      <c r="H394" s="4">
        <f>CHOOSE( CONTROL!$C$32, 11.3799, 11.3751) * CHOOSE(CONTROL!$C$15, $D$11, 100%, $F$11)</f>
        <v>11.379899999999999</v>
      </c>
      <c r="I394" s="8">
        <f>CHOOSE( CONTROL!$C$32, 10.3633, 10.3586) * CHOOSE(CONTROL!$C$15, $D$11, 100%, $F$11)</f>
        <v>10.363300000000001</v>
      </c>
      <c r="J394" s="4">
        <f>CHOOSE( CONTROL!$C$32, 10.2624, 10.2577) * CHOOSE(CONTROL!$C$15, $D$11, 100%, $F$11)</f>
        <v>10.2624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11.1049, 11.1) * CHOOSE(CONTROL!$C$15, $D$11, 100%, $F$11)</f>
        <v>11.104900000000001</v>
      </c>
      <c r="C395" s="8">
        <f>CHOOSE( CONTROL!$C$32, 11.1129, 11.108) * CHOOSE(CONTROL!$C$15, $D$11, 100%, $F$11)</f>
        <v>11.1129</v>
      </c>
      <c r="D395" s="8">
        <f>CHOOSE( CONTROL!$C$32, 11.1226, 11.1177) * CHOOSE( CONTROL!$C$15, $D$11, 100%, $F$11)</f>
        <v>11.1226</v>
      </c>
      <c r="E395" s="12">
        <f>CHOOSE( CONTROL!$C$32, 11.1179, 11.113) * CHOOSE( CONTROL!$C$15, $D$11, 100%, $F$11)</f>
        <v>11.117900000000001</v>
      </c>
      <c r="F395" s="4">
        <f>CHOOSE( CONTROL!$C$32, 11.7957, 11.7908) * CHOOSE(CONTROL!$C$15, $D$11, 100%, $F$11)</f>
        <v>11.7957</v>
      </c>
      <c r="G395" s="8">
        <f>CHOOSE( CONTROL!$C$32, 10.8923, 10.8875) * CHOOSE( CONTROL!$C$15, $D$11, 100%, $F$11)</f>
        <v>10.892300000000001</v>
      </c>
      <c r="H395" s="4">
        <f>CHOOSE( CONTROL!$C$32, 11.8289, 11.8241) * CHOOSE(CONTROL!$C$15, $D$11, 100%, $F$11)</f>
        <v>11.828900000000001</v>
      </c>
      <c r="I395" s="8">
        <f>CHOOSE( CONTROL!$C$32, 10.806, 10.8013) * CHOOSE(CONTROL!$C$15, $D$11, 100%, $F$11)</f>
        <v>10.805999999999999</v>
      </c>
      <c r="J395" s="4">
        <f>CHOOSE( CONTROL!$C$32, 10.7038, 10.6991) * CHOOSE(CONTROL!$C$15, $D$11, 100%, $F$11)</f>
        <v>10.703799999999999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10.2505, 10.2456) * CHOOSE(CONTROL!$C$15, $D$11, 100%, $F$11)</f>
        <v>10.250500000000001</v>
      </c>
      <c r="C396" s="8">
        <f>CHOOSE( CONTROL!$C$32, 10.2585, 10.2536) * CHOOSE(CONTROL!$C$15, $D$11, 100%, $F$11)</f>
        <v>10.2585</v>
      </c>
      <c r="D396" s="8">
        <f>CHOOSE( CONTROL!$C$32, 10.2684, 10.2635) * CHOOSE( CONTROL!$C$15, $D$11, 100%, $F$11)</f>
        <v>10.2684</v>
      </c>
      <c r="E396" s="12">
        <f>CHOOSE( CONTROL!$C$32, 10.2636, 10.2587) * CHOOSE( CONTROL!$C$15, $D$11, 100%, $F$11)</f>
        <v>10.2636</v>
      </c>
      <c r="F396" s="4">
        <f>CHOOSE( CONTROL!$C$32, 10.9414, 10.9365) * CHOOSE(CONTROL!$C$15, $D$11, 100%, $F$11)</f>
        <v>10.9414</v>
      </c>
      <c r="G396" s="8">
        <f>CHOOSE( CONTROL!$C$32, 10.0522, 10.0474) * CHOOSE( CONTROL!$C$15, $D$11, 100%, $F$11)</f>
        <v>10.052199999999999</v>
      </c>
      <c r="H396" s="4">
        <f>CHOOSE( CONTROL!$C$32, 10.9887, 10.9839) * CHOOSE(CONTROL!$C$15, $D$11, 100%, $F$11)</f>
        <v>10.9887</v>
      </c>
      <c r="I396" s="8">
        <f>CHOOSE( CONTROL!$C$32, 9.98, 9.9753) * CHOOSE(CONTROL!$C$15, $D$11, 100%, $F$11)</f>
        <v>9.98</v>
      </c>
      <c r="J396" s="4">
        <f>CHOOSE( CONTROL!$C$32, 9.8779, 9.8732) * CHOOSE(CONTROL!$C$15, $D$11, 100%, $F$11)</f>
        <v>9.8779000000000003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10.0366, 10.0317) * CHOOSE(CONTROL!$C$15, $D$11, 100%, $F$11)</f>
        <v>10.0366</v>
      </c>
      <c r="C397" s="8">
        <f>CHOOSE( CONTROL!$C$32, 10.0446, 10.0397) * CHOOSE(CONTROL!$C$15, $D$11, 100%, $F$11)</f>
        <v>10.044600000000001</v>
      </c>
      <c r="D397" s="8">
        <f>CHOOSE( CONTROL!$C$32, 10.0544, 10.0495) * CHOOSE( CONTROL!$C$15, $D$11, 100%, $F$11)</f>
        <v>10.054399999999999</v>
      </c>
      <c r="E397" s="12">
        <f>CHOOSE( CONTROL!$C$32, 10.0496, 10.0447) * CHOOSE( CONTROL!$C$15, $D$11, 100%, $F$11)</f>
        <v>10.0496</v>
      </c>
      <c r="F397" s="4">
        <f>CHOOSE( CONTROL!$C$32, 10.7274, 10.7226) * CHOOSE(CONTROL!$C$15, $D$11, 100%, $F$11)</f>
        <v>10.727399999999999</v>
      </c>
      <c r="G397" s="8">
        <f>CHOOSE( CONTROL!$C$32, 9.8417, 9.8369) * CHOOSE( CONTROL!$C$15, $D$11, 100%, $F$11)</f>
        <v>9.8416999999999994</v>
      </c>
      <c r="H397" s="4">
        <f>CHOOSE( CONTROL!$C$32, 10.7783, 10.7735) * CHOOSE(CONTROL!$C$15, $D$11, 100%, $F$11)</f>
        <v>10.7783</v>
      </c>
      <c r="I397" s="8">
        <f>CHOOSE( CONTROL!$C$32, 9.773, 9.7682) * CHOOSE(CONTROL!$C$15, $D$11, 100%, $F$11)</f>
        <v>9.7729999999999997</v>
      </c>
      <c r="J397" s="4">
        <f>CHOOSE( CONTROL!$C$32, 9.6711, 9.6664) * CHOOSE(CONTROL!$C$15, $D$11, 100%, $F$11)</f>
        <v>9.6710999999999991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10.4742 * CHOOSE(CONTROL!$C$15, $D$11, 100%, $F$11)</f>
        <v>10.4742</v>
      </c>
      <c r="C398" s="8">
        <f>10.4795 * CHOOSE(CONTROL!$C$15, $D$11, 100%, $F$11)</f>
        <v>10.4795</v>
      </c>
      <c r="D398" s="8">
        <f>10.4941 * CHOOSE( CONTROL!$C$15, $D$11, 100%, $F$11)</f>
        <v>10.4941</v>
      </c>
      <c r="E398" s="12">
        <f>10.4887 * CHOOSE( CONTROL!$C$15, $D$11, 100%, $F$11)</f>
        <v>10.4887</v>
      </c>
      <c r="F398" s="4">
        <f>11.1668 * CHOOSE(CONTROL!$C$15, $D$11, 100%, $F$11)</f>
        <v>11.1668</v>
      </c>
      <c r="G398" s="8">
        <f>10.273 * CHOOSE( CONTROL!$C$15, $D$11, 100%, $F$11)</f>
        <v>10.273</v>
      </c>
      <c r="H398" s="4">
        <f>11.2104 * CHOOSE(CONTROL!$C$15, $D$11, 100%, $F$11)</f>
        <v>11.2104</v>
      </c>
      <c r="I398" s="8">
        <f>10.1987 * CHOOSE(CONTROL!$C$15, $D$11, 100%, $F$11)</f>
        <v>10.198700000000001</v>
      </c>
      <c r="J398" s="4">
        <f>10.0958 * CHOOSE(CONTROL!$C$15, $D$11, 100%, $F$11)</f>
        <v>10.095800000000001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11.2937 * CHOOSE(CONTROL!$C$15, $D$11, 100%, $F$11)</f>
        <v>11.293699999999999</v>
      </c>
      <c r="C399" s="8">
        <f>11.2988 * CHOOSE(CONTROL!$C$15, $D$11, 100%, $F$11)</f>
        <v>11.2988</v>
      </c>
      <c r="D399" s="8">
        <f>11.2758 * CHOOSE( CONTROL!$C$15, $D$11, 100%, $F$11)</f>
        <v>11.2758</v>
      </c>
      <c r="E399" s="12">
        <f>11.2837 * CHOOSE( CONTROL!$C$15, $D$11, 100%, $F$11)</f>
        <v>11.2837</v>
      </c>
      <c r="F399" s="4">
        <f>11.9386 * CHOOSE(CONTROL!$C$15, $D$11, 100%, $F$11)</f>
        <v>11.938599999999999</v>
      </c>
      <c r="G399" s="8">
        <f>11.0874 * CHOOSE( CONTROL!$C$15, $D$11, 100%, $F$11)</f>
        <v>11.087400000000001</v>
      </c>
      <c r="H399" s="4">
        <f>11.9694 * CHOOSE(CONTROL!$C$15, $D$11, 100%, $F$11)</f>
        <v>11.9694</v>
      </c>
      <c r="I399" s="8">
        <f>11.0164 * CHOOSE(CONTROL!$C$15, $D$11, 100%, $F$11)</f>
        <v>11.016400000000001</v>
      </c>
      <c r="J399" s="4">
        <f>10.8884 * CHOOSE(CONTROL!$C$15, $D$11, 100%, $F$11)</f>
        <v>10.888400000000001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11.2732 * CHOOSE(CONTROL!$C$15, $D$11, 100%, $F$11)</f>
        <v>11.273199999999999</v>
      </c>
      <c r="C400" s="8">
        <f>11.2783 * CHOOSE(CONTROL!$C$15, $D$11, 100%, $F$11)</f>
        <v>11.2783</v>
      </c>
      <c r="D400" s="8">
        <f>11.2568 * CHOOSE( CONTROL!$C$15, $D$11, 100%, $F$11)</f>
        <v>11.2568</v>
      </c>
      <c r="E400" s="12">
        <f>11.2641 * CHOOSE( CONTROL!$C$15, $D$11, 100%, $F$11)</f>
        <v>11.264099999999999</v>
      </c>
      <c r="F400" s="4">
        <f>11.9181 * CHOOSE(CONTROL!$C$15, $D$11, 100%, $F$11)</f>
        <v>11.918100000000001</v>
      </c>
      <c r="G400" s="8">
        <f>11.0683 * CHOOSE( CONTROL!$C$15, $D$11, 100%, $F$11)</f>
        <v>11.068300000000001</v>
      </c>
      <c r="H400" s="4">
        <f>11.9492 * CHOOSE(CONTROL!$C$15, $D$11, 100%, $F$11)</f>
        <v>11.949199999999999</v>
      </c>
      <c r="I400" s="8">
        <f>11.0015 * CHOOSE(CONTROL!$C$15, $D$11, 100%, $F$11)</f>
        <v>11.0015</v>
      </c>
      <c r="J400" s="4">
        <f>10.8686 * CHOOSE(CONTROL!$C$15, $D$11, 100%, $F$11)</f>
        <v>10.868600000000001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11.7029 * CHOOSE(CONTROL!$C$15, $D$11, 100%, $F$11)</f>
        <v>11.7029</v>
      </c>
      <c r="C401" s="8">
        <f>11.708 * CHOOSE(CONTROL!$C$15, $D$11, 100%, $F$11)</f>
        <v>11.708</v>
      </c>
      <c r="D401" s="8">
        <f>11.6826 * CHOOSE( CONTROL!$C$15, $D$11, 100%, $F$11)</f>
        <v>11.682600000000001</v>
      </c>
      <c r="E401" s="12">
        <f>11.6913 * CHOOSE( CONTROL!$C$15, $D$11, 100%, $F$11)</f>
        <v>11.6913</v>
      </c>
      <c r="F401" s="4">
        <f>12.3452 * CHOOSE(CONTROL!$C$15, $D$11, 100%, $F$11)</f>
        <v>12.3452</v>
      </c>
      <c r="G401" s="8">
        <f>11.4856 * CHOOSE( CONTROL!$C$15, $D$11, 100%, $F$11)</f>
        <v>11.4856</v>
      </c>
      <c r="H401" s="4">
        <f>12.3693 * CHOOSE(CONTROL!$C$15, $D$11, 100%, $F$11)</f>
        <v>12.369300000000001</v>
      </c>
      <c r="I401" s="8">
        <f>11.3974 * CHOOSE(CONTROL!$C$15, $D$11, 100%, $F$11)</f>
        <v>11.397399999999999</v>
      </c>
      <c r="J401" s="4">
        <f>11.284 * CHOOSE(CONTROL!$C$15, $D$11, 100%, $F$11)</f>
        <v>11.284000000000001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10.9483 * CHOOSE(CONTROL!$C$15, $D$11, 100%, $F$11)</f>
        <v>10.9483</v>
      </c>
      <c r="C402" s="8">
        <f>10.9534 * CHOOSE(CONTROL!$C$15, $D$11, 100%, $F$11)</f>
        <v>10.9534</v>
      </c>
      <c r="D402" s="8">
        <f>10.9281 * CHOOSE( CONTROL!$C$15, $D$11, 100%, $F$11)</f>
        <v>10.928100000000001</v>
      </c>
      <c r="E402" s="12">
        <f>10.9368 * CHOOSE( CONTROL!$C$15, $D$11, 100%, $F$11)</f>
        <v>10.9368</v>
      </c>
      <c r="F402" s="4">
        <f>11.5906 * CHOOSE(CONTROL!$C$15, $D$11, 100%, $F$11)</f>
        <v>11.5906</v>
      </c>
      <c r="G402" s="8">
        <f>10.7436 * CHOOSE( CONTROL!$C$15, $D$11, 100%, $F$11)</f>
        <v>10.743600000000001</v>
      </c>
      <c r="H402" s="4">
        <f>11.6272 * CHOOSE(CONTROL!$C$15, $D$11, 100%, $F$11)</f>
        <v>11.6272</v>
      </c>
      <c r="I402" s="8">
        <f>10.6678 * CHOOSE(CONTROL!$C$15, $D$11, 100%, $F$11)</f>
        <v>10.6678</v>
      </c>
      <c r="J402" s="4">
        <f>10.5545 * CHOOSE(CONTROL!$C$15, $D$11, 100%, $F$11)</f>
        <v>10.554500000000001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10.7159 * CHOOSE(CONTROL!$C$15, $D$11, 100%, $F$11)</f>
        <v>10.7159</v>
      </c>
      <c r="C403" s="8">
        <f>10.721 * CHOOSE(CONTROL!$C$15, $D$11, 100%, $F$11)</f>
        <v>10.721</v>
      </c>
      <c r="D403" s="8">
        <f>10.6954 * CHOOSE( CONTROL!$C$15, $D$11, 100%, $F$11)</f>
        <v>10.695399999999999</v>
      </c>
      <c r="E403" s="12">
        <f>10.7042 * CHOOSE( CONTROL!$C$15, $D$11, 100%, $F$11)</f>
        <v>10.7042</v>
      </c>
      <c r="F403" s="4">
        <f>11.3582 * CHOOSE(CONTROL!$C$15, $D$11, 100%, $F$11)</f>
        <v>11.3582</v>
      </c>
      <c r="G403" s="8">
        <f>10.5148 * CHOOSE( CONTROL!$C$15, $D$11, 100%, $F$11)</f>
        <v>10.514799999999999</v>
      </c>
      <c r="H403" s="4">
        <f>11.3986 * CHOOSE(CONTROL!$C$15, $D$11, 100%, $F$11)</f>
        <v>11.3986</v>
      </c>
      <c r="I403" s="8">
        <f>10.4422 * CHOOSE(CONTROL!$C$15, $D$11, 100%, $F$11)</f>
        <v>10.4422</v>
      </c>
      <c r="J403" s="4">
        <f>10.3299 * CHOOSE(CONTROL!$C$15, $D$11, 100%, $F$11)</f>
        <v>10.3299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10.879 * CHOOSE(CONTROL!$C$15, $D$11, 100%, $F$11)</f>
        <v>10.879</v>
      </c>
      <c r="C404" s="8">
        <f>10.8836 * CHOOSE(CONTROL!$C$15, $D$11, 100%, $F$11)</f>
        <v>10.883599999999999</v>
      </c>
      <c r="D404" s="8">
        <f>10.8979 * CHOOSE( CONTROL!$C$15, $D$11, 100%, $F$11)</f>
        <v>10.8979</v>
      </c>
      <c r="E404" s="12">
        <f>10.8927 * CHOOSE( CONTROL!$C$15, $D$11, 100%, $F$11)</f>
        <v>10.8927</v>
      </c>
      <c r="F404" s="4">
        <f>11.5713 * CHOOSE(CONTROL!$C$15, $D$11, 100%, $F$11)</f>
        <v>11.571300000000001</v>
      </c>
      <c r="G404" s="8">
        <f>10.6697 * CHOOSE( CONTROL!$C$15, $D$11, 100%, $F$11)</f>
        <v>10.669700000000001</v>
      </c>
      <c r="H404" s="4">
        <f>11.6082 * CHOOSE(CONTROL!$C$15, $D$11, 100%, $F$11)</f>
        <v>11.6082</v>
      </c>
      <c r="I404" s="8">
        <f>10.5864 * CHOOSE(CONTROL!$C$15, $D$11, 100%, $F$11)</f>
        <v>10.586399999999999</v>
      </c>
      <c r="J404" s="4">
        <f>10.4869 * CHOOSE(CONTROL!$C$15, $D$11, 100%, $F$11)</f>
        <v>10.4869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11.1744, 11.1695) * CHOOSE(CONTROL!$C$15, $D$11, 100%, $F$11)</f>
        <v>11.1744</v>
      </c>
      <c r="C405" s="8">
        <f>CHOOSE( CONTROL!$C$32, 11.1824, 11.1775) * CHOOSE(CONTROL!$C$15, $D$11, 100%, $F$11)</f>
        <v>11.182399999999999</v>
      </c>
      <c r="D405" s="8">
        <f>CHOOSE( CONTROL!$C$32, 11.1917, 11.1868) * CHOOSE( CONTROL!$C$15, $D$11, 100%, $F$11)</f>
        <v>11.191700000000001</v>
      </c>
      <c r="E405" s="12">
        <f>CHOOSE( CONTROL!$C$32, 11.1871, 11.1822) * CHOOSE( CONTROL!$C$15, $D$11, 100%, $F$11)</f>
        <v>11.187099999999999</v>
      </c>
      <c r="F405" s="4">
        <f>CHOOSE( CONTROL!$C$32, 11.8652, 11.8603) * CHOOSE(CONTROL!$C$15, $D$11, 100%, $F$11)</f>
        <v>11.8652</v>
      </c>
      <c r="G405" s="8">
        <f>CHOOSE( CONTROL!$C$32, 10.9599, 10.9551) * CHOOSE( CONTROL!$C$15, $D$11, 100%, $F$11)</f>
        <v>10.959899999999999</v>
      </c>
      <c r="H405" s="4">
        <f>CHOOSE( CONTROL!$C$32, 11.8972, 11.8924) * CHOOSE(CONTROL!$C$15, $D$11, 100%, $F$11)</f>
        <v>11.8972</v>
      </c>
      <c r="I405" s="8">
        <f>CHOOSE( CONTROL!$C$32, 10.8711, 10.8664) * CHOOSE(CONTROL!$C$15, $D$11, 100%, $F$11)</f>
        <v>10.8711</v>
      </c>
      <c r="J405" s="4">
        <f>CHOOSE( CONTROL!$C$32, 10.771, 10.7663) * CHOOSE(CONTROL!$C$15, $D$11, 100%, $F$11)</f>
        <v>10.771000000000001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10.9953, 10.9904) * CHOOSE(CONTROL!$C$15, $D$11, 100%, $F$11)</f>
        <v>10.9953</v>
      </c>
      <c r="C406" s="8">
        <f>CHOOSE( CONTROL!$C$32, 11.0033, 10.9984) * CHOOSE(CONTROL!$C$15, $D$11, 100%, $F$11)</f>
        <v>11.003299999999999</v>
      </c>
      <c r="D406" s="8">
        <f>CHOOSE( CONTROL!$C$32, 11.0128, 11.0079) * CHOOSE( CONTROL!$C$15, $D$11, 100%, $F$11)</f>
        <v>11.0128</v>
      </c>
      <c r="E406" s="12">
        <f>CHOOSE( CONTROL!$C$32, 11.0081, 11.0032) * CHOOSE( CONTROL!$C$15, $D$11, 100%, $F$11)</f>
        <v>11.008100000000001</v>
      </c>
      <c r="F406" s="4">
        <f>CHOOSE( CONTROL!$C$32, 11.6861, 11.6813) * CHOOSE(CONTROL!$C$15, $D$11, 100%, $F$11)</f>
        <v>11.6861</v>
      </c>
      <c r="G406" s="8">
        <f>CHOOSE( CONTROL!$C$32, 10.7842, 10.7794) * CHOOSE( CONTROL!$C$15, $D$11, 100%, $F$11)</f>
        <v>10.7842</v>
      </c>
      <c r="H406" s="4">
        <f>CHOOSE( CONTROL!$C$32, 11.7211, 11.7163) * CHOOSE(CONTROL!$C$15, $D$11, 100%, $F$11)</f>
        <v>11.7211</v>
      </c>
      <c r="I406" s="8">
        <f>CHOOSE( CONTROL!$C$32, 10.699, 10.6942) * CHOOSE(CONTROL!$C$15, $D$11, 100%, $F$11)</f>
        <v>10.699</v>
      </c>
      <c r="J406" s="4">
        <f>CHOOSE( CONTROL!$C$32, 10.5979, 10.5932) * CHOOSE(CONTROL!$C$15, $D$11, 100%, $F$11)</f>
        <v>10.597899999999999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11.4668, 11.4619) * CHOOSE(CONTROL!$C$15, $D$11, 100%, $F$11)</f>
        <v>11.466799999999999</v>
      </c>
      <c r="C407" s="8">
        <f>CHOOSE( CONTROL!$C$32, 11.4748, 11.4699) * CHOOSE(CONTROL!$C$15, $D$11, 100%, $F$11)</f>
        <v>11.4748</v>
      </c>
      <c r="D407" s="8">
        <f>CHOOSE( CONTROL!$C$32, 11.4846, 11.4797) * CHOOSE( CONTROL!$C$15, $D$11, 100%, $F$11)</f>
        <v>11.4846</v>
      </c>
      <c r="E407" s="12">
        <f>CHOOSE( CONTROL!$C$32, 11.4798, 11.4749) * CHOOSE( CONTROL!$C$15, $D$11, 100%, $F$11)</f>
        <v>11.479799999999999</v>
      </c>
      <c r="F407" s="4">
        <f>CHOOSE( CONTROL!$C$32, 12.1577, 12.1528) * CHOOSE(CONTROL!$C$15, $D$11, 100%, $F$11)</f>
        <v>12.1577</v>
      </c>
      <c r="G407" s="8">
        <f>CHOOSE( CONTROL!$C$32, 11.2482, 11.2434) * CHOOSE( CONTROL!$C$15, $D$11, 100%, $F$11)</f>
        <v>11.248200000000001</v>
      </c>
      <c r="H407" s="4">
        <f>CHOOSE( CONTROL!$C$32, 12.1848, 12.18) * CHOOSE(CONTROL!$C$15, $D$11, 100%, $F$11)</f>
        <v>12.184799999999999</v>
      </c>
      <c r="I407" s="8">
        <f>CHOOSE( CONTROL!$C$32, 11.1561, 11.1513) * CHOOSE(CONTROL!$C$15, $D$11, 100%, $F$11)</f>
        <v>11.1561</v>
      </c>
      <c r="J407" s="4">
        <f>CHOOSE( CONTROL!$C$32, 11.0537, 11.049) * CHOOSE(CONTROL!$C$15, $D$11, 100%, $F$11)</f>
        <v>11.053699999999999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10.5845, 10.5796) * CHOOSE(CONTROL!$C$15, $D$11, 100%, $F$11)</f>
        <v>10.5845</v>
      </c>
      <c r="C408" s="8">
        <f>CHOOSE( CONTROL!$C$32, 10.5926, 10.5877) * CHOOSE(CONTROL!$C$15, $D$11, 100%, $F$11)</f>
        <v>10.592599999999999</v>
      </c>
      <c r="D408" s="8">
        <f>CHOOSE( CONTROL!$C$32, 10.6024, 10.5975) * CHOOSE( CONTROL!$C$15, $D$11, 100%, $F$11)</f>
        <v>10.602399999999999</v>
      </c>
      <c r="E408" s="12">
        <f>CHOOSE( CONTROL!$C$32, 10.5976, 10.5927) * CHOOSE( CONTROL!$C$15, $D$11, 100%, $F$11)</f>
        <v>10.5976</v>
      </c>
      <c r="F408" s="4">
        <f>CHOOSE( CONTROL!$C$32, 11.2754, 11.2705) * CHOOSE(CONTROL!$C$15, $D$11, 100%, $F$11)</f>
        <v>11.275399999999999</v>
      </c>
      <c r="G408" s="8">
        <f>CHOOSE( CONTROL!$C$32, 10.3807, 10.3759) * CHOOSE( CONTROL!$C$15, $D$11, 100%, $F$11)</f>
        <v>10.380699999999999</v>
      </c>
      <c r="H408" s="4">
        <f>CHOOSE( CONTROL!$C$32, 11.3172, 11.3124) * CHOOSE(CONTROL!$C$15, $D$11, 100%, $F$11)</f>
        <v>11.3172</v>
      </c>
      <c r="I408" s="8">
        <f>CHOOSE( CONTROL!$C$32, 10.3031, 10.2984) * CHOOSE(CONTROL!$C$15, $D$11, 100%, $F$11)</f>
        <v>10.303100000000001</v>
      </c>
      <c r="J408" s="4">
        <f>CHOOSE( CONTROL!$C$32, 10.2008, 10.1961) * CHOOSE(CONTROL!$C$15, $D$11, 100%, $F$11)</f>
        <v>10.200799999999999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10.3636, 10.3587) * CHOOSE(CONTROL!$C$15, $D$11, 100%, $F$11)</f>
        <v>10.3636</v>
      </c>
      <c r="C409" s="8">
        <f>CHOOSE( CONTROL!$C$32, 10.3716, 10.3667) * CHOOSE(CONTROL!$C$15, $D$11, 100%, $F$11)</f>
        <v>10.371600000000001</v>
      </c>
      <c r="D409" s="8">
        <f>CHOOSE( CONTROL!$C$32, 10.3814, 10.3765) * CHOOSE( CONTROL!$C$15, $D$11, 100%, $F$11)</f>
        <v>10.381399999999999</v>
      </c>
      <c r="E409" s="12">
        <f>CHOOSE( CONTROL!$C$32, 10.3766, 10.3717) * CHOOSE( CONTROL!$C$15, $D$11, 100%, $F$11)</f>
        <v>10.3766</v>
      </c>
      <c r="F409" s="4">
        <f>CHOOSE( CONTROL!$C$32, 11.0545, 11.0496) * CHOOSE(CONTROL!$C$15, $D$11, 100%, $F$11)</f>
        <v>11.054500000000001</v>
      </c>
      <c r="G409" s="8">
        <f>CHOOSE( CONTROL!$C$32, 10.1633, 10.1585) * CHOOSE( CONTROL!$C$15, $D$11, 100%, $F$11)</f>
        <v>10.1633</v>
      </c>
      <c r="H409" s="4">
        <f>CHOOSE( CONTROL!$C$32, 11.0999, 11.0951) * CHOOSE(CONTROL!$C$15, $D$11, 100%, $F$11)</f>
        <v>11.0999</v>
      </c>
      <c r="I409" s="8">
        <f>CHOOSE( CONTROL!$C$32, 10.0892, 10.0845) * CHOOSE(CONTROL!$C$15, $D$11, 100%, $F$11)</f>
        <v>10.0892</v>
      </c>
      <c r="J409" s="4">
        <f>CHOOSE( CONTROL!$C$32, 9.9873, 9.9825) * CHOOSE(CONTROL!$C$15, $D$11, 100%, $F$11)</f>
        <v>9.9872999999999994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10.8157 * CHOOSE(CONTROL!$C$15, $D$11, 100%, $F$11)</f>
        <v>10.8157</v>
      </c>
      <c r="C410" s="8">
        <f>10.8211 * CHOOSE(CONTROL!$C$15, $D$11, 100%, $F$11)</f>
        <v>10.821099999999999</v>
      </c>
      <c r="D410" s="8">
        <f>10.8356 * CHOOSE( CONTROL!$C$15, $D$11, 100%, $F$11)</f>
        <v>10.835599999999999</v>
      </c>
      <c r="E410" s="12">
        <f>10.8302 * CHOOSE( CONTROL!$C$15, $D$11, 100%, $F$11)</f>
        <v>10.8302</v>
      </c>
      <c r="F410" s="4">
        <f>11.5083 * CHOOSE(CONTROL!$C$15, $D$11, 100%, $F$11)</f>
        <v>11.5083</v>
      </c>
      <c r="G410" s="8">
        <f>10.6089 * CHOOSE( CONTROL!$C$15, $D$11, 100%, $F$11)</f>
        <v>10.6089</v>
      </c>
      <c r="H410" s="4">
        <f>11.5462 * CHOOSE(CONTROL!$C$15, $D$11, 100%, $F$11)</f>
        <v>11.546200000000001</v>
      </c>
      <c r="I410" s="8">
        <f>10.529 * CHOOSE(CONTROL!$C$15, $D$11, 100%, $F$11)</f>
        <v>10.529</v>
      </c>
      <c r="J410" s="4">
        <f>10.426 * CHOOSE(CONTROL!$C$15, $D$11, 100%, $F$11)</f>
        <v>10.426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11.6621 * CHOOSE(CONTROL!$C$15, $D$11, 100%, $F$11)</f>
        <v>11.662100000000001</v>
      </c>
      <c r="C411" s="8">
        <f>11.6672 * CHOOSE(CONTROL!$C$15, $D$11, 100%, $F$11)</f>
        <v>11.667199999999999</v>
      </c>
      <c r="D411" s="8">
        <f>11.6441 * CHOOSE( CONTROL!$C$15, $D$11, 100%, $F$11)</f>
        <v>11.6441</v>
      </c>
      <c r="E411" s="12">
        <f>11.652 * CHOOSE( CONTROL!$C$15, $D$11, 100%, $F$11)</f>
        <v>11.651999999999999</v>
      </c>
      <c r="F411" s="4">
        <f>12.3069 * CHOOSE(CONTROL!$C$15, $D$11, 100%, $F$11)</f>
        <v>12.306900000000001</v>
      </c>
      <c r="G411" s="8">
        <f>11.4496 * CHOOSE( CONTROL!$C$15, $D$11, 100%, $F$11)</f>
        <v>11.4496</v>
      </c>
      <c r="H411" s="4">
        <f>12.3316 * CHOOSE(CONTROL!$C$15, $D$11, 100%, $F$11)</f>
        <v>12.3316</v>
      </c>
      <c r="I411" s="8">
        <f>11.3726 * CHOOSE(CONTROL!$C$15, $D$11, 100%, $F$11)</f>
        <v>11.3726</v>
      </c>
      <c r="J411" s="4">
        <f>11.2445 * CHOOSE(CONTROL!$C$15, $D$11, 100%, $F$11)</f>
        <v>11.2445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11.6409 * CHOOSE(CONTROL!$C$15, $D$11, 100%, $F$11)</f>
        <v>11.6409</v>
      </c>
      <c r="C412" s="8">
        <f>11.646 * CHOOSE(CONTROL!$C$15, $D$11, 100%, $F$11)</f>
        <v>11.646000000000001</v>
      </c>
      <c r="D412" s="8">
        <f>11.6245 * CHOOSE( CONTROL!$C$15, $D$11, 100%, $F$11)</f>
        <v>11.624499999999999</v>
      </c>
      <c r="E412" s="12">
        <f>11.6318 * CHOOSE( CONTROL!$C$15, $D$11, 100%, $F$11)</f>
        <v>11.6318</v>
      </c>
      <c r="F412" s="4">
        <f>12.2858 * CHOOSE(CONTROL!$C$15, $D$11, 100%, $F$11)</f>
        <v>12.2858</v>
      </c>
      <c r="G412" s="8">
        <f>11.4299 * CHOOSE( CONTROL!$C$15, $D$11, 100%, $F$11)</f>
        <v>11.4299</v>
      </c>
      <c r="H412" s="4">
        <f>12.3108 * CHOOSE(CONTROL!$C$15, $D$11, 100%, $F$11)</f>
        <v>12.3108</v>
      </c>
      <c r="I412" s="8">
        <f>11.3571 * CHOOSE(CONTROL!$C$15, $D$11, 100%, $F$11)</f>
        <v>11.357100000000001</v>
      </c>
      <c r="J412" s="4">
        <f>11.2241 * CHOOSE(CONTROL!$C$15, $D$11, 100%, $F$11)</f>
        <v>11.2241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12.0846 * CHOOSE(CONTROL!$C$15, $D$11, 100%, $F$11)</f>
        <v>12.0846</v>
      </c>
      <c r="C413" s="8">
        <f>12.0898 * CHOOSE(CONTROL!$C$15, $D$11, 100%, $F$11)</f>
        <v>12.0898</v>
      </c>
      <c r="D413" s="8">
        <f>12.0644 * CHOOSE( CONTROL!$C$15, $D$11, 100%, $F$11)</f>
        <v>12.064399999999999</v>
      </c>
      <c r="E413" s="12">
        <f>12.0731 * CHOOSE( CONTROL!$C$15, $D$11, 100%, $F$11)</f>
        <v>12.0731</v>
      </c>
      <c r="F413" s="4">
        <f>12.7269 * CHOOSE(CONTROL!$C$15, $D$11, 100%, $F$11)</f>
        <v>12.726900000000001</v>
      </c>
      <c r="G413" s="8">
        <f>11.861 * CHOOSE( CONTROL!$C$15, $D$11, 100%, $F$11)</f>
        <v>11.861000000000001</v>
      </c>
      <c r="H413" s="4">
        <f>12.7447 * CHOOSE(CONTROL!$C$15, $D$11, 100%, $F$11)</f>
        <v>12.7447</v>
      </c>
      <c r="I413" s="8">
        <f>11.7666 * CHOOSE(CONTROL!$C$15, $D$11, 100%, $F$11)</f>
        <v>11.7666</v>
      </c>
      <c r="J413" s="4">
        <f>11.6531 * CHOOSE(CONTROL!$C$15, $D$11, 100%, $F$11)</f>
        <v>11.6531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11.3053 * CHOOSE(CONTROL!$C$15, $D$11, 100%, $F$11)</f>
        <v>11.305300000000001</v>
      </c>
      <c r="C414" s="8">
        <f>11.3105 * CHOOSE(CONTROL!$C$15, $D$11, 100%, $F$11)</f>
        <v>11.310499999999999</v>
      </c>
      <c r="D414" s="8">
        <f>11.2851 * CHOOSE( CONTROL!$C$15, $D$11, 100%, $F$11)</f>
        <v>11.2851</v>
      </c>
      <c r="E414" s="12">
        <f>11.2938 * CHOOSE( CONTROL!$C$15, $D$11, 100%, $F$11)</f>
        <v>11.293799999999999</v>
      </c>
      <c r="F414" s="4">
        <f>11.9476 * CHOOSE(CONTROL!$C$15, $D$11, 100%, $F$11)</f>
        <v>11.9476</v>
      </c>
      <c r="G414" s="8">
        <f>11.0947 * CHOOSE( CONTROL!$C$15, $D$11, 100%, $F$11)</f>
        <v>11.0947</v>
      </c>
      <c r="H414" s="4">
        <f>11.9783 * CHOOSE(CONTROL!$C$15, $D$11, 100%, $F$11)</f>
        <v>11.978300000000001</v>
      </c>
      <c r="I414" s="8">
        <f>11.0132 * CHOOSE(CONTROL!$C$15, $D$11, 100%, $F$11)</f>
        <v>11.013199999999999</v>
      </c>
      <c r="J414" s="4">
        <f>10.8997 * CHOOSE(CONTROL!$C$15, $D$11, 100%, $F$11)</f>
        <v>10.899699999999999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11.0653 * CHOOSE(CONTROL!$C$15, $D$11, 100%, $F$11)</f>
        <v>11.065300000000001</v>
      </c>
      <c r="C415" s="8">
        <f>11.0704 * CHOOSE(CONTROL!$C$15, $D$11, 100%, $F$11)</f>
        <v>11.070399999999999</v>
      </c>
      <c r="D415" s="8">
        <f>11.0449 * CHOOSE( CONTROL!$C$15, $D$11, 100%, $F$11)</f>
        <v>11.0449</v>
      </c>
      <c r="E415" s="12">
        <f>11.0537 * CHOOSE( CONTROL!$C$15, $D$11, 100%, $F$11)</f>
        <v>11.053699999999999</v>
      </c>
      <c r="F415" s="4">
        <f>11.7076 * CHOOSE(CONTROL!$C$15, $D$11, 100%, $F$11)</f>
        <v>11.707599999999999</v>
      </c>
      <c r="G415" s="8">
        <f>10.8585 * CHOOSE( CONTROL!$C$15, $D$11, 100%, $F$11)</f>
        <v>10.858499999999999</v>
      </c>
      <c r="H415" s="4">
        <f>11.7423 * CHOOSE(CONTROL!$C$15, $D$11, 100%, $F$11)</f>
        <v>11.7423</v>
      </c>
      <c r="I415" s="8">
        <f>10.7802 * CHOOSE(CONTROL!$C$15, $D$11, 100%, $F$11)</f>
        <v>10.780200000000001</v>
      </c>
      <c r="J415" s="4">
        <f>10.6677 * CHOOSE(CONTROL!$C$15, $D$11, 100%, $F$11)</f>
        <v>10.6677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11.2338 * CHOOSE(CONTROL!$C$15, $D$11, 100%, $F$11)</f>
        <v>11.2338</v>
      </c>
      <c r="C416" s="8">
        <f>11.2384 * CHOOSE(CONTROL!$C$15, $D$11, 100%, $F$11)</f>
        <v>11.2384</v>
      </c>
      <c r="D416" s="8">
        <f>11.2527 * CHOOSE( CONTROL!$C$15, $D$11, 100%, $F$11)</f>
        <v>11.252700000000001</v>
      </c>
      <c r="E416" s="12">
        <f>11.2475 * CHOOSE( CONTROL!$C$15, $D$11, 100%, $F$11)</f>
        <v>11.2475</v>
      </c>
      <c r="F416" s="4">
        <f>11.926 * CHOOSE(CONTROL!$C$15, $D$11, 100%, $F$11)</f>
        <v>11.926</v>
      </c>
      <c r="G416" s="8">
        <f>11.0186 * CHOOSE( CONTROL!$C$15, $D$11, 100%, $F$11)</f>
        <v>11.018599999999999</v>
      </c>
      <c r="H416" s="4">
        <f>11.957 * CHOOSE(CONTROL!$C$15, $D$11, 100%, $F$11)</f>
        <v>11.957000000000001</v>
      </c>
      <c r="I416" s="8">
        <f>10.9296 * CHOOSE(CONTROL!$C$15, $D$11, 100%, $F$11)</f>
        <v>10.929600000000001</v>
      </c>
      <c r="J416" s="4">
        <f>10.8298 * CHOOSE(CONTROL!$C$15, $D$11, 100%, $F$11)</f>
        <v>10.829800000000001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11.5386, 11.5337) * CHOOSE(CONTROL!$C$15, $D$11, 100%, $F$11)</f>
        <v>11.538600000000001</v>
      </c>
      <c r="C417" s="8">
        <f>CHOOSE( CONTROL!$C$32, 11.5466, 11.5417) * CHOOSE(CONTROL!$C$15, $D$11, 100%, $F$11)</f>
        <v>11.5466</v>
      </c>
      <c r="D417" s="8">
        <f>CHOOSE( CONTROL!$C$32, 11.5559, 11.551) * CHOOSE( CONTROL!$C$15, $D$11, 100%, $F$11)</f>
        <v>11.555899999999999</v>
      </c>
      <c r="E417" s="12">
        <f>CHOOSE( CONTROL!$C$32, 11.5513, 11.5464) * CHOOSE( CONTROL!$C$15, $D$11, 100%, $F$11)</f>
        <v>11.551299999999999</v>
      </c>
      <c r="F417" s="4">
        <f>CHOOSE( CONTROL!$C$32, 12.2294, 12.2245) * CHOOSE(CONTROL!$C$15, $D$11, 100%, $F$11)</f>
        <v>12.2294</v>
      </c>
      <c r="G417" s="8">
        <f>CHOOSE( CONTROL!$C$32, 11.3181, 11.3133) * CHOOSE( CONTROL!$C$15, $D$11, 100%, $F$11)</f>
        <v>11.318099999999999</v>
      </c>
      <c r="H417" s="4">
        <f>CHOOSE( CONTROL!$C$32, 12.2554, 12.2506) * CHOOSE(CONTROL!$C$15, $D$11, 100%, $F$11)</f>
        <v>12.2554</v>
      </c>
      <c r="I417" s="8">
        <f>CHOOSE( CONTROL!$C$32, 11.2234, 11.2186) * CHOOSE(CONTROL!$C$15, $D$11, 100%, $F$11)</f>
        <v>11.2234</v>
      </c>
      <c r="J417" s="4">
        <f>CHOOSE( CONTROL!$C$32, 11.1231, 11.1184) * CHOOSE(CONTROL!$C$15, $D$11, 100%, $F$11)</f>
        <v>11.123100000000001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11.3537, 11.3488) * CHOOSE(CONTROL!$C$15, $D$11, 100%, $F$11)</f>
        <v>11.3537</v>
      </c>
      <c r="C418" s="8">
        <f>CHOOSE( CONTROL!$C$32, 11.3617, 11.3568) * CHOOSE(CONTROL!$C$15, $D$11, 100%, $F$11)</f>
        <v>11.361700000000001</v>
      </c>
      <c r="D418" s="8">
        <f>CHOOSE( CONTROL!$C$32, 11.3712, 11.3663) * CHOOSE( CONTROL!$C$15, $D$11, 100%, $F$11)</f>
        <v>11.3712</v>
      </c>
      <c r="E418" s="12">
        <f>CHOOSE( CONTROL!$C$32, 11.3665, 11.3616) * CHOOSE( CONTROL!$C$15, $D$11, 100%, $F$11)</f>
        <v>11.3665</v>
      </c>
      <c r="F418" s="4">
        <f>CHOOSE( CONTROL!$C$32, 12.0445, 12.0396) * CHOOSE(CONTROL!$C$15, $D$11, 100%, $F$11)</f>
        <v>12.044499999999999</v>
      </c>
      <c r="G418" s="8">
        <f>CHOOSE( CONTROL!$C$32, 11.1366, 11.1318) * CHOOSE( CONTROL!$C$15, $D$11, 100%, $F$11)</f>
        <v>11.1366</v>
      </c>
      <c r="H418" s="4">
        <f>CHOOSE( CONTROL!$C$32, 12.0736, 12.0688) * CHOOSE(CONTROL!$C$15, $D$11, 100%, $F$11)</f>
        <v>12.073600000000001</v>
      </c>
      <c r="I418" s="8">
        <f>CHOOSE( CONTROL!$C$32, 11.0456, 11.0408) * CHOOSE(CONTROL!$C$15, $D$11, 100%, $F$11)</f>
        <v>11.0456</v>
      </c>
      <c r="J418" s="4">
        <f>CHOOSE( CONTROL!$C$32, 10.9444, 10.9396) * CHOOSE(CONTROL!$C$15, $D$11, 100%, $F$11)</f>
        <v>10.9444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11.8406, 11.8357) * CHOOSE(CONTROL!$C$15, $D$11, 100%, $F$11)</f>
        <v>11.8406</v>
      </c>
      <c r="C419" s="8">
        <f>CHOOSE( CONTROL!$C$32, 11.8486, 11.8437) * CHOOSE(CONTROL!$C$15, $D$11, 100%, $F$11)</f>
        <v>11.848599999999999</v>
      </c>
      <c r="D419" s="8">
        <f>CHOOSE( CONTROL!$C$32, 11.8584, 11.8535) * CHOOSE( CONTROL!$C$15, $D$11, 100%, $F$11)</f>
        <v>11.8584</v>
      </c>
      <c r="E419" s="12">
        <f>CHOOSE( CONTROL!$C$32, 11.8536, 11.8487) * CHOOSE( CONTROL!$C$15, $D$11, 100%, $F$11)</f>
        <v>11.8536</v>
      </c>
      <c r="F419" s="4">
        <f>CHOOSE( CONTROL!$C$32, 12.5315, 12.5266) * CHOOSE(CONTROL!$C$15, $D$11, 100%, $F$11)</f>
        <v>12.531499999999999</v>
      </c>
      <c r="G419" s="8">
        <f>CHOOSE( CONTROL!$C$32, 11.6158, 11.611) * CHOOSE( CONTROL!$C$15, $D$11, 100%, $F$11)</f>
        <v>11.6158</v>
      </c>
      <c r="H419" s="4">
        <f>CHOOSE( CONTROL!$C$32, 12.5524, 12.5476) * CHOOSE(CONTROL!$C$15, $D$11, 100%, $F$11)</f>
        <v>12.5524</v>
      </c>
      <c r="I419" s="8">
        <f>CHOOSE( CONTROL!$C$32, 11.5176, 11.5129) * CHOOSE(CONTROL!$C$15, $D$11, 100%, $F$11)</f>
        <v>11.5176</v>
      </c>
      <c r="J419" s="4">
        <f>CHOOSE( CONTROL!$C$32, 11.4151, 11.4104) * CHOOSE(CONTROL!$C$15, $D$11, 100%, $F$11)</f>
        <v>11.415100000000001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10.9295, 10.9246) * CHOOSE(CONTROL!$C$15, $D$11, 100%, $F$11)</f>
        <v>10.929500000000001</v>
      </c>
      <c r="C420" s="8">
        <f>CHOOSE( CONTROL!$C$32, 10.9375, 10.9326) * CHOOSE(CONTROL!$C$15, $D$11, 100%, $F$11)</f>
        <v>10.9375</v>
      </c>
      <c r="D420" s="8">
        <f>CHOOSE( CONTROL!$C$32, 10.9473, 10.9424) * CHOOSE( CONTROL!$C$15, $D$11, 100%, $F$11)</f>
        <v>10.9473</v>
      </c>
      <c r="E420" s="12">
        <f>CHOOSE( CONTROL!$C$32, 10.9425, 10.9376) * CHOOSE( CONTROL!$C$15, $D$11, 100%, $F$11)</f>
        <v>10.942500000000001</v>
      </c>
      <c r="F420" s="4">
        <f>CHOOSE( CONTROL!$C$32, 11.6203, 11.6154) * CHOOSE(CONTROL!$C$15, $D$11, 100%, $F$11)</f>
        <v>11.6203</v>
      </c>
      <c r="G420" s="8">
        <f>CHOOSE( CONTROL!$C$32, 10.7199, 10.7151) * CHOOSE( CONTROL!$C$15, $D$11, 100%, $F$11)</f>
        <v>10.719900000000001</v>
      </c>
      <c r="H420" s="4">
        <f>CHOOSE( CONTROL!$C$32, 11.6564, 11.6516) * CHOOSE(CONTROL!$C$15, $D$11, 100%, $F$11)</f>
        <v>11.6564</v>
      </c>
      <c r="I420" s="8">
        <f>CHOOSE( CONTROL!$C$32, 10.6367, 10.632) * CHOOSE(CONTROL!$C$15, $D$11, 100%, $F$11)</f>
        <v>10.636699999999999</v>
      </c>
      <c r="J420" s="4">
        <f>CHOOSE( CONTROL!$C$32, 10.5343, 10.5296) * CHOOSE(CONTROL!$C$15, $D$11, 100%, $F$11)</f>
        <v>10.5343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10.7013, 10.6964) * CHOOSE(CONTROL!$C$15, $D$11, 100%, $F$11)</f>
        <v>10.7013</v>
      </c>
      <c r="C421" s="8">
        <f>CHOOSE( CONTROL!$C$32, 10.7093, 10.7044) * CHOOSE(CONTROL!$C$15, $D$11, 100%, $F$11)</f>
        <v>10.709300000000001</v>
      </c>
      <c r="D421" s="8">
        <f>CHOOSE( CONTROL!$C$32, 10.7191, 10.7142) * CHOOSE( CONTROL!$C$15, $D$11, 100%, $F$11)</f>
        <v>10.719099999999999</v>
      </c>
      <c r="E421" s="12">
        <f>CHOOSE( CONTROL!$C$32, 10.7143, 10.7094) * CHOOSE( CONTROL!$C$15, $D$11, 100%, $F$11)</f>
        <v>10.7143</v>
      </c>
      <c r="F421" s="4">
        <f>CHOOSE( CONTROL!$C$32, 11.3922, 11.3873) * CHOOSE(CONTROL!$C$15, $D$11, 100%, $F$11)</f>
        <v>11.392200000000001</v>
      </c>
      <c r="G421" s="8">
        <f>CHOOSE( CONTROL!$C$32, 10.4955, 10.4906) * CHOOSE( CONTROL!$C$15, $D$11, 100%, $F$11)</f>
        <v>10.4955</v>
      </c>
      <c r="H421" s="4">
        <f>CHOOSE( CONTROL!$C$32, 11.432, 11.4272) * CHOOSE(CONTROL!$C$15, $D$11, 100%, $F$11)</f>
        <v>11.432</v>
      </c>
      <c r="I421" s="8">
        <f>CHOOSE( CONTROL!$C$32, 10.4159, 10.4111) * CHOOSE(CONTROL!$C$15, $D$11, 100%, $F$11)</f>
        <v>10.415900000000001</v>
      </c>
      <c r="J421" s="4">
        <f>CHOOSE( CONTROL!$C$32, 10.3137, 10.309) * CHOOSE(CONTROL!$C$15, $D$11, 100%, $F$11)</f>
        <v>10.313700000000001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11.1684 * CHOOSE(CONTROL!$C$15, $D$11, 100%, $F$11)</f>
        <v>11.1684</v>
      </c>
      <c r="C422" s="8">
        <f>11.1738 * CHOOSE(CONTROL!$C$15, $D$11, 100%, $F$11)</f>
        <v>11.1738</v>
      </c>
      <c r="D422" s="8">
        <f>11.1884 * CHOOSE( CONTROL!$C$15, $D$11, 100%, $F$11)</f>
        <v>11.1884</v>
      </c>
      <c r="E422" s="12">
        <f>11.183 * CHOOSE( CONTROL!$C$15, $D$11, 100%, $F$11)</f>
        <v>11.183</v>
      </c>
      <c r="F422" s="4">
        <f>11.861 * CHOOSE(CONTROL!$C$15, $D$11, 100%, $F$11)</f>
        <v>11.861000000000001</v>
      </c>
      <c r="G422" s="8">
        <f>10.9558 * CHOOSE( CONTROL!$C$15, $D$11, 100%, $F$11)</f>
        <v>10.9558</v>
      </c>
      <c r="H422" s="4">
        <f>11.8931 * CHOOSE(CONTROL!$C$15, $D$11, 100%, $F$11)</f>
        <v>11.8931</v>
      </c>
      <c r="I422" s="8">
        <f>10.8702 * CHOOSE(CONTROL!$C$15, $D$11, 100%, $F$11)</f>
        <v>10.870200000000001</v>
      </c>
      <c r="J422" s="4">
        <f>10.767 * CHOOSE(CONTROL!$C$15, $D$11, 100%, $F$11)</f>
        <v>10.766999999999999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12.0425 * CHOOSE(CONTROL!$C$15, $D$11, 100%, $F$11)</f>
        <v>12.0425</v>
      </c>
      <c r="C423" s="8">
        <f>12.0476 * CHOOSE(CONTROL!$C$15, $D$11, 100%, $F$11)</f>
        <v>12.047599999999999</v>
      </c>
      <c r="D423" s="8">
        <f>12.0245 * CHOOSE( CONTROL!$C$15, $D$11, 100%, $F$11)</f>
        <v>12.0245</v>
      </c>
      <c r="E423" s="12">
        <f>12.0324 * CHOOSE( CONTROL!$C$15, $D$11, 100%, $F$11)</f>
        <v>12.032400000000001</v>
      </c>
      <c r="F423" s="4">
        <f>12.6873 * CHOOSE(CONTROL!$C$15, $D$11, 100%, $F$11)</f>
        <v>12.6873</v>
      </c>
      <c r="G423" s="8">
        <f>11.8237 * CHOOSE( CONTROL!$C$15, $D$11, 100%, $F$11)</f>
        <v>11.823700000000001</v>
      </c>
      <c r="H423" s="4">
        <f>12.7057 * CHOOSE(CONTROL!$C$15, $D$11, 100%, $F$11)</f>
        <v>12.7057</v>
      </c>
      <c r="I423" s="8">
        <f>11.7406 * CHOOSE(CONTROL!$C$15, $D$11, 100%, $F$11)</f>
        <v>11.740600000000001</v>
      </c>
      <c r="J423" s="4">
        <f>11.6123 * CHOOSE(CONTROL!$C$15, $D$11, 100%, $F$11)</f>
        <v>11.612299999999999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12.0206 * CHOOSE(CONTROL!$C$15, $D$11, 100%, $F$11)</f>
        <v>12.0206</v>
      </c>
      <c r="C424" s="8">
        <f>12.0257 * CHOOSE(CONTROL!$C$15, $D$11, 100%, $F$11)</f>
        <v>12.025700000000001</v>
      </c>
      <c r="D424" s="8">
        <f>12.0042 * CHOOSE( CONTROL!$C$15, $D$11, 100%, $F$11)</f>
        <v>12.004200000000001</v>
      </c>
      <c r="E424" s="12">
        <f>12.0115 * CHOOSE( CONTROL!$C$15, $D$11, 100%, $F$11)</f>
        <v>12.0115</v>
      </c>
      <c r="F424" s="4">
        <f>12.6655 * CHOOSE(CONTROL!$C$15, $D$11, 100%, $F$11)</f>
        <v>12.6655</v>
      </c>
      <c r="G424" s="8">
        <f>11.8034 * CHOOSE( CONTROL!$C$15, $D$11, 100%, $F$11)</f>
        <v>11.8034</v>
      </c>
      <c r="H424" s="4">
        <f>12.6842 * CHOOSE(CONTROL!$C$15, $D$11, 100%, $F$11)</f>
        <v>12.684200000000001</v>
      </c>
      <c r="I424" s="8">
        <f>11.7244 * CHOOSE(CONTROL!$C$15, $D$11, 100%, $F$11)</f>
        <v>11.724399999999999</v>
      </c>
      <c r="J424" s="4">
        <f>11.5911 * CHOOSE(CONTROL!$C$15, $D$11, 100%, $F$11)</f>
        <v>11.591100000000001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12.4789 * CHOOSE(CONTROL!$C$15, $D$11, 100%, $F$11)</f>
        <v>12.478899999999999</v>
      </c>
      <c r="C425" s="8">
        <f>12.484 * CHOOSE(CONTROL!$C$15, $D$11, 100%, $F$11)</f>
        <v>12.484</v>
      </c>
      <c r="D425" s="8">
        <f>12.4586 * CHOOSE( CONTROL!$C$15, $D$11, 100%, $F$11)</f>
        <v>12.458600000000001</v>
      </c>
      <c r="E425" s="12">
        <f>12.4673 * CHOOSE( CONTROL!$C$15, $D$11, 100%, $F$11)</f>
        <v>12.4673</v>
      </c>
      <c r="F425" s="4">
        <f>13.1212 * CHOOSE(CONTROL!$C$15, $D$11, 100%, $F$11)</f>
        <v>13.1212</v>
      </c>
      <c r="G425" s="8">
        <f>12.2487 * CHOOSE( CONTROL!$C$15, $D$11, 100%, $F$11)</f>
        <v>12.248699999999999</v>
      </c>
      <c r="H425" s="4">
        <f>13.1324 * CHOOSE(CONTROL!$C$15, $D$11, 100%, $F$11)</f>
        <v>13.132400000000001</v>
      </c>
      <c r="I425" s="8">
        <f>12.1479 * CHOOSE(CONTROL!$C$15, $D$11, 100%, $F$11)</f>
        <v>12.1479</v>
      </c>
      <c r="J425" s="4">
        <f>12.0342 * CHOOSE(CONTROL!$C$15, $D$11, 100%, $F$11)</f>
        <v>12.0342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11.6741 * CHOOSE(CONTROL!$C$15, $D$11, 100%, $F$11)</f>
        <v>11.674099999999999</v>
      </c>
      <c r="C426" s="8">
        <f>11.6792 * CHOOSE(CONTROL!$C$15, $D$11, 100%, $F$11)</f>
        <v>11.6792</v>
      </c>
      <c r="D426" s="8">
        <f>11.6539 * CHOOSE( CONTROL!$C$15, $D$11, 100%, $F$11)</f>
        <v>11.6539</v>
      </c>
      <c r="E426" s="12">
        <f>11.6626 * CHOOSE( CONTROL!$C$15, $D$11, 100%, $F$11)</f>
        <v>11.662599999999999</v>
      </c>
      <c r="F426" s="4">
        <f>12.3164 * CHOOSE(CONTROL!$C$15, $D$11, 100%, $F$11)</f>
        <v>12.3164</v>
      </c>
      <c r="G426" s="8">
        <f>11.4573 * CHOOSE( CONTROL!$C$15, $D$11, 100%, $F$11)</f>
        <v>11.4573</v>
      </c>
      <c r="H426" s="4">
        <f>12.3409 * CHOOSE(CONTROL!$C$15, $D$11, 100%, $F$11)</f>
        <v>12.3409</v>
      </c>
      <c r="I426" s="8">
        <f>11.3698 * CHOOSE(CONTROL!$C$15, $D$11, 100%, $F$11)</f>
        <v>11.3698</v>
      </c>
      <c r="J426" s="4">
        <f>11.2562 * CHOOSE(CONTROL!$C$15, $D$11, 100%, $F$11)</f>
        <v>11.2562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11.4262 * CHOOSE(CONTROL!$C$15, $D$11, 100%, $F$11)</f>
        <v>11.4262</v>
      </c>
      <c r="C427" s="8">
        <f>11.4313 * CHOOSE(CONTROL!$C$15, $D$11, 100%, $F$11)</f>
        <v>11.4313</v>
      </c>
      <c r="D427" s="8">
        <f>11.4057 * CHOOSE( CONTROL!$C$15, $D$11, 100%, $F$11)</f>
        <v>11.4057</v>
      </c>
      <c r="E427" s="12">
        <f>11.4145 * CHOOSE( CONTROL!$C$15, $D$11, 100%, $F$11)</f>
        <v>11.4145</v>
      </c>
      <c r="F427" s="4">
        <f>12.0685 * CHOOSE(CONTROL!$C$15, $D$11, 100%, $F$11)</f>
        <v>12.0685</v>
      </c>
      <c r="G427" s="8">
        <f>11.2134 * CHOOSE( CONTROL!$C$15, $D$11, 100%, $F$11)</f>
        <v>11.2134</v>
      </c>
      <c r="H427" s="4">
        <f>12.0972 * CHOOSE(CONTROL!$C$15, $D$11, 100%, $F$11)</f>
        <v>12.097200000000001</v>
      </c>
      <c r="I427" s="8">
        <f>11.1292 * CHOOSE(CONTROL!$C$15, $D$11, 100%, $F$11)</f>
        <v>11.129200000000001</v>
      </c>
      <c r="J427" s="4">
        <f>11.0165 * CHOOSE(CONTROL!$C$15, $D$11, 100%, $F$11)</f>
        <v>11.016500000000001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11.6002 * CHOOSE(CONTROL!$C$15, $D$11, 100%, $F$11)</f>
        <v>11.600199999999999</v>
      </c>
      <c r="C428" s="8">
        <f>11.6047 * CHOOSE(CONTROL!$C$15, $D$11, 100%, $F$11)</f>
        <v>11.604699999999999</v>
      </c>
      <c r="D428" s="8">
        <f>11.619 * CHOOSE( CONTROL!$C$15, $D$11, 100%, $F$11)</f>
        <v>11.619</v>
      </c>
      <c r="E428" s="12">
        <f>11.6138 * CHOOSE( CONTROL!$C$15, $D$11, 100%, $F$11)</f>
        <v>11.613799999999999</v>
      </c>
      <c r="F428" s="4">
        <f>12.2924 * CHOOSE(CONTROL!$C$15, $D$11, 100%, $F$11)</f>
        <v>12.292400000000001</v>
      </c>
      <c r="G428" s="8">
        <f>11.3789 * CHOOSE( CONTROL!$C$15, $D$11, 100%, $F$11)</f>
        <v>11.3789</v>
      </c>
      <c r="H428" s="4">
        <f>12.3173 * CHOOSE(CONTROL!$C$15, $D$11, 100%, $F$11)</f>
        <v>12.317299999999999</v>
      </c>
      <c r="I428" s="8">
        <f>11.2839 * CHOOSE(CONTROL!$C$15, $D$11, 100%, $F$11)</f>
        <v>11.283899999999999</v>
      </c>
      <c r="J428" s="4">
        <f>11.184 * CHOOSE(CONTROL!$C$15, $D$11, 100%, $F$11)</f>
        <v>11.183999999999999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11.9147, 11.9098) * CHOOSE(CONTROL!$C$15, $D$11, 100%, $F$11)</f>
        <v>11.9147</v>
      </c>
      <c r="C429" s="8">
        <f>CHOOSE( CONTROL!$C$32, 11.9227, 11.9178) * CHOOSE(CONTROL!$C$15, $D$11, 100%, $F$11)</f>
        <v>11.922700000000001</v>
      </c>
      <c r="D429" s="8">
        <f>CHOOSE( CONTROL!$C$32, 11.932, 11.9271) * CHOOSE( CONTROL!$C$15, $D$11, 100%, $F$11)</f>
        <v>11.932</v>
      </c>
      <c r="E429" s="12">
        <f>CHOOSE( CONTROL!$C$32, 11.9274, 11.9225) * CHOOSE( CONTROL!$C$15, $D$11, 100%, $F$11)</f>
        <v>11.9274</v>
      </c>
      <c r="F429" s="4">
        <f>CHOOSE( CONTROL!$C$32, 12.6056, 12.6007) * CHOOSE(CONTROL!$C$15, $D$11, 100%, $F$11)</f>
        <v>12.605600000000001</v>
      </c>
      <c r="G429" s="8">
        <f>CHOOSE( CONTROL!$C$32, 11.688, 11.6832) * CHOOSE( CONTROL!$C$15, $D$11, 100%, $F$11)</f>
        <v>11.688000000000001</v>
      </c>
      <c r="H429" s="4">
        <f>CHOOSE( CONTROL!$C$32, 12.6253, 12.6205) * CHOOSE(CONTROL!$C$15, $D$11, 100%, $F$11)</f>
        <v>12.625299999999999</v>
      </c>
      <c r="I429" s="8">
        <f>CHOOSE( CONTROL!$C$32, 11.5872, 11.5824) * CHOOSE(CONTROL!$C$15, $D$11, 100%, $F$11)</f>
        <v>11.587199999999999</v>
      </c>
      <c r="J429" s="4">
        <f>CHOOSE( CONTROL!$C$32, 11.4867, 11.482) * CHOOSE(CONTROL!$C$15, $D$11, 100%, $F$11)</f>
        <v>11.486700000000001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11.7238, 11.7189) * CHOOSE(CONTROL!$C$15, $D$11, 100%, $F$11)</f>
        <v>11.723800000000001</v>
      </c>
      <c r="C430" s="8">
        <f>CHOOSE( CONTROL!$C$32, 11.7318, 11.7269) * CHOOSE(CONTROL!$C$15, $D$11, 100%, $F$11)</f>
        <v>11.7318</v>
      </c>
      <c r="D430" s="8">
        <f>CHOOSE( CONTROL!$C$32, 11.7413, 11.7364) * CHOOSE( CONTROL!$C$15, $D$11, 100%, $F$11)</f>
        <v>11.741300000000001</v>
      </c>
      <c r="E430" s="12">
        <f>CHOOSE( CONTROL!$C$32, 11.7366, 11.7317) * CHOOSE( CONTROL!$C$15, $D$11, 100%, $F$11)</f>
        <v>11.736599999999999</v>
      </c>
      <c r="F430" s="4">
        <f>CHOOSE( CONTROL!$C$32, 12.4146, 12.4097) * CHOOSE(CONTROL!$C$15, $D$11, 100%, $F$11)</f>
        <v>12.4146</v>
      </c>
      <c r="G430" s="8">
        <f>CHOOSE( CONTROL!$C$32, 11.5006, 11.4957) * CHOOSE( CONTROL!$C$15, $D$11, 100%, $F$11)</f>
        <v>11.5006</v>
      </c>
      <c r="H430" s="4">
        <f>CHOOSE( CONTROL!$C$32, 12.4375, 12.4327) * CHOOSE(CONTROL!$C$15, $D$11, 100%, $F$11)</f>
        <v>12.4375</v>
      </c>
      <c r="I430" s="8">
        <f>CHOOSE( CONTROL!$C$32, 11.4035, 11.3988) * CHOOSE(CONTROL!$C$15, $D$11, 100%, $F$11)</f>
        <v>11.403499999999999</v>
      </c>
      <c r="J430" s="4">
        <f>CHOOSE( CONTROL!$C$32, 11.3021, 11.2974) * CHOOSE(CONTROL!$C$15, $D$11, 100%, $F$11)</f>
        <v>11.302099999999999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12.2266, 12.2217) * CHOOSE(CONTROL!$C$15, $D$11, 100%, $F$11)</f>
        <v>12.226599999999999</v>
      </c>
      <c r="C431" s="8">
        <f>CHOOSE( CONTROL!$C$32, 12.2346, 12.2298) * CHOOSE(CONTROL!$C$15, $D$11, 100%, $F$11)</f>
        <v>12.2346</v>
      </c>
      <c r="D431" s="8">
        <f>CHOOSE( CONTROL!$C$32, 12.2444, 12.2395) * CHOOSE( CONTROL!$C$15, $D$11, 100%, $F$11)</f>
        <v>12.244400000000001</v>
      </c>
      <c r="E431" s="12">
        <f>CHOOSE( CONTROL!$C$32, 12.2396, 12.2348) * CHOOSE( CONTROL!$C$15, $D$11, 100%, $F$11)</f>
        <v>12.239599999999999</v>
      </c>
      <c r="F431" s="4">
        <f>CHOOSE( CONTROL!$C$32, 12.9175, 12.9126) * CHOOSE(CONTROL!$C$15, $D$11, 100%, $F$11)</f>
        <v>12.9175</v>
      </c>
      <c r="G431" s="8">
        <f>CHOOSE( CONTROL!$C$32, 11.9954, 11.9906) * CHOOSE( CONTROL!$C$15, $D$11, 100%, $F$11)</f>
        <v>11.9954</v>
      </c>
      <c r="H431" s="4">
        <f>CHOOSE( CONTROL!$C$32, 12.9321, 12.9272) * CHOOSE(CONTROL!$C$15, $D$11, 100%, $F$11)</f>
        <v>12.9321</v>
      </c>
      <c r="I431" s="8">
        <f>CHOOSE( CONTROL!$C$32, 11.891, 11.8862) * CHOOSE(CONTROL!$C$15, $D$11, 100%, $F$11)</f>
        <v>11.891</v>
      </c>
      <c r="J431" s="4">
        <f>CHOOSE( CONTROL!$C$32, 11.7882, 11.7835) * CHOOSE(CONTROL!$C$15, $D$11, 100%, $F$11)</f>
        <v>11.7882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11.2857, 11.2808) * CHOOSE(CONTROL!$C$15, $D$11, 100%, $F$11)</f>
        <v>11.2857</v>
      </c>
      <c r="C432" s="8">
        <f>CHOOSE( CONTROL!$C$32, 11.2937, 11.2888) * CHOOSE(CONTROL!$C$15, $D$11, 100%, $F$11)</f>
        <v>11.293699999999999</v>
      </c>
      <c r="D432" s="8">
        <f>CHOOSE( CONTROL!$C$32, 11.3035, 11.2986) * CHOOSE( CONTROL!$C$15, $D$11, 100%, $F$11)</f>
        <v>11.3035</v>
      </c>
      <c r="E432" s="12">
        <f>CHOOSE( CONTROL!$C$32, 11.2987, 11.2938) * CHOOSE( CONTROL!$C$15, $D$11, 100%, $F$11)</f>
        <v>11.2987</v>
      </c>
      <c r="F432" s="4">
        <f>CHOOSE( CONTROL!$C$32, 11.9766, 11.9717) * CHOOSE(CONTROL!$C$15, $D$11, 100%, $F$11)</f>
        <v>11.976599999999999</v>
      </c>
      <c r="G432" s="8">
        <f>CHOOSE( CONTROL!$C$32, 11.0702, 11.0654) * CHOOSE( CONTROL!$C$15, $D$11, 100%, $F$11)</f>
        <v>11.0702</v>
      </c>
      <c r="H432" s="4">
        <f>CHOOSE( CONTROL!$C$32, 12.0067, 12.0019) * CHOOSE(CONTROL!$C$15, $D$11, 100%, $F$11)</f>
        <v>12.0067</v>
      </c>
      <c r="I432" s="8">
        <f>CHOOSE( CONTROL!$C$32, 10.9812, 10.9765) * CHOOSE(CONTROL!$C$15, $D$11, 100%, $F$11)</f>
        <v>10.981199999999999</v>
      </c>
      <c r="J432" s="4">
        <f>CHOOSE( CONTROL!$C$32, 10.8786, 10.8739) * CHOOSE(CONTROL!$C$15, $D$11, 100%, $F$11)</f>
        <v>10.8786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11.0501, 11.0452) * CHOOSE(CONTROL!$C$15, $D$11, 100%, $F$11)</f>
        <v>11.0501</v>
      </c>
      <c r="C433" s="8">
        <f>CHOOSE( CONTROL!$C$32, 11.0581, 11.0532) * CHOOSE(CONTROL!$C$15, $D$11, 100%, $F$11)</f>
        <v>11.0581</v>
      </c>
      <c r="D433" s="8">
        <f>CHOOSE( CONTROL!$C$32, 11.0679, 11.063) * CHOOSE( CONTROL!$C$15, $D$11, 100%, $F$11)</f>
        <v>11.0679</v>
      </c>
      <c r="E433" s="12">
        <f>CHOOSE( CONTROL!$C$32, 11.0631, 11.0582) * CHOOSE( CONTROL!$C$15, $D$11, 100%, $F$11)</f>
        <v>11.0631</v>
      </c>
      <c r="F433" s="4">
        <f>CHOOSE( CONTROL!$C$32, 11.7409, 11.736) * CHOOSE(CONTROL!$C$15, $D$11, 100%, $F$11)</f>
        <v>11.7409</v>
      </c>
      <c r="G433" s="8">
        <f>CHOOSE( CONTROL!$C$32, 10.8384, 10.8336) * CHOOSE( CONTROL!$C$15, $D$11, 100%, $F$11)</f>
        <v>10.8384</v>
      </c>
      <c r="H433" s="4">
        <f>CHOOSE( CONTROL!$C$32, 11.775, 11.7702) * CHOOSE(CONTROL!$C$15, $D$11, 100%, $F$11)</f>
        <v>11.775</v>
      </c>
      <c r="I433" s="8">
        <f>CHOOSE( CONTROL!$C$32, 10.7532, 10.7484) * CHOOSE(CONTROL!$C$15, $D$11, 100%, $F$11)</f>
        <v>10.7532</v>
      </c>
      <c r="J433" s="4">
        <f>CHOOSE( CONTROL!$C$32, 10.6509, 10.6461) * CHOOSE(CONTROL!$C$15, $D$11, 100%, $F$11)</f>
        <v>10.6509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11.5327 * CHOOSE(CONTROL!$C$15, $D$11, 100%, $F$11)</f>
        <v>11.5327</v>
      </c>
      <c r="C434" s="8">
        <f>11.5381 * CHOOSE(CONTROL!$C$15, $D$11, 100%, $F$11)</f>
        <v>11.5381</v>
      </c>
      <c r="D434" s="8">
        <f>11.5526 * CHOOSE( CONTROL!$C$15, $D$11, 100%, $F$11)</f>
        <v>11.5526</v>
      </c>
      <c r="E434" s="12">
        <f>11.5472 * CHOOSE( CONTROL!$C$15, $D$11, 100%, $F$11)</f>
        <v>11.5472</v>
      </c>
      <c r="F434" s="4">
        <f>12.2253 * CHOOSE(CONTROL!$C$15, $D$11, 100%, $F$11)</f>
        <v>12.225300000000001</v>
      </c>
      <c r="G434" s="8">
        <f>11.314 * CHOOSE( CONTROL!$C$15, $D$11, 100%, $F$11)</f>
        <v>11.314</v>
      </c>
      <c r="H434" s="4">
        <f>12.2513 * CHOOSE(CONTROL!$C$15, $D$11, 100%, $F$11)</f>
        <v>12.251300000000001</v>
      </c>
      <c r="I434" s="8">
        <f>11.2225 * CHOOSE(CONTROL!$C$15, $D$11, 100%, $F$11)</f>
        <v>11.2225</v>
      </c>
      <c r="J434" s="4">
        <f>11.1191 * CHOOSE(CONTROL!$C$15, $D$11, 100%, $F$11)</f>
        <v>11.1191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12.4353 * CHOOSE(CONTROL!$C$15, $D$11, 100%, $F$11)</f>
        <v>12.4353</v>
      </c>
      <c r="C435" s="8">
        <f>12.4404 * CHOOSE(CONTROL!$C$15, $D$11, 100%, $F$11)</f>
        <v>12.4404</v>
      </c>
      <c r="D435" s="8">
        <f>12.4174 * CHOOSE( CONTROL!$C$15, $D$11, 100%, $F$11)</f>
        <v>12.417400000000001</v>
      </c>
      <c r="E435" s="12">
        <f>12.4253 * CHOOSE( CONTROL!$C$15, $D$11, 100%, $F$11)</f>
        <v>12.4253</v>
      </c>
      <c r="F435" s="4">
        <f>13.0802 * CHOOSE(CONTROL!$C$15, $D$11, 100%, $F$11)</f>
        <v>13.0802</v>
      </c>
      <c r="G435" s="8">
        <f>12.21 * CHOOSE( CONTROL!$C$15, $D$11, 100%, $F$11)</f>
        <v>12.21</v>
      </c>
      <c r="H435" s="4">
        <f>13.0921 * CHOOSE(CONTROL!$C$15, $D$11, 100%, $F$11)</f>
        <v>13.0921</v>
      </c>
      <c r="I435" s="8">
        <f>12.1205 * CHOOSE(CONTROL!$C$15, $D$11, 100%, $F$11)</f>
        <v>12.1205</v>
      </c>
      <c r="J435" s="4">
        <f>11.992 * CHOOSE(CONTROL!$C$15, $D$11, 100%, $F$11)</f>
        <v>11.992000000000001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12.4127 * CHOOSE(CONTROL!$C$15, $D$11, 100%, $F$11)</f>
        <v>12.412699999999999</v>
      </c>
      <c r="C436" s="8">
        <f>12.4179 * CHOOSE(CONTROL!$C$15, $D$11, 100%, $F$11)</f>
        <v>12.417899999999999</v>
      </c>
      <c r="D436" s="8">
        <f>12.3964 * CHOOSE( CONTROL!$C$15, $D$11, 100%, $F$11)</f>
        <v>12.3964</v>
      </c>
      <c r="E436" s="12">
        <f>12.4037 * CHOOSE( CONTROL!$C$15, $D$11, 100%, $F$11)</f>
        <v>12.403700000000001</v>
      </c>
      <c r="F436" s="4">
        <f>13.0576 * CHOOSE(CONTROL!$C$15, $D$11, 100%, $F$11)</f>
        <v>13.057600000000001</v>
      </c>
      <c r="G436" s="8">
        <f>12.189 * CHOOSE( CONTROL!$C$15, $D$11, 100%, $F$11)</f>
        <v>12.189</v>
      </c>
      <c r="H436" s="4">
        <f>13.0699 * CHOOSE(CONTROL!$C$15, $D$11, 100%, $F$11)</f>
        <v>13.069900000000001</v>
      </c>
      <c r="I436" s="8">
        <f>12.1036 * CHOOSE(CONTROL!$C$15, $D$11, 100%, $F$11)</f>
        <v>12.1036</v>
      </c>
      <c r="J436" s="4">
        <f>11.9702 * CHOOSE(CONTROL!$C$15, $D$11, 100%, $F$11)</f>
        <v>11.9702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12.886 * CHOOSE(CONTROL!$C$15, $D$11, 100%, $F$11)</f>
        <v>12.885999999999999</v>
      </c>
      <c r="C437" s="8">
        <f>12.8911 * CHOOSE(CONTROL!$C$15, $D$11, 100%, $F$11)</f>
        <v>12.8911</v>
      </c>
      <c r="D437" s="8">
        <f>12.8657 * CHOOSE( CONTROL!$C$15, $D$11, 100%, $F$11)</f>
        <v>12.8657</v>
      </c>
      <c r="E437" s="12">
        <f>12.8744 * CHOOSE( CONTROL!$C$15, $D$11, 100%, $F$11)</f>
        <v>12.8744</v>
      </c>
      <c r="F437" s="4">
        <f>13.5283 * CHOOSE(CONTROL!$C$15, $D$11, 100%, $F$11)</f>
        <v>13.5283</v>
      </c>
      <c r="G437" s="8">
        <f>12.6491 * CHOOSE( CONTROL!$C$15, $D$11, 100%, $F$11)</f>
        <v>12.649100000000001</v>
      </c>
      <c r="H437" s="4">
        <f>13.5327 * CHOOSE(CONTROL!$C$15, $D$11, 100%, $F$11)</f>
        <v>13.5327</v>
      </c>
      <c r="I437" s="8">
        <f>12.5416 * CHOOSE(CONTROL!$C$15, $D$11, 100%, $F$11)</f>
        <v>12.541600000000001</v>
      </c>
      <c r="J437" s="4">
        <f>12.4277 * CHOOSE(CONTROL!$C$15, $D$11, 100%, $F$11)</f>
        <v>12.4277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12.0549 * CHOOSE(CONTROL!$C$15, $D$11, 100%, $F$11)</f>
        <v>12.0549</v>
      </c>
      <c r="C438" s="8">
        <f>12.06 * CHOOSE(CONTROL!$C$15, $D$11, 100%, $F$11)</f>
        <v>12.06</v>
      </c>
      <c r="D438" s="8">
        <f>12.0347 * CHOOSE( CONTROL!$C$15, $D$11, 100%, $F$11)</f>
        <v>12.034700000000001</v>
      </c>
      <c r="E438" s="12">
        <f>12.0434 * CHOOSE( CONTROL!$C$15, $D$11, 100%, $F$11)</f>
        <v>12.0434</v>
      </c>
      <c r="F438" s="4">
        <f>12.6972 * CHOOSE(CONTROL!$C$15, $D$11, 100%, $F$11)</f>
        <v>12.6972</v>
      </c>
      <c r="G438" s="8">
        <f>11.8318 * CHOOSE( CONTROL!$C$15, $D$11, 100%, $F$11)</f>
        <v>11.831799999999999</v>
      </c>
      <c r="H438" s="4">
        <f>12.7154 * CHOOSE(CONTROL!$C$15, $D$11, 100%, $F$11)</f>
        <v>12.715400000000001</v>
      </c>
      <c r="I438" s="8">
        <f>11.7381 * CHOOSE(CONTROL!$C$15, $D$11, 100%, $F$11)</f>
        <v>11.738099999999999</v>
      </c>
      <c r="J438" s="4">
        <f>11.6243 * CHOOSE(CONTROL!$C$15, $D$11, 100%, $F$11)</f>
        <v>11.6243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11.7989 * CHOOSE(CONTROL!$C$15, $D$11, 100%, $F$11)</f>
        <v>11.7989</v>
      </c>
      <c r="C439" s="8">
        <f>11.804 * CHOOSE(CONTROL!$C$15, $D$11, 100%, $F$11)</f>
        <v>11.804</v>
      </c>
      <c r="D439" s="8">
        <f>11.7784 * CHOOSE( CONTROL!$C$15, $D$11, 100%, $F$11)</f>
        <v>11.7784</v>
      </c>
      <c r="E439" s="12">
        <f>11.7872 * CHOOSE( CONTROL!$C$15, $D$11, 100%, $F$11)</f>
        <v>11.7872</v>
      </c>
      <c r="F439" s="4">
        <f>12.4412 * CHOOSE(CONTROL!$C$15, $D$11, 100%, $F$11)</f>
        <v>12.4412</v>
      </c>
      <c r="G439" s="8">
        <f>11.5799 * CHOOSE( CONTROL!$C$15, $D$11, 100%, $F$11)</f>
        <v>11.5799</v>
      </c>
      <c r="H439" s="4">
        <f>12.4637 * CHOOSE(CONTROL!$C$15, $D$11, 100%, $F$11)</f>
        <v>12.463699999999999</v>
      </c>
      <c r="I439" s="8">
        <f>11.4897 * CHOOSE(CONTROL!$C$15, $D$11, 100%, $F$11)</f>
        <v>11.489699999999999</v>
      </c>
      <c r="J439" s="4">
        <f>11.3768 * CHOOSE(CONTROL!$C$15, $D$11, 100%, $F$11)</f>
        <v>11.376799999999999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11.9785 * CHOOSE(CONTROL!$C$15, $D$11, 100%, $F$11)</f>
        <v>11.9785</v>
      </c>
      <c r="C440" s="8">
        <f>11.9831 * CHOOSE(CONTROL!$C$15, $D$11, 100%, $F$11)</f>
        <v>11.9831</v>
      </c>
      <c r="D440" s="8">
        <f>11.9974 * CHOOSE( CONTROL!$C$15, $D$11, 100%, $F$11)</f>
        <v>11.997400000000001</v>
      </c>
      <c r="E440" s="12">
        <f>11.9922 * CHOOSE( CONTROL!$C$15, $D$11, 100%, $F$11)</f>
        <v>11.9922</v>
      </c>
      <c r="F440" s="4">
        <f>12.6708 * CHOOSE(CONTROL!$C$15, $D$11, 100%, $F$11)</f>
        <v>12.6708</v>
      </c>
      <c r="G440" s="8">
        <f>11.751 * CHOOSE( CONTROL!$C$15, $D$11, 100%, $F$11)</f>
        <v>11.750999999999999</v>
      </c>
      <c r="H440" s="4">
        <f>12.6894 * CHOOSE(CONTROL!$C$15, $D$11, 100%, $F$11)</f>
        <v>12.689399999999999</v>
      </c>
      <c r="I440" s="8">
        <f>11.6499 * CHOOSE(CONTROL!$C$15, $D$11, 100%, $F$11)</f>
        <v>11.649900000000001</v>
      </c>
      <c r="J440" s="4">
        <f>11.5497 * CHOOSE(CONTROL!$C$15, $D$11, 100%, $F$11)</f>
        <v>11.5497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12.3032, 12.2983) * CHOOSE(CONTROL!$C$15, $D$11, 100%, $F$11)</f>
        <v>12.3032</v>
      </c>
      <c r="C441" s="8">
        <f>CHOOSE( CONTROL!$C$32, 12.3112, 12.3063) * CHOOSE(CONTROL!$C$15, $D$11, 100%, $F$11)</f>
        <v>12.311199999999999</v>
      </c>
      <c r="D441" s="8">
        <f>CHOOSE( CONTROL!$C$32, 12.3205, 12.3156) * CHOOSE( CONTROL!$C$15, $D$11, 100%, $F$11)</f>
        <v>12.320499999999999</v>
      </c>
      <c r="E441" s="12">
        <f>CHOOSE( CONTROL!$C$32, 12.3159, 12.311) * CHOOSE( CONTROL!$C$15, $D$11, 100%, $F$11)</f>
        <v>12.315899999999999</v>
      </c>
      <c r="F441" s="4">
        <f>CHOOSE( CONTROL!$C$32, 12.994, 12.9891) * CHOOSE(CONTROL!$C$15, $D$11, 100%, $F$11)</f>
        <v>12.994</v>
      </c>
      <c r="G441" s="8">
        <f>CHOOSE( CONTROL!$C$32, 12.07, 12.0652) * CHOOSE( CONTROL!$C$15, $D$11, 100%, $F$11)</f>
        <v>12.07</v>
      </c>
      <c r="H441" s="4">
        <f>CHOOSE( CONTROL!$C$32, 13.0073, 13.0025) * CHOOSE(CONTROL!$C$15, $D$11, 100%, $F$11)</f>
        <v>13.007300000000001</v>
      </c>
      <c r="I441" s="8">
        <f>CHOOSE( CONTROL!$C$32, 11.9629, 11.9581) * CHOOSE(CONTROL!$C$15, $D$11, 100%, $F$11)</f>
        <v>11.962899999999999</v>
      </c>
      <c r="J441" s="4">
        <f>CHOOSE( CONTROL!$C$32, 11.8622, 11.8575) * CHOOSE(CONTROL!$C$15, $D$11, 100%, $F$11)</f>
        <v>11.8622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12.1059, 12.1011) * CHOOSE(CONTROL!$C$15, $D$11, 100%, $F$11)</f>
        <v>12.1059</v>
      </c>
      <c r="C442" s="8">
        <f>CHOOSE( CONTROL!$C$32, 12.114, 12.1091) * CHOOSE(CONTROL!$C$15, $D$11, 100%, $F$11)</f>
        <v>12.114000000000001</v>
      </c>
      <c r="D442" s="8">
        <f>CHOOSE( CONTROL!$C$32, 12.1235, 12.1186) * CHOOSE( CONTROL!$C$15, $D$11, 100%, $F$11)</f>
        <v>12.1235</v>
      </c>
      <c r="E442" s="12">
        <f>CHOOSE( CONTROL!$C$32, 12.1188, 12.1139) * CHOOSE( CONTROL!$C$15, $D$11, 100%, $F$11)</f>
        <v>12.1188</v>
      </c>
      <c r="F442" s="4">
        <f>CHOOSE( CONTROL!$C$32, 12.7968, 12.7919) * CHOOSE(CONTROL!$C$15, $D$11, 100%, $F$11)</f>
        <v>12.796799999999999</v>
      </c>
      <c r="G442" s="8">
        <f>CHOOSE( CONTROL!$C$32, 11.8764, 11.8716) * CHOOSE( CONTROL!$C$15, $D$11, 100%, $F$11)</f>
        <v>11.8764</v>
      </c>
      <c r="H442" s="4">
        <f>CHOOSE( CONTROL!$C$32, 12.8134, 12.8086) * CHOOSE(CONTROL!$C$15, $D$11, 100%, $F$11)</f>
        <v>12.8134</v>
      </c>
      <c r="I442" s="8">
        <f>CHOOSE( CONTROL!$C$32, 11.7732, 11.7684) * CHOOSE(CONTROL!$C$15, $D$11, 100%, $F$11)</f>
        <v>11.773199999999999</v>
      </c>
      <c r="J442" s="4">
        <f>CHOOSE( CONTROL!$C$32, 11.6716, 11.6669) * CHOOSE(CONTROL!$C$15, $D$11, 100%, $F$11)</f>
        <v>11.6716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12.6253, 12.6204) * CHOOSE(CONTROL!$C$15, $D$11, 100%, $F$11)</f>
        <v>12.625299999999999</v>
      </c>
      <c r="C443" s="8">
        <f>CHOOSE( CONTROL!$C$32, 12.6333, 12.6284) * CHOOSE(CONTROL!$C$15, $D$11, 100%, $F$11)</f>
        <v>12.6333</v>
      </c>
      <c r="D443" s="8">
        <f>CHOOSE( CONTROL!$C$32, 12.643, 12.6381) * CHOOSE( CONTROL!$C$15, $D$11, 100%, $F$11)</f>
        <v>12.643000000000001</v>
      </c>
      <c r="E443" s="12">
        <f>CHOOSE( CONTROL!$C$32, 12.6383, 12.6334) * CHOOSE( CONTROL!$C$15, $D$11, 100%, $F$11)</f>
        <v>12.638299999999999</v>
      </c>
      <c r="F443" s="4">
        <f>CHOOSE( CONTROL!$C$32, 13.3161, 13.3112) * CHOOSE(CONTROL!$C$15, $D$11, 100%, $F$11)</f>
        <v>13.3161</v>
      </c>
      <c r="G443" s="8">
        <f>CHOOSE( CONTROL!$C$32, 12.3875, 12.3826) * CHOOSE( CONTROL!$C$15, $D$11, 100%, $F$11)</f>
        <v>12.387499999999999</v>
      </c>
      <c r="H443" s="4">
        <f>CHOOSE( CONTROL!$C$32, 13.3241, 13.3193) * CHOOSE(CONTROL!$C$15, $D$11, 100%, $F$11)</f>
        <v>13.3241</v>
      </c>
      <c r="I443" s="8">
        <f>CHOOSE( CONTROL!$C$32, 12.2765, 12.2718) * CHOOSE(CONTROL!$C$15, $D$11, 100%, $F$11)</f>
        <v>12.2765</v>
      </c>
      <c r="J443" s="4">
        <f>CHOOSE( CONTROL!$C$32, 12.1736, 12.1689) * CHOOSE(CONTROL!$C$15, $D$11, 100%, $F$11)</f>
        <v>12.1736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11.6536, 11.6487) * CHOOSE(CONTROL!$C$15, $D$11, 100%, $F$11)</f>
        <v>11.653600000000001</v>
      </c>
      <c r="C444" s="8">
        <f>CHOOSE( CONTROL!$C$32, 11.6616, 11.6567) * CHOOSE(CONTROL!$C$15, $D$11, 100%, $F$11)</f>
        <v>11.6616</v>
      </c>
      <c r="D444" s="8">
        <f>CHOOSE( CONTROL!$C$32, 11.6714, 11.6665) * CHOOSE( CONTROL!$C$15, $D$11, 100%, $F$11)</f>
        <v>11.6714</v>
      </c>
      <c r="E444" s="12">
        <f>CHOOSE( CONTROL!$C$32, 11.6666, 11.6617) * CHOOSE( CONTROL!$C$15, $D$11, 100%, $F$11)</f>
        <v>11.666600000000001</v>
      </c>
      <c r="F444" s="4">
        <f>CHOOSE( CONTROL!$C$32, 12.3444, 12.3395) * CHOOSE(CONTROL!$C$15, $D$11, 100%, $F$11)</f>
        <v>12.3444</v>
      </c>
      <c r="G444" s="8">
        <f>CHOOSE( CONTROL!$C$32, 11.432, 11.4272) * CHOOSE( CONTROL!$C$15, $D$11, 100%, $F$11)</f>
        <v>11.432</v>
      </c>
      <c r="H444" s="4">
        <f>CHOOSE( CONTROL!$C$32, 12.3685, 12.3637) * CHOOSE(CONTROL!$C$15, $D$11, 100%, $F$11)</f>
        <v>12.368499999999999</v>
      </c>
      <c r="I444" s="8">
        <f>CHOOSE( CONTROL!$C$32, 11.337, 11.3323) * CHOOSE(CONTROL!$C$15, $D$11, 100%, $F$11)</f>
        <v>11.337</v>
      </c>
      <c r="J444" s="4">
        <f>CHOOSE( CONTROL!$C$32, 11.2343, 11.2295) * CHOOSE(CONTROL!$C$15, $D$11, 100%, $F$11)</f>
        <v>11.234299999999999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11.4102, 11.4053) * CHOOSE(CONTROL!$C$15, $D$11, 100%, $F$11)</f>
        <v>11.4102</v>
      </c>
      <c r="C445" s="8">
        <f>CHOOSE( CONTROL!$C$32, 11.4182, 11.4134) * CHOOSE(CONTROL!$C$15, $D$11, 100%, $F$11)</f>
        <v>11.418200000000001</v>
      </c>
      <c r="D445" s="8">
        <f>CHOOSE( CONTROL!$C$32, 11.428, 11.4231) * CHOOSE( CONTROL!$C$15, $D$11, 100%, $F$11)</f>
        <v>11.428000000000001</v>
      </c>
      <c r="E445" s="12">
        <f>CHOOSE( CONTROL!$C$32, 11.4232, 11.4184) * CHOOSE( CONTROL!$C$15, $D$11, 100%, $F$11)</f>
        <v>11.4232</v>
      </c>
      <c r="F445" s="4">
        <f>CHOOSE( CONTROL!$C$32, 12.1011, 12.0962) * CHOOSE(CONTROL!$C$15, $D$11, 100%, $F$11)</f>
        <v>12.101100000000001</v>
      </c>
      <c r="G445" s="8">
        <f>CHOOSE( CONTROL!$C$32, 11.1926, 11.1878) * CHOOSE( CONTROL!$C$15, $D$11, 100%, $F$11)</f>
        <v>11.192600000000001</v>
      </c>
      <c r="H445" s="4">
        <f>CHOOSE( CONTROL!$C$32, 12.1292, 12.1244) * CHOOSE(CONTROL!$C$15, $D$11, 100%, $F$11)</f>
        <v>12.129200000000001</v>
      </c>
      <c r="I445" s="8">
        <f>CHOOSE( CONTROL!$C$32, 11.1015, 11.0968) * CHOOSE(CONTROL!$C$15, $D$11, 100%, $F$11)</f>
        <v>11.1015</v>
      </c>
      <c r="J445" s="4">
        <f>CHOOSE( CONTROL!$C$32, 10.999, 10.9943) * CHOOSE(CONTROL!$C$15, $D$11, 100%, $F$11)</f>
        <v>10.999000000000001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11.9088 * CHOOSE(CONTROL!$C$15, $D$11, 100%, $F$11)</f>
        <v>11.908799999999999</v>
      </c>
      <c r="C446" s="8">
        <f>11.9142 * CHOOSE(CONTROL!$C$15, $D$11, 100%, $F$11)</f>
        <v>11.914199999999999</v>
      </c>
      <c r="D446" s="8">
        <f>11.9288 * CHOOSE( CONTROL!$C$15, $D$11, 100%, $F$11)</f>
        <v>11.928800000000001</v>
      </c>
      <c r="E446" s="12">
        <f>11.9234 * CHOOSE( CONTROL!$C$15, $D$11, 100%, $F$11)</f>
        <v>11.923400000000001</v>
      </c>
      <c r="F446" s="4">
        <f>12.6014 * CHOOSE(CONTROL!$C$15, $D$11, 100%, $F$11)</f>
        <v>12.6014</v>
      </c>
      <c r="G446" s="8">
        <f>11.6839 * CHOOSE( CONTROL!$C$15, $D$11, 100%, $F$11)</f>
        <v>11.6839</v>
      </c>
      <c r="H446" s="4">
        <f>12.6212 * CHOOSE(CONTROL!$C$15, $D$11, 100%, $F$11)</f>
        <v>12.6212</v>
      </c>
      <c r="I446" s="8">
        <f>11.5863 * CHOOSE(CONTROL!$C$15, $D$11, 100%, $F$11)</f>
        <v>11.5863</v>
      </c>
      <c r="J446" s="4">
        <f>11.4827 * CHOOSE(CONTROL!$C$15, $D$11, 100%, $F$11)</f>
        <v>11.482699999999999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12.841 * CHOOSE(CONTROL!$C$15, $D$11, 100%, $F$11)</f>
        <v>12.840999999999999</v>
      </c>
      <c r="C447" s="8">
        <f>12.8461 * CHOOSE(CONTROL!$C$15, $D$11, 100%, $F$11)</f>
        <v>12.8461</v>
      </c>
      <c r="D447" s="8">
        <f>12.8231 * CHOOSE( CONTROL!$C$15, $D$11, 100%, $F$11)</f>
        <v>12.8231</v>
      </c>
      <c r="E447" s="12">
        <f>12.831 * CHOOSE( CONTROL!$C$15, $D$11, 100%, $F$11)</f>
        <v>12.831</v>
      </c>
      <c r="F447" s="4">
        <f>13.4859 * CHOOSE(CONTROL!$C$15, $D$11, 100%, $F$11)</f>
        <v>13.485900000000001</v>
      </c>
      <c r="G447" s="8">
        <f>12.609 * CHOOSE( CONTROL!$C$15, $D$11, 100%, $F$11)</f>
        <v>12.609</v>
      </c>
      <c r="H447" s="4">
        <f>13.491 * CHOOSE(CONTROL!$C$15, $D$11, 100%, $F$11)</f>
        <v>13.491</v>
      </c>
      <c r="I447" s="8">
        <f>12.5129 * CHOOSE(CONTROL!$C$15, $D$11, 100%, $F$11)</f>
        <v>12.5129</v>
      </c>
      <c r="J447" s="4">
        <f>12.3842 * CHOOSE(CONTROL!$C$15, $D$11, 100%, $F$11)</f>
        <v>12.3842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12.8177 * CHOOSE(CONTROL!$C$15, $D$11, 100%, $F$11)</f>
        <v>12.8177</v>
      </c>
      <c r="C448" s="8">
        <f>12.8228 * CHOOSE(CONTROL!$C$15, $D$11, 100%, $F$11)</f>
        <v>12.822800000000001</v>
      </c>
      <c r="D448" s="8">
        <f>12.8013 * CHOOSE( CONTROL!$C$15, $D$11, 100%, $F$11)</f>
        <v>12.801299999999999</v>
      </c>
      <c r="E448" s="12">
        <f>12.8086 * CHOOSE( CONTROL!$C$15, $D$11, 100%, $F$11)</f>
        <v>12.8086</v>
      </c>
      <c r="F448" s="4">
        <f>13.4626 * CHOOSE(CONTROL!$C$15, $D$11, 100%, $F$11)</f>
        <v>13.4626</v>
      </c>
      <c r="G448" s="8">
        <f>12.5872 * CHOOSE( CONTROL!$C$15, $D$11, 100%, $F$11)</f>
        <v>12.587199999999999</v>
      </c>
      <c r="H448" s="4">
        <f>13.4681 * CHOOSE(CONTROL!$C$15, $D$11, 100%, $F$11)</f>
        <v>13.4681</v>
      </c>
      <c r="I448" s="8">
        <f>12.4953 * CHOOSE(CONTROL!$C$15, $D$11, 100%, $F$11)</f>
        <v>12.4953</v>
      </c>
      <c r="J448" s="4">
        <f>12.3617 * CHOOSE(CONTROL!$C$15, $D$11, 100%, $F$11)</f>
        <v>12.361700000000001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13.3064 * CHOOSE(CONTROL!$C$15, $D$11, 100%, $F$11)</f>
        <v>13.3064</v>
      </c>
      <c r="C449" s="8">
        <f>13.3115 * CHOOSE(CONTROL!$C$15, $D$11, 100%, $F$11)</f>
        <v>13.311500000000001</v>
      </c>
      <c r="D449" s="8">
        <f>13.2861 * CHOOSE( CONTROL!$C$15, $D$11, 100%, $F$11)</f>
        <v>13.286099999999999</v>
      </c>
      <c r="E449" s="12">
        <f>13.2948 * CHOOSE( CONTROL!$C$15, $D$11, 100%, $F$11)</f>
        <v>13.2948</v>
      </c>
      <c r="F449" s="4">
        <f>13.9487 * CHOOSE(CONTROL!$C$15, $D$11, 100%, $F$11)</f>
        <v>13.948700000000001</v>
      </c>
      <c r="G449" s="8">
        <f>13.0625 * CHOOSE( CONTROL!$C$15, $D$11, 100%, $F$11)</f>
        <v>13.0625</v>
      </c>
      <c r="H449" s="4">
        <f>13.9462 * CHOOSE(CONTROL!$C$15, $D$11, 100%, $F$11)</f>
        <v>13.946199999999999</v>
      </c>
      <c r="I449" s="8">
        <f>12.9483 * CHOOSE(CONTROL!$C$15, $D$11, 100%, $F$11)</f>
        <v>12.9483</v>
      </c>
      <c r="J449" s="4">
        <f>12.8341 * CHOOSE(CONTROL!$C$15, $D$11, 100%, $F$11)</f>
        <v>12.834099999999999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12.4481 * CHOOSE(CONTROL!$C$15, $D$11, 100%, $F$11)</f>
        <v>12.4481</v>
      </c>
      <c r="C450" s="8">
        <f>12.4533 * CHOOSE(CONTROL!$C$15, $D$11, 100%, $F$11)</f>
        <v>12.4533</v>
      </c>
      <c r="D450" s="8">
        <f>12.4279 * CHOOSE( CONTROL!$C$15, $D$11, 100%, $F$11)</f>
        <v>12.427899999999999</v>
      </c>
      <c r="E450" s="12">
        <f>12.4366 * CHOOSE( CONTROL!$C$15, $D$11, 100%, $F$11)</f>
        <v>12.4366</v>
      </c>
      <c r="F450" s="4">
        <f>13.0904 * CHOOSE(CONTROL!$C$15, $D$11, 100%, $F$11)</f>
        <v>13.090400000000001</v>
      </c>
      <c r="G450" s="8">
        <f>12.2185 * CHOOSE( CONTROL!$C$15, $D$11, 100%, $F$11)</f>
        <v>12.218500000000001</v>
      </c>
      <c r="H450" s="4">
        <f>13.1021 * CHOOSE(CONTROL!$C$15, $D$11, 100%, $F$11)</f>
        <v>13.1021</v>
      </c>
      <c r="I450" s="8">
        <f>12.1184 * CHOOSE(CONTROL!$C$15, $D$11, 100%, $F$11)</f>
        <v>12.118399999999999</v>
      </c>
      <c r="J450" s="4">
        <f>12.0044 * CHOOSE(CONTROL!$C$15, $D$11, 100%, $F$11)</f>
        <v>12.0044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12.1838 * CHOOSE(CONTROL!$C$15, $D$11, 100%, $F$11)</f>
        <v>12.1838</v>
      </c>
      <c r="C451" s="8">
        <f>12.1889 * CHOOSE(CONTROL!$C$15, $D$11, 100%, $F$11)</f>
        <v>12.1889</v>
      </c>
      <c r="D451" s="8">
        <f>12.1633 * CHOOSE( CONTROL!$C$15, $D$11, 100%, $F$11)</f>
        <v>12.1633</v>
      </c>
      <c r="E451" s="12">
        <f>12.1721 * CHOOSE( CONTROL!$C$15, $D$11, 100%, $F$11)</f>
        <v>12.1721</v>
      </c>
      <c r="F451" s="4">
        <f>12.8261 * CHOOSE(CONTROL!$C$15, $D$11, 100%, $F$11)</f>
        <v>12.8261</v>
      </c>
      <c r="G451" s="8">
        <f>11.9584 * CHOOSE( CONTROL!$C$15, $D$11, 100%, $F$11)</f>
        <v>11.958399999999999</v>
      </c>
      <c r="H451" s="4">
        <f>12.8422 * CHOOSE(CONTROL!$C$15, $D$11, 100%, $F$11)</f>
        <v>12.8422</v>
      </c>
      <c r="I451" s="8">
        <f>11.8619 * CHOOSE(CONTROL!$C$15, $D$11, 100%, $F$11)</f>
        <v>11.8619</v>
      </c>
      <c r="J451" s="4">
        <f>11.7489 * CHOOSE(CONTROL!$C$15, $D$11, 100%, $F$11)</f>
        <v>11.748900000000001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12.3693 * CHOOSE(CONTROL!$C$15, $D$11, 100%, $F$11)</f>
        <v>12.369300000000001</v>
      </c>
      <c r="C452" s="8">
        <f>12.3738 * CHOOSE(CONTROL!$C$15, $D$11, 100%, $F$11)</f>
        <v>12.373799999999999</v>
      </c>
      <c r="D452" s="8">
        <f>12.3881 * CHOOSE( CONTROL!$C$15, $D$11, 100%, $F$11)</f>
        <v>12.3881</v>
      </c>
      <c r="E452" s="12">
        <f>12.3829 * CHOOSE( CONTROL!$C$15, $D$11, 100%, $F$11)</f>
        <v>12.382899999999999</v>
      </c>
      <c r="F452" s="4">
        <f>13.0615 * CHOOSE(CONTROL!$C$15, $D$11, 100%, $F$11)</f>
        <v>13.061500000000001</v>
      </c>
      <c r="G452" s="8">
        <f>12.1353 * CHOOSE( CONTROL!$C$15, $D$11, 100%, $F$11)</f>
        <v>12.135300000000001</v>
      </c>
      <c r="H452" s="4">
        <f>13.0737 * CHOOSE(CONTROL!$C$15, $D$11, 100%, $F$11)</f>
        <v>13.073700000000001</v>
      </c>
      <c r="I452" s="8">
        <f>12.0278 * CHOOSE(CONTROL!$C$15, $D$11, 100%, $F$11)</f>
        <v>12.027799999999999</v>
      </c>
      <c r="J452" s="4">
        <f>11.9275 * CHOOSE(CONTROL!$C$15, $D$11, 100%, $F$11)</f>
        <v>11.9275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12.7043, 12.6994) * CHOOSE(CONTROL!$C$15, $D$11, 100%, $F$11)</f>
        <v>12.7043</v>
      </c>
      <c r="C453" s="8">
        <f>CHOOSE( CONTROL!$C$32, 12.7123, 12.7074) * CHOOSE(CONTROL!$C$15, $D$11, 100%, $F$11)</f>
        <v>12.712300000000001</v>
      </c>
      <c r="D453" s="8">
        <f>CHOOSE( CONTROL!$C$32, 12.7216, 12.7167) * CHOOSE( CONTROL!$C$15, $D$11, 100%, $F$11)</f>
        <v>12.7216</v>
      </c>
      <c r="E453" s="12">
        <f>CHOOSE( CONTROL!$C$32, 12.717, 12.7121) * CHOOSE( CONTROL!$C$15, $D$11, 100%, $F$11)</f>
        <v>12.717000000000001</v>
      </c>
      <c r="F453" s="4">
        <f>CHOOSE( CONTROL!$C$32, 13.3952, 13.3903) * CHOOSE(CONTROL!$C$15, $D$11, 100%, $F$11)</f>
        <v>13.395200000000001</v>
      </c>
      <c r="G453" s="8">
        <f>CHOOSE( CONTROL!$C$32, 12.4645, 12.4597) * CHOOSE( CONTROL!$C$15, $D$11, 100%, $F$11)</f>
        <v>12.464499999999999</v>
      </c>
      <c r="H453" s="4">
        <f>CHOOSE( CONTROL!$C$32, 13.4018, 13.397) * CHOOSE(CONTROL!$C$15, $D$11, 100%, $F$11)</f>
        <v>13.4018</v>
      </c>
      <c r="I453" s="8">
        <f>CHOOSE( CONTROL!$C$32, 12.3508, 12.3461) * CHOOSE(CONTROL!$C$15, $D$11, 100%, $F$11)</f>
        <v>12.3508</v>
      </c>
      <c r="J453" s="4">
        <f>CHOOSE( CONTROL!$C$32, 12.25, 12.2453) * CHOOSE(CONTROL!$C$15, $D$11, 100%, $F$11)</f>
        <v>12.25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12.5006, 12.4957) * CHOOSE(CONTROL!$C$15, $D$11, 100%, $F$11)</f>
        <v>12.5006</v>
      </c>
      <c r="C454" s="8">
        <f>CHOOSE( CONTROL!$C$32, 12.5087, 12.5038) * CHOOSE(CONTROL!$C$15, $D$11, 100%, $F$11)</f>
        <v>12.508699999999999</v>
      </c>
      <c r="D454" s="8">
        <f>CHOOSE( CONTROL!$C$32, 12.5182, 12.5133) * CHOOSE( CONTROL!$C$15, $D$11, 100%, $F$11)</f>
        <v>12.5182</v>
      </c>
      <c r="E454" s="12">
        <f>CHOOSE( CONTROL!$C$32, 12.5135, 12.5086) * CHOOSE( CONTROL!$C$15, $D$11, 100%, $F$11)</f>
        <v>12.513500000000001</v>
      </c>
      <c r="F454" s="4">
        <f>CHOOSE( CONTROL!$C$32, 13.1915, 13.1866) * CHOOSE(CONTROL!$C$15, $D$11, 100%, $F$11)</f>
        <v>13.1915</v>
      </c>
      <c r="G454" s="8">
        <f>CHOOSE( CONTROL!$C$32, 12.2646, 12.2597) * CHOOSE( CONTROL!$C$15, $D$11, 100%, $F$11)</f>
        <v>12.2646</v>
      </c>
      <c r="H454" s="4">
        <f>CHOOSE( CONTROL!$C$32, 13.2015, 13.1967) * CHOOSE(CONTROL!$C$15, $D$11, 100%, $F$11)</f>
        <v>13.201499999999999</v>
      </c>
      <c r="I454" s="8">
        <f>CHOOSE( CONTROL!$C$32, 12.1549, 12.1502) * CHOOSE(CONTROL!$C$15, $D$11, 100%, $F$11)</f>
        <v>12.1549</v>
      </c>
      <c r="J454" s="4">
        <f>CHOOSE( CONTROL!$C$32, 12.0531, 12.0484) * CHOOSE(CONTROL!$C$15, $D$11, 100%, $F$11)</f>
        <v>12.053100000000001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13.0369, 13.0321) * CHOOSE(CONTROL!$C$15, $D$11, 100%, $F$11)</f>
        <v>13.036899999999999</v>
      </c>
      <c r="C455" s="8">
        <f>CHOOSE( CONTROL!$C$32, 13.045, 13.0401) * CHOOSE(CONTROL!$C$15, $D$11, 100%, $F$11)</f>
        <v>13.045</v>
      </c>
      <c r="D455" s="8">
        <f>CHOOSE( CONTROL!$C$32, 13.0547, 13.0498) * CHOOSE( CONTROL!$C$15, $D$11, 100%, $F$11)</f>
        <v>13.0547</v>
      </c>
      <c r="E455" s="12">
        <f>CHOOSE( CONTROL!$C$32, 13.05, 13.0451) * CHOOSE( CONTROL!$C$15, $D$11, 100%, $F$11)</f>
        <v>13.05</v>
      </c>
      <c r="F455" s="4">
        <f>CHOOSE( CONTROL!$C$32, 13.7278, 13.7229) * CHOOSE(CONTROL!$C$15, $D$11, 100%, $F$11)</f>
        <v>13.7278</v>
      </c>
      <c r="G455" s="8">
        <f>CHOOSE( CONTROL!$C$32, 12.7923, 12.7875) * CHOOSE( CONTROL!$C$15, $D$11, 100%, $F$11)</f>
        <v>12.792299999999999</v>
      </c>
      <c r="H455" s="4">
        <f>CHOOSE( CONTROL!$C$32, 13.7289, 13.7241) * CHOOSE(CONTROL!$C$15, $D$11, 100%, $F$11)</f>
        <v>13.728899999999999</v>
      </c>
      <c r="I455" s="8">
        <f>CHOOSE( CONTROL!$C$32, 12.6747, 12.6699) * CHOOSE(CONTROL!$C$15, $D$11, 100%, $F$11)</f>
        <v>12.6747</v>
      </c>
      <c r="J455" s="4">
        <f>CHOOSE( CONTROL!$C$32, 12.5716, 12.5669) * CHOOSE(CONTROL!$C$15, $D$11, 100%, $F$11)</f>
        <v>12.5716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12.0335, 12.0286) * CHOOSE(CONTROL!$C$15, $D$11, 100%, $F$11)</f>
        <v>12.0335</v>
      </c>
      <c r="C456" s="8">
        <f>CHOOSE( CONTROL!$C$32, 12.0415, 12.0366) * CHOOSE(CONTROL!$C$15, $D$11, 100%, $F$11)</f>
        <v>12.041499999999999</v>
      </c>
      <c r="D456" s="8">
        <f>CHOOSE( CONTROL!$C$32, 12.0513, 12.0464) * CHOOSE( CONTROL!$C$15, $D$11, 100%, $F$11)</f>
        <v>12.051299999999999</v>
      </c>
      <c r="E456" s="12">
        <f>CHOOSE( CONTROL!$C$32, 12.0465, 12.0416) * CHOOSE( CONTROL!$C$15, $D$11, 100%, $F$11)</f>
        <v>12.0465</v>
      </c>
      <c r="F456" s="4">
        <f>CHOOSE( CONTROL!$C$32, 12.7243, 12.7194) * CHOOSE(CONTROL!$C$15, $D$11, 100%, $F$11)</f>
        <v>12.724299999999999</v>
      </c>
      <c r="G456" s="8">
        <f>CHOOSE( CONTROL!$C$32, 11.8056, 11.8008) * CHOOSE( CONTROL!$C$15, $D$11, 100%, $F$11)</f>
        <v>11.8056</v>
      </c>
      <c r="H456" s="4">
        <f>CHOOSE( CONTROL!$C$32, 12.7421, 12.7373) * CHOOSE(CONTROL!$C$15, $D$11, 100%, $F$11)</f>
        <v>12.742100000000001</v>
      </c>
      <c r="I456" s="8">
        <f>CHOOSE( CONTROL!$C$32, 11.7045, 11.6997) * CHOOSE(CONTROL!$C$15, $D$11, 100%, $F$11)</f>
        <v>11.704499999999999</v>
      </c>
      <c r="J456" s="4">
        <f>CHOOSE( CONTROL!$C$32, 11.6015, 11.5968) * CHOOSE(CONTROL!$C$15, $D$11, 100%, $F$11)</f>
        <v>11.6015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11.7822, 11.7773) * CHOOSE(CONTROL!$C$15, $D$11, 100%, $F$11)</f>
        <v>11.7822</v>
      </c>
      <c r="C457" s="8">
        <f>CHOOSE( CONTROL!$C$32, 11.7902, 11.7853) * CHOOSE(CONTROL!$C$15, $D$11, 100%, $F$11)</f>
        <v>11.7902</v>
      </c>
      <c r="D457" s="8">
        <f>CHOOSE( CONTROL!$C$32, 11.8, 11.7951) * CHOOSE( CONTROL!$C$15, $D$11, 100%, $F$11)</f>
        <v>11.8</v>
      </c>
      <c r="E457" s="12">
        <f>CHOOSE( CONTROL!$C$32, 11.7952, 11.7903) * CHOOSE( CONTROL!$C$15, $D$11, 100%, $F$11)</f>
        <v>11.795199999999999</v>
      </c>
      <c r="F457" s="4">
        <f>CHOOSE( CONTROL!$C$32, 12.473, 12.4681) * CHOOSE(CONTROL!$C$15, $D$11, 100%, $F$11)</f>
        <v>12.473000000000001</v>
      </c>
      <c r="G457" s="8">
        <f>CHOOSE( CONTROL!$C$32, 11.5584, 11.5536) * CHOOSE( CONTROL!$C$15, $D$11, 100%, $F$11)</f>
        <v>11.558400000000001</v>
      </c>
      <c r="H457" s="4">
        <f>CHOOSE( CONTROL!$C$32, 12.495, 12.4902) * CHOOSE(CONTROL!$C$15, $D$11, 100%, $F$11)</f>
        <v>12.494999999999999</v>
      </c>
      <c r="I457" s="8">
        <f>CHOOSE( CONTROL!$C$32, 11.4613, 11.4565) * CHOOSE(CONTROL!$C$15, $D$11, 100%, $F$11)</f>
        <v>11.4613</v>
      </c>
      <c r="J457" s="4">
        <f>CHOOSE( CONTROL!$C$32, 11.3586, 11.3539) * CHOOSE(CONTROL!$C$15, $D$11, 100%, $F$11)</f>
        <v>11.358599999999999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12.2973 * CHOOSE(CONTROL!$C$15, $D$11, 100%, $F$11)</f>
        <v>12.2973</v>
      </c>
      <c r="C458" s="8">
        <f>12.3027 * CHOOSE(CONTROL!$C$15, $D$11, 100%, $F$11)</f>
        <v>12.3027</v>
      </c>
      <c r="D458" s="8">
        <f>12.3172 * CHOOSE( CONTROL!$C$15, $D$11, 100%, $F$11)</f>
        <v>12.3172</v>
      </c>
      <c r="E458" s="12">
        <f>12.3118 * CHOOSE( CONTROL!$C$15, $D$11, 100%, $F$11)</f>
        <v>12.3118</v>
      </c>
      <c r="F458" s="4">
        <f>12.9899 * CHOOSE(CONTROL!$C$15, $D$11, 100%, $F$11)</f>
        <v>12.9899</v>
      </c>
      <c r="G458" s="8">
        <f>12.0659 * CHOOSE( CONTROL!$C$15, $D$11, 100%, $F$11)</f>
        <v>12.065899999999999</v>
      </c>
      <c r="H458" s="4">
        <f>13.0033 * CHOOSE(CONTROL!$C$15, $D$11, 100%, $F$11)</f>
        <v>13.003299999999999</v>
      </c>
      <c r="I458" s="8">
        <f>11.962 * CHOOSE(CONTROL!$C$15, $D$11, 100%, $F$11)</f>
        <v>11.962</v>
      </c>
      <c r="J458" s="4">
        <f>11.8582 * CHOOSE(CONTROL!$C$15, $D$11, 100%, $F$11)</f>
        <v>11.8582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13.26 * CHOOSE(CONTROL!$C$15, $D$11, 100%, $F$11)</f>
        <v>13.26</v>
      </c>
      <c r="C459" s="8">
        <f>13.2651 * CHOOSE(CONTROL!$C$15, $D$11, 100%, $F$11)</f>
        <v>13.2651</v>
      </c>
      <c r="D459" s="8">
        <f>13.242 * CHOOSE( CONTROL!$C$15, $D$11, 100%, $F$11)</f>
        <v>13.242000000000001</v>
      </c>
      <c r="E459" s="12">
        <f>13.2499 * CHOOSE( CONTROL!$C$15, $D$11, 100%, $F$11)</f>
        <v>13.2499</v>
      </c>
      <c r="F459" s="4">
        <f>13.9048 * CHOOSE(CONTROL!$C$15, $D$11, 100%, $F$11)</f>
        <v>13.9048</v>
      </c>
      <c r="G459" s="8">
        <f>13.021 * CHOOSE( CONTROL!$C$15, $D$11, 100%, $F$11)</f>
        <v>13.021000000000001</v>
      </c>
      <c r="H459" s="4">
        <f>13.903 * CHOOSE(CONTROL!$C$15, $D$11, 100%, $F$11)</f>
        <v>13.903</v>
      </c>
      <c r="I459" s="8">
        <f>12.9181 * CHOOSE(CONTROL!$C$15, $D$11, 100%, $F$11)</f>
        <v>12.918100000000001</v>
      </c>
      <c r="J459" s="4">
        <f>12.7892 * CHOOSE(CONTROL!$C$15, $D$11, 100%, $F$11)</f>
        <v>12.789199999999999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13.2359 * CHOOSE(CONTROL!$C$15, $D$11, 100%, $F$11)</f>
        <v>13.235900000000001</v>
      </c>
      <c r="C460" s="8">
        <f>13.241 * CHOOSE(CONTROL!$C$15, $D$11, 100%, $F$11)</f>
        <v>13.241</v>
      </c>
      <c r="D460" s="8">
        <f>13.2195 * CHOOSE( CONTROL!$C$15, $D$11, 100%, $F$11)</f>
        <v>13.2195</v>
      </c>
      <c r="E460" s="12">
        <f>13.2268 * CHOOSE( CONTROL!$C$15, $D$11, 100%, $F$11)</f>
        <v>13.226800000000001</v>
      </c>
      <c r="F460" s="4">
        <f>13.8808 * CHOOSE(CONTROL!$C$15, $D$11, 100%, $F$11)</f>
        <v>13.880800000000001</v>
      </c>
      <c r="G460" s="8">
        <f>12.9985 * CHOOSE( CONTROL!$C$15, $D$11, 100%, $F$11)</f>
        <v>12.9985</v>
      </c>
      <c r="H460" s="4">
        <f>13.8794 * CHOOSE(CONTROL!$C$15, $D$11, 100%, $F$11)</f>
        <v>13.8794</v>
      </c>
      <c r="I460" s="8">
        <f>12.8998 * CHOOSE(CONTROL!$C$15, $D$11, 100%, $F$11)</f>
        <v>12.899800000000001</v>
      </c>
      <c r="J460" s="4">
        <f>12.766 * CHOOSE(CONTROL!$C$15, $D$11, 100%, $F$11)</f>
        <v>12.766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13.7406 * CHOOSE(CONTROL!$C$15, $D$11, 100%, $F$11)</f>
        <v>13.740600000000001</v>
      </c>
      <c r="C461" s="8">
        <f>13.7457 * CHOOSE(CONTROL!$C$15, $D$11, 100%, $F$11)</f>
        <v>13.745699999999999</v>
      </c>
      <c r="D461" s="8">
        <f>13.7203 * CHOOSE( CONTROL!$C$15, $D$11, 100%, $F$11)</f>
        <v>13.7203</v>
      </c>
      <c r="E461" s="12">
        <f>13.729 * CHOOSE( CONTROL!$C$15, $D$11, 100%, $F$11)</f>
        <v>13.728999999999999</v>
      </c>
      <c r="F461" s="4">
        <f>14.3829 * CHOOSE(CONTROL!$C$15, $D$11, 100%, $F$11)</f>
        <v>14.382899999999999</v>
      </c>
      <c r="G461" s="8">
        <f>13.4895 * CHOOSE( CONTROL!$C$15, $D$11, 100%, $F$11)</f>
        <v>13.4895</v>
      </c>
      <c r="H461" s="4">
        <f>14.3732 * CHOOSE(CONTROL!$C$15, $D$11, 100%, $F$11)</f>
        <v>14.373200000000001</v>
      </c>
      <c r="I461" s="8">
        <f>13.3682 * CHOOSE(CONTROL!$C$15, $D$11, 100%, $F$11)</f>
        <v>13.3682</v>
      </c>
      <c r="J461" s="4">
        <f>13.2539 * CHOOSE(CONTROL!$C$15, $D$11, 100%, $F$11)</f>
        <v>13.2539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12.8543 * CHOOSE(CONTROL!$C$15, $D$11, 100%, $F$11)</f>
        <v>12.8543</v>
      </c>
      <c r="C462" s="8">
        <f>12.8594 * CHOOSE(CONTROL!$C$15, $D$11, 100%, $F$11)</f>
        <v>12.859400000000001</v>
      </c>
      <c r="D462" s="8">
        <f>12.834 * CHOOSE( CONTROL!$C$15, $D$11, 100%, $F$11)</f>
        <v>12.834</v>
      </c>
      <c r="E462" s="12">
        <f>12.8427 * CHOOSE( CONTROL!$C$15, $D$11, 100%, $F$11)</f>
        <v>12.842700000000001</v>
      </c>
      <c r="F462" s="4">
        <f>13.4966 * CHOOSE(CONTROL!$C$15, $D$11, 100%, $F$11)</f>
        <v>13.496600000000001</v>
      </c>
      <c r="G462" s="8">
        <f>12.6179 * CHOOSE( CONTROL!$C$15, $D$11, 100%, $F$11)</f>
        <v>12.617900000000001</v>
      </c>
      <c r="H462" s="4">
        <f>13.5015 * CHOOSE(CONTROL!$C$15, $D$11, 100%, $F$11)</f>
        <v>13.5015</v>
      </c>
      <c r="I462" s="8">
        <f>12.5112 * CHOOSE(CONTROL!$C$15, $D$11, 100%, $F$11)</f>
        <v>12.511200000000001</v>
      </c>
      <c r="J462" s="4">
        <f>12.397 * CHOOSE(CONTROL!$C$15, $D$11, 100%, $F$11)</f>
        <v>12.397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12.5813 * CHOOSE(CONTROL!$C$15, $D$11, 100%, $F$11)</f>
        <v>12.581300000000001</v>
      </c>
      <c r="C463" s="8">
        <f>12.5864 * CHOOSE(CONTROL!$C$15, $D$11, 100%, $F$11)</f>
        <v>12.586399999999999</v>
      </c>
      <c r="D463" s="8">
        <f>12.5608 * CHOOSE( CONTROL!$C$15, $D$11, 100%, $F$11)</f>
        <v>12.5608</v>
      </c>
      <c r="E463" s="12">
        <f>12.5696 * CHOOSE( CONTROL!$C$15, $D$11, 100%, $F$11)</f>
        <v>12.569599999999999</v>
      </c>
      <c r="F463" s="4">
        <f>13.2236 * CHOOSE(CONTROL!$C$15, $D$11, 100%, $F$11)</f>
        <v>13.223599999999999</v>
      </c>
      <c r="G463" s="8">
        <f>12.3493 * CHOOSE( CONTROL!$C$15, $D$11, 100%, $F$11)</f>
        <v>12.349299999999999</v>
      </c>
      <c r="H463" s="4">
        <f>13.2331 * CHOOSE(CONTROL!$C$15, $D$11, 100%, $F$11)</f>
        <v>13.2331</v>
      </c>
      <c r="I463" s="8">
        <f>12.2464 * CHOOSE(CONTROL!$C$15, $D$11, 100%, $F$11)</f>
        <v>12.2464</v>
      </c>
      <c r="J463" s="4">
        <f>12.1331 * CHOOSE(CONTROL!$C$15, $D$11, 100%, $F$11)</f>
        <v>12.133100000000001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12.7728 * CHOOSE(CONTROL!$C$15, $D$11, 100%, $F$11)</f>
        <v>12.7728</v>
      </c>
      <c r="C464" s="8">
        <f>12.7773 * CHOOSE(CONTROL!$C$15, $D$11, 100%, $F$11)</f>
        <v>12.7773</v>
      </c>
      <c r="D464" s="8">
        <f>12.7916 * CHOOSE( CONTROL!$C$15, $D$11, 100%, $F$11)</f>
        <v>12.791600000000001</v>
      </c>
      <c r="E464" s="12">
        <f>12.7864 * CHOOSE( CONTROL!$C$15, $D$11, 100%, $F$11)</f>
        <v>12.7864</v>
      </c>
      <c r="F464" s="4">
        <f>13.465 * CHOOSE(CONTROL!$C$15, $D$11, 100%, $F$11)</f>
        <v>13.465</v>
      </c>
      <c r="G464" s="8">
        <f>12.5321 * CHOOSE( CONTROL!$C$15, $D$11, 100%, $F$11)</f>
        <v>12.5321</v>
      </c>
      <c r="H464" s="4">
        <f>13.4705 * CHOOSE(CONTROL!$C$15, $D$11, 100%, $F$11)</f>
        <v>13.470499999999999</v>
      </c>
      <c r="I464" s="8">
        <f>12.418 * CHOOSE(CONTROL!$C$15, $D$11, 100%, $F$11)</f>
        <v>12.417999999999999</v>
      </c>
      <c r="J464" s="4">
        <f>12.3175 * CHOOSE(CONTROL!$C$15, $D$11, 100%, $F$11)</f>
        <v>12.317500000000001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13.1186, 13.1137) * CHOOSE(CONTROL!$C$15, $D$11, 100%, $F$11)</f>
        <v>13.118600000000001</v>
      </c>
      <c r="C465" s="8">
        <f>CHOOSE( CONTROL!$C$32, 13.1266, 13.1217) * CHOOSE(CONTROL!$C$15, $D$11, 100%, $F$11)</f>
        <v>13.1266</v>
      </c>
      <c r="D465" s="8">
        <f>CHOOSE( CONTROL!$C$32, 13.1359, 13.131) * CHOOSE( CONTROL!$C$15, $D$11, 100%, $F$11)</f>
        <v>13.135899999999999</v>
      </c>
      <c r="E465" s="12">
        <f>CHOOSE( CONTROL!$C$32, 13.1313, 13.1264) * CHOOSE( CONTROL!$C$15, $D$11, 100%, $F$11)</f>
        <v>13.1313</v>
      </c>
      <c r="F465" s="4">
        <f>CHOOSE( CONTROL!$C$32, 13.8094, 13.8045) * CHOOSE(CONTROL!$C$15, $D$11, 100%, $F$11)</f>
        <v>13.8094</v>
      </c>
      <c r="G465" s="8">
        <f>CHOOSE( CONTROL!$C$32, 12.8719, 12.8671) * CHOOSE( CONTROL!$C$15, $D$11, 100%, $F$11)</f>
        <v>12.8719</v>
      </c>
      <c r="H465" s="4">
        <f>CHOOSE( CONTROL!$C$32, 13.8092, 13.8044) * CHOOSE(CONTROL!$C$15, $D$11, 100%, $F$11)</f>
        <v>13.809200000000001</v>
      </c>
      <c r="I465" s="8">
        <f>CHOOSE( CONTROL!$C$32, 12.7515, 12.7468) * CHOOSE(CONTROL!$C$15, $D$11, 100%, $F$11)</f>
        <v>12.7515</v>
      </c>
      <c r="J465" s="4">
        <f>CHOOSE( CONTROL!$C$32, 12.6505, 12.6457) * CHOOSE(CONTROL!$C$15, $D$11, 100%, $F$11)</f>
        <v>12.650499999999999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12.9082, 12.9033) * CHOOSE(CONTROL!$C$15, $D$11, 100%, $F$11)</f>
        <v>12.908200000000001</v>
      </c>
      <c r="C466" s="8">
        <f>CHOOSE( CONTROL!$C$32, 12.9163, 12.9114) * CHOOSE(CONTROL!$C$15, $D$11, 100%, $F$11)</f>
        <v>12.9163</v>
      </c>
      <c r="D466" s="8">
        <f>CHOOSE( CONTROL!$C$32, 12.9258, 12.9209) * CHOOSE( CONTROL!$C$15, $D$11, 100%, $F$11)</f>
        <v>12.925800000000001</v>
      </c>
      <c r="E466" s="12">
        <f>CHOOSE( CONTROL!$C$32, 12.9211, 12.9162) * CHOOSE( CONTROL!$C$15, $D$11, 100%, $F$11)</f>
        <v>12.921099999999999</v>
      </c>
      <c r="F466" s="4">
        <f>CHOOSE( CONTROL!$C$32, 13.5991, 13.5942) * CHOOSE(CONTROL!$C$15, $D$11, 100%, $F$11)</f>
        <v>13.5991</v>
      </c>
      <c r="G466" s="8">
        <f>CHOOSE( CONTROL!$C$32, 12.6654, 12.6606) * CHOOSE( CONTROL!$C$15, $D$11, 100%, $F$11)</f>
        <v>12.6654</v>
      </c>
      <c r="H466" s="4">
        <f>CHOOSE( CONTROL!$C$32, 13.6024, 13.5976) * CHOOSE(CONTROL!$C$15, $D$11, 100%, $F$11)</f>
        <v>13.602399999999999</v>
      </c>
      <c r="I466" s="8">
        <f>CHOOSE( CONTROL!$C$32, 12.5491, 12.5444) * CHOOSE(CONTROL!$C$15, $D$11, 100%, $F$11)</f>
        <v>12.549099999999999</v>
      </c>
      <c r="J466" s="4">
        <f>CHOOSE( CONTROL!$C$32, 12.4472, 12.4424) * CHOOSE(CONTROL!$C$15, $D$11, 100%, $F$11)</f>
        <v>12.4472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13.4621, 13.4572) * CHOOSE(CONTROL!$C$15, $D$11, 100%, $F$11)</f>
        <v>13.4621</v>
      </c>
      <c r="C467" s="8">
        <f>CHOOSE( CONTROL!$C$32, 13.4701, 13.4652) * CHOOSE(CONTROL!$C$15, $D$11, 100%, $F$11)</f>
        <v>13.4701</v>
      </c>
      <c r="D467" s="8">
        <f>CHOOSE( CONTROL!$C$32, 13.4798, 13.4749) * CHOOSE( CONTROL!$C$15, $D$11, 100%, $F$11)</f>
        <v>13.479799999999999</v>
      </c>
      <c r="E467" s="12">
        <f>CHOOSE( CONTROL!$C$32, 13.4751, 13.4702) * CHOOSE( CONTROL!$C$15, $D$11, 100%, $F$11)</f>
        <v>13.475099999999999</v>
      </c>
      <c r="F467" s="4">
        <f>CHOOSE( CONTROL!$C$32, 14.1529, 14.148) * CHOOSE(CONTROL!$C$15, $D$11, 100%, $F$11)</f>
        <v>14.152900000000001</v>
      </c>
      <c r="G467" s="8">
        <f>CHOOSE( CONTROL!$C$32, 13.2104, 13.2056) * CHOOSE( CONTROL!$C$15, $D$11, 100%, $F$11)</f>
        <v>13.2104</v>
      </c>
      <c r="H467" s="4">
        <f>CHOOSE( CONTROL!$C$32, 14.147, 14.1422) * CHOOSE(CONTROL!$C$15, $D$11, 100%, $F$11)</f>
        <v>14.147</v>
      </c>
      <c r="I467" s="8">
        <f>CHOOSE( CONTROL!$C$32, 13.0859, 13.0811) * CHOOSE(CONTROL!$C$15, $D$11, 100%, $F$11)</f>
        <v>13.085900000000001</v>
      </c>
      <c r="J467" s="4">
        <f>CHOOSE( CONTROL!$C$32, 12.9826, 12.9778) * CHOOSE(CONTROL!$C$15, $D$11, 100%, $F$11)</f>
        <v>12.9826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12.4258, 12.4209) * CHOOSE(CONTROL!$C$15, $D$11, 100%, $F$11)</f>
        <v>12.425800000000001</v>
      </c>
      <c r="C468" s="8">
        <f>CHOOSE( CONTROL!$C$32, 12.4338, 12.4289) * CHOOSE(CONTROL!$C$15, $D$11, 100%, $F$11)</f>
        <v>12.4338</v>
      </c>
      <c r="D468" s="8">
        <f>CHOOSE( CONTROL!$C$32, 12.4436, 12.4387) * CHOOSE( CONTROL!$C$15, $D$11, 100%, $F$11)</f>
        <v>12.4436</v>
      </c>
      <c r="E468" s="12">
        <f>CHOOSE( CONTROL!$C$32, 12.4388, 12.4339) * CHOOSE( CONTROL!$C$15, $D$11, 100%, $F$11)</f>
        <v>12.438800000000001</v>
      </c>
      <c r="F468" s="4">
        <f>CHOOSE( CONTROL!$C$32, 13.1166, 13.1117) * CHOOSE(CONTROL!$C$15, $D$11, 100%, $F$11)</f>
        <v>13.1166</v>
      </c>
      <c r="G468" s="8">
        <f>CHOOSE( CONTROL!$C$32, 12.1914, 12.1866) * CHOOSE( CONTROL!$C$15, $D$11, 100%, $F$11)</f>
        <v>12.1914</v>
      </c>
      <c r="H468" s="4">
        <f>CHOOSE( CONTROL!$C$32, 13.1279, 13.1231) * CHOOSE(CONTROL!$C$15, $D$11, 100%, $F$11)</f>
        <v>13.1279</v>
      </c>
      <c r="I468" s="8">
        <f>CHOOSE( CONTROL!$C$32, 12.0839, 12.0792) * CHOOSE(CONTROL!$C$15, $D$11, 100%, $F$11)</f>
        <v>12.0839</v>
      </c>
      <c r="J468" s="4">
        <f>CHOOSE( CONTROL!$C$32, 11.9808, 11.976) * CHOOSE(CONTROL!$C$15, $D$11, 100%, $F$11)</f>
        <v>11.9808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12.1663, 12.1614) * CHOOSE(CONTROL!$C$15, $D$11, 100%, $F$11)</f>
        <v>12.1663</v>
      </c>
      <c r="C469" s="8">
        <f>CHOOSE( CONTROL!$C$32, 12.1743, 12.1694) * CHOOSE(CONTROL!$C$15, $D$11, 100%, $F$11)</f>
        <v>12.174300000000001</v>
      </c>
      <c r="D469" s="8">
        <f>CHOOSE( CONTROL!$C$32, 12.1841, 12.1792) * CHOOSE( CONTROL!$C$15, $D$11, 100%, $F$11)</f>
        <v>12.184100000000001</v>
      </c>
      <c r="E469" s="12">
        <f>CHOOSE( CONTROL!$C$32, 12.1793, 12.1744) * CHOOSE( CONTROL!$C$15, $D$11, 100%, $F$11)</f>
        <v>12.1793</v>
      </c>
      <c r="F469" s="4">
        <f>CHOOSE( CONTROL!$C$32, 12.8571, 12.8522) * CHOOSE(CONTROL!$C$15, $D$11, 100%, $F$11)</f>
        <v>12.857100000000001</v>
      </c>
      <c r="G469" s="8">
        <f>CHOOSE( CONTROL!$C$32, 11.9361, 11.9313) * CHOOSE( CONTROL!$C$15, $D$11, 100%, $F$11)</f>
        <v>11.9361</v>
      </c>
      <c r="H469" s="4">
        <f>CHOOSE( CONTROL!$C$32, 12.8727, 12.8679) * CHOOSE(CONTROL!$C$15, $D$11, 100%, $F$11)</f>
        <v>12.8727</v>
      </c>
      <c r="I469" s="8">
        <f>CHOOSE( CONTROL!$C$32, 11.8328, 11.828) * CHOOSE(CONTROL!$C$15, $D$11, 100%, $F$11)</f>
        <v>11.832800000000001</v>
      </c>
      <c r="J469" s="4">
        <f>CHOOSE( CONTROL!$C$32, 11.7299, 11.7252) * CHOOSE(CONTROL!$C$15, $D$11, 100%, $F$11)</f>
        <v>11.729900000000001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12.6985 * CHOOSE(CONTROL!$C$15, $D$11, 100%, $F$11)</f>
        <v>12.698499999999999</v>
      </c>
      <c r="C470" s="8">
        <f>12.7038 * CHOOSE(CONTROL!$C$15, $D$11, 100%, $F$11)</f>
        <v>12.703799999999999</v>
      </c>
      <c r="D470" s="8">
        <f>12.7184 * CHOOSE( CONTROL!$C$15, $D$11, 100%, $F$11)</f>
        <v>12.718400000000001</v>
      </c>
      <c r="E470" s="12">
        <f>12.713 * CHOOSE( CONTROL!$C$15, $D$11, 100%, $F$11)</f>
        <v>12.712999999999999</v>
      </c>
      <c r="F470" s="4">
        <f>13.3911 * CHOOSE(CONTROL!$C$15, $D$11, 100%, $F$11)</f>
        <v>13.3911</v>
      </c>
      <c r="G470" s="8">
        <f>12.4605 * CHOOSE( CONTROL!$C$15, $D$11, 100%, $F$11)</f>
        <v>12.4605</v>
      </c>
      <c r="H470" s="4">
        <f>13.3978 * CHOOSE(CONTROL!$C$15, $D$11, 100%, $F$11)</f>
        <v>13.3978</v>
      </c>
      <c r="I470" s="8">
        <f>12.35 * CHOOSE(CONTROL!$C$15, $D$11, 100%, $F$11)</f>
        <v>12.35</v>
      </c>
      <c r="J470" s="4">
        <f>12.2461 * CHOOSE(CONTROL!$C$15, $D$11, 100%, $F$11)</f>
        <v>12.2461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13.6926 * CHOOSE(CONTROL!$C$15, $D$11, 100%, $F$11)</f>
        <v>13.692600000000001</v>
      </c>
      <c r="C471" s="8">
        <f>13.6977 * CHOOSE(CONTROL!$C$15, $D$11, 100%, $F$11)</f>
        <v>13.697699999999999</v>
      </c>
      <c r="D471" s="8">
        <f>13.6747 * CHOOSE( CONTROL!$C$15, $D$11, 100%, $F$11)</f>
        <v>13.6747</v>
      </c>
      <c r="E471" s="12">
        <f>13.6826 * CHOOSE( CONTROL!$C$15, $D$11, 100%, $F$11)</f>
        <v>13.682600000000001</v>
      </c>
      <c r="F471" s="4">
        <f>14.3375 * CHOOSE(CONTROL!$C$15, $D$11, 100%, $F$11)</f>
        <v>14.3375</v>
      </c>
      <c r="G471" s="8">
        <f>13.4465 * CHOOSE( CONTROL!$C$15, $D$11, 100%, $F$11)</f>
        <v>13.4465</v>
      </c>
      <c r="H471" s="4">
        <f>14.3285 * CHOOSE(CONTROL!$C$15, $D$11, 100%, $F$11)</f>
        <v>14.3285</v>
      </c>
      <c r="I471" s="8">
        <f>13.3366 * CHOOSE(CONTROL!$C$15, $D$11, 100%, $F$11)</f>
        <v>13.336600000000001</v>
      </c>
      <c r="J471" s="4">
        <f>13.2075 * CHOOSE(CONTROL!$C$15, $D$11, 100%, $F$11)</f>
        <v>13.2075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13.6678 * CHOOSE(CONTROL!$C$15, $D$11, 100%, $F$11)</f>
        <v>13.6678</v>
      </c>
      <c r="C472" s="8">
        <f>13.6729 * CHOOSE(CONTROL!$C$15, $D$11, 100%, $F$11)</f>
        <v>13.6729</v>
      </c>
      <c r="D472" s="8">
        <f>13.6514 * CHOOSE( CONTROL!$C$15, $D$11, 100%, $F$11)</f>
        <v>13.651400000000001</v>
      </c>
      <c r="E472" s="12">
        <f>13.6587 * CHOOSE( CONTROL!$C$15, $D$11, 100%, $F$11)</f>
        <v>13.6587</v>
      </c>
      <c r="F472" s="4">
        <f>14.3127 * CHOOSE(CONTROL!$C$15, $D$11, 100%, $F$11)</f>
        <v>14.3127</v>
      </c>
      <c r="G472" s="8">
        <f>13.4232 * CHOOSE( CONTROL!$C$15, $D$11, 100%, $F$11)</f>
        <v>13.4232</v>
      </c>
      <c r="H472" s="4">
        <f>14.3041 * CHOOSE(CONTROL!$C$15, $D$11, 100%, $F$11)</f>
        <v>14.3041</v>
      </c>
      <c r="I472" s="8">
        <f>13.3175 * CHOOSE(CONTROL!$C$15, $D$11, 100%, $F$11)</f>
        <v>13.317500000000001</v>
      </c>
      <c r="J472" s="4">
        <f>13.1835 * CHOOSE(CONTROL!$C$15, $D$11, 100%, $F$11)</f>
        <v>13.1835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14.189 * CHOOSE(CONTROL!$C$15, $D$11, 100%, $F$11)</f>
        <v>14.189</v>
      </c>
      <c r="C473" s="8">
        <f>14.1941 * CHOOSE(CONTROL!$C$15, $D$11, 100%, $F$11)</f>
        <v>14.194100000000001</v>
      </c>
      <c r="D473" s="8">
        <f>14.1687 * CHOOSE( CONTROL!$C$15, $D$11, 100%, $F$11)</f>
        <v>14.168699999999999</v>
      </c>
      <c r="E473" s="12">
        <f>14.1774 * CHOOSE( CONTROL!$C$15, $D$11, 100%, $F$11)</f>
        <v>14.1774</v>
      </c>
      <c r="F473" s="4">
        <f>14.8313 * CHOOSE(CONTROL!$C$15, $D$11, 100%, $F$11)</f>
        <v>14.831300000000001</v>
      </c>
      <c r="G473" s="8">
        <f>13.9305 * CHOOSE( CONTROL!$C$15, $D$11, 100%, $F$11)</f>
        <v>13.9305</v>
      </c>
      <c r="H473" s="4">
        <f>14.8141 * CHOOSE(CONTROL!$C$15, $D$11, 100%, $F$11)</f>
        <v>14.8141</v>
      </c>
      <c r="I473" s="8">
        <f>13.8019 * CHOOSE(CONTROL!$C$15, $D$11, 100%, $F$11)</f>
        <v>13.8019</v>
      </c>
      <c r="J473" s="4">
        <f>13.6873 * CHOOSE(CONTROL!$C$15, $D$11, 100%, $F$11)</f>
        <v>13.6873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13.2736 * CHOOSE(CONTROL!$C$15, $D$11, 100%, $F$11)</f>
        <v>13.2736</v>
      </c>
      <c r="C474" s="8">
        <f>13.2788 * CHOOSE(CONTROL!$C$15, $D$11, 100%, $F$11)</f>
        <v>13.2788</v>
      </c>
      <c r="D474" s="8">
        <f>13.2534 * CHOOSE( CONTROL!$C$15, $D$11, 100%, $F$11)</f>
        <v>13.253399999999999</v>
      </c>
      <c r="E474" s="12">
        <f>13.2621 * CHOOSE( CONTROL!$C$15, $D$11, 100%, $F$11)</f>
        <v>13.2621</v>
      </c>
      <c r="F474" s="4">
        <f>13.9159 * CHOOSE(CONTROL!$C$15, $D$11, 100%, $F$11)</f>
        <v>13.915900000000001</v>
      </c>
      <c r="G474" s="8">
        <f>13.0304 * CHOOSE( CONTROL!$C$15, $D$11, 100%, $F$11)</f>
        <v>13.0304</v>
      </c>
      <c r="H474" s="4">
        <f>13.914 * CHOOSE(CONTROL!$C$15, $D$11, 100%, $F$11)</f>
        <v>13.914</v>
      </c>
      <c r="I474" s="8">
        <f>12.9169 * CHOOSE(CONTROL!$C$15, $D$11, 100%, $F$11)</f>
        <v>12.9169</v>
      </c>
      <c r="J474" s="4">
        <f>12.8025 * CHOOSE(CONTROL!$C$15, $D$11, 100%, $F$11)</f>
        <v>12.8025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12.9917 * CHOOSE(CONTROL!$C$15, $D$11, 100%, $F$11)</f>
        <v>12.9917</v>
      </c>
      <c r="C475" s="8">
        <f>12.9968 * CHOOSE(CONTROL!$C$15, $D$11, 100%, $F$11)</f>
        <v>12.9968</v>
      </c>
      <c r="D475" s="8">
        <f>12.9713 * CHOOSE( CONTROL!$C$15, $D$11, 100%, $F$11)</f>
        <v>12.971299999999999</v>
      </c>
      <c r="E475" s="12">
        <f>12.9801 * CHOOSE( CONTROL!$C$15, $D$11, 100%, $F$11)</f>
        <v>12.9801</v>
      </c>
      <c r="F475" s="4">
        <f>13.634 * CHOOSE(CONTROL!$C$15, $D$11, 100%, $F$11)</f>
        <v>13.634</v>
      </c>
      <c r="G475" s="8">
        <f>12.7529 * CHOOSE( CONTROL!$C$15, $D$11, 100%, $F$11)</f>
        <v>12.7529</v>
      </c>
      <c r="H475" s="4">
        <f>13.6367 * CHOOSE(CONTROL!$C$15, $D$11, 100%, $F$11)</f>
        <v>13.636699999999999</v>
      </c>
      <c r="I475" s="8">
        <f>12.6434 * CHOOSE(CONTROL!$C$15, $D$11, 100%, $F$11)</f>
        <v>12.6434</v>
      </c>
      <c r="J475" s="4">
        <f>12.5299 * CHOOSE(CONTROL!$C$15, $D$11, 100%, $F$11)</f>
        <v>12.5299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13.1895 * CHOOSE(CONTROL!$C$15, $D$11, 100%, $F$11)</f>
        <v>13.189500000000001</v>
      </c>
      <c r="C476" s="8">
        <f>13.194 * CHOOSE(CONTROL!$C$15, $D$11, 100%, $F$11)</f>
        <v>13.194000000000001</v>
      </c>
      <c r="D476" s="8">
        <f>13.2084 * CHOOSE( CONTROL!$C$15, $D$11, 100%, $F$11)</f>
        <v>13.208399999999999</v>
      </c>
      <c r="E476" s="12">
        <f>13.2031 * CHOOSE( CONTROL!$C$15, $D$11, 100%, $F$11)</f>
        <v>13.203099999999999</v>
      </c>
      <c r="F476" s="4">
        <f>13.8817 * CHOOSE(CONTROL!$C$15, $D$11, 100%, $F$11)</f>
        <v>13.8817</v>
      </c>
      <c r="G476" s="8">
        <f>12.9419 * CHOOSE( CONTROL!$C$15, $D$11, 100%, $F$11)</f>
        <v>12.9419</v>
      </c>
      <c r="H476" s="4">
        <f>13.8803 * CHOOSE(CONTROL!$C$15, $D$11, 100%, $F$11)</f>
        <v>13.8803</v>
      </c>
      <c r="I476" s="8">
        <f>12.8211 * CHOOSE(CONTROL!$C$15, $D$11, 100%, $F$11)</f>
        <v>12.821099999999999</v>
      </c>
      <c r="J476" s="4">
        <f>12.7204 * CHOOSE(CONTROL!$C$15, $D$11, 100%, $F$11)</f>
        <v>12.7204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13.5464, 13.5415) * CHOOSE(CONTROL!$C$15, $D$11, 100%, $F$11)</f>
        <v>13.5464</v>
      </c>
      <c r="C477" s="8">
        <f>CHOOSE( CONTROL!$C$32, 13.5544, 13.5495) * CHOOSE(CONTROL!$C$15, $D$11, 100%, $F$11)</f>
        <v>13.554399999999999</v>
      </c>
      <c r="D477" s="8">
        <f>CHOOSE( CONTROL!$C$32, 13.5637, 13.5588) * CHOOSE( CONTROL!$C$15, $D$11, 100%, $F$11)</f>
        <v>13.563700000000001</v>
      </c>
      <c r="E477" s="12">
        <f>CHOOSE( CONTROL!$C$32, 13.5591, 13.5542) * CHOOSE( CONTROL!$C$15, $D$11, 100%, $F$11)</f>
        <v>13.559100000000001</v>
      </c>
      <c r="F477" s="4">
        <f>CHOOSE( CONTROL!$C$32, 14.2372, 14.2323) * CHOOSE(CONTROL!$C$15, $D$11, 100%, $F$11)</f>
        <v>14.2372</v>
      </c>
      <c r="G477" s="8">
        <f>CHOOSE( CONTROL!$C$32, 13.2926, 13.2878) * CHOOSE( CONTROL!$C$15, $D$11, 100%, $F$11)</f>
        <v>13.2926</v>
      </c>
      <c r="H477" s="4">
        <f>CHOOSE( CONTROL!$C$32, 14.2299, 14.2251) * CHOOSE(CONTROL!$C$15, $D$11, 100%, $F$11)</f>
        <v>14.229900000000001</v>
      </c>
      <c r="I477" s="8">
        <f>CHOOSE( CONTROL!$C$32, 13.1653, 13.1605) * CHOOSE(CONTROL!$C$15, $D$11, 100%, $F$11)</f>
        <v>13.1653</v>
      </c>
      <c r="J477" s="4">
        <f>CHOOSE( CONTROL!$C$32, 13.064, 13.0593) * CHOOSE(CONTROL!$C$15, $D$11, 100%, $F$11)</f>
        <v>13.064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13.3292, 13.3243) * CHOOSE(CONTROL!$C$15, $D$11, 100%, $F$11)</f>
        <v>13.3292</v>
      </c>
      <c r="C478" s="8">
        <f>CHOOSE( CONTROL!$C$32, 13.3372, 13.3323) * CHOOSE(CONTROL!$C$15, $D$11, 100%, $F$11)</f>
        <v>13.337199999999999</v>
      </c>
      <c r="D478" s="8">
        <f>CHOOSE( CONTROL!$C$32, 13.3467, 13.3418) * CHOOSE( CONTROL!$C$15, $D$11, 100%, $F$11)</f>
        <v>13.3467</v>
      </c>
      <c r="E478" s="12">
        <f>CHOOSE( CONTROL!$C$32, 13.342, 13.3371) * CHOOSE( CONTROL!$C$15, $D$11, 100%, $F$11)</f>
        <v>13.342000000000001</v>
      </c>
      <c r="F478" s="4">
        <f>CHOOSE( CONTROL!$C$32, 14.02, 14.0151) * CHOOSE(CONTROL!$C$15, $D$11, 100%, $F$11)</f>
        <v>14.02</v>
      </c>
      <c r="G478" s="8">
        <f>CHOOSE( CONTROL!$C$32, 13.0793, 13.0745) * CHOOSE( CONTROL!$C$15, $D$11, 100%, $F$11)</f>
        <v>13.0793</v>
      </c>
      <c r="H478" s="4">
        <f>CHOOSE( CONTROL!$C$32, 14.0163, 14.0115) * CHOOSE(CONTROL!$C$15, $D$11, 100%, $F$11)</f>
        <v>14.016299999999999</v>
      </c>
      <c r="I478" s="8">
        <f>CHOOSE( CONTROL!$C$32, 12.9562, 12.9515) * CHOOSE(CONTROL!$C$15, $D$11, 100%, $F$11)</f>
        <v>12.956200000000001</v>
      </c>
      <c r="J478" s="4">
        <f>CHOOSE( CONTROL!$C$32, 12.8541, 12.8493) * CHOOSE(CONTROL!$C$15, $D$11, 100%, $F$11)</f>
        <v>12.854100000000001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13.9011, 13.8962) * CHOOSE(CONTROL!$C$15, $D$11, 100%, $F$11)</f>
        <v>13.9011</v>
      </c>
      <c r="C479" s="8">
        <f>CHOOSE( CONTROL!$C$32, 13.9091, 13.9043) * CHOOSE(CONTROL!$C$15, $D$11, 100%, $F$11)</f>
        <v>13.9091</v>
      </c>
      <c r="D479" s="8">
        <f>CHOOSE( CONTROL!$C$32, 13.9189, 13.914) * CHOOSE( CONTROL!$C$15, $D$11, 100%, $F$11)</f>
        <v>13.918900000000001</v>
      </c>
      <c r="E479" s="12">
        <f>CHOOSE( CONTROL!$C$32, 13.9141, 13.9093) * CHOOSE( CONTROL!$C$15, $D$11, 100%, $F$11)</f>
        <v>13.914099999999999</v>
      </c>
      <c r="F479" s="4">
        <f>CHOOSE( CONTROL!$C$32, 14.592, 14.5871) * CHOOSE(CONTROL!$C$15, $D$11, 100%, $F$11)</f>
        <v>14.592000000000001</v>
      </c>
      <c r="G479" s="8">
        <f>CHOOSE( CONTROL!$C$32, 13.6422, 13.6373) * CHOOSE( CONTROL!$C$15, $D$11, 100%, $F$11)</f>
        <v>13.642200000000001</v>
      </c>
      <c r="H479" s="4">
        <f>CHOOSE( CONTROL!$C$32, 14.5788, 14.574) * CHOOSE(CONTROL!$C$15, $D$11, 100%, $F$11)</f>
        <v>14.578799999999999</v>
      </c>
      <c r="I479" s="8">
        <f>CHOOSE( CONTROL!$C$32, 13.5105, 13.5058) * CHOOSE(CONTROL!$C$15, $D$11, 100%, $F$11)</f>
        <v>13.5105</v>
      </c>
      <c r="J479" s="4">
        <f>CHOOSE( CONTROL!$C$32, 13.407, 13.4023) * CHOOSE(CONTROL!$C$15, $D$11, 100%, $F$11)</f>
        <v>13.407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12.8309, 12.826) * CHOOSE(CONTROL!$C$15, $D$11, 100%, $F$11)</f>
        <v>12.8309</v>
      </c>
      <c r="C480" s="8">
        <f>CHOOSE( CONTROL!$C$32, 12.8389, 12.8341) * CHOOSE(CONTROL!$C$15, $D$11, 100%, $F$11)</f>
        <v>12.838900000000001</v>
      </c>
      <c r="D480" s="8">
        <f>CHOOSE( CONTROL!$C$32, 12.8488, 12.8439) * CHOOSE( CONTROL!$C$15, $D$11, 100%, $F$11)</f>
        <v>12.848800000000001</v>
      </c>
      <c r="E480" s="12">
        <f>CHOOSE( CONTROL!$C$32, 12.844, 12.8391) * CHOOSE( CONTROL!$C$15, $D$11, 100%, $F$11)</f>
        <v>12.843999999999999</v>
      </c>
      <c r="F480" s="4">
        <f>CHOOSE( CONTROL!$C$32, 13.5218, 13.5169) * CHOOSE(CONTROL!$C$15, $D$11, 100%, $F$11)</f>
        <v>13.521800000000001</v>
      </c>
      <c r="G480" s="8">
        <f>CHOOSE( CONTROL!$C$32, 12.5898, 12.585) * CHOOSE( CONTROL!$C$15, $D$11, 100%, $F$11)</f>
        <v>12.5898</v>
      </c>
      <c r="H480" s="4">
        <f>CHOOSE( CONTROL!$C$32, 13.5263, 13.5215) * CHOOSE(CONTROL!$C$15, $D$11, 100%, $F$11)</f>
        <v>13.526300000000001</v>
      </c>
      <c r="I480" s="8">
        <f>CHOOSE( CONTROL!$C$32, 12.4758, 12.471) * CHOOSE(CONTROL!$C$15, $D$11, 100%, $F$11)</f>
        <v>12.4758</v>
      </c>
      <c r="J480" s="4">
        <f>CHOOSE( CONTROL!$C$32, 12.3724, 12.3677) * CHOOSE(CONTROL!$C$15, $D$11, 100%, $F$11)</f>
        <v>12.372400000000001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12.5629, 12.5581) * CHOOSE(CONTROL!$C$15, $D$11, 100%, $F$11)</f>
        <v>12.562900000000001</v>
      </c>
      <c r="C481" s="8">
        <f>CHOOSE( CONTROL!$C$32, 12.571, 12.5661) * CHOOSE(CONTROL!$C$15, $D$11, 100%, $F$11)</f>
        <v>12.571</v>
      </c>
      <c r="D481" s="8">
        <f>CHOOSE( CONTROL!$C$32, 12.5807, 12.5758) * CHOOSE( CONTROL!$C$15, $D$11, 100%, $F$11)</f>
        <v>12.5807</v>
      </c>
      <c r="E481" s="12">
        <f>CHOOSE( CONTROL!$C$32, 12.576, 12.5711) * CHOOSE( CONTROL!$C$15, $D$11, 100%, $F$11)</f>
        <v>12.576000000000001</v>
      </c>
      <c r="F481" s="4">
        <f>CHOOSE( CONTROL!$C$32, 13.2538, 13.2489) * CHOOSE(CONTROL!$C$15, $D$11, 100%, $F$11)</f>
        <v>13.2538</v>
      </c>
      <c r="G481" s="8">
        <f>CHOOSE( CONTROL!$C$32, 12.3262, 12.3214) * CHOOSE( CONTROL!$C$15, $D$11, 100%, $F$11)</f>
        <v>12.3262</v>
      </c>
      <c r="H481" s="4">
        <f>CHOOSE( CONTROL!$C$32, 13.2628, 13.258) * CHOOSE(CONTROL!$C$15, $D$11, 100%, $F$11)</f>
        <v>13.2628</v>
      </c>
      <c r="I481" s="8">
        <f>CHOOSE( CONTROL!$C$32, 12.2164, 12.2117) * CHOOSE(CONTROL!$C$15, $D$11, 100%, $F$11)</f>
        <v>12.2164</v>
      </c>
      <c r="J481" s="4">
        <f>CHOOSE( CONTROL!$C$32, 12.1134, 12.1086) * CHOOSE(CONTROL!$C$15, $D$11, 100%, $F$11)</f>
        <v>12.1134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13.1128 * CHOOSE(CONTROL!$C$15, $D$11, 100%, $F$11)</f>
        <v>13.1128</v>
      </c>
      <c r="C482" s="8">
        <f>13.1181 * CHOOSE(CONTROL!$C$15, $D$11, 100%, $F$11)</f>
        <v>13.1181</v>
      </c>
      <c r="D482" s="8">
        <f>13.1327 * CHOOSE( CONTROL!$C$15, $D$11, 100%, $F$11)</f>
        <v>13.1327</v>
      </c>
      <c r="E482" s="12">
        <f>13.1273 * CHOOSE( CONTROL!$C$15, $D$11, 100%, $F$11)</f>
        <v>13.1273</v>
      </c>
      <c r="F482" s="4">
        <f>13.8053 * CHOOSE(CONTROL!$C$15, $D$11, 100%, $F$11)</f>
        <v>13.805300000000001</v>
      </c>
      <c r="G482" s="8">
        <f>12.8679 * CHOOSE( CONTROL!$C$15, $D$11, 100%, $F$11)</f>
        <v>12.867900000000001</v>
      </c>
      <c r="H482" s="4">
        <f>13.8052 * CHOOSE(CONTROL!$C$15, $D$11, 100%, $F$11)</f>
        <v>13.805199999999999</v>
      </c>
      <c r="I482" s="8">
        <f>12.7507 * CHOOSE(CONTROL!$C$15, $D$11, 100%, $F$11)</f>
        <v>12.7507</v>
      </c>
      <c r="J482" s="4">
        <f>12.6465 * CHOOSE(CONTROL!$C$15, $D$11, 100%, $F$11)</f>
        <v>12.6465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14.1394 * CHOOSE(CONTROL!$C$15, $D$11, 100%, $F$11)</f>
        <v>14.1394</v>
      </c>
      <c r="C483" s="8">
        <f>14.1445 * CHOOSE(CONTROL!$C$15, $D$11, 100%, $F$11)</f>
        <v>14.144500000000001</v>
      </c>
      <c r="D483" s="8">
        <f>14.1215 * CHOOSE( CONTROL!$C$15, $D$11, 100%, $F$11)</f>
        <v>14.121499999999999</v>
      </c>
      <c r="E483" s="12">
        <f>14.1294 * CHOOSE( CONTROL!$C$15, $D$11, 100%, $F$11)</f>
        <v>14.1294</v>
      </c>
      <c r="F483" s="4">
        <f>14.7843 * CHOOSE(CONTROL!$C$15, $D$11, 100%, $F$11)</f>
        <v>14.7843</v>
      </c>
      <c r="G483" s="8">
        <f>13.8859 * CHOOSE( CONTROL!$C$15, $D$11, 100%, $F$11)</f>
        <v>13.885899999999999</v>
      </c>
      <c r="H483" s="4">
        <f>14.7679 * CHOOSE(CONTROL!$C$15, $D$11, 100%, $F$11)</f>
        <v>14.767899999999999</v>
      </c>
      <c r="I483" s="8">
        <f>13.7687 * CHOOSE(CONTROL!$C$15, $D$11, 100%, $F$11)</f>
        <v>13.768700000000001</v>
      </c>
      <c r="J483" s="4">
        <f>13.6394 * CHOOSE(CONTROL!$C$15, $D$11, 100%, $F$11)</f>
        <v>13.6394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14.1138 * CHOOSE(CONTROL!$C$15, $D$11, 100%, $F$11)</f>
        <v>14.113799999999999</v>
      </c>
      <c r="C484" s="8">
        <f>14.1189 * CHOOSE(CONTROL!$C$15, $D$11, 100%, $F$11)</f>
        <v>14.1189</v>
      </c>
      <c r="D484" s="8">
        <f>14.0974 * CHOOSE( CONTROL!$C$15, $D$11, 100%, $F$11)</f>
        <v>14.0974</v>
      </c>
      <c r="E484" s="12">
        <f>14.1047 * CHOOSE( CONTROL!$C$15, $D$11, 100%, $F$11)</f>
        <v>14.104699999999999</v>
      </c>
      <c r="F484" s="4">
        <f>14.7587 * CHOOSE(CONTROL!$C$15, $D$11, 100%, $F$11)</f>
        <v>14.758699999999999</v>
      </c>
      <c r="G484" s="8">
        <f>13.8618 * CHOOSE( CONTROL!$C$15, $D$11, 100%, $F$11)</f>
        <v>13.861800000000001</v>
      </c>
      <c r="H484" s="4">
        <f>14.7427 * CHOOSE(CONTROL!$C$15, $D$11, 100%, $F$11)</f>
        <v>14.742699999999999</v>
      </c>
      <c r="I484" s="8">
        <f>13.7489 * CHOOSE(CONTROL!$C$15, $D$11, 100%, $F$11)</f>
        <v>13.748900000000001</v>
      </c>
      <c r="J484" s="4">
        <f>13.6146 * CHOOSE(CONTROL!$C$15, $D$11, 100%, $F$11)</f>
        <v>13.614599999999999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14.652 * CHOOSE(CONTROL!$C$15, $D$11, 100%, $F$11)</f>
        <v>14.651999999999999</v>
      </c>
      <c r="C485" s="8">
        <f>14.6572 * CHOOSE(CONTROL!$C$15, $D$11, 100%, $F$11)</f>
        <v>14.6572</v>
      </c>
      <c r="D485" s="8">
        <f>14.6317 * CHOOSE( CONTROL!$C$15, $D$11, 100%, $F$11)</f>
        <v>14.6317</v>
      </c>
      <c r="E485" s="12">
        <f>14.6405 * CHOOSE( CONTROL!$C$15, $D$11, 100%, $F$11)</f>
        <v>14.640499999999999</v>
      </c>
      <c r="F485" s="4">
        <f>15.2943 * CHOOSE(CONTROL!$C$15, $D$11, 100%, $F$11)</f>
        <v>15.2943</v>
      </c>
      <c r="G485" s="8">
        <f>14.3858 * CHOOSE( CONTROL!$C$15, $D$11, 100%, $F$11)</f>
        <v>14.3858</v>
      </c>
      <c r="H485" s="4">
        <f>15.2695 * CHOOSE(CONTROL!$C$15, $D$11, 100%, $F$11)</f>
        <v>15.269500000000001</v>
      </c>
      <c r="I485" s="8">
        <f>14.2497 * CHOOSE(CONTROL!$C$15, $D$11, 100%, $F$11)</f>
        <v>14.249700000000001</v>
      </c>
      <c r="J485" s="4">
        <f>14.135 * CHOOSE(CONTROL!$C$15, $D$11, 100%, $F$11)</f>
        <v>14.135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13.7068 * CHOOSE(CONTROL!$C$15, $D$11, 100%, $F$11)</f>
        <v>13.706799999999999</v>
      </c>
      <c r="C486" s="8">
        <f>13.7119 * CHOOSE(CONTROL!$C$15, $D$11, 100%, $F$11)</f>
        <v>13.7119</v>
      </c>
      <c r="D486" s="8">
        <f>13.6866 * CHOOSE( CONTROL!$C$15, $D$11, 100%, $F$11)</f>
        <v>13.6866</v>
      </c>
      <c r="E486" s="12">
        <f>13.6953 * CHOOSE( CONTROL!$C$15, $D$11, 100%, $F$11)</f>
        <v>13.6953</v>
      </c>
      <c r="F486" s="4">
        <f>14.3491 * CHOOSE(CONTROL!$C$15, $D$11, 100%, $F$11)</f>
        <v>14.3491</v>
      </c>
      <c r="G486" s="8">
        <f>13.4563 * CHOOSE( CONTROL!$C$15, $D$11, 100%, $F$11)</f>
        <v>13.456300000000001</v>
      </c>
      <c r="H486" s="4">
        <f>14.3399 * CHOOSE(CONTROL!$C$15, $D$11, 100%, $F$11)</f>
        <v>14.3399</v>
      </c>
      <c r="I486" s="8">
        <f>13.3358 * CHOOSE(CONTROL!$C$15, $D$11, 100%, $F$11)</f>
        <v>13.335800000000001</v>
      </c>
      <c r="J486" s="4">
        <f>13.2211 * CHOOSE(CONTROL!$C$15, $D$11, 100%, $F$11)</f>
        <v>13.2211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13.4156 * CHOOSE(CONTROL!$C$15, $D$11, 100%, $F$11)</f>
        <v>13.4156</v>
      </c>
      <c r="C487" s="8">
        <f>13.4207 * CHOOSE(CONTROL!$C$15, $D$11, 100%, $F$11)</f>
        <v>13.4207</v>
      </c>
      <c r="D487" s="8">
        <f>13.3951 * CHOOSE( CONTROL!$C$15, $D$11, 100%, $F$11)</f>
        <v>13.395099999999999</v>
      </c>
      <c r="E487" s="12">
        <f>13.4039 * CHOOSE( CONTROL!$C$15, $D$11, 100%, $F$11)</f>
        <v>13.4039</v>
      </c>
      <c r="F487" s="4">
        <f>14.0579 * CHOOSE(CONTROL!$C$15, $D$11, 100%, $F$11)</f>
        <v>14.0579</v>
      </c>
      <c r="G487" s="8">
        <f>13.1698 * CHOOSE( CONTROL!$C$15, $D$11, 100%, $F$11)</f>
        <v>13.1698</v>
      </c>
      <c r="H487" s="4">
        <f>14.0536 * CHOOSE(CONTROL!$C$15, $D$11, 100%, $F$11)</f>
        <v>14.053599999999999</v>
      </c>
      <c r="I487" s="8">
        <f>13.0533 * CHOOSE(CONTROL!$C$15, $D$11, 100%, $F$11)</f>
        <v>13.0533</v>
      </c>
      <c r="J487" s="4">
        <f>12.9397 * CHOOSE(CONTROL!$C$15, $D$11, 100%, $F$11)</f>
        <v>12.9397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13.6198 * CHOOSE(CONTROL!$C$15, $D$11, 100%, $F$11)</f>
        <v>13.6198</v>
      </c>
      <c r="C488" s="8">
        <f>13.6244 * CHOOSE(CONTROL!$C$15, $D$11, 100%, $F$11)</f>
        <v>13.6244</v>
      </c>
      <c r="D488" s="8">
        <f>13.6387 * CHOOSE( CONTROL!$C$15, $D$11, 100%, $F$11)</f>
        <v>13.6387</v>
      </c>
      <c r="E488" s="12">
        <f>13.6335 * CHOOSE( CONTROL!$C$15, $D$11, 100%, $F$11)</f>
        <v>13.6335</v>
      </c>
      <c r="F488" s="4">
        <f>14.312 * CHOOSE(CONTROL!$C$15, $D$11, 100%, $F$11)</f>
        <v>14.311999999999999</v>
      </c>
      <c r="G488" s="8">
        <f>13.3651 * CHOOSE( CONTROL!$C$15, $D$11, 100%, $F$11)</f>
        <v>13.3651</v>
      </c>
      <c r="H488" s="4">
        <f>14.3035 * CHOOSE(CONTROL!$C$15, $D$11, 100%, $F$11)</f>
        <v>14.3035</v>
      </c>
      <c r="I488" s="8">
        <f>13.2373 * CHOOSE(CONTROL!$C$15, $D$11, 100%, $F$11)</f>
        <v>13.237299999999999</v>
      </c>
      <c r="J488" s="4">
        <f>13.1364 * CHOOSE(CONTROL!$C$15, $D$11, 100%, $F$11)</f>
        <v>13.1364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13.9882, 13.9833) * CHOOSE(CONTROL!$C$15, $D$11, 100%, $F$11)</f>
        <v>13.988200000000001</v>
      </c>
      <c r="C489" s="8">
        <f>CHOOSE( CONTROL!$C$32, 13.9962, 13.9913) * CHOOSE(CONTROL!$C$15, $D$11, 100%, $F$11)</f>
        <v>13.9962</v>
      </c>
      <c r="D489" s="8">
        <f>CHOOSE( CONTROL!$C$32, 14.0055, 14.0006) * CHOOSE( CONTROL!$C$15, $D$11, 100%, $F$11)</f>
        <v>14.0055</v>
      </c>
      <c r="E489" s="12">
        <f>CHOOSE( CONTROL!$C$32, 14.0009, 13.996) * CHOOSE( CONTROL!$C$15, $D$11, 100%, $F$11)</f>
        <v>14.0009</v>
      </c>
      <c r="F489" s="4">
        <f>CHOOSE( CONTROL!$C$32, 14.679, 14.6741) * CHOOSE(CONTROL!$C$15, $D$11, 100%, $F$11)</f>
        <v>14.679</v>
      </c>
      <c r="G489" s="8">
        <f>CHOOSE( CONTROL!$C$32, 13.7271, 13.7223) * CHOOSE( CONTROL!$C$15, $D$11, 100%, $F$11)</f>
        <v>13.7271</v>
      </c>
      <c r="H489" s="4">
        <f>CHOOSE( CONTROL!$C$32, 14.6644, 14.6596) * CHOOSE(CONTROL!$C$15, $D$11, 100%, $F$11)</f>
        <v>14.664400000000001</v>
      </c>
      <c r="I489" s="8">
        <f>CHOOSE( CONTROL!$C$32, 13.5926, 13.5878) * CHOOSE(CONTROL!$C$15, $D$11, 100%, $F$11)</f>
        <v>13.592599999999999</v>
      </c>
      <c r="J489" s="4">
        <f>CHOOSE( CONTROL!$C$32, 13.4911, 13.4864) * CHOOSE(CONTROL!$C$15, $D$11, 100%, $F$11)</f>
        <v>13.491099999999999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13.7639, 13.759) * CHOOSE(CONTROL!$C$15, $D$11, 100%, $F$11)</f>
        <v>13.7639</v>
      </c>
      <c r="C490" s="8">
        <f>CHOOSE( CONTROL!$C$32, 13.7719, 13.767) * CHOOSE(CONTROL!$C$15, $D$11, 100%, $F$11)</f>
        <v>13.7719</v>
      </c>
      <c r="D490" s="8">
        <f>CHOOSE( CONTROL!$C$32, 13.7814, 13.7765) * CHOOSE( CONTROL!$C$15, $D$11, 100%, $F$11)</f>
        <v>13.7814</v>
      </c>
      <c r="E490" s="12">
        <f>CHOOSE( CONTROL!$C$32, 13.7767, 13.7718) * CHOOSE( CONTROL!$C$15, $D$11, 100%, $F$11)</f>
        <v>13.7767</v>
      </c>
      <c r="F490" s="4">
        <f>CHOOSE( CONTROL!$C$32, 14.4547, 14.4498) * CHOOSE(CONTROL!$C$15, $D$11, 100%, $F$11)</f>
        <v>14.454700000000001</v>
      </c>
      <c r="G490" s="8">
        <f>CHOOSE( CONTROL!$C$32, 13.5068, 13.502) * CHOOSE( CONTROL!$C$15, $D$11, 100%, $F$11)</f>
        <v>13.5068</v>
      </c>
      <c r="H490" s="4">
        <f>CHOOSE( CONTROL!$C$32, 14.4438, 14.439) * CHOOSE(CONTROL!$C$15, $D$11, 100%, $F$11)</f>
        <v>14.4438</v>
      </c>
      <c r="I490" s="8">
        <f>CHOOSE( CONTROL!$C$32, 13.3767, 13.3719) * CHOOSE(CONTROL!$C$15, $D$11, 100%, $F$11)</f>
        <v>13.3767</v>
      </c>
      <c r="J490" s="4">
        <f>CHOOSE( CONTROL!$C$32, 13.2743, 13.2696) * CHOOSE(CONTROL!$C$15, $D$11, 100%, $F$11)</f>
        <v>13.2743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14.3545, 14.3496) * CHOOSE(CONTROL!$C$15, $D$11, 100%, $F$11)</f>
        <v>14.3545</v>
      </c>
      <c r="C491" s="8">
        <f>CHOOSE( CONTROL!$C$32, 14.3625, 14.3577) * CHOOSE(CONTROL!$C$15, $D$11, 100%, $F$11)</f>
        <v>14.362500000000001</v>
      </c>
      <c r="D491" s="8">
        <f>CHOOSE( CONTROL!$C$32, 14.3723, 14.3674) * CHOOSE( CONTROL!$C$15, $D$11, 100%, $F$11)</f>
        <v>14.372299999999999</v>
      </c>
      <c r="E491" s="12">
        <f>CHOOSE( CONTROL!$C$32, 14.3675, 14.3627) * CHOOSE( CONTROL!$C$15, $D$11, 100%, $F$11)</f>
        <v>14.3675</v>
      </c>
      <c r="F491" s="4">
        <f>CHOOSE( CONTROL!$C$32, 15.0454, 15.0405) * CHOOSE(CONTROL!$C$15, $D$11, 100%, $F$11)</f>
        <v>15.045400000000001</v>
      </c>
      <c r="G491" s="8">
        <f>CHOOSE( CONTROL!$C$32, 14.088, 14.0832) * CHOOSE( CONTROL!$C$15, $D$11, 100%, $F$11)</f>
        <v>14.087999999999999</v>
      </c>
      <c r="H491" s="4">
        <f>CHOOSE( CONTROL!$C$32, 15.0247, 15.0199) * CHOOSE(CONTROL!$C$15, $D$11, 100%, $F$11)</f>
        <v>15.024699999999999</v>
      </c>
      <c r="I491" s="8">
        <f>CHOOSE( CONTROL!$C$32, 13.949, 13.9443) * CHOOSE(CONTROL!$C$15, $D$11, 100%, $F$11)</f>
        <v>13.949</v>
      </c>
      <c r="J491" s="4">
        <f>CHOOSE( CONTROL!$C$32, 13.8453, 13.8406) * CHOOSE(CONTROL!$C$15, $D$11, 100%, $F$11)</f>
        <v>13.8453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13.2493, 13.2444) * CHOOSE(CONTROL!$C$15, $D$11, 100%, $F$11)</f>
        <v>13.2493</v>
      </c>
      <c r="C492" s="8">
        <f>CHOOSE( CONTROL!$C$32, 13.2574, 13.2525) * CHOOSE(CONTROL!$C$15, $D$11, 100%, $F$11)</f>
        <v>13.257400000000001</v>
      </c>
      <c r="D492" s="8">
        <f>CHOOSE( CONTROL!$C$32, 13.2672, 13.2623) * CHOOSE( CONTROL!$C$15, $D$11, 100%, $F$11)</f>
        <v>13.267200000000001</v>
      </c>
      <c r="E492" s="12">
        <f>CHOOSE( CONTROL!$C$32, 13.2624, 13.2575) * CHOOSE( CONTROL!$C$15, $D$11, 100%, $F$11)</f>
        <v>13.2624</v>
      </c>
      <c r="F492" s="4">
        <f>CHOOSE( CONTROL!$C$32, 13.9402, 13.9353) * CHOOSE(CONTROL!$C$15, $D$11, 100%, $F$11)</f>
        <v>13.940200000000001</v>
      </c>
      <c r="G492" s="8">
        <f>CHOOSE( CONTROL!$C$32, 13.0013, 12.9965) * CHOOSE( CONTROL!$C$15, $D$11, 100%, $F$11)</f>
        <v>13.001300000000001</v>
      </c>
      <c r="H492" s="4">
        <f>CHOOSE( CONTROL!$C$32, 13.9378, 13.933) * CHOOSE(CONTROL!$C$15, $D$11, 100%, $F$11)</f>
        <v>13.937799999999999</v>
      </c>
      <c r="I492" s="8">
        <f>CHOOSE( CONTROL!$C$32, 12.8804, 12.8757) * CHOOSE(CONTROL!$C$15, $D$11, 100%, $F$11)</f>
        <v>12.8804</v>
      </c>
      <c r="J492" s="4">
        <f>CHOOSE( CONTROL!$C$32, 12.7769, 12.7722) * CHOOSE(CONTROL!$C$15, $D$11, 100%, $F$11)</f>
        <v>12.776899999999999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12.9726, 12.9677) * CHOOSE(CONTROL!$C$15, $D$11, 100%, $F$11)</f>
        <v>12.9726</v>
      </c>
      <c r="C493" s="8">
        <f>CHOOSE( CONTROL!$C$32, 12.9806, 12.9757) * CHOOSE(CONTROL!$C$15, $D$11, 100%, $F$11)</f>
        <v>12.980600000000001</v>
      </c>
      <c r="D493" s="8">
        <f>CHOOSE( CONTROL!$C$32, 12.9904, 12.9855) * CHOOSE( CONTROL!$C$15, $D$11, 100%, $F$11)</f>
        <v>12.990399999999999</v>
      </c>
      <c r="E493" s="12">
        <f>CHOOSE( CONTROL!$C$32, 12.9856, 12.9807) * CHOOSE( CONTROL!$C$15, $D$11, 100%, $F$11)</f>
        <v>12.9856</v>
      </c>
      <c r="F493" s="4">
        <f>CHOOSE( CONTROL!$C$32, 13.6634, 13.6585) * CHOOSE(CONTROL!$C$15, $D$11, 100%, $F$11)</f>
        <v>13.663399999999999</v>
      </c>
      <c r="G493" s="8">
        <f>CHOOSE( CONTROL!$C$32, 12.7291, 12.7243) * CHOOSE( CONTROL!$C$15, $D$11, 100%, $F$11)</f>
        <v>12.729100000000001</v>
      </c>
      <c r="H493" s="4">
        <f>CHOOSE( CONTROL!$C$32, 13.6656, 13.6608) * CHOOSE(CONTROL!$C$15, $D$11, 100%, $F$11)</f>
        <v>13.6656</v>
      </c>
      <c r="I493" s="8">
        <f>CHOOSE( CONTROL!$C$32, 12.6126, 12.6079) * CHOOSE(CONTROL!$C$15, $D$11, 100%, $F$11)</f>
        <v>12.6126</v>
      </c>
      <c r="J493" s="4">
        <f>CHOOSE( CONTROL!$C$32, 12.5094, 12.5046) * CHOOSE(CONTROL!$C$15, $D$11, 100%, $F$11)</f>
        <v>12.509399999999999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13.5406 * CHOOSE(CONTROL!$C$15, $D$11, 100%, $F$11)</f>
        <v>13.5406</v>
      </c>
      <c r="C494" s="8">
        <f>13.546 * CHOOSE(CONTROL!$C$15, $D$11, 100%, $F$11)</f>
        <v>13.545999999999999</v>
      </c>
      <c r="D494" s="8">
        <f>13.5605 * CHOOSE( CONTROL!$C$15, $D$11, 100%, $F$11)</f>
        <v>13.560499999999999</v>
      </c>
      <c r="E494" s="12">
        <f>13.5551 * CHOOSE( CONTROL!$C$15, $D$11, 100%, $F$11)</f>
        <v>13.555099999999999</v>
      </c>
      <c r="F494" s="4">
        <f>14.2332 * CHOOSE(CONTROL!$C$15, $D$11, 100%, $F$11)</f>
        <v>14.2332</v>
      </c>
      <c r="G494" s="8">
        <f>13.2886 * CHOOSE( CONTROL!$C$15, $D$11, 100%, $F$11)</f>
        <v>13.288600000000001</v>
      </c>
      <c r="H494" s="4">
        <f>14.2259 * CHOOSE(CONTROL!$C$15, $D$11, 100%, $F$11)</f>
        <v>14.225899999999999</v>
      </c>
      <c r="I494" s="8">
        <f>13.1645 * CHOOSE(CONTROL!$C$15, $D$11, 100%, $F$11)</f>
        <v>13.1645</v>
      </c>
      <c r="J494" s="4">
        <f>13.0601 * CHOOSE(CONTROL!$C$15, $D$11, 100%, $F$11)</f>
        <v>13.0601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14.6009 * CHOOSE(CONTROL!$C$15, $D$11, 100%, $F$11)</f>
        <v>14.600899999999999</v>
      </c>
      <c r="C495" s="8">
        <f>14.606 * CHOOSE(CONTROL!$C$15, $D$11, 100%, $F$11)</f>
        <v>14.606</v>
      </c>
      <c r="D495" s="8">
        <f>14.5829 * CHOOSE( CONTROL!$C$15, $D$11, 100%, $F$11)</f>
        <v>14.5829</v>
      </c>
      <c r="E495" s="12">
        <f>14.5908 * CHOOSE( CONTROL!$C$15, $D$11, 100%, $F$11)</f>
        <v>14.5908</v>
      </c>
      <c r="F495" s="4">
        <f>15.2457 * CHOOSE(CONTROL!$C$15, $D$11, 100%, $F$11)</f>
        <v>15.245699999999999</v>
      </c>
      <c r="G495" s="8">
        <f>14.3397 * CHOOSE( CONTROL!$C$15, $D$11, 100%, $F$11)</f>
        <v>14.339700000000001</v>
      </c>
      <c r="H495" s="4">
        <f>15.2217 * CHOOSE(CONTROL!$C$15, $D$11, 100%, $F$11)</f>
        <v>15.2217</v>
      </c>
      <c r="I495" s="8">
        <f>14.215 * CHOOSE(CONTROL!$C$15, $D$11, 100%, $F$11)</f>
        <v>14.215</v>
      </c>
      <c r="J495" s="4">
        <f>14.0855 * CHOOSE(CONTROL!$C$15, $D$11, 100%, $F$11)</f>
        <v>14.0855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14.5744 * CHOOSE(CONTROL!$C$15, $D$11, 100%, $F$11)</f>
        <v>14.574400000000001</v>
      </c>
      <c r="C496" s="8">
        <f>14.5795 * CHOOSE(CONTROL!$C$15, $D$11, 100%, $F$11)</f>
        <v>14.579499999999999</v>
      </c>
      <c r="D496" s="8">
        <f>14.558 * CHOOSE( CONTROL!$C$15, $D$11, 100%, $F$11)</f>
        <v>14.558</v>
      </c>
      <c r="E496" s="12">
        <f>14.5653 * CHOOSE( CONTROL!$C$15, $D$11, 100%, $F$11)</f>
        <v>14.565300000000001</v>
      </c>
      <c r="F496" s="4">
        <f>15.2192 * CHOOSE(CONTROL!$C$15, $D$11, 100%, $F$11)</f>
        <v>15.219200000000001</v>
      </c>
      <c r="G496" s="8">
        <f>14.3148 * CHOOSE( CONTROL!$C$15, $D$11, 100%, $F$11)</f>
        <v>14.3148</v>
      </c>
      <c r="H496" s="4">
        <f>15.1956 * CHOOSE(CONTROL!$C$15, $D$11, 100%, $F$11)</f>
        <v>15.195600000000001</v>
      </c>
      <c r="I496" s="8">
        <f>14.1943 * CHOOSE(CONTROL!$C$15, $D$11, 100%, $F$11)</f>
        <v>14.1943</v>
      </c>
      <c r="J496" s="4">
        <f>14.0599 * CHOOSE(CONTROL!$C$15, $D$11, 100%, $F$11)</f>
        <v>14.059900000000001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15.1302 * CHOOSE(CONTROL!$C$15, $D$11, 100%, $F$11)</f>
        <v>15.1302</v>
      </c>
      <c r="C497" s="8">
        <f>15.1353 * CHOOSE(CONTROL!$C$15, $D$11, 100%, $F$11)</f>
        <v>15.135300000000001</v>
      </c>
      <c r="D497" s="8">
        <f>15.1099 * CHOOSE( CONTROL!$C$15, $D$11, 100%, $F$11)</f>
        <v>15.1099</v>
      </c>
      <c r="E497" s="12">
        <f>15.1186 * CHOOSE( CONTROL!$C$15, $D$11, 100%, $F$11)</f>
        <v>15.118600000000001</v>
      </c>
      <c r="F497" s="4">
        <f>15.7725 * CHOOSE(CONTROL!$C$15, $D$11, 100%, $F$11)</f>
        <v>15.772500000000001</v>
      </c>
      <c r="G497" s="8">
        <f>14.8561 * CHOOSE( CONTROL!$C$15, $D$11, 100%, $F$11)</f>
        <v>14.8561</v>
      </c>
      <c r="H497" s="4">
        <f>15.7398 * CHOOSE(CONTROL!$C$15, $D$11, 100%, $F$11)</f>
        <v>15.739800000000001</v>
      </c>
      <c r="I497" s="8">
        <f>14.7122 * CHOOSE(CONTROL!$C$15, $D$11, 100%, $F$11)</f>
        <v>14.712199999999999</v>
      </c>
      <c r="J497" s="4">
        <f>14.5972 * CHOOSE(CONTROL!$C$15, $D$11, 100%, $F$11)</f>
        <v>14.597200000000001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14.154 * CHOOSE(CONTROL!$C$15, $D$11, 100%, $F$11)</f>
        <v>14.154</v>
      </c>
      <c r="C498" s="8">
        <f>14.1591 * CHOOSE(CONTROL!$C$15, $D$11, 100%, $F$11)</f>
        <v>14.1591</v>
      </c>
      <c r="D498" s="8">
        <f>14.1338 * CHOOSE( CONTROL!$C$15, $D$11, 100%, $F$11)</f>
        <v>14.133800000000001</v>
      </c>
      <c r="E498" s="12">
        <f>14.1425 * CHOOSE( CONTROL!$C$15, $D$11, 100%, $F$11)</f>
        <v>14.1425</v>
      </c>
      <c r="F498" s="4">
        <f>14.7963 * CHOOSE(CONTROL!$C$15, $D$11, 100%, $F$11)</f>
        <v>14.7963</v>
      </c>
      <c r="G498" s="8">
        <f>13.8961 * CHOOSE( CONTROL!$C$15, $D$11, 100%, $F$11)</f>
        <v>13.896100000000001</v>
      </c>
      <c r="H498" s="4">
        <f>14.7797 * CHOOSE(CONTROL!$C$15, $D$11, 100%, $F$11)</f>
        <v>14.7797</v>
      </c>
      <c r="I498" s="8">
        <f>13.7684 * CHOOSE(CONTROL!$C$15, $D$11, 100%, $F$11)</f>
        <v>13.7684</v>
      </c>
      <c r="J498" s="4">
        <f>13.6535 * CHOOSE(CONTROL!$C$15, $D$11, 100%, $F$11)</f>
        <v>13.653499999999999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13.8534 * CHOOSE(CONTROL!$C$15, $D$11, 100%, $F$11)</f>
        <v>13.853400000000001</v>
      </c>
      <c r="C499" s="8">
        <f>13.8585 * CHOOSE(CONTROL!$C$15, $D$11, 100%, $F$11)</f>
        <v>13.858499999999999</v>
      </c>
      <c r="D499" s="8">
        <f>13.8329 * CHOOSE( CONTROL!$C$15, $D$11, 100%, $F$11)</f>
        <v>13.8329</v>
      </c>
      <c r="E499" s="12">
        <f>13.8417 * CHOOSE( CONTROL!$C$15, $D$11, 100%, $F$11)</f>
        <v>13.841699999999999</v>
      </c>
      <c r="F499" s="4">
        <f>14.4957 * CHOOSE(CONTROL!$C$15, $D$11, 100%, $F$11)</f>
        <v>14.495699999999999</v>
      </c>
      <c r="G499" s="8">
        <f>13.6003 * CHOOSE( CONTROL!$C$15, $D$11, 100%, $F$11)</f>
        <v>13.600300000000001</v>
      </c>
      <c r="H499" s="4">
        <f>14.4841 * CHOOSE(CONTROL!$C$15, $D$11, 100%, $F$11)</f>
        <v>14.4841</v>
      </c>
      <c r="I499" s="8">
        <f>13.4767 * CHOOSE(CONTROL!$C$15, $D$11, 100%, $F$11)</f>
        <v>13.476699999999999</v>
      </c>
      <c r="J499" s="4">
        <f>13.3629 * CHOOSE(CONTROL!$C$15, $D$11, 100%, $F$11)</f>
        <v>13.3629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14.0642 * CHOOSE(CONTROL!$C$15, $D$11, 100%, $F$11)</f>
        <v>14.0642</v>
      </c>
      <c r="C500" s="8">
        <f>14.0688 * CHOOSE(CONTROL!$C$15, $D$11, 100%, $F$11)</f>
        <v>14.0688</v>
      </c>
      <c r="D500" s="8">
        <f>14.0831 * CHOOSE( CONTROL!$C$15, $D$11, 100%, $F$11)</f>
        <v>14.0831</v>
      </c>
      <c r="E500" s="12">
        <f>14.0779 * CHOOSE( CONTROL!$C$15, $D$11, 100%, $F$11)</f>
        <v>14.0779</v>
      </c>
      <c r="F500" s="4">
        <f>14.7565 * CHOOSE(CONTROL!$C$15, $D$11, 100%, $F$11)</f>
        <v>14.756500000000001</v>
      </c>
      <c r="G500" s="8">
        <f>13.8021 * CHOOSE( CONTROL!$C$15, $D$11, 100%, $F$11)</f>
        <v>13.802099999999999</v>
      </c>
      <c r="H500" s="4">
        <f>14.7405 * CHOOSE(CONTROL!$C$15, $D$11, 100%, $F$11)</f>
        <v>14.740500000000001</v>
      </c>
      <c r="I500" s="8">
        <f>13.6671 * CHOOSE(CONTROL!$C$15, $D$11, 100%, $F$11)</f>
        <v>13.6671</v>
      </c>
      <c r="J500" s="4">
        <f>13.566 * CHOOSE(CONTROL!$C$15, $D$11, 100%, $F$11)</f>
        <v>13.566000000000001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14.4444, 14.4395) * CHOOSE(CONTROL!$C$15, $D$11, 100%, $F$11)</f>
        <v>14.4444</v>
      </c>
      <c r="C501" s="8">
        <f>CHOOSE( CONTROL!$C$32, 14.4524, 14.4475) * CHOOSE(CONTROL!$C$15, $D$11, 100%, $F$11)</f>
        <v>14.452400000000001</v>
      </c>
      <c r="D501" s="8">
        <f>CHOOSE( CONTROL!$C$32, 14.4617, 14.4568) * CHOOSE( CONTROL!$C$15, $D$11, 100%, $F$11)</f>
        <v>14.4617</v>
      </c>
      <c r="E501" s="12">
        <f>CHOOSE( CONTROL!$C$32, 14.4571, 14.4522) * CHOOSE( CONTROL!$C$15, $D$11, 100%, $F$11)</f>
        <v>14.457100000000001</v>
      </c>
      <c r="F501" s="4">
        <f>CHOOSE( CONTROL!$C$32, 15.1353, 15.1304) * CHOOSE(CONTROL!$C$15, $D$11, 100%, $F$11)</f>
        <v>15.135300000000001</v>
      </c>
      <c r="G501" s="8">
        <f>CHOOSE( CONTROL!$C$32, 14.1758, 14.171) * CHOOSE( CONTROL!$C$15, $D$11, 100%, $F$11)</f>
        <v>14.175800000000001</v>
      </c>
      <c r="H501" s="4">
        <f>CHOOSE( CONTROL!$C$32, 15.1131, 15.1083) * CHOOSE(CONTROL!$C$15, $D$11, 100%, $F$11)</f>
        <v>15.113099999999999</v>
      </c>
      <c r="I501" s="8">
        <f>CHOOSE( CONTROL!$C$32, 14.0339, 14.0291) * CHOOSE(CONTROL!$C$15, $D$11, 100%, $F$11)</f>
        <v>14.033899999999999</v>
      </c>
      <c r="J501" s="4">
        <f>CHOOSE( CONTROL!$C$32, 13.9322, 13.9275) * CHOOSE(CONTROL!$C$15, $D$11, 100%, $F$11)</f>
        <v>13.9322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14.2128, 14.2079) * CHOOSE(CONTROL!$C$15, $D$11, 100%, $F$11)</f>
        <v>14.2128</v>
      </c>
      <c r="C502" s="8">
        <f>CHOOSE( CONTROL!$C$32, 14.2208, 14.2159) * CHOOSE(CONTROL!$C$15, $D$11, 100%, $F$11)</f>
        <v>14.220800000000001</v>
      </c>
      <c r="D502" s="8">
        <f>CHOOSE( CONTROL!$C$32, 14.2303, 14.2254) * CHOOSE( CONTROL!$C$15, $D$11, 100%, $F$11)</f>
        <v>14.2303</v>
      </c>
      <c r="E502" s="12">
        <f>CHOOSE( CONTROL!$C$32, 14.2256, 14.2207) * CHOOSE( CONTROL!$C$15, $D$11, 100%, $F$11)</f>
        <v>14.2256</v>
      </c>
      <c r="F502" s="4">
        <f>CHOOSE( CONTROL!$C$32, 14.9036, 14.8987) * CHOOSE(CONTROL!$C$15, $D$11, 100%, $F$11)</f>
        <v>14.903600000000001</v>
      </c>
      <c r="G502" s="8">
        <f>CHOOSE( CONTROL!$C$32, 13.9483, 13.9435) * CHOOSE( CONTROL!$C$15, $D$11, 100%, $F$11)</f>
        <v>13.9483</v>
      </c>
      <c r="H502" s="4">
        <f>CHOOSE( CONTROL!$C$32, 14.8853, 14.8805) * CHOOSE(CONTROL!$C$15, $D$11, 100%, $F$11)</f>
        <v>14.885300000000001</v>
      </c>
      <c r="I502" s="8">
        <f>CHOOSE( CONTROL!$C$32, 13.8109, 13.8061) * CHOOSE(CONTROL!$C$15, $D$11, 100%, $F$11)</f>
        <v>13.8109</v>
      </c>
      <c r="J502" s="4">
        <f>CHOOSE( CONTROL!$C$32, 13.7083, 13.7035) * CHOOSE(CONTROL!$C$15, $D$11, 100%, $F$11)</f>
        <v>13.708299999999999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14.8228, 14.8179) * CHOOSE(CONTROL!$C$15, $D$11, 100%, $F$11)</f>
        <v>14.822800000000001</v>
      </c>
      <c r="C503" s="8">
        <f>CHOOSE( CONTROL!$C$32, 14.8308, 14.8259) * CHOOSE(CONTROL!$C$15, $D$11, 100%, $F$11)</f>
        <v>14.8308</v>
      </c>
      <c r="D503" s="8">
        <f>CHOOSE( CONTROL!$C$32, 14.8405, 14.8356) * CHOOSE( CONTROL!$C$15, $D$11, 100%, $F$11)</f>
        <v>14.8405</v>
      </c>
      <c r="E503" s="12">
        <f>CHOOSE( CONTROL!$C$32, 14.8358, 14.8309) * CHOOSE( CONTROL!$C$15, $D$11, 100%, $F$11)</f>
        <v>14.835800000000001</v>
      </c>
      <c r="F503" s="4">
        <f>CHOOSE( CONTROL!$C$32, 15.5136, 15.5087) * CHOOSE(CONTROL!$C$15, $D$11, 100%, $F$11)</f>
        <v>15.5136</v>
      </c>
      <c r="G503" s="8">
        <f>CHOOSE( CONTROL!$C$32, 14.5485, 14.5437) * CHOOSE( CONTROL!$C$15, $D$11, 100%, $F$11)</f>
        <v>14.548500000000001</v>
      </c>
      <c r="H503" s="4">
        <f>CHOOSE( CONTROL!$C$32, 15.4851, 15.4803) * CHOOSE(CONTROL!$C$15, $D$11, 100%, $F$11)</f>
        <v>15.485099999999999</v>
      </c>
      <c r="I503" s="8">
        <f>CHOOSE( CONTROL!$C$32, 14.4019, 14.3972) * CHOOSE(CONTROL!$C$15, $D$11, 100%, $F$11)</f>
        <v>14.401899999999999</v>
      </c>
      <c r="J503" s="4">
        <f>CHOOSE( CONTROL!$C$32, 14.2979, 14.2932) * CHOOSE(CONTROL!$C$15, $D$11, 100%, $F$11)</f>
        <v>14.2979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13.6814, 13.6765) * CHOOSE(CONTROL!$C$15, $D$11, 100%, $F$11)</f>
        <v>13.6814</v>
      </c>
      <c r="C504" s="8">
        <f>CHOOSE( CONTROL!$C$32, 13.6894, 13.6845) * CHOOSE(CONTROL!$C$15, $D$11, 100%, $F$11)</f>
        <v>13.689399999999999</v>
      </c>
      <c r="D504" s="8">
        <f>CHOOSE( CONTROL!$C$32, 13.6993, 13.6944) * CHOOSE( CONTROL!$C$15, $D$11, 100%, $F$11)</f>
        <v>13.699299999999999</v>
      </c>
      <c r="E504" s="12">
        <f>CHOOSE( CONTROL!$C$32, 13.6945, 13.6896) * CHOOSE( CONTROL!$C$15, $D$11, 100%, $F$11)</f>
        <v>13.6945</v>
      </c>
      <c r="F504" s="4">
        <f>CHOOSE( CONTROL!$C$32, 14.3723, 14.3674) * CHOOSE(CONTROL!$C$15, $D$11, 100%, $F$11)</f>
        <v>14.372299999999999</v>
      </c>
      <c r="G504" s="8">
        <f>CHOOSE( CONTROL!$C$32, 13.4262, 13.4214) * CHOOSE( CONTROL!$C$15, $D$11, 100%, $F$11)</f>
        <v>13.4262</v>
      </c>
      <c r="H504" s="4">
        <f>CHOOSE( CONTROL!$C$32, 14.3627, 14.3579) * CHOOSE(CONTROL!$C$15, $D$11, 100%, $F$11)</f>
        <v>14.3627</v>
      </c>
      <c r="I504" s="8">
        <f>CHOOSE( CONTROL!$C$32, 13.2983, 13.2936) * CHOOSE(CONTROL!$C$15, $D$11, 100%, $F$11)</f>
        <v>13.298299999999999</v>
      </c>
      <c r="J504" s="4">
        <f>CHOOSE( CONTROL!$C$32, 13.1946, 13.1899) * CHOOSE(CONTROL!$C$15, $D$11, 100%, $F$11)</f>
        <v>13.194599999999999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13.3956, 13.3907) * CHOOSE(CONTROL!$C$15, $D$11, 100%, $F$11)</f>
        <v>13.3956</v>
      </c>
      <c r="C505" s="8">
        <f>CHOOSE( CONTROL!$C$32, 13.4036, 13.3987) * CHOOSE(CONTROL!$C$15, $D$11, 100%, $F$11)</f>
        <v>13.403600000000001</v>
      </c>
      <c r="D505" s="8">
        <f>CHOOSE( CONTROL!$C$32, 13.4134, 13.4085) * CHOOSE( CONTROL!$C$15, $D$11, 100%, $F$11)</f>
        <v>13.413399999999999</v>
      </c>
      <c r="E505" s="12">
        <f>CHOOSE( CONTROL!$C$32, 13.4086, 13.4037) * CHOOSE( CONTROL!$C$15, $D$11, 100%, $F$11)</f>
        <v>13.4086</v>
      </c>
      <c r="F505" s="4">
        <f>CHOOSE( CONTROL!$C$32, 14.0865, 14.0816) * CHOOSE(CONTROL!$C$15, $D$11, 100%, $F$11)</f>
        <v>14.086499999999999</v>
      </c>
      <c r="G505" s="8">
        <f>CHOOSE( CONTROL!$C$32, 13.1451, 13.1403) * CHOOSE( CONTROL!$C$15, $D$11, 100%, $F$11)</f>
        <v>13.145099999999999</v>
      </c>
      <c r="H505" s="4">
        <f>CHOOSE( CONTROL!$C$32, 14.0817, 14.0768) * CHOOSE(CONTROL!$C$15, $D$11, 100%, $F$11)</f>
        <v>14.0817</v>
      </c>
      <c r="I505" s="8">
        <f>CHOOSE( CONTROL!$C$32, 13.0218, 13.017) * CHOOSE(CONTROL!$C$15, $D$11, 100%, $F$11)</f>
        <v>13.021800000000001</v>
      </c>
      <c r="J505" s="4">
        <f>CHOOSE( CONTROL!$C$32, 12.9183, 12.9136) * CHOOSE(CONTROL!$C$15, $D$11, 100%, $F$11)</f>
        <v>12.9183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13.9824 * CHOOSE(CONTROL!$C$15, $D$11, 100%, $F$11)</f>
        <v>13.9824</v>
      </c>
      <c r="C506" s="8">
        <f>13.9878 * CHOOSE(CONTROL!$C$15, $D$11, 100%, $F$11)</f>
        <v>13.9878</v>
      </c>
      <c r="D506" s="8">
        <f>14.0023 * CHOOSE( CONTROL!$C$15, $D$11, 100%, $F$11)</f>
        <v>14.0023</v>
      </c>
      <c r="E506" s="12">
        <f>13.9969 * CHOOSE( CONTROL!$C$15, $D$11, 100%, $F$11)</f>
        <v>13.9969</v>
      </c>
      <c r="F506" s="4">
        <f>14.675 * CHOOSE(CONTROL!$C$15, $D$11, 100%, $F$11)</f>
        <v>14.675000000000001</v>
      </c>
      <c r="G506" s="8">
        <f>13.7231 * CHOOSE( CONTROL!$C$15, $D$11, 100%, $F$11)</f>
        <v>13.723100000000001</v>
      </c>
      <c r="H506" s="4">
        <f>14.6604 * CHOOSE(CONTROL!$C$15, $D$11, 100%, $F$11)</f>
        <v>14.660399999999999</v>
      </c>
      <c r="I506" s="8">
        <f>13.5918 * CHOOSE(CONTROL!$C$15, $D$11, 100%, $F$11)</f>
        <v>13.591799999999999</v>
      </c>
      <c r="J506" s="4">
        <f>13.4872 * CHOOSE(CONTROL!$C$15, $D$11, 100%, $F$11)</f>
        <v>13.4872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15.0774 * CHOOSE(CONTROL!$C$15, $D$11, 100%, $F$11)</f>
        <v>15.077400000000001</v>
      </c>
      <c r="C507" s="8">
        <f>15.0825 * CHOOSE(CONTROL!$C$15, $D$11, 100%, $F$11)</f>
        <v>15.0825</v>
      </c>
      <c r="D507" s="8">
        <f>15.0595 * CHOOSE( CONTROL!$C$15, $D$11, 100%, $F$11)</f>
        <v>15.0595</v>
      </c>
      <c r="E507" s="12">
        <f>15.0674 * CHOOSE( CONTROL!$C$15, $D$11, 100%, $F$11)</f>
        <v>15.067399999999999</v>
      </c>
      <c r="F507" s="4">
        <f>15.7223 * CHOOSE(CONTROL!$C$15, $D$11, 100%, $F$11)</f>
        <v>15.722300000000001</v>
      </c>
      <c r="G507" s="8">
        <f>14.8083 * CHOOSE( CONTROL!$C$15, $D$11, 100%, $F$11)</f>
        <v>14.808299999999999</v>
      </c>
      <c r="H507" s="4">
        <f>15.6903 * CHOOSE(CONTROL!$C$15, $D$11, 100%, $F$11)</f>
        <v>15.690300000000001</v>
      </c>
      <c r="I507" s="8">
        <f>14.6759 * CHOOSE(CONTROL!$C$15, $D$11, 100%, $F$11)</f>
        <v>14.6759</v>
      </c>
      <c r="J507" s="4">
        <f>14.5461 * CHOOSE(CONTROL!$C$15, $D$11, 100%, $F$11)</f>
        <v>14.546099999999999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15.05 * CHOOSE(CONTROL!$C$15, $D$11, 100%, $F$11)</f>
        <v>15.05</v>
      </c>
      <c r="C508" s="8">
        <f>15.0551 * CHOOSE(CONTROL!$C$15, $D$11, 100%, $F$11)</f>
        <v>15.055099999999999</v>
      </c>
      <c r="D508" s="8">
        <f>15.0336 * CHOOSE( CONTROL!$C$15, $D$11, 100%, $F$11)</f>
        <v>15.0336</v>
      </c>
      <c r="E508" s="12">
        <f>15.0409 * CHOOSE( CONTROL!$C$15, $D$11, 100%, $F$11)</f>
        <v>15.040900000000001</v>
      </c>
      <c r="F508" s="4">
        <f>15.6949 * CHOOSE(CONTROL!$C$15, $D$11, 100%, $F$11)</f>
        <v>15.694900000000001</v>
      </c>
      <c r="G508" s="8">
        <f>14.7825 * CHOOSE( CONTROL!$C$15, $D$11, 100%, $F$11)</f>
        <v>14.782500000000001</v>
      </c>
      <c r="H508" s="4">
        <f>15.6634 * CHOOSE(CONTROL!$C$15, $D$11, 100%, $F$11)</f>
        <v>15.663399999999999</v>
      </c>
      <c r="I508" s="8">
        <f>14.6544 * CHOOSE(CONTROL!$C$15, $D$11, 100%, $F$11)</f>
        <v>14.654400000000001</v>
      </c>
      <c r="J508" s="4">
        <f>14.5197 * CHOOSE(CONTROL!$C$15, $D$11, 100%, $F$11)</f>
        <v>14.5197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15.6241 * CHOOSE(CONTROL!$C$15, $D$11, 100%, $F$11)</f>
        <v>15.6241</v>
      </c>
      <c r="C509" s="8">
        <f>15.6292 * CHOOSE(CONTROL!$C$15, $D$11, 100%, $F$11)</f>
        <v>15.629200000000001</v>
      </c>
      <c r="D509" s="8">
        <f>15.6038 * CHOOSE( CONTROL!$C$15, $D$11, 100%, $F$11)</f>
        <v>15.6038</v>
      </c>
      <c r="E509" s="12">
        <f>15.6125 * CHOOSE( CONTROL!$C$15, $D$11, 100%, $F$11)</f>
        <v>15.612500000000001</v>
      </c>
      <c r="F509" s="4">
        <f>16.2664 * CHOOSE(CONTROL!$C$15, $D$11, 100%, $F$11)</f>
        <v>16.266400000000001</v>
      </c>
      <c r="G509" s="8">
        <f>15.3417 * CHOOSE( CONTROL!$C$15, $D$11, 100%, $F$11)</f>
        <v>15.341699999999999</v>
      </c>
      <c r="H509" s="4">
        <f>16.2254 * CHOOSE(CONTROL!$C$15, $D$11, 100%, $F$11)</f>
        <v>16.2254</v>
      </c>
      <c r="I509" s="8">
        <f>15.1899 * CHOOSE(CONTROL!$C$15, $D$11, 100%, $F$11)</f>
        <v>15.1899</v>
      </c>
      <c r="J509" s="4">
        <f>15.0746 * CHOOSE(CONTROL!$C$15, $D$11, 100%, $F$11)</f>
        <v>15.0746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14.6159 * CHOOSE(CONTROL!$C$15, $D$11, 100%, $F$11)</f>
        <v>14.6159</v>
      </c>
      <c r="C510" s="8">
        <f>14.6211 * CHOOSE(CONTROL!$C$15, $D$11, 100%, $F$11)</f>
        <v>14.6211</v>
      </c>
      <c r="D510" s="8">
        <f>14.5957 * CHOOSE( CONTROL!$C$15, $D$11, 100%, $F$11)</f>
        <v>14.595700000000001</v>
      </c>
      <c r="E510" s="12">
        <f>14.6044 * CHOOSE( CONTROL!$C$15, $D$11, 100%, $F$11)</f>
        <v>14.6044</v>
      </c>
      <c r="F510" s="4">
        <f>15.2582 * CHOOSE(CONTROL!$C$15, $D$11, 100%, $F$11)</f>
        <v>15.2582</v>
      </c>
      <c r="G510" s="8">
        <f>14.3504 * CHOOSE( CONTROL!$C$15, $D$11, 100%, $F$11)</f>
        <v>14.3504</v>
      </c>
      <c r="H510" s="4">
        <f>15.234 * CHOOSE(CONTROL!$C$15, $D$11, 100%, $F$11)</f>
        <v>15.234</v>
      </c>
      <c r="I510" s="8">
        <f>14.2151 * CHOOSE(CONTROL!$C$15, $D$11, 100%, $F$11)</f>
        <v>14.2151</v>
      </c>
      <c r="J510" s="4">
        <f>14.1001 * CHOOSE(CONTROL!$C$15, $D$11, 100%, $F$11)</f>
        <v>14.100099999999999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14.3054 * CHOOSE(CONTROL!$C$15, $D$11, 100%, $F$11)</f>
        <v>14.305400000000001</v>
      </c>
      <c r="C511" s="8">
        <f>14.3106 * CHOOSE(CONTROL!$C$15, $D$11, 100%, $F$11)</f>
        <v>14.310600000000001</v>
      </c>
      <c r="D511" s="8">
        <f>14.285 * CHOOSE( CONTROL!$C$15, $D$11, 100%, $F$11)</f>
        <v>14.285</v>
      </c>
      <c r="E511" s="12">
        <f>14.2938 * CHOOSE( CONTROL!$C$15, $D$11, 100%, $F$11)</f>
        <v>14.293799999999999</v>
      </c>
      <c r="F511" s="4">
        <f>14.9477 * CHOOSE(CONTROL!$C$15, $D$11, 100%, $F$11)</f>
        <v>14.947699999999999</v>
      </c>
      <c r="G511" s="8">
        <f>14.0448 * CHOOSE( CONTROL!$C$15, $D$11, 100%, $F$11)</f>
        <v>14.0448</v>
      </c>
      <c r="H511" s="4">
        <f>14.9286 * CHOOSE(CONTROL!$C$15, $D$11, 100%, $F$11)</f>
        <v>14.928599999999999</v>
      </c>
      <c r="I511" s="8">
        <f>13.914 * CHOOSE(CONTROL!$C$15, $D$11, 100%, $F$11)</f>
        <v>13.914</v>
      </c>
      <c r="J511" s="4">
        <f>13.7999 * CHOOSE(CONTROL!$C$15, $D$11, 100%, $F$11)</f>
        <v>13.799899999999999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14.5232 * CHOOSE(CONTROL!$C$15, $D$11, 100%, $F$11)</f>
        <v>14.523199999999999</v>
      </c>
      <c r="C512" s="8">
        <f>14.5277 * CHOOSE(CONTROL!$C$15, $D$11, 100%, $F$11)</f>
        <v>14.527699999999999</v>
      </c>
      <c r="D512" s="8">
        <f>14.542 * CHOOSE( CONTROL!$C$15, $D$11, 100%, $F$11)</f>
        <v>14.542</v>
      </c>
      <c r="E512" s="12">
        <f>14.5368 * CHOOSE( CONTROL!$C$15, $D$11, 100%, $F$11)</f>
        <v>14.536799999999999</v>
      </c>
      <c r="F512" s="4">
        <f>15.2154 * CHOOSE(CONTROL!$C$15, $D$11, 100%, $F$11)</f>
        <v>15.215400000000001</v>
      </c>
      <c r="G512" s="8">
        <f>14.2535 * CHOOSE( CONTROL!$C$15, $D$11, 100%, $F$11)</f>
        <v>14.253500000000001</v>
      </c>
      <c r="H512" s="4">
        <f>15.1919 * CHOOSE(CONTROL!$C$15, $D$11, 100%, $F$11)</f>
        <v>15.1919</v>
      </c>
      <c r="I512" s="8">
        <f>14.111 * CHOOSE(CONTROL!$C$15, $D$11, 100%, $F$11)</f>
        <v>14.111000000000001</v>
      </c>
      <c r="J512" s="4">
        <f>14.0096 * CHOOSE(CONTROL!$C$15, $D$11, 100%, $F$11)</f>
        <v>14.009600000000001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14.9156, 14.9107) * CHOOSE(CONTROL!$C$15, $D$11, 100%, $F$11)</f>
        <v>14.9156</v>
      </c>
      <c r="C513" s="8">
        <f>CHOOSE( CONTROL!$C$32, 14.9236, 14.9187) * CHOOSE(CONTROL!$C$15, $D$11, 100%, $F$11)</f>
        <v>14.9236</v>
      </c>
      <c r="D513" s="8">
        <f>CHOOSE( CONTROL!$C$32, 14.9329, 14.928) * CHOOSE( CONTROL!$C$15, $D$11, 100%, $F$11)</f>
        <v>14.9329</v>
      </c>
      <c r="E513" s="12">
        <f>CHOOSE( CONTROL!$C$32, 14.9283, 14.9234) * CHOOSE( CONTROL!$C$15, $D$11, 100%, $F$11)</f>
        <v>14.9283</v>
      </c>
      <c r="F513" s="4">
        <f>CHOOSE( CONTROL!$C$32, 15.6064, 15.6015) * CHOOSE(CONTROL!$C$15, $D$11, 100%, $F$11)</f>
        <v>15.606400000000001</v>
      </c>
      <c r="G513" s="8">
        <f>CHOOSE( CONTROL!$C$32, 14.6391, 14.6343) * CHOOSE( CONTROL!$C$15, $D$11, 100%, $F$11)</f>
        <v>14.639099999999999</v>
      </c>
      <c r="H513" s="4">
        <f>CHOOSE( CONTROL!$C$32, 15.5764, 15.5716) * CHOOSE(CONTROL!$C$15, $D$11, 100%, $F$11)</f>
        <v>15.5764</v>
      </c>
      <c r="I513" s="8">
        <f>CHOOSE( CONTROL!$C$32, 14.4896, 14.4848) * CHOOSE(CONTROL!$C$15, $D$11, 100%, $F$11)</f>
        <v>14.489599999999999</v>
      </c>
      <c r="J513" s="4">
        <f>CHOOSE( CONTROL!$C$32, 14.3877, 14.3829) * CHOOSE(CONTROL!$C$15, $D$11, 100%, $F$11)</f>
        <v>14.387700000000001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14.6764, 14.6715) * CHOOSE(CONTROL!$C$15, $D$11, 100%, $F$11)</f>
        <v>14.676399999999999</v>
      </c>
      <c r="C514" s="8">
        <f>CHOOSE( CONTROL!$C$32, 14.6844, 14.6795) * CHOOSE(CONTROL!$C$15, $D$11, 100%, $F$11)</f>
        <v>14.6844</v>
      </c>
      <c r="D514" s="8">
        <f>CHOOSE( CONTROL!$C$32, 14.6939, 14.689) * CHOOSE( CONTROL!$C$15, $D$11, 100%, $F$11)</f>
        <v>14.693899999999999</v>
      </c>
      <c r="E514" s="12">
        <f>CHOOSE( CONTROL!$C$32, 14.6892, 14.6843) * CHOOSE( CONTROL!$C$15, $D$11, 100%, $F$11)</f>
        <v>14.6892</v>
      </c>
      <c r="F514" s="4">
        <f>CHOOSE( CONTROL!$C$32, 15.3672, 15.3623) * CHOOSE(CONTROL!$C$15, $D$11, 100%, $F$11)</f>
        <v>15.3672</v>
      </c>
      <c r="G514" s="8">
        <f>CHOOSE( CONTROL!$C$32, 14.4042, 14.3994) * CHOOSE( CONTROL!$C$15, $D$11, 100%, $F$11)</f>
        <v>14.404199999999999</v>
      </c>
      <c r="H514" s="4">
        <f>CHOOSE( CONTROL!$C$32, 15.3412, 15.3364) * CHOOSE(CONTROL!$C$15, $D$11, 100%, $F$11)</f>
        <v>15.341200000000001</v>
      </c>
      <c r="I514" s="8">
        <f>CHOOSE( CONTROL!$C$32, 14.2592, 14.2545) * CHOOSE(CONTROL!$C$15, $D$11, 100%, $F$11)</f>
        <v>14.2592</v>
      </c>
      <c r="J514" s="4">
        <f>CHOOSE( CONTROL!$C$32, 14.1564, 14.1517) * CHOOSE(CONTROL!$C$15, $D$11, 100%, $F$11)</f>
        <v>14.1564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15.3063, 15.3014) * CHOOSE(CONTROL!$C$15, $D$11, 100%, $F$11)</f>
        <v>15.3063</v>
      </c>
      <c r="C515" s="8">
        <f>CHOOSE( CONTROL!$C$32, 15.3143, 15.3094) * CHOOSE(CONTROL!$C$15, $D$11, 100%, $F$11)</f>
        <v>15.314299999999999</v>
      </c>
      <c r="D515" s="8">
        <f>CHOOSE( CONTROL!$C$32, 15.3241, 15.3192) * CHOOSE( CONTROL!$C$15, $D$11, 100%, $F$11)</f>
        <v>15.3241</v>
      </c>
      <c r="E515" s="12">
        <f>CHOOSE( CONTROL!$C$32, 15.3193, 15.3144) * CHOOSE( CONTROL!$C$15, $D$11, 100%, $F$11)</f>
        <v>15.3193</v>
      </c>
      <c r="F515" s="4">
        <f>CHOOSE( CONTROL!$C$32, 15.9972, 15.9923) * CHOOSE(CONTROL!$C$15, $D$11, 100%, $F$11)</f>
        <v>15.997199999999999</v>
      </c>
      <c r="G515" s="8">
        <f>CHOOSE( CONTROL!$C$32, 15.024, 15.0192) * CHOOSE( CONTROL!$C$15, $D$11, 100%, $F$11)</f>
        <v>15.023999999999999</v>
      </c>
      <c r="H515" s="4">
        <f>CHOOSE( CONTROL!$C$32, 15.9607, 15.9559) * CHOOSE(CONTROL!$C$15, $D$11, 100%, $F$11)</f>
        <v>15.960699999999999</v>
      </c>
      <c r="I515" s="8">
        <f>CHOOSE( CONTROL!$C$32, 14.8696, 14.8648) * CHOOSE(CONTROL!$C$15, $D$11, 100%, $F$11)</f>
        <v>14.8696</v>
      </c>
      <c r="J515" s="4">
        <f>CHOOSE( CONTROL!$C$32, 14.7654, 14.7606) * CHOOSE(CONTROL!$C$15, $D$11, 100%, $F$11)</f>
        <v>14.7654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14.1276, 14.1227) * CHOOSE(CONTROL!$C$15, $D$11, 100%, $F$11)</f>
        <v>14.127599999999999</v>
      </c>
      <c r="C516" s="8">
        <f>CHOOSE( CONTROL!$C$32, 14.1357, 14.1308) * CHOOSE(CONTROL!$C$15, $D$11, 100%, $F$11)</f>
        <v>14.1357</v>
      </c>
      <c r="D516" s="8">
        <f>CHOOSE( CONTROL!$C$32, 14.1455, 14.1406) * CHOOSE( CONTROL!$C$15, $D$11, 100%, $F$11)</f>
        <v>14.1455</v>
      </c>
      <c r="E516" s="12">
        <f>CHOOSE( CONTROL!$C$32, 14.1407, 14.1358) * CHOOSE( CONTROL!$C$15, $D$11, 100%, $F$11)</f>
        <v>14.140700000000001</v>
      </c>
      <c r="F516" s="4">
        <f>CHOOSE( CONTROL!$C$32, 14.8185, 14.8136) * CHOOSE(CONTROL!$C$15, $D$11, 100%, $F$11)</f>
        <v>14.8185</v>
      </c>
      <c r="G516" s="8">
        <f>CHOOSE( CONTROL!$C$32, 13.865, 13.8602) * CHOOSE( CONTROL!$C$15, $D$11, 100%, $F$11)</f>
        <v>13.865</v>
      </c>
      <c r="H516" s="4">
        <f>CHOOSE( CONTROL!$C$32, 14.8015, 14.7967) * CHOOSE(CONTROL!$C$15, $D$11, 100%, $F$11)</f>
        <v>14.801500000000001</v>
      </c>
      <c r="I516" s="8">
        <f>CHOOSE( CONTROL!$C$32, 13.7299, 13.7252) * CHOOSE(CONTROL!$C$15, $D$11, 100%, $F$11)</f>
        <v>13.729900000000001</v>
      </c>
      <c r="J516" s="4">
        <f>CHOOSE( CONTROL!$C$32, 13.626, 13.6212) * CHOOSE(CONTROL!$C$15, $D$11, 100%, $F$11)</f>
        <v>13.625999999999999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13.8325, 13.8276) * CHOOSE(CONTROL!$C$15, $D$11, 100%, $F$11)</f>
        <v>13.8325</v>
      </c>
      <c r="C517" s="8">
        <f>CHOOSE( CONTROL!$C$32, 13.8405, 13.8356) * CHOOSE(CONTROL!$C$15, $D$11, 100%, $F$11)</f>
        <v>13.8405</v>
      </c>
      <c r="D517" s="8">
        <f>CHOOSE( CONTROL!$C$32, 13.8503, 13.8454) * CHOOSE( CONTROL!$C$15, $D$11, 100%, $F$11)</f>
        <v>13.850300000000001</v>
      </c>
      <c r="E517" s="12">
        <f>CHOOSE( CONTROL!$C$32, 13.8455, 13.8406) * CHOOSE( CONTROL!$C$15, $D$11, 100%, $F$11)</f>
        <v>13.845499999999999</v>
      </c>
      <c r="F517" s="4">
        <f>CHOOSE( CONTROL!$C$32, 14.5233, 14.5185) * CHOOSE(CONTROL!$C$15, $D$11, 100%, $F$11)</f>
        <v>14.523300000000001</v>
      </c>
      <c r="G517" s="8">
        <f>CHOOSE( CONTROL!$C$32, 13.5747, 13.5699) * CHOOSE( CONTROL!$C$15, $D$11, 100%, $F$11)</f>
        <v>13.5747</v>
      </c>
      <c r="H517" s="4">
        <f>CHOOSE( CONTROL!$C$32, 14.5113, 14.5065) * CHOOSE(CONTROL!$C$15, $D$11, 100%, $F$11)</f>
        <v>14.5113</v>
      </c>
      <c r="I517" s="8">
        <f>CHOOSE( CONTROL!$C$32, 13.4443, 13.4396) * CHOOSE(CONTROL!$C$15, $D$11, 100%, $F$11)</f>
        <v>13.4443</v>
      </c>
      <c r="J517" s="4">
        <f>CHOOSE( CONTROL!$C$32, 13.3406, 13.3359) * CHOOSE(CONTROL!$C$15, $D$11, 100%, $F$11)</f>
        <v>13.3406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14.4387 * CHOOSE(CONTROL!$C$15, $D$11, 100%, $F$11)</f>
        <v>14.438700000000001</v>
      </c>
      <c r="C518" s="8">
        <f>14.4441 * CHOOSE(CONTROL!$C$15, $D$11, 100%, $F$11)</f>
        <v>14.444100000000001</v>
      </c>
      <c r="D518" s="8">
        <f>14.4586 * CHOOSE( CONTROL!$C$15, $D$11, 100%, $F$11)</f>
        <v>14.458600000000001</v>
      </c>
      <c r="E518" s="12">
        <f>14.4532 * CHOOSE( CONTROL!$C$15, $D$11, 100%, $F$11)</f>
        <v>14.453200000000001</v>
      </c>
      <c r="F518" s="4">
        <f>15.1313 * CHOOSE(CONTROL!$C$15, $D$11, 100%, $F$11)</f>
        <v>15.1313</v>
      </c>
      <c r="G518" s="8">
        <f>14.1718 * CHOOSE( CONTROL!$C$15, $D$11, 100%, $F$11)</f>
        <v>14.171799999999999</v>
      </c>
      <c r="H518" s="4">
        <f>15.1091 * CHOOSE(CONTROL!$C$15, $D$11, 100%, $F$11)</f>
        <v>15.1091</v>
      </c>
      <c r="I518" s="8">
        <f>14.0331 * CHOOSE(CONTROL!$C$15, $D$11, 100%, $F$11)</f>
        <v>14.033099999999999</v>
      </c>
      <c r="J518" s="4">
        <f>13.9283 * CHOOSE(CONTROL!$C$15, $D$11, 100%, $F$11)</f>
        <v>13.9283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15.5695 * CHOOSE(CONTROL!$C$15, $D$11, 100%, $F$11)</f>
        <v>15.5695</v>
      </c>
      <c r="C519" s="8">
        <f>15.5746 * CHOOSE(CONTROL!$C$15, $D$11, 100%, $F$11)</f>
        <v>15.5746</v>
      </c>
      <c r="D519" s="8">
        <f>15.5515 * CHOOSE( CONTROL!$C$15, $D$11, 100%, $F$11)</f>
        <v>15.551500000000001</v>
      </c>
      <c r="E519" s="12">
        <f>15.5594 * CHOOSE( CONTROL!$C$15, $D$11, 100%, $F$11)</f>
        <v>15.5594</v>
      </c>
      <c r="F519" s="4">
        <f>16.2144 * CHOOSE(CONTROL!$C$15, $D$11, 100%, $F$11)</f>
        <v>16.214400000000001</v>
      </c>
      <c r="G519" s="8">
        <f>15.2922 * CHOOSE( CONTROL!$C$15, $D$11, 100%, $F$11)</f>
        <v>15.292199999999999</v>
      </c>
      <c r="H519" s="4">
        <f>16.1743 * CHOOSE(CONTROL!$C$15, $D$11, 100%, $F$11)</f>
        <v>16.174299999999999</v>
      </c>
      <c r="I519" s="8">
        <f>15.1518 * CHOOSE(CONTROL!$C$15, $D$11, 100%, $F$11)</f>
        <v>15.1518</v>
      </c>
      <c r="J519" s="4">
        <f>15.0218 * CHOOSE(CONTROL!$C$15, $D$11, 100%, $F$11)</f>
        <v>15.021800000000001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15.5412 * CHOOSE(CONTROL!$C$15, $D$11, 100%, $F$11)</f>
        <v>15.5412</v>
      </c>
      <c r="C520" s="8">
        <f>15.5463 * CHOOSE(CONTROL!$C$15, $D$11, 100%, $F$11)</f>
        <v>15.5463</v>
      </c>
      <c r="D520" s="8">
        <f>15.5248 * CHOOSE( CONTROL!$C$15, $D$11, 100%, $F$11)</f>
        <v>15.524800000000001</v>
      </c>
      <c r="E520" s="12">
        <f>15.5321 * CHOOSE( CONTROL!$C$15, $D$11, 100%, $F$11)</f>
        <v>15.5321</v>
      </c>
      <c r="F520" s="4">
        <f>16.1861 * CHOOSE(CONTROL!$C$15, $D$11, 100%, $F$11)</f>
        <v>16.1861</v>
      </c>
      <c r="G520" s="8">
        <f>15.2656 * CHOOSE( CONTROL!$C$15, $D$11, 100%, $F$11)</f>
        <v>15.265599999999999</v>
      </c>
      <c r="H520" s="4">
        <f>16.1465 * CHOOSE(CONTROL!$C$15, $D$11, 100%, $F$11)</f>
        <v>16.1465</v>
      </c>
      <c r="I520" s="8">
        <f>15.1295 * CHOOSE(CONTROL!$C$15, $D$11, 100%, $F$11)</f>
        <v>15.1295</v>
      </c>
      <c r="J520" s="4">
        <f>14.9945 * CHOOSE(CONTROL!$C$15, $D$11, 100%, $F$11)</f>
        <v>14.9945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16.134 * CHOOSE(CONTROL!$C$15, $D$11, 100%, $F$11)</f>
        <v>16.134</v>
      </c>
      <c r="C521" s="8">
        <f>16.1391 * CHOOSE(CONTROL!$C$15, $D$11, 100%, $F$11)</f>
        <v>16.139099999999999</v>
      </c>
      <c r="D521" s="8">
        <f>16.1137 * CHOOSE( CONTROL!$C$15, $D$11, 100%, $F$11)</f>
        <v>16.113700000000001</v>
      </c>
      <c r="E521" s="12">
        <f>16.1224 * CHOOSE( CONTROL!$C$15, $D$11, 100%, $F$11)</f>
        <v>16.122399999999999</v>
      </c>
      <c r="F521" s="4">
        <f>16.7763 * CHOOSE(CONTROL!$C$15, $D$11, 100%, $F$11)</f>
        <v>16.776299999999999</v>
      </c>
      <c r="G521" s="8">
        <f>15.8432 * CHOOSE( CONTROL!$C$15, $D$11, 100%, $F$11)</f>
        <v>15.8432</v>
      </c>
      <c r="H521" s="4">
        <f>16.7269 * CHOOSE(CONTROL!$C$15, $D$11, 100%, $F$11)</f>
        <v>16.726900000000001</v>
      </c>
      <c r="I521" s="8">
        <f>15.6831 * CHOOSE(CONTROL!$C$15, $D$11, 100%, $F$11)</f>
        <v>15.6831</v>
      </c>
      <c r="J521" s="4">
        <f>15.5676 * CHOOSE(CONTROL!$C$15, $D$11, 100%, $F$11)</f>
        <v>15.567600000000001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15.0929 * CHOOSE(CONTROL!$C$15, $D$11, 100%, $F$11)</f>
        <v>15.0929</v>
      </c>
      <c r="C522" s="8">
        <f>15.0981 * CHOOSE(CONTROL!$C$15, $D$11, 100%, $F$11)</f>
        <v>15.098100000000001</v>
      </c>
      <c r="D522" s="8">
        <f>15.0727 * CHOOSE( CONTROL!$C$15, $D$11, 100%, $F$11)</f>
        <v>15.072699999999999</v>
      </c>
      <c r="E522" s="12">
        <f>15.0814 * CHOOSE( CONTROL!$C$15, $D$11, 100%, $F$11)</f>
        <v>15.0814</v>
      </c>
      <c r="F522" s="4">
        <f>15.7352 * CHOOSE(CONTROL!$C$15, $D$11, 100%, $F$11)</f>
        <v>15.735200000000001</v>
      </c>
      <c r="G522" s="8">
        <f>14.8195 * CHOOSE( CONTROL!$C$15, $D$11, 100%, $F$11)</f>
        <v>14.8195</v>
      </c>
      <c r="H522" s="4">
        <f>15.7031 * CHOOSE(CONTROL!$C$15, $D$11, 100%, $F$11)</f>
        <v>15.703099999999999</v>
      </c>
      <c r="I522" s="8">
        <f>14.6765 * CHOOSE(CONTROL!$C$15, $D$11, 100%, $F$11)</f>
        <v>14.676500000000001</v>
      </c>
      <c r="J522" s="4">
        <f>14.5612 * CHOOSE(CONTROL!$C$15, $D$11, 100%, $F$11)</f>
        <v>14.561199999999999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14.7723 * CHOOSE(CONTROL!$C$15, $D$11, 100%, $F$11)</f>
        <v>14.7723</v>
      </c>
      <c r="C523" s="8">
        <f>14.7774 * CHOOSE(CONTROL!$C$15, $D$11, 100%, $F$11)</f>
        <v>14.7774</v>
      </c>
      <c r="D523" s="8">
        <f>14.7518 * CHOOSE( CONTROL!$C$15, $D$11, 100%, $F$11)</f>
        <v>14.751799999999999</v>
      </c>
      <c r="E523" s="12">
        <f>14.7606 * CHOOSE( CONTROL!$C$15, $D$11, 100%, $F$11)</f>
        <v>14.7606</v>
      </c>
      <c r="F523" s="4">
        <f>15.4146 * CHOOSE(CONTROL!$C$15, $D$11, 100%, $F$11)</f>
        <v>15.4146</v>
      </c>
      <c r="G523" s="8">
        <f>14.504 * CHOOSE( CONTROL!$C$15, $D$11, 100%, $F$11)</f>
        <v>14.504</v>
      </c>
      <c r="H523" s="4">
        <f>15.3878 * CHOOSE(CONTROL!$C$15, $D$11, 100%, $F$11)</f>
        <v>15.3878</v>
      </c>
      <c r="I523" s="8">
        <f>14.3655 * CHOOSE(CONTROL!$C$15, $D$11, 100%, $F$11)</f>
        <v>14.365500000000001</v>
      </c>
      <c r="J523" s="4">
        <f>14.2512 * CHOOSE(CONTROL!$C$15, $D$11, 100%, $F$11)</f>
        <v>14.251200000000001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14.9971 * CHOOSE(CONTROL!$C$15, $D$11, 100%, $F$11)</f>
        <v>14.9971</v>
      </c>
      <c r="C524" s="8">
        <f>15.0017 * CHOOSE(CONTROL!$C$15, $D$11, 100%, $F$11)</f>
        <v>15.0017</v>
      </c>
      <c r="D524" s="8">
        <f>15.016 * CHOOSE( CONTROL!$C$15, $D$11, 100%, $F$11)</f>
        <v>15.016</v>
      </c>
      <c r="E524" s="12">
        <f>15.0108 * CHOOSE( CONTROL!$C$15, $D$11, 100%, $F$11)</f>
        <v>15.0108</v>
      </c>
      <c r="F524" s="4">
        <f>15.6893 * CHOOSE(CONTROL!$C$15, $D$11, 100%, $F$11)</f>
        <v>15.689299999999999</v>
      </c>
      <c r="G524" s="8">
        <f>14.7195 * CHOOSE( CONTROL!$C$15, $D$11, 100%, $F$11)</f>
        <v>14.7195</v>
      </c>
      <c r="H524" s="4">
        <f>15.658 * CHOOSE(CONTROL!$C$15, $D$11, 100%, $F$11)</f>
        <v>15.657999999999999</v>
      </c>
      <c r="I524" s="8">
        <f>14.5694 * CHOOSE(CONTROL!$C$15, $D$11, 100%, $F$11)</f>
        <v>14.5694</v>
      </c>
      <c r="J524" s="4">
        <f>14.4678 * CHOOSE(CONTROL!$C$15, $D$11, 100%, $F$11)</f>
        <v>14.4678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15.4022, 15.3973) * CHOOSE(CONTROL!$C$15, $D$11, 100%, $F$11)</f>
        <v>15.402200000000001</v>
      </c>
      <c r="C525" s="8">
        <f>CHOOSE( CONTROL!$C$32, 15.4102, 15.4053) * CHOOSE(CONTROL!$C$15, $D$11, 100%, $F$11)</f>
        <v>15.4102</v>
      </c>
      <c r="D525" s="8">
        <f>CHOOSE( CONTROL!$C$32, 15.4195, 15.4146) * CHOOSE( CONTROL!$C$15, $D$11, 100%, $F$11)</f>
        <v>15.419499999999999</v>
      </c>
      <c r="E525" s="12">
        <f>CHOOSE( CONTROL!$C$32, 15.4149, 15.41) * CHOOSE( CONTROL!$C$15, $D$11, 100%, $F$11)</f>
        <v>15.414899999999999</v>
      </c>
      <c r="F525" s="4">
        <f>CHOOSE( CONTROL!$C$32, 16.093, 16.0881) * CHOOSE(CONTROL!$C$15, $D$11, 100%, $F$11)</f>
        <v>16.093</v>
      </c>
      <c r="G525" s="8">
        <f>CHOOSE( CONTROL!$C$32, 15.1176, 15.1128) * CHOOSE( CONTROL!$C$15, $D$11, 100%, $F$11)</f>
        <v>15.117599999999999</v>
      </c>
      <c r="H525" s="4">
        <f>CHOOSE( CONTROL!$C$32, 16.0549, 16.0501) * CHOOSE(CONTROL!$C$15, $D$11, 100%, $F$11)</f>
        <v>16.0549</v>
      </c>
      <c r="I525" s="8">
        <f>CHOOSE( CONTROL!$C$32, 14.9602, 14.9554) * CHOOSE(CONTROL!$C$15, $D$11, 100%, $F$11)</f>
        <v>14.9602</v>
      </c>
      <c r="J525" s="4">
        <f>CHOOSE( CONTROL!$C$32, 14.858, 14.8533) * CHOOSE(CONTROL!$C$15, $D$11, 100%, $F$11)</f>
        <v>14.858000000000001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15.1551, 15.1502) * CHOOSE(CONTROL!$C$15, $D$11, 100%, $F$11)</f>
        <v>15.155099999999999</v>
      </c>
      <c r="C526" s="8">
        <f>CHOOSE( CONTROL!$C$32, 15.1631, 15.1583) * CHOOSE(CONTROL!$C$15, $D$11, 100%, $F$11)</f>
        <v>15.1631</v>
      </c>
      <c r="D526" s="8">
        <f>CHOOSE( CONTROL!$C$32, 15.1727, 15.1678) * CHOOSE( CONTROL!$C$15, $D$11, 100%, $F$11)</f>
        <v>15.172700000000001</v>
      </c>
      <c r="E526" s="12">
        <f>CHOOSE( CONTROL!$C$32, 15.168, 15.1631) * CHOOSE( CONTROL!$C$15, $D$11, 100%, $F$11)</f>
        <v>15.167999999999999</v>
      </c>
      <c r="F526" s="4">
        <f>CHOOSE( CONTROL!$C$32, 15.846, 15.8411) * CHOOSE(CONTROL!$C$15, $D$11, 100%, $F$11)</f>
        <v>15.846</v>
      </c>
      <c r="G526" s="8">
        <f>CHOOSE( CONTROL!$C$32, 14.875, 14.8702) * CHOOSE( CONTROL!$C$15, $D$11, 100%, $F$11)</f>
        <v>14.875</v>
      </c>
      <c r="H526" s="4">
        <f>CHOOSE( CONTROL!$C$32, 15.812, 15.8072) * CHOOSE(CONTROL!$C$15, $D$11, 100%, $F$11)</f>
        <v>15.811999999999999</v>
      </c>
      <c r="I526" s="8">
        <f>CHOOSE( CONTROL!$C$32, 14.7223, 14.7176) * CHOOSE(CONTROL!$C$15, $D$11, 100%, $F$11)</f>
        <v>14.722300000000001</v>
      </c>
      <c r="J526" s="4">
        <f>CHOOSE( CONTROL!$C$32, 14.6192, 14.6145) * CHOOSE(CONTROL!$C$15, $D$11, 100%, $F$11)</f>
        <v>14.619199999999999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15.8057, 15.8008) * CHOOSE(CONTROL!$C$15, $D$11, 100%, $F$11)</f>
        <v>15.8057</v>
      </c>
      <c r="C527" s="8">
        <f>CHOOSE( CONTROL!$C$32, 15.8137, 15.8088) * CHOOSE(CONTROL!$C$15, $D$11, 100%, $F$11)</f>
        <v>15.813700000000001</v>
      </c>
      <c r="D527" s="8">
        <f>CHOOSE( CONTROL!$C$32, 15.8234, 15.8185) * CHOOSE( CONTROL!$C$15, $D$11, 100%, $F$11)</f>
        <v>15.823399999999999</v>
      </c>
      <c r="E527" s="12">
        <f>CHOOSE( CONTROL!$C$32, 15.8187, 15.8138) * CHOOSE( CONTROL!$C$15, $D$11, 100%, $F$11)</f>
        <v>15.8187</v>
      </c>
      <c r="F527" s="4">
        <f>CHOOSE( CONTROL!$C$32, 16.4965, 16.4916) * CHOOSE(CONTROL!$C$15, $D$11, 100%, $F$11)</f>
        <v>16.496500000000001</v>
      </c>
      <c r="G527" s="8">
        <f>CHOOSE( CONTROL!$C$32, 15.5151, 15.5103) * CHOOSE( CONTROL!$C$15, $D$11, 100%, $F$11)</f>
        <v>15.5151</v>
      </c>
      <c r="H527" s="4">
        <f>CHOOSE( CONTROL!$C$32, 16.4517, 16.4469) * CHOOSE(CONTROL!$C$15, $D$11, 100%, $F$11)</f>
        <v>16.451699999999999</v>
      </c>
      <c r="I527" s="8">
        <f>CHOOSE( CONTROL!$C$32, 15.3525, 15.3478) * CHOOSE(CONTROL!$C$15, $D$11, 100%, $F$11)</f>
        <v>15.352499999999999</v>
      </c>
      <c r="J527" s="4">
        <f>CHOOSE( CONTROL!$C$32, 15.2481, 15.2434) * CHOOSE(CONTROL!$C$15, $D$11, 100%, $F$11)</f>
        <v>15.248100000000001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14.5884, 14.5836) * CHOOSE(CONTROL!$C$15, $D$11, 100%, $F$11)</f>
        <v>14.5884</v>
      </c>
      <c r="C528" s="8">
        <f>CHOOSE( CONTROL!$C$32, 14.5965, 14.5916) * CHOOSE(CONTROL!$C$15, $D$11, 100%, $F$11)</f>
        <v>14.596500000000001</v>
      </c>
      <c r="D528" s="8">
        <f>CHOOSE( CONTROL!$C$32, 14.6063, 14.6014) * CHOOSE( CONTROL!$C$15, $D$11, 100%, $F$11)</f>
        <v>14.606299999999999</v>
      </c>
      <c r="E528" s="12">
        <f>CHOOSE( CONTROL!$C$32, 14.6015, 14.5966) * CHOOSE( CONTROL!$C$15, $D$11, 100%, $F$11)</f>
        <v>14.6015</v>
      </c>
      <c r="F528" s="4">
        <f>CHOOSE( CONTROL!$C$32, 15.2793, 15.2744) * CHOOSE(CONTROL!$C$15, $D$11, 100%, $F$11)</f>
        <v>15.279299999999999</v>
      </c>
      <c r="G528" s="8">
        <f>CHOOSE( CONTROL!$C$32, 14.3182, 14.3134) * CHOOSE( CONTROL!$C$15, $D$11, 100%, $F$11)</f>
        <v>14.318199999999999</v>
      </c>
      <c r="H528" s="4">
        <f>CHOOSE( CONTROL!$C$32, 15.2547, 15.2499) * CHOOSE(CONTROL!$C$15, $D$11, 100%, $F$11)</f>
        <v>15.2547</v>
      </c>
      <c r="I528" s="8">
        <f>CHOOSE( CONTROL!$C$32, 14.1756, 14.1709) * CHOOSE(CONTROL!$C$15, $D$11, 100%, $F$11)</f>
        <v>14.175599999999999</v>
      </c>
      <c r="J528" s="4">
        <f>CHOOSE( CONTROL!$C$32, 14.0714, 14.0667) * CHOOSE(CONTROL!$C$15, $D$11, 100%, $F$11)</f>
        <v>14.071400000000001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14.2836, 14.2788) * CHOOSE(CONTROL!$C$15, $D$11, 100%, $F$11)</f>
        <v>14.2836</v>
      </c>
      <c r="C529" s="8">
        <f>CHOOSE( CONTROL!$C$32, 14.2917, 14.2868) * CHOOSE(CONTROL!$C$15, $D$11, 100%, $F$11)</f>
        <v>14.291700000000001</v>
      </c>
      <c r="D529" s="8">
        <f>CHOOSE( CONTROL!$C$32, 14.3014, 14.2965) * CHOOSE( CONTROL!$C$15, $D$11, 100%, $F$11)</f>
        <v>14.301399999999999</v>
      </c>
      <c r="E529" s="12">
        <f>CHOOSE( CONTROL!$C$32, 14.2967, 14.2918) * CHOOSE( CONTROL!$C$15, $D$11, 100%, $F$11)</f>
        <v>14.2967</v>
      </c>
      <c r="F529" s="4">
        <f>CHOOSE( CONTROL!$C$32, 14.9745, 14.9696) * CHOOSE(CONTROL!$C$15, $D$11, 100%, $F$11)</f>
        <v>14.974500000000001</v>
      </c>
      <c r="G529" s="8">
        <f>CHOOSE( CONTROL!$C$32, 14.0184, 14.0136) * CHOOSE( CONTROL!$C$15, $D$11, 100%, $F$11)</f>
        <v>14.0184</v>
      </c>
      <c r="H529" s="4">
        <f>CHOOSE( CONTROL!$C$32, 14.955, 14.9502) * CHOOSE(CONTROL!$C$15, $D$11, 100%, $F$11)</f>
        <v>14.955</v>
      </c>
      <c r="I529" s="8">
        <f>CHOOSE( CONTROL!$C$32, 13.8806, 13.8759) * CHOOSE(CONTROL!$C$15, $D$11, 100%, $F$11)</f>
        <v>13.880599999999999</v>
      </c>
      <c r="J529" s="4">
        <f>CHOOSE( CONTROL!$C$32, 13.7768, 13.772) * CHOOSE(CONTROL!$C$15, $D$11, 100%, $F$11)</f>
        <v>13.7768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14.9099 * CHOOSE(CONTROL!$C$15, $D$11, 100%, $F$11)</f>
        <v>14.9099</v>
      </c>
      <c r="C530" s="8">
        <f>14.9153 * CHOOSE(CONTROL!$C$15, $D$11, 100%, $F$11)</f>
        <v>14.9153</v>
      </c>
      <c r="D530" s="8">
        <f>14.9298 * CHOOSE( CONTROL!$C$15, $D$11, 100%, $F$11)</f>
        <v>14.9298</v>
      </c>
      <c r="E530" s="12">
        <f>14.9244 * CHOOSE( CONTROL!$C$15, $D$11, 100%, $F$11)</f>
        <v>14.9244</v>
      </c>
      <c r="F530" s="4">
        <f>15.6025 * CHOOSE(CONTROL!$C$15, $D$11, 100%, $F$11)</f>
        <v>15.602499999999999</v>
      </c>
      <c r="G530" s="8">
        <f>14.6352 * CHOOSE( CONTROL!$C$15, $D$11, 100%, $F$11)</f>
        <v>14.635199999999999</v>
      </c>
      <c r="H530" s="4">
        <f>15.5725 * CHOOSE(CONTROL!$C$15, $D$11, 100%, $F$11)</f>
        <v>15.5725</v>
      </c>
      <c r="I530" s="8">
        <f>14.4889 * CHOOSE(CONTROL!$C$15, $D$11, 100%, $F$11)</f>
        <v>14.488899999999999</v>
      </c>
      <c r="J530" s="4">
        <f>14.3838 * CHOOSE(CONTROL!$C$15, $D$11, 100%, $F$11)</f>
        <v>14.383800000000001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16.0777 * CHOOSE(CONTROL!$C$15, $D$11, 100%, $F$11)</f>
        <v>16.0777</v>
      </c>
      <c r="C531" s="8">
        <f>16.0828 * CHOOSE(CONTROL!$C$15, $D$11, 100%, $F$11)</f>
        <v>16.082799999999999</v>
      </c>
      <c r="D531" s="8">
        <f>16.0597 * CHOOSE( CONTROL!$C$15, $D$11, 100%, $F$11)</f>
        <v>16.059699999999999</v>
      </c>
      <c r="E531" s="12">
        <f>16.0676 * CHOOSE( CONTROL!$C$15, $D$11, 100%, $F$11)</f>
        <v>16.067599999999999</v>
      </c>
      <c r="F531" s="4">
        <f>16.7225 * CHOOSE(CONTROL!$C$15, $D$11, 100%, $F$11)</f>
        <v>16.7225</v>
      </c>
      <c r="G531" s="8">
        <f>15.792 * CHOOSE( CONTROL!$C$15, $D$11, 100%, $F$11)</f>
        <v>15.792</v>
      </c>
      <c r="H531" s="4">
        <f>16.674 * CHOOSE(CONTROL!$C$15, $D$11, 100%, $F$11)</f>
        <v>16.673999999999999</v>
      </c>
      <c r="I531" s="8">
        <f>15.6433 * CHOOSE(CONTROL!$C$15, $D$11, 100%, $F$11)</f>
        <v>15.6433</v>
      </c>
      <c r="J531" s="4">
        <f>15.5131 * CHOOSE(CONTROL!$C$15, $D$11, 100%, $F$11)</f>
        <v>15.5131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16.0485 * CHOOSE(CONTROL!$C$15, $D$11, 100%, $F$11)</f>
        <v>16.048500000000001</v>
      </c>
      <c r="C532" s="8">
        <f>16.0536 * CHOOSE(CONTROL!$C$15, $D$11, 100%, $F$11)</f>
        <v>16.053599999999999</v>
      </c>
      <c r="D532" s="8">
        <f>16.0321 * CHOOSE( CONTROL!$C$15, $D$11, 100%, $F$11)</f>
        <v>16.0321</v>
      </c>
      <c r="E532" s="12">
        <f>16.0394 * CHOOSE( CONTROL!$C$15, $D$11, 100%, $F$11)</f>
        <v>16.039400000000001</v>
      </c>
      <c r="F532" s="4">
        <f>16.6934 * CHOOSE(CONTROL!$C$15, $D$11, 100%, $F$11)</f>
        <v>16.6934</v>
      </c>
      <c r="G532" s="8">
        <f>15.7644 * CHOOSE( CONTROL!$C$15, $D$11, 100%, $F$11)</f>
        <v>15.7644</v>
      </c>
      <c r="H532" s="4">
        <f>16.6453 * CHOOSE(CONTROL!$C$15, $D$11, 100%, $F$11)</f>
        <v>16.645299999999999</v>
      </c>
      <c r="I532" s="8">
        <f>15.6201 * CHOOSE(CONTROL!$C$15, $D$11, 100%, $F$11)</f>
        <v>15.620100000000001</v>
      </c>
      <c r="J532" s="4">
        <f>15.4849 * CHOOSE(CONTROL!$C$15, $D$11, 100%, $F$11)</f>
        <v>15.4849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16.6607 * CHOOSE(CONTROL!$C$15, $D$11, 100%, $F$11)</f>
        <v>16.660699999999999</v>
      </c>
      <c r="C533" s="8">
        <f>16.6658 * CHOOSE(CONTROL!$C$15, $D$11, 100%, $F$11)</f>
        <v>16.665800000000001</v>
      </c>
      <c r="D533" s="8">
        <f>16.6404 * CHOOSE( CONTROL!$C$15, $D$11, 100%, $F$11)</f>
        <v>16.6404</v>
      </c>
      <c r="E533" s="12">
        <f>16.6491 * CHOOSE( CONTROL!$C$15, $D$11, 100%, $F$11)</f>
        <v>16.649100000000001</v>
      </c>
      <c r="F533" s="4">
        <f>17.303 * CHOOSE(CONTROL!$C$15, $D$11, 100%, $F$11)</f>
        <v>17.303000000000001</v>
      </c>
      <c r="G533" s="8">
        <f>16.3612 * CHOOSE( CONTROL!$C$15, $D$11, 100%, $F$11)</f>
        <v>16.3612</v>
      </c>
      <c r="H533" s="4">
        <f>17.2448 * CHOOSE(CONTROL!$C$15, $D$11, 100%, $F$11)</f>
        <v>17.244800000000001</v>
      </c>
      <c r="I533" s="8">
        <f>16.1925 * CHOOSE(CONTROL!$C$15, $D$11, 100%, $F$11)</f>
        <v>16.192499999999999</v>
      </c>
      <c r="J533" s="4">
        <f>16.0767 * CHOOSE(CONTROL!$C$15, $D$11, 100%, $F$11)</f>
        <v>16.076699999999999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15.5856 * CHOOSE(CONTROL!$C$15, $D$11, 100%, $F$11)</f>
        <v>15.585599999999999</v>
      </c>
      <c r="C534" s="8">
        <f>15.5907 * CHOOSE(CONTROL!$C$15, $D$11, 100%, $F$11)</f>
        <v>15.5907</v>
      </c>
      <c r="D534" s="8">
        <f>15.5653 * CHOOSE( CONTROL!$C$15, $D$11, 100%, $F$11)</f>
        <v>15.565300000000001</v>
      </c>
      <c r="E534" s="12">
        <f>15.574 * CHOOSE( CONTROL!$C$15, $D$11, 100%, $F$11)</f>
        <v>15.574</v>
      </c>
      <c r="F534" s="4">
        <f>16.2279 * CHOOSE(CONTROL!$C$15, $D$11, 100%, $F$11)</f>
        <v>16.227900000000002</v>
      </c>
      <c r="G534" s="8">
        <f>15.3039 * CHOOSE( CONTROL!$C$15, $D$11, 100%, $F$11)</f>
        <v>15.303900000000001</v>
      </c>
      <c r="H534" s="4">
        <f>16.1875 * CHOOSE(CONTROL!$C$15, $D$11, 100%, $F$11)</f>
        <v>16.1875</v>
      </c>
      <c r="I534" s="8">
        <f>15.1529 * CHOOSE(CONTROL!$C$15, $D$11, 100%, $F$11)</f>
        <v>15.152900000000001</v>
      </c>
      <c r="J534" s="4">
        <f>15.0374 * CHOOSE(CONTROL!$C$15, $D$11, 100%, $F$11)</f>
        <v>15.0374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15.2544 * CHOOSE(CONTROL!$C$15, $D$11, 100%, $F$11)</f>
        <v>15.2544</v>
      </c>
      <c r="C535" s="8">
        <f>15.2595 * CHOOSE(CONTROL!$C$15, $D$11, 100%, $F$11)</f>
        <v>15.259499999999999</v>
      </c>
      <c r="D535" s="8">
        <f>15.2339 * CHOOSE( CONTROL!$C$15, $D$11, 100%, $F$11)</f>
        <v>15.2339</v>
      </c>
      <c r="E535" s="12">
        <f>15.2427 * CHOOSE( CONTROL!$C$15, $D$11, 100%, $F$11)</f>
        <v>15.242699999999999</v>
      </c>
      <c r="F535" s="4">
        <f>15.8967 * CHOOSE(CONTROL!$C$15, $D$11, 100%, $F$11)</f>
        <v>15.896699999999999</v>
      </c>
      <c r="G535" s="8">
        <f>14.9781 * CHOOSE( CONTROL!$C$15, $D$11, 100%, $F$11)</f>
        <v>14.9781</v>
      </c>
      <c r="H535" s="4">
        <f>15.8619 * CHOOSE(CONTROL!$C$15, $D$11, 100%, $F$11)</f>
        <v>15.8619</v>
      </c>
      <c r="I535" s="8">
        <f>14.8318 * CHOOSE(CONTROL!$C$15, $D$11, 100%, $F$11)</f>
        <v>14.831799999999999</v>
      </c>
      <c r="J535" s="4">
        <f>14.7173 * CHOOSE(CONTROL!$C$15, $D$11, 100%, $F$11)</f>
        <v>14.7173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15.4866 * CHOOSE(CONTROL!$C$15, $D$11, 100%, $F$11)</f>
        <v>15.486599999999999</v>
      </c>
      <c r="C536" s="8">
        <f>15.4911 * CHOOSE(CONTROL!$C$15, $D$11, 100%, $F$11)</f>
        <v>15.491099999999999</v>
      </c>
      <c r="D536" s="8">
        <f>15.5054 * CHOOSE( CONTROL!$C$15, $D$11, 100%, $F$11)</f>
        <v>15.5054</v>
      </c>
      <c r="E536" s="12">
        <f>15.5002 * CHOOSE( CONTROL!$C$15, $D$11, 100%, $F$11)</f>
        <v>15.5002</v>
      </c>
      <c r="F536" s="4">
        <f>16.1788 * CHOOSE(CONTROL!$C$15, $D$11, 100%, $F$11)</f>
        <v>16.178799999999999</v>
      </c>
      <c r="G536" s="8">
        <f>15.2009 * CHOOSE( CONTROL!$C$15, $D$11, 100%, $F$11)</f>
        <v>15.200900000000001</v>
      </c>
      <c r="H536" s="4">
        <f>16.1393 * CHOOSE(CONTROL!$C$15, $D$11, 100%, $F$11)</f>
        <v>16.139299999999999</v>
      </c>
      <c r="I536" s="8">
        <f>15.0428 * CHOOSE(CONTROL!$C$15, $D$11, 100%, $F$11)</f>
        <v>15.0428</v>
      </c>
      <c r="J536" s="4">
        <f>14.941 * CHOOSE(CONTROL!$C$15, $D$11, 100%, $F$11)</f>
        <v>14.941000000000001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15.9047, 15.8998) * CHOOSE(CONTROL!$C$15, $D$11, 100%, $F$11)</f>
        <v>15.9047</v>
      </c>
      <c r="C537" s="8">
        <f>CHOOSE( CONTROL!$C$32, 15.9127, 15.9078) * CHOOSE(CONTROL!$C$15, $D$11, 100%, $F$11)</f>
        <v>15.912699999999999</v>
      </c>
      <c r="D537" s="8">
        <f>CHOOSE( CONTROL!$C$32, 15.922, 15.9171) * CHOOSE( CONTROL!$C$15, $D$11, 100%, $F$11)</f>
        <v>15.922000000000001</v>
      </c>
      <c r="E537" s="12">
        <f>CHOOSE( CONTROL!$C$32, 15.9174, 15.9125) * CHOOSE( CONTROL!$C$15, $D$11, 100%, $F$11)</f>
        <v>15.917400000000001</v>
      </c>
      <c r="F537" s="4">
        <f>CHOOSE( CONTROL!$C$32, 16.5955, 16.5906) * CHOOSE(CONTROL!$C$15, $D$11, 100%, $F$11)</f>
        <v>16.595500000000001</v>
      </c>
      <c r="G537" s="8">
        <f>CHOOSE( CONTROL!$C$32, 15.6118, 15.607) * CHOOSE( CONTROL!$C$15, $D$11, 100%, $F$11)</f>
        <v>15.611800000000001</v>
      </c>
      <c r="H537" s="4">
        <f>CHOOSE( CONTROL!$C$32, 16.5491, 16.5443) * CHOOSE(CONTROL!$C$15, $D$11, 100%, $F$11)</f>
        <v>16.549099999999999</v>
      </c>
      <c r="I537" s="8">
        <f>CHOOSE( CONTROL!$C$32, 15.4462, 15.4414) * CHOOSE(CONTROL!$C$15, $D$11, 100%, $F$11)</f>
        <v>15.446199999999999</v>
      </c>
      <c r="J537" s="4">
        <f>CHOOSE( CONTROL!$C$32, 15.3438, 15.3391) * CHOOSE(CONTROL!$C$15, $D$11, 100%, $F$11)</f>
        <v>15.3438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15.6495, 15.6447) * CHOOSE(CONTROL!$C$15, $D$11, 100%, $F$11)</f>
        <v>15.6495</v>
      </c>
      <c r="C538" s="8">
        <f>CHOOSE( CONTROL!$C$32, 15.6576, 15.6527) * CHOOSE(CONTROL!$C$15, $D$11, 100%, $F$11)</f>
        <v>15.6576</v>
      </c>
      <c r="D538" s="8">
        <f>CHOOSE( CONTROL!$C$32, 15.6671, 15.6622) * CHOOSE( CONTROL!$C$15, $D$11, 100%, $F$11)</f>
        <v>15.6671</v>
      </c>
      <c r="E538" s="12">
        <f>CHOOSE( CONTROL!$C$32, 15.6624, 15.6575) * CHOOSE( CONTROL!$C$15, $D$11, 100%, $F$11)</f>
        <v>15.6624</v>
      </c>
      <c r="F538" s="4">
        <f>CHOOSE( CONTROL!$C$32, 16.3404, 16.3355) * CHOOSE(CONTROL!$C$15, $D$11, 100%, $F$11)</f>
        <v>16.340399999999999</v>
      </c>
      <c r="G538" s="8">
        <f>CHOOSE( CONTROL!$C$32, 15.3612, 15.3564) * CHOOSE( CONTROL!$C$15, $D$11, 100%, $F$11)</f>
        <v>15.3612</v>
      </c>
      <c r="H538" s="4">
        <f>CHOOSE( CONTROL!$C$32, 16.2982, 16.2934) * CHOOSE(CONTROL!$C$15, $D$11, 100%, $F$11)</f>
        <v>16.298200000000001</v>
      </c>
      <c r="I538" s="8">
        <f>CHOOSE( CONTROL!$C$32, 15.2005, 15.1957) * CHOOSE(CONTROL!$C$15, $D$11, 100%, $F$11)</f>
        <v>15.2005</v>
      </c>
      <c r="J538" s="4">
        <f>CHOOSE( CONTROL!$C$32, 15.0972, 15.0925) * CHOOSE(CONTROL!$C$15, $D$11, 100%, $F$11)</f>
        <v>15.097200000000001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16.3213, 16.3165) * CHOOSE(CONTROL!$C$15, $D$11, 100%, $F$11)</f>
        <v>16.321300000000001</v>
      </c>
      <c r="C539" s="8">
        <f>CHOOSE( CONTROL!$C$32, 16.3294, 16.3245) * CHOOSE(CONTROL!$C$15, $D$11, 100%, $F$11)</f>
        <v>16.3294</v>
      </c>
      <c r="D539" s="8">
        <f>CHOOSE( CONTROL!$C$32, 16.3391, 16.3342) * CHOOSE( CONTROL!$C$15, $D$11, 100%, $F$11)</f>
        <v>16.339099999999998</v>
      </c>
      <c r="E539" s="12">
        <f>CHOOSE( CONTROL!$C$32, 16.3344, 16.3295) * CHOOSE( CONTROL!$C$15, $D$11, 100%, $F$11)</f>
        <v>16.334399999999999</v>
      </c>
      <c r="F539" s="4">
        <f>CHOOSE( CONTROL!$C$32, 17.0122, 17.0073) * CHOOSE(CONTROL!$C$15, $D$11, 100%, $F$11)</f>
        <v>17.0122</v>
      </c>
      <c r="G539" s="8">
        <f>CHOOSE( CONTROL!$C$32, 16.0222, 16.0174) * CHOOSE( CONTROL!$C$15, $D$11, 100%, $F$11)</f>
        <v>16.022200000000002</v>
      </c>
      <c r="H539" s="4">
        <f>CHOOSE( CONTROL!$C$32, 16.9589, 16.9541) * CHOOSE(CONTROL!$C$15, $D$11, 100%, $F$11)</f>
        <v>16.9589</v>
      </c>
      <c r="I539" s="8">
        <f>CHOOSE( CONTROL!$C$32, 15.8513, 15.8466) * CHOOSE(CONTROL!$C$15, $D$11, 100%, $F$11)</f>
        <v>15.8513</v>
      </c>
      <c r="J539" s="4">
        <f>CHOOSE( CONTROL!$C$32, 15.7466, 15.7419) * CHOOSE(CONTROL!$C$15, $D$11, 100%, $F$11)</f>
        <v>15.746600000000001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15.0643, 15.0594) * CHOOSE(CONTROL!$C$15, $D$11, 100%, $F$11)</f>
        <v>15.064299999999999</v>
      </c>
      <c r="C540" s="8">
        <f>CHOOSE( CONTROL!$C$32, 15.0723, 15.0675) * CHOOSE(CONTROL!$C$15, $D$11, 100%, $F$11)</f>
        <v>15.0723</v>
      </c>
      <c r="D540" s="8">
        <f>CHOOSE( CONTROL!$C$32, 15.0822, 15.0773) * CHOOSE( CONTROL!$C$15, $D$11, 100%, $F$11)</f>
        <v>15.0822</v>
      </c>
      <c r="E540" s="12">
        <f>CHOOSE( CONTROL!$C$32, 15.0774, 15.0725) * CHOOSE( CONTROL!$C$15, $D$11, 100%, $F$11)</f>
        <v>15.077400000000001</v>
      </c>
      <c r="F540" s="4">
        <f>CHOOSE( CONTROL!$C$32, 15.7552, 15.7503) * CHOOSE(CONTROL!$C$15, $D$11, 100%, $F$11)</f>
        <v>15.7552</v>
      </c>
      <c r="G540" s="8">
        <f>CHOOSE( CONTROL!$C$32, 14.7862, 14.7814) * CHOOSE( CONTROL!$C$15, $D$11, 100%, $F$11)</f>
        <v>14.786199999999999</v>
      </c>
      <c r="H540" s="4">
        <f>CHOOSE( CONTROL!$C$32, 15.7227, 15.7179) * CHOOSE(CONTROL!$C$15, $D$11, 100%, $F$11)</f>
        <v>15.7227</v>
      </c>
      <c r="I540" s="8">
        <f>CHOOSE( CONTROL!$C$32, 14.6359, 14.6311) * CHOOSE(CONTROL!$C$15, $D$11, 100%, $F$11)</f>
        <v>14.635899999999999</v>
      </c>
      <c r="J540" s="4">
        <f>CHOOSE( CONTROL!$C$32, 14.5315, 14.5267) * CHOOSE(CONTROL!$C$15, $D$11, 100%, $F$11)</f>
        <v>14.531499999999999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14.7496, 14.7447) * CHOOSE(CONTROL!$C$15, $D$11, 100%, $F$11)</f>
        <v>14.749599999999999</v>
      </c>
      <c r="C541" s="8">
        <f>CHOOSE( CONTROL!$C$32, 14.7576, 14.7527) * CHOOSE(CONTROL!$C$15, $D$11, 100%, $F$11)</f>
        <v>14.7576</v>
      </c>
      <c r="D541" s="8">
        <f>CHOOSE( CONTROL!$C$32, 14.7673, 14.7625) * CHOOSE( CONTROL!$C$15, $D$11, 100%, $F$11)</f>
        <v>14.767300000000001</v>
      </c>
      <c r="E541" s="12">
        <f>CHOOSE( CONTROL!$C$32, 14.7626, 14.7577) * CHOOSE( CONTROL!$C$15, $D$11, 100%, $F$11)</f>
        <v>14.762600000000001</v>
      </c>
      <c r="F541" s="4">
        <f>CHOOSE( CONTROL!$C$32, 15.4404, 15.4355) * CHOOSE(CONTROL!$C$15, $D$11, 100%, $F$11)</f>
        <v>15.4404</v>
      </c>
      <c r="G541" s="8">
        <f>CHOOSE( CONTROL!$C$32, 14.4766, 14.4718) * CHOOSE( CONTROL!$C$15, $D$11, 100%, $F$11)</f>
        <v>14.476599999999999</v>
      </c>
      <c r="H541" s="4">
        <f>CHOOSE( CONTROL!$C$32, 15.4131, 15.4083) * CHOOSE(CONTROL!$C$15, $D$11, 100%, $F$11)</f>
        <v>15.4131</v>
      </c>
      <c r="I541" s="8">
        <f>CHOOSE( CONTROL!$C$32, 14.3313, 14.3265) * CHOOSE(CONTROL!$C$15, $D$11, 100%, $F$11)</f>
        <v>14.331300000000001</v>
      </c>
      <c r="J541" s="4">
        <f>CHOOSE( CONTROL!$C$32, 14.2272, 14.2224) * CHOOSE(CONTROL!$C$15, $D$11, 100%, $F$11)</f>
        <v>14.2272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15.3965 * CHOOSE(CONTROL!$C$15, $D$11, 100%, $F$11)</f>
        <v>15.3965</v>
      </c>
      <c r="C542" s="8">
        <f>15.4019 * CHOOSE(CONTROL!$C$15, $D$11, 100%, $F$11)</f>
        <v>15.401899999999999</v>
      </c>
      <c r="D542" s="8">
        <f>15.4164 * CHOOSE( CONTROL!$C$15, $D$11, 100%, $F$11)</f>
        <v>15.416399999999999</v>
      </c>
      <c r="E542" s="12">
        <f>15.411 * CHOOSE( CONTROL!$C$15, $D$11, 100%, $F$11)</f>
        <v>15.411</v>
      </c>
      <c r="F542" s="4">
        <f>16.0891 * CHOOSE(CONTROL!$C$15, $D$11, 100%, $F$11)</f>
        <v>16.089099999999998</v>
      </c>
      <c r="G542" s="8">
        <f>15.1138 * CHOOSE( CONTROL!$C$15, $D$11, 100%, $F$11)</f>
        <v>15.113799999999999</v>
      </c>
      <c r="H542" s="4">
        <f>16.0511 * CHOOSE(CONTROL!$C$15, $D$11, 100%, $F$11)</f>
        <v>16.051100000000002</v>
      </c>
      <c r="I542" s="8">
        <f>14.9595 * CHOOSE(CONTROL!$C$15, $D$11, 100%, $F$11)</f>
        <v>14.9595</v>
      </c>
      <c r="J542" s="4">
        <f>14.8542 * CHOOSE(CONTROL!$C$15, $D$11, 100%, $F$11)</f>
        <v>14.854200000000001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16.6025 * CHOOSE(CONTROL!$C$15, $D$11, 100%, $F$11)</f>
        <v>16.602499999999999</v>
      </c>
      <c r="C543" s="8">
        <f>16.6076 * CHOOSE(CONTROL!$C$15, $D$11, 100%, $F$11)</f>
        <v>16.607600000000001</v>
      </c>
      <c r="D543" s="8">
        <f>16.5846 * CHOOSE( CONTROL!$C$15, $D$11, 100%, $F$11)</f>
        <v>16.584599999999998</v>
      </c>
      <c r="E543" s="12">
        <f>16.5925 * CHOOSE( CONTROL!$C$15, $D$11, 100%, $F$11)</f>
        <v>16.592500000000001</v>
      </c>
      <c r="F543" s="4">
        <f>17.2474 * CHOOSE(CONTROL!$C$15, $D$11, 100%, $F$11)</f>
        <v>17.247399999999999</v>
      </c>
      <c r="G543" s="8">
        <f>16.3081 * CHOOSE( CONTROL!$C$15, $D$11, 100%, $F$11)</f>
        <v>16.3081</v>
      </c>
      <c r="H543" s="4">
        <f>17.1901 * CHOOSE(CONTROL!$C$15, $D$11, 100%, $F$11)</f>
        <v>17.190100000000001</v>
      </c>
      <c r="I543" s="8">
        <f>16.1509 * CHOOSE(CONTROL!$C$15, $D$11, 100%, $F$11)</f>
        <v>16.1509</v>
      </c>
      <c r="J543" s="4">
        <f>16.0204 * CHOOSE(CONTROL!$C$15, $D$11, 100%, $F$11)</f>
        <v>16.020399999999999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16.5723 * CHOOSE(CONTROL!$C$15, $D$11, 100%, $F$11)</f>
        <v>16.572299999999998</v>
      </c>
      <c r="C544" s="8">
        <f>16.5775 * CHOOSE(CONTROL!$C$15, $D$11, 100%, $F$11)</f>
        <v>16.577500000000001</v>
      </c>
      <c r="D544" s="8">
        <f>16.556 * CHOOSE( CONTROL!$C$15, $D$11, 100%, $F$11)</f>
        <v>16.556000000000001</v>
      </c>
      <c r="E544" s="12">
        <f>16.5633 * CHOOSE( CONTROL!$C$15, $D$11, 100%, $F$11)</f>
        <v>16.563300000000002</v>
      </c>
      <c r="F544" s="4">
        <f>17.2172 * CHOOSE(CONTROL!$C$15, $D$11, 100%, $F$11)</f>
        <v>17.217199999999998</v>
      </c>
      <c r="G544" s="8">
        <f>16.2796 * CHOOSE( CONTROL!$C$15, $D$11, 100%, $F$11)</f>
        <v>16.279599999999999</v>
      </c>
      <c r="H544" s="4">
        <f>17.1605 * CHOOSE(CONTROL!$C$15, $D$11, 100%, $F$11)</f>
        <v>17.160499999999999</v>
      </c>
      <c r="I544" s="8">
        <f>16.1267 * CHOOSE(CONTROL!$C$15, $D$11, 100%, $F$11)</f>
        <v>16.1267</v>
      </c>
      <c r="J544" s="4">
        <f>15.9913 * CHOOSE(CONTROL!$C$15, $D$11, 100%, $F$11)</f>
        <v>15.991300000000001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17.2046 * CHOOSE(CONTROL!$C$15, $D$11, 100%, $F$11)</f>
        <v>17.204599999999999</v>
      </c>
      <c r="C545" s="8">
        <f>17.2097 * CHOOSE(CONTROL!$C$15, $D$11, 100%, $F$11)</f>
        <v>17.209700000000002</v>
      </c>
      <c r="D545" s="8">
        <f>17.1843 * CHOOSE( CONTROL!$C$15, $D$11, 100%, $F$11)</f>
        <v>17.1843</v>
      </c>
      <c r="E545" s="12">
        <f>17.193 * CHOOSE( CONTROL!$C$15, $D$11, 100%, $F$11)</f>
        <v>17.193000000000001</v>
      </c>
      <c r="F545" s="4">
        <f>17.8469 * CHOOSE(CONTROL!$C$15, $D$11, 100%, $F$11)</f>
        <v>17.846900000000002</v>
      </c>
      <c r="G545" s="8">
        <f>16.896 * CHOOSE( CONTROL!$C$15, $D$11, 100%, $F$11)</f>
        <v>16.896000000000001</v>
      </c>
      <c r="H545" s="4">
        <f>17.7797 * CHOOSE(CONTROL!$C$15, $D$11, 100%, $F$11)</f>
        <v>17.779699999999998</v>
      </c>
      <c r="I545" s="8">
        <f>16.7185 * CHOOSE(CONTROL!$C$15, $D$11, 100%, $F$11)</f>
        <v>16.718499999999999</v>
      </c>
      <c r="J545" s="4">
        <f>16.6025 * CHOOSE(CONTROL!$C$15, $D$11, 100%, $F$11)</f>
        <v>16.602499999999999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16.0943 * CHOOSE(CONTROL!$C$15, $D$11, 100%, $F$11)</f>
        <v>16.0943</v>
      </c>
      <c r="C546" s="8">
        <f>16.0994 * CHOOSE(CONTROL!$C$15, $D$11, 100%, $F$11)</f>
        <v>16.099399999999999</v>
      </c>
      <c r="D546" s="8">
        <f>16.0741 * CHOOSE( CONTROL!$C$15, $D$11, 100%, $F$11)</f>
        <v>16.074100000000001</v>
      </c>
      <c r="E546" s="12">
        <f>16.0828 * CHOOSE( CONTROL!$C$15, $D$11, 100%, $F$11)</f>
        <v>16.082799999999999</v>
      </c>
      <c r="F546" s="4">
        <f>16.7366 * CHOOSE(CONTROL!$C$15, $D$11, 100%, $F$11)</f>
        <v>16.736599999999999</v>
      </c>
      <c r="G546" s="8">
        <f>15.8042 * CHOOSE( CONTROL!$C$15, $D$11, 100%, $F$11)</f>
        <v>15.8042</v>
      </c>
      <c r="H546" s="4">
        <f>16.6878 * CHOOSE(CONTROL!$C$15, $D$11, 100%, $F$11)</f>
        <v>16.687799999999999</v>
      </c>
      <c r="I546" s="8">
        <f>15.6449 * CHOOSE(CONTROL!$C$15, $D$11, 100%, $F$11)</f>
        <v>15.6449</v>
      </c>
      <c r="J546" s="4">
        <f>15.5292 * CHOOSE(CONTROL!$C$15, $D$11, 100%, $F$11)</f>
        <v>15.529199999999999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15.7523 * CHOOSE(CONTROL!$C$15, $D$11, 100%, $F$11)</f>
        <v>15.7523</v>
      </c>
      <c r="C547" s="8">
        <f>15.7574 * CHOOSE(CONTROL!$C$15, $D$11, 100%, $F$11)</f>
        <v>15.757400000000001</v>
      </c>
      <c r="D547" s="8">
        <f>15.7318 * CHOOSE( CONTROL!$C$15, $D$11, 100%, $F$11)</f>
        <v>15.7318</v>
      </c>
      <c r="E547" s="12">
        <f>15.7406 * CHOOSE( CONTROL!$C$15, $D$11, 100%, $F$11)</f>
        <v>15.740600000000001</v>
      </c>
      <c r="F547" s="4">
        <f>16.3946 * CHOOSE(CONTROL!$C$15, $D$11, 100%, $F$11)</f>
        <v>16.394600000000001</v>
      </c>
      <c r="G547" s="8">
        <f>15.4677 * CHOOSE( CONTROL!$C$15, $D$11, 100%, $F$11)</f>
        <v>15.467700000000001</v>
      </c>
      <c r="H547" s="4">
        <f>16.3515 * CHOOSE(CONTROL!$C$15, $D$11, 100%, $F$11)</f>
        <v>16.351500000000001</v>
      </c>
      <c r="I547" s="8">
        <f>15.3133 * CHOOSE(CONTROL!$C$15, $D$11, 100%, $F$11)</f>
        <v>15.3133</v>
      </c>
      <c r="J547" s="4">
        <f>15.1986 * CHOOSE(CONTROL!$C$15, $D$11, 100%, $F$11)</f>
        <v>15.198600000000001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15.992 * CHOOSE(CONTROL!$C$15, $D$11, 100%, $F$11)</f>
        <v>15.992000000000001</v>
      </c>
      <c r="C548" s="8">
        <f>15.9966 * CHOOSE(CONTROL!$C$15, $D$11, 100%, $F$11)</f>
        <v>15.996600000000001</v>
      </c>
      <c r="D548" s="8">
        <f>16.0109 * CHOOSE( CONTROL!$C$15, $D$11, 100%, $F$11)</f>
        <v>16.010899999999999</v>
      </c>
      <c r="E548" s="12">
        <f>16.0057 * CHOOSE( CONTROL!$C$15, $D$11, 100%, $F$11)</f>
        <v>16.005700000000001</v>
      </c>
      <c r="F548" s="4">
        <f>16.6843 * CHOOSE(CONTROL!$C$15, $D$11, 100%, $F$11)</f>
        <v>16.6843</v>
      </c>
      <c r="G548" s="8">
        <f>15.698 * CHOOSE( CONTROL!$C$15, $D$11, 100%, $F$11)</f>
        <v>15.698</v>
      </c>
      <c r="H548" s="4">
        <f>16.6364 * CHOOSE(CONTROL!$C$15, $D$11, 100%, $F$11)</f>
        <v>16.636399999999998</v>
      </c>
      <c r="I548" s="8">
        <f>15.5316 * CHOOSE(CONTROL!$C$15, $D$11, 100%, $F$11)</f>
        <v>15.531599999999999</v>
      </c>
      <c r="J548" s="4">
        <f>15.4296 * CHOOSE(CONTROL!$C$15, $D$11, 100%, $F$11)</f>
        <v>15.429600000000001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16.4236, 16.4187) * CHOOSE(CONTROL!$C$15, $D$11, 100%, $F$11)</f>
        <v>16.4236</v>
      </c>
      <c r="C549" s="8">
        <f>CHOOSE( CONTROL!$C$32, 16.4316, 16.4267) * CHOOSE(CONTROL!$C$15, $D$11, 100%, $F$11)</f>
        <v>16.4316</v>
      </c>
      <c r="D549" s="8">
        <f>CHOOSE( CONTROL!$C$32, 16.4409, 16.436) * CHOOSE( CONTROL!$C$15, $D$11, 100%, $F$11)</f>
        <v>16.440899999999999</v>
      </c>
      <c r="E549" s="12">
        <f>CHOOSE( CONTROL!$C$32, 16.4363, 16.4314) * CHOOSE( CONTROL!$C$15, $D$11, 100%, $F$11)</f>
        <v>16.436299999999999</v>
      </c>
      <c r="F549" s="4">
        <f>CHOOSE( CONTROL!$C$32, 17.1144, 17.1095) * CHOOSE(CONTROL!$C$15, $D$11, 100%, $F$11)</f>
        <v>17.1144</v>
      </c>
      <c r="G549" s="8">
        <f>CHOOSE( CONTROL!$C$32, 16.1221, 16.1173) * CHOOSE( CONTROL!$C$15, $D$11, 100%, $F$11)</f>
        <v>16.1221</v>
      </c>
      <c r="H549" s="4">
        <f>CHOOSE( CONTROL!$C$32, 17.0594, 17.0546) * CHOOSE(CONTROL!$C$15, $D$11, 100%, $F$11)</f>
        <v>17.0594</v>
      </c>
      <c r="I549" s="8">
        <f>CHOOSE( CONTROL!$C$32, 15.9481, 15.9433) * CHOOSE(CONTROL!$C$15, $D$11, 100%, $F$11)</f>
        <v>15.9481</v>
      </c>
      <c r="J549" s="4">
        <f>CHOOSE( CONTROL!$C$32, 15.8454, 15.8407) * CHOOSE(CONTROL!$C$15, $D$11, 100%, $F$11)</f>
        <v>15.8454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16.1601, 16.1552) * CHOOSE(CONTROL!$C$15, $D$11, 100%, $F$11)</f>
        <v>16.1601</v>
      </c>
      <c r="C550" s="8">
        <f>CHOOSE( CONTROL!$C$32, 16.1681, 16.1632) * CHOOSE(CONTROL!$C$15, $D$11, 100%, $F$11)</f>
        <v>16.168099999999999</v>
      </c>
      <c r="D550" s="8">
        <f>CHOOSE( CONTROL!$C$32, 16.1777, 16.1728) * CHOOSE( CONTROL!$C$15, $D$11, 100%, $F$11)</f>
        <v>16.177700000000002</v>
      </c>
      <c r="E550" s="12">
        <f>CHOOSE( CONTROL!$C$32, 16.173, 16.1681) * CHOOSE( CONTROL!$C$15, $D$11, 100%, $F$11)</f>
        <v>16.172999999999998</v>
      </c>
      <c r="F550" s="4">
        <f>CHOOSE( CONTROL!$C$32, 16.851, 16.8461) * CHOOSE(CONTROL!$C$15, $D$11, 100%, $F$11)</f>
        <v>16.850999999999999</v>
      </c>
      <c r="G550" s="8">
        <f>CHOOSE( CONTROL!$C$32, 15.8634, 15.8585) * CHOOSE( CONTROL!$C$15, $D$11, 100%, $F$11)</f>
        <v>15.8634</v>
      </c>
      <c r="H550" s="4">
        <f>CHOOSE( CONTROL!$C$32, 16.8003, 16.7955) * CHOOSE(CONTROL!$C$15, $D$11, 100%, $F$11)</f>
        <v>16.8003</v>
      </c>
      <c r="I550" s="8">
        <f>CHOOSE( CONTROL!$C$32, 15.6943, 15.6896) * CHOOSE(CONTROL!$C$15, $D$11, 100%, $F$11)</f>
        <v>15.6943</v>
      </c>
      <c r="J550" s="4">
        <f>CHOOSE( CONTROL!$C$32, 15.5908, 15.586) * CHOOSE(CONTROL!$C$15, $D$11, 100%, $F$11)</f>
        <v>15.5908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16.8539, 16.849) * CHOOSE(CONTROL!$C$15, $D$11, 100%, $F$11)</f>
        <v>16.853899999999999</v>
      </c>
      <c r="C551" s="8">
        <f>CHOOSE( CONTROL!$C$32, 16.8619, 16.857) * CHOOSE(CONTROL!$C$15, $D$11, 100%, $F$11)</f>
        <v>16.861899999999999</v>
      </c>
      <c r="D551" s="8">
        <f>CHOOSE( CONTROL!$C$32, 16.8717, 16.8668) * CHOOSE( CONTROL!$C$15, $D$11, 100%, $F$11)</f>
        <v>16.871700000000001</v>
      </c>
      <c r="E551" s="12">
        <f>CHOOSE( CONTROL!$C$32, 16.8669, 16.862) * CHOOSE( CONTROL!$C$15, $D$11, 100%, $F$11)</f>
        <v>16.866900000000001</v>
      </c>
      <c r="F551" s="4">
        <f>CHOOSE( CONTROL!$C$32, 17.5448, 17.5399) * CHOOSE(CONTROL!$C$15, $D$11, 100%, $F$11)</f>
        <v>17.544799999999999</v>
      </c>
      <c r="G551" s="8">
        <f>CHOOSE( CONTROL!$C$32, 16.546, 16.5412) * CHOOSE( CONTROL!$C$15, $D$11, 100%, $F$11)</f>
        <v>16.545999999999999</v>
      </c>
      <c r="H551" s="4">
        <f>CHOOSE( CONTROL!$C$32, 17.4826, 17.4778) * CHOOSE(CONTROL!$C$15, $D$11, 100%, $F$11)</f>
        <v>17.482600000000001</v>
      </c>
      <c r="I551" s="8">
        <f>CHOOSE( CONTROL!$C$32, 16.3664, 16.3616) * CHOOSE(CONTROL!$C$15, $D$11, 100%, $F$11)</f>
        <v>16.366399999999999</v>
      </c>
      <c r="J551" s="4">
        <f>CHOOSE( CONTROL!$C$32, 16.2614, 16.2567) * CHOOSE(CONTROL!$C$15, $D$11, 100%, $F$11)</f>
        <v>16.261399999999998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15.5558, 15.5509) * CHOOSE(CONTROL!$C$15, $D$11, 100%, $F$11)</f>
        <v>15.5558</v>
      </c>
      <c r="C552" s="8">
        <f>CHOOSE( CONTROL!$C$32, 15.5638, 15.5589) * CHOOSE(CONTROL!$C$15, $D$11, 100%, $F$11)</f>
        <v>15.563800000000001</v>
      </c>
      <c r="D552" s="8">
        <f>CHOOSE( CONTROL!$C$32, 15.5736, 15.5687) * CHOOSE( CONTROL!$C$15, $D$11, 100%, $F$11)</f>
        <v>15.573600000000001</v>
      </c>
      <c r="E552" s="12">
        <f>CHOOSE( CONTROL!$C$32, 15.5688, 15.5639) * CHOOSE( CONTROL!$C$15, $D$11, 100%, $F$11)</f>
        <v>15.5688</v>
      </c>
      <c r="F552" s="4">
        <f>CHOOSE( CONTROL!$C$32, 16.2466, 16.2417) * CHOOSE(CONTROL!$C$15, $D$11, 100%, $F$11)</f>
        <v>16.246600000000001</v>
      </c>
      <c r="G552" s="8">
        <f>CHOOSE( CONTROL!$C$32, 15.2695, 15.2647) * CHOOSE( CONTROL!$C$15, $D$11, 100%, $F$11)</f>
        <v>15.269500000000001</v>
      </c>
      <c r="H552" s="4">
        <f>CHOOSE( CONTROL!$C$32, 16.206, 16.2012) * CHOOSE(CONTROL!$C$15, $D$11, 100%, $F$11)</f>
        <v>16.206</v>
      </c>
      <c r="I552" s="8">
        <f>CHOOSE( CONTROL!$C$32, 15.1112, 15.1065) * CHOOSE(CONTROL!$C$15, $D$11, 100%, $F$11)</f>
        <v>15.1112</v>
      </c>
      <c r="J552" s="4">
        <f>CHOOSE( CONTROL!$C$32, 15.0065, 15.0018) * CHOOSE(CONTROL!$C$15, $D$11, 100%, $F$11)</f>
        <v>15.006500000000001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15.2307, 15.2258) * CHOOSE(CONTROL!$C$15, $D$11, 100%, $F$11)</f>
        <v>15.230700000000001</v>
      </c>
      <c r="C553" s="8">
        <f>CHOOSE( CONTROL!$C$32, 15.2387, 15.2338) * CHOOSE(CONTROL!$C$15, $D$11, 100%, $F$11)</f>
        <v>15.2387</v>
      </c>
      <c r="D553" s="8">
        <f>CHOOSE( CONTROL!$C$32, 15.2485, 15.2436) * CHOOSE( CONTROL!$C$15, $D$11, 100%, $F$11)</f>
        <v>15.2485</v>
      </c>
      <c r="E553" s="12">
        <f>CHOOSE( CONTROL!$C$32, 15.2437, 15.2388) * CHOOSE( CONTROL!$C$15, $D$11, 100%, $F$11)</f>
        <v>15.2437</v>
      </c>
      <c r="F553" s="4">
        <f>CHOOSE( CONTROL!$C$32, 15.9216, 15.9167) * CHOOSE(CONTROL!$C$15, $D$11, 100%, $F$11)</f>
        <v>15.9216</v>
      </c>
      <c r="G553" s="8">
        <f>CHOOSE( CONTROL!$C$32, 14.9497, 14.9449) * CHOOSE( CONTROL!$C$15, $D$11, 100%, $F$11)</f>
        <v>14.9497</v>
      </c>
      <c r="H553" s="4">
        <f>CHOOSE( CONTROL!$C$32, 15.8863, 15.8815) * CHOOSE(CONTROL!$C$15, $D$11, 100%, $F$11)</f>
        <v>15.8863</v>
      </c>
      <c r="I553" s="8">
        <f>CHOOSE( CONTROL!$C$32, 14.7966, 14.7919) * CHOOSE(CONTROL!$C$15, $D$11, 100%, $F$11)</f>
        <v>14.7966</v>
      </c>
      <c r="J553" s="4">
        <f>CHOOSE( CONTROL!$C$32, 14.6923, 14.6876) * CHOOSE(CONTROL!$C$15, $D$11, 100%, $F$11)</f>
        <v>14.692299999999999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15.899 * CHOOSE(CONTROL!$C$15, $D$11, 100%, $F$11)</f>
        <v>15.898999999999999</v>
      </c>
      <c r="C554" s="8">
        <f>15.9044 * CHOOSE(CONTROL!$C$15, $D$11, 100%, $F$11)</f>
        <v>15.904400000000001</v>
      </c>
      <c r="D554" s="8">
        <f>15.919 * CHOOSE( CONTROL!$C$15, $D$11, 100%, $F$11)</f>
        <v>15.919</v>
      </c>
      <c r="E554" s="12">
        <f>15.9136 * CHOOSE( CONTROL!$C$15, $D$11, 100%, $F$11)</f>
        <v>15.913600000000001</v>
      </c>
      <c r="F554" s="4">
        <f>16.5916 * CHOOSE(CONTROL!$C$15, $D$11, 100%, $F$11)</f>
        <v>16.5916</v>
      </c>
      <c r="G554" s="8">
        <f>15.6079 * CHOOSE( CONTROL!$C$15, $D$11, 100%, $F$11)</f>
        <v>15.607900000000001</v>
      </c>
      <c r="H554" s="4">
        <f>16.5453 * CHOOSE(CONTROL!$C$15, $D$11, 100%, $F$11)</f>
        <v>16.545300000000001</v>
      </c>
      <c r="I554" s="8">
        <f>15.4455 * CHOOSE(CONTROL!$C$15, $D$11, 100%, $F$11)</f>
        <v>15.445499999999999</v>
      </c>
      <c r="J554" s="4">
        <f>15.34 * CHOOSE(CONTROL!$C$15, $D$11, 100%, $F$11)</f>
        <v>15.34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17.1445 * CHOOSE(CONTROL!$C$15, $D$11, 100%, $F$11)</f>
        <v>17.144500000000001</v>
      </c>
      <c r="C555" s="8">
        <f>17.1496 * CHOOSE(CONTROL!$C$15, $D$11, 100%, $F$11)</f>
        <v>17.1496</v>
      </c>
      <c r="D555" s="8">
        <f>17.1265 * CHOOSE( CONTROL!$C$15, $D$11, 100%, $F$11)</f>
        <v>17.1265</v>
      </c>
      <c r="E555" s="12">
        <f>17.1344 * CHOOSE( CONTROL!$C$15, $D$11, 100%, $F$11)</f>
        <v>17.134399999999999</v>
      </c>
      <c r="F555" s="4">
        <f>17.7893 * CHOOSE(CONTROL!$C$15, $D$11, 100%, $F$11)</f>
        <v>17.789300000000001</v>
      </c>
      <c r="G555" s="8">
        <f>16.8411 * CHOOSE( CONTROL!$C$15, $D$11, 100%, $F$11)</f>
        <v>16.841100000000001</v>
      </c>
      <c r="H555" s="4">
        <f>17.7231 * CHOOSE(CONTROL!$C$15, $D$11, 100%, $F$11)</f>
        <v>17.723099999999999</v>
      </c>
      <c r="I555" s="8">
        <f>16.6751 * CHOOSE(CONTROL!$C$15, $D$11, 100%, $F$11)</f>
        <v>16.6751</v>
      </c>
      <c r="J555" s="4">
        <f>16.5444 * CHOOSE(CONTROL!$C$15, $D$11, 100%, $F$11)</f>
        <v>16.5444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17.1133 * CHOOSE(CONTROL!$C$15, $D$11, 100%, $F$11)</f>
        <v>17.113299999999999</v>
      </c>
      <c r="C556" s="8">
        <f>17.1184 * CHOOSE(CONTROL!$C$15, $D$11, 100%, $F$11)</f>
        <v>17.118400000000001</v>
      </c>
      <c r="D556" s="8">
        <f>17.0969 * CHOOSE( CONTROL!$C$15, $D$11, 100%, $F$11)</f>
        <v>17.096900000000002</v>
      </c>
      <c r="E556" s="12">
        <f>17.1042 * CHOOSE( CONTROL!$C$15, $D$11, 100%, $F$11)</f>
        <v>17.104199999999999</v>
      </c>
      <c r="F556" s="4">
        <f>17.7582 * CHOOSE(CONTROL!$C$15, $D$11, 100%, $F$11)</f>
        <v>17.758199999999999</v>
      </c>
      <c r="G556" s="8">
        <f>16.8116 * CHOOSE( CONTROL!$C$15, $D$11, 100%, $F$11)</f>
        <v>16.811599999999999</v>
      </c>
      <c r="H556" s="4">
        <f>17.6925 * CHOOSE(CONTROL!$C$15, $D$11, 100%, $F$11)</f>
        <v>17.692499999999999</v>
      </c>
      <c r="I556" s="8">
        <f>16.65 * CHOOSE(CONTROL!$C$15, $D$11, 100%, $F$11)</f>
        <v>16.649999999999999</v>
      </c>
      <c r="J556" s="4">
        <f>16.5143 * CHOOSE(CONTROL!$C$15, $D$11, 100%, $F$11)</f>
        <v>16.514299999999999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17.7662 * CHOOSE(CONTROL!$C$15, $D$11, 100%, $F$11)</f>
        <v>17.766200000000001</v>
      </c>
      <c r="C557" s="8">
        <f>17.7713 * CHOOSE(CONTROL!$C$15, $D$11, 100%, $F$11)</f>
        <v>17.7713</v>
      </c>
      <c r="D557" s="8">
        <f>17.7459 * CHOOSE( CONTROL!$C$15, $D$11, 100%, $F$11)</f>
        <v>17.745899999999999</v>
      </c>
      <c r="E557" s="12">
        <f>17.7546 * CHOOSE( CONTROL!$C$15, $D$11, 100%, $F$11)</f>
        <v>17.7546</v>
      </c>
      <c r="F557" s="4">
        <f>18.4085 * CHOOSE(CONTROL!$C$15, $D$11, 100%, $F$11)</f>
        <v>18.4085</v>
      </c>
      <c r="G557" s="8">
        <f>17.4484 * CHOOSE( CONTROL!$C$15, $D$11, 100%, $F$11)</f>
        <v>17.448399999999999</v>
      </c>
      <c r="H557" s="4">
        <f>18.332 * CHOOSE(CONTROL!$C$15, $D$11, 100%, $F$11)</f>
        <v>18.332000000000001</v>
      </c>
      <c r="I557" s="8">
        <f>17.2617 * CHOOSE(CONTROL!$C$15, $D$11, 100%, $F$11)</f>
        <v>17.261700000000001</v>
      </c>
      <c r="J557" s="4">
        <f>17.1454 * CHOOSE(CONTROL!$C$15, $D$11, 100%, $F$11)</f>
        <v>17.145399999999999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16.6196 * CHOOSE(CONTROL!$C$15, $D$11, 100%, $F$11)</f>
        <v>16.619599999999998</v>
      </c>
      <c r="C558" s="8">
        <f>16.6247 * CHOOSE(CONTROL!$C$15, $D$11, 100%, $F$11)</f>
        <v>16.624700000000001</v>
      </c>
      <c r="D558" s="8">
        <f>16.5994 * CHOOSE( CONTROL!$C$15, $D$11, 100%, $F$11)</f>
        <v>16.599399999999999</v>
      </c>
      <c r="E558" s="12">
        <f>16.6081 * CHOOSE( CONTROL!$C$15, $D$11, 100%, $F$11)</f>
        <v>16.6081</v>
      </c>
      <c r="F558" s="4">
        <f>17.2619 * CHOOSE(CONTROL!$C$15, $D$11, 100%, $F$11)</f>
        <v>17.261900000000001</v>
      </c>
      <c r="G558" s="8">
        <f>16.3209 * CHOOSE( CONTROL!$C$15, $D$11, 100%, $F$11)</f>
        <v>16.320900000000002</v>
      </c>
      <c r="H558" s="4">
        <f>17.2045 * CHOOSE(CONTROL!$C$15, $D$11, 100%, $F$11)</f>
        <v>17.204499999999999</v>
      </c>
      <c r="I558" s="8">
        <f>16.153 * CHOOSE(CONTROL!$C$15, $D$11, 100%, $F$11)</f>
        <v>16.152999999999999</v>
      </c>
      <c r="J558" s="4">
        <f>16.037 * CHOOSE(CONTROL!$C$15, $D$11, 100%, $F$11)</f>
        <v>16.036999999999999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16.2665 * CHOOSE(CONTROL!$C$15, $D$11, 100%, $F$11)</f>
        <v>16.266500000000001</v>
      </c>
      <c r="C559" s="8">
        <f>16.2716 * CHOOSE(CONTROL!$C$15, $D$11, 100%, $F$11)</f>
        <v>16.271599999999999</v>
      </c>
      <c r="D559" s="8">
        <f>16.246 * CHOOSE( CONTROL!$C$15, $D$11, 100%, $F$11)</f>
        <v>16.245999999999999</v>
      </c>
      <c r="E559" s="12">
        <f>16.2548 * CHOOSE( CONTROL!$C$15, $D$11, 100%, $F$11)</f>
        <v>16.254799999999999</v>
      </c>
      <c r="F559" s="4">
        <f>16.9088 * CHOOSE(CONTROL!$C$15, $D$11, 100%, $F$11)</f>
        <v>16.908799999999999</v>
      </c>
      <c r="G559" s="8">
        <f>15.9734 * CHOOSE( CONTROL!$C$15, $D$11, 100%, $F$11)</f>
        <v>15.9734</v>
      </c>
      <c r="H559" s="4">
        <f>16.8572 * CHOOSE(CONTROL!$C$15, $D$11, 100%, $F$11)</f>
        <v>16.857199999999999</v>
      </c>
      <c r="I559" s="8">
        <f>15.8106 * CHOOSE(CONTROL!$C$15, $D$11, 100%, $F$11)</f>
        <v>15.810600000000001</v>
      </c>
      <c r="J559" s="4">
        <f>15.6956 * CHOOSE(CONTROL!$C$15, $D$11, 100%, $F$11)</f>
        <v>15.695600000000001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16.514 * CHOOSE(CONTROL!$C$15, $D$11, 100%, $F$11)</f>
        <v>16.513999999999999</v>
      </c>
      <c r="C560" s="8">
        <f>16.5186 * CHOOSE(CONTROL!$C$15, $D$11, 100%, $F$11)</f>
        <v>16.518599999999999</v>
      </c>
      <c r="D560" s="8">
        <f>16.5329 * CHOOSE( CONTROL!$C$15, $D$11, 100%, $F$11)</f>
        <v>16.532900000000001</v>
      </c>
      <c r="E560" s="12">
        <f>16.5277 * CHOOSE( CONTROL!$C$15, $D$11, 100%, $F$11)</f>
        <v>16.527699999999999</v>
      </c>
      <c r="F560" s="4">
        <f>17.2062 * CHOOSE(CONTROL!$C$15, $D$11, 100%, $F$11)</f>
        <v>17.206199999999999</v>
      </c>
      <c r="G560" s="8">
        <f>16.2113 * CHOOSE( CONTROL!$C$15, $D$11, 100%, $F$11)</f>
        <v>16.211300000000001</v>
      </c>
      <c r="H560" s="4">
        <f>17.1497 * CHOOSE(CONTROL!$C$15, $D$11, 100%, $F$11)</f>
        <v>17.149699999999999</v>
      </c>
      <c r="I560" s="8">
        <f>16.0365 * CHOOSE(CONTROL!$C$15, $D$11, 100%, $F$11)</f>
        <v>16.0365</v>
      </c>
      <c r="J560" s="4">
        <f>15.9342 * CHOOSE(CONTROL!$C$15, $D$11, 100%, $F$11)</f>
        <v>15.934200000000001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16.9595, 16.9546) * CHOOSE(CONTROL!$C$15, $D$11, 100%, $F$11)</f>
        <v>16.959499999999998</v>
      </c>
      <c r="C561" s="8">
        <f>CHOOSE( CONTROL!$C$32, 16.9675, 16.9626) * CHOOSE(CONTROL!$C$15, $D$11, 100%, $F$11)</f>
        <v>16.967500000000001</v>
      </c>
      <c r="D561" s="8">
        <f>CHOOSE( CONTROL!$C$32, 16.9768, 16.9719) * CHOOSE( CONTROL!$C$15, $D$11, 100%, $F$11)</f>
        <v>16.976800000000001</v>
      </c>
      <c r="E561" s="12">
        <f>CHOOSE( CONTROL!$C$32, 16.9722, 16.9673) * CHOOSE( CONTROL!$C$15, $D$11, 100%, $F$11)</f>
        <v>16.972200000000001</v>
      </c>
      <c r="F561" s="4">
        <f>CHOOSE( CONTROL!$C$32, 17.6503, 17.6454) * CHOOSE(CONTROL!$C$15, $D$11, 100%, $F$11)</f>
        <v>17.650300000000001</v>
      </c>
      <c r="G561" s="8">
        <f>CHOOSE( CONTROL!$C$32, 16.6491, 16.6443) * CHOOSE( CONTROL!$C$15, $D$11, 100%, $F$11)</f>
        <v>16.649100000000001</v>
      </c>
      <c r="H561" s="4">
        <f>CHOOSE( CONTROL!$C$32, 17.5864, 17.5816) * CHOOSE(CONTROL!$C$15, $D$11, 100%, $F$11)</f>
        <v>17.586400000000001</v>
      </c>
      <c r="I561" s="8">
        <f>CHOOSE( CONTROL!$C$32, 16.4664, 16.4616) * CHOOSE(CONTROL!$C$15, $D$11, 100%, $F$11)</f>
        <v>16.4664</v>
      </c>
      <c r="J561" s="4">
        <f>CHOOSE( CONTROL!$C$32, 16.3635, 16.3588) * CHOOSE(CONTROL!$C$15, $D$11, 100%, $F$11)</f>
        <v>16.363499999999998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16.6874, 16.6825) * CHOOSE(CONTROL!$C$15, $D$11, 100%, $F$11)</f>
        <v>16.6874</v>
      </c>
      <c r="C562" s="8">
        <f>CHOOSE( CONTROL!$C$32, 16.6954, 16.6905) * CHOOSE(CONTROL!$C$15, $D$11, 100%, $F$11)</f>
        <v>16.695399999999999</v>
      </c>
      <c r="D562" s="8">
        <f>CHOOSE( CONTROL!$C$32, 16.7049, 16.7) * CHOOSE( CONTROL!$C$15, $D$11, 100%, $F$11)</f>
        <v>16.704899999999999</v>
      </c>
      <c r="E562" s="12">
        <f>CHOOSE( CONTROL!$C$32, 16.7002, 16.6953) * CHOOSE( CONTROL!$C$15, $D$11, 100%, $F$11)</f>
        <v>16.700199999999999</v>
      </c>
      <c r="F562" s="4">
        <f>CHOOSE( CONTROL!$C$32, 17.3783, 17.3734) * CHOOSE(CONTROL!$C$15, $D$11, 100%, $F$11)</f>
        <v>17.378299999999999</v>
      </c>
      <c r="G562" s="8">
        <f>CHOOSE( CONTROL!$C$32, 16.3819, 16.3771) * CHOOSE( CONTROL!$C$15, $D$11, 100%, $F$11)</f>
        <v>16.381900000000002</v>
      </c>
      <c r="H562" s="4">
        <f>CHOOSE( CONTROL!$C$32, 17.3189, 17.3141) * CHOOSE(CONTROL!$C$15, $D$11, 100%, $F$11)</f>
        <v>17.318899999999999</v>
      </c>
      <c r="I562" s="8">
        <f>CHOOSE( CONTROL!$C$32, 16.2043, 16.1995) * CHOOSE(CONTROL!$C$15, $D$11, 100%, $F$11)</f>
        <v>16.2043</v>
      </c>
      <c r="J562" s="4">
        <f>CHOOSE( CONTROL!$C$32, 16.1005, 16.0958) * CHOOSE(CONTROL!$C$15, $D$11, 100%, $F$11)</f>
        <v>16.1005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17.4039, 17.399) * CHOOSE(CONTROL!$C$15, $D$11, 100%, $F$11)</f>
        <v>17.4039</v>
      </c>
      <c r="C563" s="8">
        <f>CHOOSE( CONTROL!$C$32, 17.4119, 17.407) * CHOOSE(CONTROL!$C$15, $D$11, 100%, $F$11)</f>
        <v>17.411899999999999</v>
      </c>
      <c r="D563" s="8">
        <f>CHOOSE( CONTROL!$C$32, 17.4216, 17.4167) * CHOOSE( CONTROL!$C$15, $D$11, 100%, $F$11)</f>
        <v>17.421600000000002</v>
      </c>
      <c r="E563" s="12">
        <f>CHOOSE( CONTROL!$C$32, 17.4169, 17.412) * CHOOSE( CONTROL!$C$15, $D$11, 100%, $F$11)</f>
        <v>17.416899999999998</v>
      </c>
      <c r="F563" s="4">
        <f>CHOOSE( CONTROL!$C$32, 18.0947, 18.0898) * CHOOSE(CONTROL!$C$15, $D$11, 100%, $F$11)</f>
        <v>18.0947</v>
      </c>
      <c r="G563" s="8">
        <f>CHOOSE( CONTROL!$C$32, 17.0868, 17.082) * CHOOSE( CONTROL!$C$15, $D$11, 100%, $F$11)</f>
        <v>17.0868</v>
      </c>
      <c r="H563" s="4">
        <f>CHOOSE( CONTROL!$C$32, 18.0234, 18.0186) * CHOOSE(CONTROL!$C$15, $D$11, 100%, $F$11)</f>
        <v>18.023399999999999</v>
      </c>
      <c r="I563" s="8">
        <f>CHOOSE( CONTROL!$C$32, 16.8983, 16.8936) * CHOOSE(CONTROL!$C$15, $D$11, 100%, $F$11)</f>
        <v>16.898299999999999</v>
      </c>
      <c r="J563" s="4">
        <f>CHOOSE( CONTROL!$C$32, 16.7931, 16.7884) * CHOOSE(CONTROL!$C$15, $D$11, 100%, $F$11)</f>
        <v>16.793099999999999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16.0633, 16.0584) * CHOOSE(CONTROL!$C$15, $D$11, 100%, $F$11)</f>
        <v>16.063300000000002</v>
      </c>
      <c r="C564" s="8">
        <f>CHOOSE( CONTROL!$C$32, 16.0713, 16.0664) * CHOOSE(CONTROL!$C$15, $D$11, 100%, $F$11)</f>
        <v>16.071300000000001</v>
      </c>
      <c r="D564" s="8">
        <f>CHOOSE( CONTROL!$C$32, 16.0811, 16.0762) * CHOOSE( CONTROL!$C$15, $D$11, 100%, $F$11)</f>
        <v>16.081099999999999</v>
      </c>
      <c r="E564" s="12">
        <f>CHOOSE( CONTROL!$C$32, 16.0763, 16.0714) * CHOOSE( CONTROL!$C$15, $D$11, 100%, $F$11)</f>
        <v>16.0763</v>
      </c>
      <c r="F564" s="4">
        <f>CHOOSE( CONTROL!$C$32, 16.7541, 16.7493) * CHOOSE(CONTROL!$C$15, $D$11, 100%, $F$11)</f>
        <v>16.754100000000001</v>
      </c>
      <c r="G564" s="8">
        <f>CHOOSE( CONTROL!$C$32, 15.7686, 15.7638) * CHOOSE( CONTROL!$C$15, $D$11, 100%, $F$11)</f>
        <v>15.768599999999999</v>
      </c>
      <c r="H564" s="4">
        <f>CHOOSE( CONTROL!$C$32, 16.7051, 16.7003) * CHOOSE(CONTROL!$C$15, $D$11, 100%, $F$11)</f>
        <v>16.705100000000002</v>
      </c>
      <c r="I564" s="8">
        <f>CHOOSE( CONTROL!$C$32, 15.602, 15.5973) * CHOOSE(CONTROL!$C$15, $D$11, 100%, $F$11)</f>
        <v>15.602</v>
      </c>
      <c r="J564" s="4">
        <f>CHOOSE( CONTROL!$C$32, 15.4971, 15.4924) * CHOOSE(CONTROL!$C$15, $D$11, 100%, $F$11)</f>
        <v>15.4971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15.7276, 15.7227) * CHOOSE(CONTROL!$C$15, $D$11, 100%, $F$11)</f>
        <v>15.727600000000001</v>
      </c>
      <c r="C565" s="8">
        <f>CHOOSE( CONTROL!$C$32, 15.7356, 15.7307) * CHOOSE(CONTROL!$C$15, $D$11, 100%, $F$11)</f>
        <v>15.7356</v>
      </c>
      <c r="D565" s="8">
        <f>CHOOSE( CONTROL!$C$32, 15.7454, 15.7405) * CHOOSE( CONTROL!$C$15, $D$11, 100%, $F$11)</f>
        <v>15.7454</v>
      </c>
      <c r="E565" s="12">
        <f>CHOOSE( CONTROL!$C$32, 15.7406, 15.7357) * CHOOSE( CONTROL!$C$15, $D$11, 100%, $F$11)</f>
        <v>15.740600000000001</v>
      </c>
      <c r="F565" s="4">
        <f>CHOOSE( CONTROL!$C$32, 16.4184, 16.4136) * CHOOSE(CONTROL!$C$15, $D$11, 100%, $F$11)</f>
        <v>16.418399999999998</v>
      </c>
      <c r="G565" s="8">
        <f>CHOOSE( CONTROL!$C$32, 15.4384, 15.4336) * CHOOSE( CONTROL!$C$15, $D$11, 100%, $F$11)</f>
        <v>15.4384</v>
      </c>
      <c r="H565" s="4">
        <f>CHOOSE( CONTROL!$C$32, 16.375, 16.3702) * CHOOSE(CONTROL!$C$15, $D$11, 100%, $F$11)</f>
        <v>16.375</v>
      </c>
      <c r="I565" s="8">
        <f>CHOOSE( CONTROL!$C$32, 15.2772, 15.2725) * CHOOSE(CONTROL!$C$15, $D$11, 100%, $F$11)</f>
        <v>15.277200000000001</v>
      </c>
      <c r="J565" s="4">
        <f>CHOOSE( CONTROL!$C$32, 15.1726, 15.1679) * CHOOSE(CONTROL!$C$15, $D$11, 100%, $F$11)</f>
        <v>15.172599999999999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16.418 * CHOOSE(CONTROL!$C$15, $D$11, 100%, $F$11)</f>
        <v>16.417999999999999</v>
      </c>
      <c r="C566" s="8">
        <f>16.4234 * CHOOSE(CONTROL!$C$15, $D$11, 100%, $F$11)</f>
        <v>16.423400000000001</v>
      </c>
      <c r="D566" s="8">
        <f>16.4379 * CHOOSE( CONTROL!$C$15, $D$11, 100%, $F$11)</f>
        <v>16.437899999999999</v>
      </c>
      <c r="E566" s="12">
        <f>16.4325 * CHOOSE( CONTROL!$C$15, $D$11, 100%, $F$11)</f>
        <v>16.432500000000001</v>
      </c>
      <c r="F566" s="4">
        <f>17.1106 * CHOOSE(CONTROL!$C$15, $D$11, 100%, $F$11)</f>
        <v>17.110600000000002</v>
      </c>
      <c r="G566" s="8">
        <f>16.1183 * CHOOSE( CONTROL!$C$15, $D$11, 100%, $F$11)</f>
        <v>16.118300000000001</v>
      </c>
      <c r="H566" s="4">
        <f>17.0556 * CHOOSE(CONTROL!$C$15, $D$11, 100%, $F$11)</f>
        <v>17.055599999999998</v>
      </c>
      <c r="I566" s="8">
        <f>15.9474 * CHOOSE(CONTROL!$C$15, $D$11, 100%, $F$11)</f>
        <v>15.9474</v>
      </c>
      <c r="J566" s="4">
        <f>15.8417 * CHOOSE(CONTROL!$C$15, $D$11, 100%, $F$11)</f>
        <v>15.841699999999999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17.7042 * CHOOSE(CONTROL!$C$15, $D$11, 100%, $F$11)</f>
        <v>17.7042</v>
      </c>
      <c r="C567" s="8">
        <f>17.7093 * CHOOSE(CONTROL!$C$15, $D$11, 100%, $F$11)</f>
        <v>17.709299999999999</v>
      </c>
      <c r="D567" s="8">
        <f>17.6862 * CHOOSE( CONTROL!$C$15, $D$11, 100%, $F$11)</f>
        <v>17.686199999999999</v>
      </c>
      <c r="E567" s="12">
        <f>17.6941 * CHOOSE( CONTROL!$C$15, $D$11, 100%, $F$11)</f>
        <v>17.694099999999999</v>
      </c>
      <c r="F567" s="4">
        <f>18.349 * CHOOSE(CONTROL!$C$15, $D$11, 100%, $F$11)</f>
        <v>18.349</v>
      </c>
      <c r="G567" s="8">
        <f>17.3915 * CHOOSE( CONTROL!$C$15, $D$11, 100%, $F$11)</f>
        <v>17.391500000000001</v>
      </c>
      <c r="H567" s="4">
        <f>18.2735 * CHOOSE(CONTROL!$C$15, $D$11, 100%, $F$11)</f>
        <v>18.273499999999999</v>
      </c>
      <c r="I567" s="8">
        <f>17.2165 * CHOOSE(CONTROL!$C$15, $D$11, 100%, $F$11)</f>
        <v>17.2165</v>
      </c>
      <c r="J567" s="4">
        <f>17.0854 * CHOOSE(CONTROL!$C$15, $D$11, 100%, $F$11)</f>
        <v>17.0854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17.672 * CHOOSE(CONTROL!$C$15, $D$11, 100%, $F$11)</f>
        <v>17.672000000000001</v>
      </c>
      <c r="C568" s="8">
        <f>17.6771 * CHOOSE(CONTROL!$C$15, $D$11, 100%, $F$11)</f>
        <v>17.677099999999999</v>
      </c>
      <c r="D568" s="8">
        <f>17.6556 * CHOOSE( CONTROL!$C$15, $D$11, 100%, $F$11)</f>
        <v>17.6556</v>
      </c>
      <c r="E568" s="12">
        <f>17.6629 * CHOOSE( CONTROL!$C$15, $D$11, 100%, $F$11)</f>
        <v>17.6629</v>
      </c>
      <c r="F568" s="4">
        <f>18.3169 * CHOOSE(CONTROL!$C$15, $D$11, 100%, $F$11)</f>
        <v>18.3169</v>
      </c>
      <c r="G568" s="8">
        <f>17.361 * CHOOSE( CONTROL!$C$15, $D$11, 100%, $F$11)</f>
        <v>17.361000000000001</v>
      </c>
      <c r="H568" s="4">
        <f>18.2419 * CHOOSE(CONTROL!$C$15, $D$11, 100%, $F$11)</f>
        <v>18.241900000000001</v>
      </c>
      <c r="I568" s="8">
        <f>17.1903 * CHOOSE(CONTROL!$C$15, $D$11, 100%, $F$11)</f>
        <v>17.190300000000001</v>
      </c>
      <c r="J568" s="4">
        <f>17.0544 * CHOOSE(CONTROL!$C$15, $D$11, 100%, $F$11)</f>
        <v>17.054400000000001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18.3463 * CHOOSE(CONTROL!$C$15, $D$11, 100%, $F$11)</f>
        <v>18.346299999999999</v>
      </c>
      <c r="C569" s="8">
        <f>18.3514 * CHOOSE(CONTROL!$C$15, $D$11, 100%, $F$11)</f>
        <v>18.351400000000002</v>
      </c>
      <c r="D569" s="8">
        <f>18.326 * CHOOSE( CONTROL!$C$15, $D$11, 100%, $F$11)</f>
        <v>18.326000000000001</v>
      </c>
      <c r="E569" s="12">
        <f>18.3347 * CHOOSE( CONTROL!$C$15, $D$11, 100%, $F$11)</f>
        <v>18.334700000000002</v>
      </c>
      <c r="F569" s="4">
        <f>18.9886 * CHOOSE(CONTROL!$C$15, $D$11, 100%, $F$11)</f>
        <v>18.988600000000002</v>
      </c>
      <c r="G569" s="8">
        <f>18.0188 * CHOOSE( CONTROL!$C$15, $D$11, 100%, $F$11)</f>
        <v>18.018799999999999</v>
      </c>
      <c r="H569" s="4">
        <f>18.9025 * CHOOSE(CONTROL!$C$15, $D$11, 100%, $F$11)</f>
        <v>18.9025</v>
      </c>
      <c r="I569" s="8">
        <f>17.8227 * CHOOSE(CONTROL!$C$15, $D$11, 100%, $F$11)</f>
        <v>17.822700000000001</v>
      </c>
      <c r="J569" s="4">
        <f>17.7062 * CHOOSE(CONTROL!$C$15, $D$11, 100%, $F$11)</f>
        <v>17.706199999999999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17.1622 * CHOOSE(CONTROL!$C$15, $D$11, 100%, $F$11)</f>
        <v>17.162199999999999</v>
      </c>
      <c r="C570" s="8">
        <f>17.1673 * CHOOSE(CONTROL!$C$15, $D$11, 100%, $F$11)</f>
        <v>17.167300000000001</v>
      </c>
      <c r="D570" s="8">
        <f>17.142 * CHOOSE( CONTROL!$C$15, $D$11, 100%, $F$11)</f>
        <v>17.141999999999999</v>
      </c>
      <c r="E570" s="12">
        <f>17.1507 * CHOOSE( CONTROL!$C$15, $D$11, 100%, $F$11)</f>
        <v>17.150700000000001</v>
      </c>
      <c r="F570" s="4">
        <f>17.8045 * CHOOSE(CONTROL!$C$15, $D$11, 100%, $F$11)</f>
        <v>17.804500000000001</v>
      </c>
      <c r="G570" s="8">
        <f>16.8544 * CHOOSE( CONTROL!$C$15, $D$11, 100%, $F$11)</f>
        <v>16.854399999999998</v>
      </c>
      <c r="H570" s="4">
        <f>17.738 * CHOOSE(CONTROL!$C$15, $D$11, 100%, $F$11)</f>
        <v>17.738</v>
      </c>
      <c r="I570" s="8">
        <f>16.6778 * CHOOSE(CONTROL!$C$15, $D$11, 100%, $F$11)</f>
        <v>16.677800000000001</v>
      </c>
      <c r="J570" s="4">
        <f>16.5615 * CHOOSE(CONTROL!$C$15, $D$11, 100%, $F$11)</f>
        <v>16.561499999999999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16.7975 * CHOOSE(CONTROL!$C$15, $D$11, 100%, $F$11)</f>
        <v>16.797499999999999</v>
      </c>
      <c r="C571" s="8">
        <f>16.8026 * CHOOSE(CONTROL!$C$15, $D$11, 100%, $F$11)</f>
        <v>16.802600000000002</v>
      </c>
      <c r="D571" s="8">
        <f>16.777 * CHOOSE( CONTROL!$C$15, $D$11, 100%, $F$11)</f>
        <v>16.777000000000001</v>
      </c>
      <c r="E571" s="12">
        <f>16.7858 * CHOOSE( CONTROL!$C$15, $D$11, 100%, $F$11)</f>
        <v>16.785799999999998</v>
      </c>
      <c r="F571" s="4">
        <f>17.4398 * CHOOSE(CONTROL!$C$15, $D$11, 100%, $F$11)</f>
        <v>17.439800000000002</v>
      </c>
      <c r="G571" s="8">
        <f>16.4955 * CHOOSE( CONTROL!$C$15, $D$11, 100%, $F$11)</f>
        <v>16.4955</v>
      </c>
      <c r="H571" s="4">
        <f>17.3793 * CHOOSE(CONTROL!$C$15, $D$11, 100%, $F$11)</f>
        <v>17.379300000000001</v>
      </c>
      <c r="I571" s="8">
        <f>16.3242 * CHOOSE(CONTROL!$C$15, $D$11, 100%, $F$11)</f>
        <v>16.324200000000001</v>
      </c>
      <c r="J571" s="4">
        <f>16.2089 * CHOOSE(CONTROL!$C$15, $D$11, 100%, $F$11)</f>
        <v>16.2089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17.0531 * CHOOSE(CONTROL!$C$15, $D$11, 100%, $F$11)</f>
        <v>17.053100000000001</v>
      </c>
      <c r="C572" s="8">
        <f>17.0576 * CHOOSE(CONTROL!$C$15, $D$11, 100%, $F$11)</f>
        <v>17.057600000000001</v>
      </c>
      <c r="D572" s="8">
        <f>17.0719 * CHOOSE( CONTROL!$C$15, $D$11, 100%, $F$11)</f>
        <v>17.071899999999999</v>
      </c>
      <c r="E572" s="12">
        <f>17.0667 * CHOOSE( CONTROL!$C$15, $D$11, 100%, $F$11)</f>
        <v>17.066700000000001</v>
      </c>
      <c r="F572" s="4">
        <f>17.7453 * CHOOSE(CONTROL!$C$15, $D$11, 100%, $F$11)</f>
        <v>17.7453</v>
      </c>
      <c r="G572" s="8">
        <f>16.7414 * CHOOSE( CONTROL!$C$15, $D$11, 100%, $F$11)</f>
        <v>16.741399999999999</v>
      </c>
      <c r="H572" s="4">
        <f>17.6798 * CHOOSE(CONTROL!$C$15, $D$11, 100%, $F$11)</f>
        <v>17.6798</v>
      </c>
      <c r="I572" s="8">
        <f>16.5579 * CHOOSE(CONTROL!$C$15, $D$11, 100%, $F$11)</f>
        <v>16.5579</v>
      </c>
      <c r="J572" s="4">
        <f>16.4553 * CHOOSE(CONTROL!$C$15, $D$11, 100%, $F$11)</f>
        <v>16.455300000000001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17.5129, 17.508) * CHOOSE(CONTROL!$C$15, $D$11, 100%, $F$11)</f>
        <v>17.512899999999998</v>
      </c>
      <c r="C573" s="8">
        <f>CHOOSE( CONTROL!$C$32, 17.5209, 17.516) * CHOOSE(CONTROL!$C$15, $D$11, 100%, $F$11)</f>
        <v>17.520900000000001</v>
      </c>
      <c r="D573" s="8">
        <f>CHOOSE( CONTROL!$C$32, 17.5302, 17.5253) * CHOOSE( CONTROL!$C$15, $D$11, 100%, $F$11)</f>
        <v>17.530200000000001</v>
      </c>
      <c r="E573" s="12">
        <f>CHOOSE( CONTROL!$C$32, 17.5256, 17.5207) * CHOOSE( CONTROL!$C$15, $D$11, 100%, $F$11)</f>
        <v>17.525600000000001</v>
      </c>
      <c r="F573" s="4">
        <f>CHOOSE( CONTROL!$C$32, 18.2038, 18.1989) * CHOOSE(CONTROL!$C$15, $D$11, 100%, $F$11)</f>
        <v>18.203800000000001</v>
      </c>
      <c r="G573" s="8">
        <f>CHOOSE( CONTROL!$C$32, 17.1934, 17.1886) * CHOOSE( CONTROL!$C$15, $D$11, 100%, $F$11)</f>
        <v>17.1934</v>
      </c>
      <c r="H573" s="4">
        <f>CHOOSE( CONTROL!$C$32, 18.1307, 18.1259) * CHOOSE(CONTROL!$C$15, $D$11, 100%, $F$11)</f>
        <v>18.130700000000001</v>
      </c>
      <c r="I573" s="8">
        <f>CHOOSE( CONTROL!$C$32, 17.0016, 16.9969) * CHOOSE(CONTROL!$C$15, $D$11, 100%, $F$11)</f>
        <v>17.0016</v>
      </c>
      <c r="J573" s="4">
        <f>CHOOSE( CONTROL!$C$32, 16.8985, 16.8938) * CHOOSE(CONTROL!$C$15, $D$11, 100%, $F$11)</f>
        <v>16.898499999999999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17.2319, 17.227) * CHOOSE(CONTROL!$C$15, $D$11, 100%, $F$11)</f>
        <v>17.2319</v>
      </c>
      <c r="C574" s="8">
        <f>CHOOSE( CONTROL!$C$32, 17.2399, 17.2351) * CHOOSE(CONTROL!$C$15, $D$11, 100%, $F$11)</f>
        <v>17.239899999999999</v>
      </c>
      <c r="D574" s="8">
        <f>CHOOSE( CONTROL!$C$32, 17.2495, 17.2446) * CHOOSE( CONTROL!$C$15, $D$11, 100%, $F$11)</f>
        <v>17.249500000000001</v>
      </c>
      <c r="E574" s="12">
        <f>CHOOSE( CONTROL!$C$32, 17.2448, 17.2399) * CHOOSE( CONTROL!$C$15, $D$11, 100%, $F$11)</f>
        <v>17.244800000000001</v>
      </c>
      <c r="F574" s="4">
        <f>CHOOSE( CONTROL!$C$32, 17.9228, 17.9179) * CHOOSE(CONTROL!$C$15, $D$11, 100%, $F$11)</f>
        <v>17.922799999999999</v>
      </c>
      <c r="G574" s="8">
        <f>CHOOSE( CONTROL!$C$32, 16.9174, 16.9126) * CHOOSE( CONTROL!$C$15, $D$11, 100%, $F$11)</f>
        <v>16.917400000000001</v>
      </c>
      <c r="H574" s="4">
        <f>CHOOSE( CONTROL!$C$32, 17.8544, 17.8495) * CHOOSE(CONTROL!$C$15, $D$11, 100%, $F$11)</f>
        <v>17.854399999999998</v>
      </c>
      <c r="I574" s="8">
        <f>CHOOSE( CONTROL!$C$32, 16.7309, 16.7262) * CHOOSE(CONTROL!$C$15, $D$11, 100%, $F$11)</f>
        <v>16.730899999999998</v>
      </c>
      <c r="J574" s="4">
        <f>CHOOSE( CONTROL!$C$32, 16.6269, 16.6221) * CHOOSE(CONTROL!$C$15, $D$11, 100%, $F$11)</f>
        <v>16.626899999999999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17.9718, 17.9669) * CHOOSE(CONTROL!$C$15, $D$11, 100%, $F$11)</f>
        <v>17.971800000000002</v>
      </c>
      <c r="C575" s="8">
        <f>CHOOSE( CONTROL!$C$32, 17.9798, 17.9749) * CHOOSE(CONTROL!$C$15, $D$11, 100%, $F$11)</f>
        <v>17.979800000000001</v>
      </c>
      <c r="D575" s="8">
        <f>CHOOSE( CONTROL!$C$32, 17.9896, 17.9847) * CHOOSE( CONTROL!$C$15, $D$11, 100%, $F$11)</f>
        <v>17.989599999999999</v>
      </c>
      <c r="E575" s="12">
        <f>CHOOSE( CONTROL!$C$32, 17.9848, 17.9799) * CHOOSE( CONTROL!$C$15, $D$11, 100%, $F$11)</f>
        <v>17.9848</v>
      </c>
      <c r="F575" s="4">
        <f>CHOOSE( CONTROL!$C$32, 18.6627, 18.6578) * CHOOSE(CONTROL!$C$15, $D$11, 100%, $F$11)</f>
        <v>18.662700000000001</v>
      </c>
      <c r="G575" s="8">
        <f>CHOOSE( CONTROL!$C$32, 17.6453, 17.6405) * CHOOSE( CONTROL!$C$15, $D$11, 100%, $F$11)</f>
        <v>17.645299999999999</v>
      </c>
      <c r="H575" s="4">
        <f>CHOOSE( CONTROL!$C$32, 18.582, 18.5772) * CHOOSE(CONTROL!$C$15, $D$11, 100%, $F$11)</f>
        <v>18.582000000000001</v>
      </c>
      <c r="I575" s="8">
        <f>CHOOSE( CONTROL!$C$32, 17.4476, 17.4429) * CHOOSE(CONTROL!$C$15, $D$11, 100%, $F$11)</f>
        <v>17.447600000000001</v>
      </c>
      <c r="J575" s="4">
        <f>CHOOSE( CONTROL!$C$32, 17.3421, 17.3374) * CHOOSE(CONTROL!$C$15, $D$11, 100%, $F$11)</f>
        <v>17.342099999999999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16.5874, 16.5825) * CHOOSE(CONTROL!$C$15, $D$11, 100%, $F$11)</f>
        <v>16.587399999999999</v>
      </c>
      <c r="C576" s="8">
        <f>CHOOSE( CONTROL!$C$32, 16.5954, 16.5905) * CHOOSE(CONTROL!$C$15, $D$11, 100%, $F$11)</f>
        <v>16.595400000000001</v>
      </c>
      <c r="D576" s="8">
        <f>CHOOSE( CONTROL!$C$32, 16.6052, 16.6003) * CHOOSE( CONTROL!$C$15, $D$11, 100%, $F$11)</f>
        <v>16.6052</v>
      </c>
      <c r="E576" s="12">
        <f>CHOOSE( CONTROL!$C$32, 16.6004, 16.5955) * CHOOSE( CONTROL!$C$15, $D$11, 100%, $F$11)</f>
        <v>16.6004</v>
      </c>
      <c r="F576" s="4">
        <f>CHOOSE( CONTROL!$C$32, 17.2783, 17.2734) * CHOOSE(CONTROL!$C$15, $D$11, 100%, $F$11)</f>
        <v>17.278300000000002</v>
      </c>
      <c r="G576" s="8">
        <f>CHOOSE( CONTROL!$C$32, 16.284, 16.2792) * CHOOSE( CONTROL!$C$15, $D$11, 100%, $F$11)</f>
        <v>16.283999999999999</v>
      </c>
      <c r="H576" s="4">
        <f>CHOOSE( CONTROL!$C$32, 17.2205, 17.2157) * CHOOSE(CONTROL!$C$15, $D$11, 100%, $F$11)</f>
        <v>17.220500000000001</v>
      </c>
      <c r="I576" s="8">
        <f>CHOOSE( CONTROL!$C$32, 16.109, 16.1042) * CHOOSE(CONTROL!$C$15, $D$11, 100%, $F$11)</f>
        <v>16.109000000000002</v>
      </c>
      <c r="J576" s="4">
        <f>CHOOSE( CONTROL!$C$32, 16.0038, 15.9991) * CHOOSE(CONTROL!$C$15, $D$11, 100%, $F$11)</f>
        <v>16.003799999999998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16.2407, 16.2358) * CHOOSE(CONTROL!$C$15, $D$11, 100%, $F$11)</f>
        <v>16.2407</v>
      </c>
      <c r="C577" s="8">
        <f>CHOOSE( CONTROL!$C$32, 16.2487, 16.2438) * CHOOSE(CONTROL!$C$15, $D$11, 100%, $F$11)</f>
        <v>16.248699999999999</v>
      </c>
      <c r="D577" s="8">
        <f>CHOOSE( CONTROL!$C$32, 16.2585, 16.2536) * CHOOSE( CONTROL!$C$15, $D$11, 100%, $F$11)</f>
        <v>16.258500000000002</v>
      </c>
      <c r="E577" s="12">
        <f>CHOOSE( CONTROL!$C$32, 16.2537, 16.2488) * CHOOSE( CONTROL!$C$15, $D$11, 100%, $F$11)</f>
        <v>16.253699999999998</v>
      </c>
      <c r="F577" s="4">
        <f>CHOOSE( CONTROL!$C$32, 16.9316, 16.9267) * CHOOSE(CONTROL!$C$15, $D$11, 100%, $F$11)</f>
        <v>16.9316</v>
      </c>
      <c r="G577" s="8">
        <f>CHOOSE( CONTROL!$C$32, 15.943, 15.9382) * CHOOSE( CONTROL!$C$15, $D$11, 100%, $F$11)</f>
        <v>15.943</v>
      </c>
      <c r="H577" s="4">
        <f>CHOOSE( CONTROL!$C$32, 16.8796, 16.8748) * CHOOSE(CONTROL!$C$15, $D$11, 100%, $F$11)</f>
        <v>16.8796</v>
      </c>
      <c r="I577" s="8">
        <f>CHOOSE( CONTROL!$C$32, 15.7735, 15.7688) * CHOOSE(CONTROL!$C$15, $D$11, 100%, $F$11)</f>
        <v>15.7735</v>
      </c>
      <c r="J577" s="4">
        <f>CHOOSE( CONTROL!$C$32, 15.6687, 15.6639) * CHOOSE(CONTROL!$C$15, $D$11, 100%, $F$11)</f>
        <v>15.668699999999999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16.9539 * CHOOSE(CONTROL!$C$15, $D$11, 100%, $F$11)</f>
        <v>16.953900000000001</v>
      </c>
      <c r="C578" s="8">
        <f>16.9593 * CHOOSE(CONTROL!$C$15, $D$11, 100%, $F$11)</f>
        <v>16.959299999999999</v>
      </c>
      <c r="D578" s="8">
        <f>16.9738 * CHOOSE( CONTROL!$C$15, $D$11, 100%, $F$11)</f>
        <v>16.973800000000001</v>
      </c>
      <c r="E578" s="12">
        <f>16.9684 * CHOOSE( CONTROL!$C$15, $D$11, 100%, $F$11)</f>
        <v>16.968399999999999</v>
      </c>
      <c r="F578" s="4">
        <f>17.6465 * CHOOSE(CONTROL!$C$15, $D$11, 100%, $F$11)</f>
        <v>17.6465</v>
      </c>
      <c r="G578" s="8">
        <f>16.6453 * CHOOSE( CONTROL!$C$15, $D$11, 100%, $F$11)</f>
        <v>16.645299999999999</v>
      </c>
      <c r="H578" s="4">
        <f>17.5827 * CHOOSE(CONTROL!$C$15, $D$11, 100%, $F$11)</f>
        <v>17.582699999999999</v>
      </c>
      <c r="I578" s="8">
        <f>16.4658 * CHOOSE(CONTROL!$C$15, $D$11, 100%, $F$11)</f>
        <v>16.465800000000002</v>
      </c>
      <c r="J578" s="4">
        <f>16.3598 * CHOOSE(CONTROL!$C$15, $D$11, 100%, $F$11)</f>
        <v>16.3598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18.2822 * CHOOSE(CONTROL!$C$15, $D$11, 100%, $F$11)</f>
        <v>18.2822</v>
      </c>
      <c r="C579" s="8">
        <f>18.2873 * CHOOSE(CONTROL!$C$15, $D$11, 100%, $F$11)</f>
        <v>18.287299999999998</v>
      </c>
      <c r="D579" s="8">
        <f>18.2642 * CHOOSE( CONTROL!$C$15, $D$11, 100%, $F$11)</f>
        <v>18.264199999999999</v>
      </c>
      <c r="E579" s="12">
        <f>18.2721 * CHOOSE( CONTROL!$C$15, $D$11, 100%, $F$11)</f>
        <v>18.272099999999998</v>
      </c>
      <c r="F579" s="4">
        <f>18.927 * CHOOSE(CONTROL!$C$15, $D$11, 100%, $F$11)</f>
        <v>18.927</v>
      </c>
      <c r="G579" s="8">
        <f>17.9599 * CHOOSE( CONTROL!$C$15, $D$11, 100%, $F$11)</f>
        <v>17.959900000000001</v>
      </c>
      <c r="H579" s="4">
        <f>18.842 * CHOOSE(CONTROL!$C$15, $D$11, 100%, $F$11)</f>
        <v>18.841999999999999</v>
      </c>
      <c r="I579" s="8">
        <f>17.7755 * CHOOSE(CONTROL!$C$15, $D$11, 100%, $F$11)</f>
        <v>17.775500000000001</v>
      </c>
      <c r="J579" s="4">
        <f>17.6442 * CHOOSE(CONTROL!$C$15, $D$11, 100%, $F$11)</f>
        <v>17.644200000000001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18.249 * CHOOSE(CONTROL!$C$15, $D$11, 100%, $F$11)</f>
        <v>18.248999999999999</v>
      </c>
      <c r="C580" s="8">
        <f>18.2541 * CHOOSE(CONTROL!$C$15, $D$11, 100%, $F$11)</f>
        <v>18.254100000000001</v>
      </c>
      <c r="D580" s="8">
        <f>18.2326 * CHOOSE( CONTROL!$C$15, $D$11, 100%, $F$11)</f>
        <v>18.232600000000001</v>
      </c>
      <c r="E580" s="12">
        <f>18.2399 * CHOOSE( CONTROL!$C$15, $D$11, 100%, $F$11)</f>
        <v>18.239899999999999</v>
      </c>
      <c r="F580" s="4">
        <f>18.8938 * CHOOSE(CONTROL!$C$15, $D$11, 100%, $F$11)</f>
        <v>18.893799999999999</v>
      </c>
      <c r="G580" s="8">
        <f>17.9284 * CHOOSE( CONTROL!$C$15, $D$11, 100%, $F$11)</f>
        <v>17.9284</v>
      </c>
      <c r="H580" s="4">
        <f>18.8093 * CHOOSE(CONTROL!$C$15, $D$11, 100%, $F$11)</f>
        <v>18.8093</v>
      </c>
      <c r="I580" s="8">
        <f>17.7483 * CHOOSE(CONTROL!$C$15, $D$11, 100%, $F$11)</f>
        <v>17.7483</v>
      </c>
      <c r="J580" s="4">
        <f>17.6121 * CHOOSE(CONTROL!$C$15, $D$11, 100%, $F$11)</f>
        <v>17.612100000000002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18.9453 * CHOOSE(CONTROL!$C$15, $D$11, 100%, $F$11)</f>
        <v>18.9453</v>
      </c>
      <c r="C581" s="8">
        <f>18.9504 * CHOOSE(CONTROL!$C$15, $D$11, 100%, $F$11)</f>
        <v>18.950399999999998</v>
      </c>
      <c r="D581" s="8">
        <f>18.925 * CHOOSE( CONTROL!$C$15, $D$11, 100%, $F$11)</f>
        <v>18.925000000000001</v>
      </c>
      <c r="E581" s="12">
        <f>18.9337 * CHOOSE( CONTROL!$C$15, $D$11, 100%, $F$11)</f>
        <v>18.933700000000002</v>
      </c>
      <c r="F581" s="4">
        <f>19.5876 * CHOOSE(CONTROL!$C$15, $D$11, 100%, $F$11)</f>
        <v>19.587599999999998</v>
      </c>
      <c r="G581" s="8">
        <f>18.6079 * CHOOSE( CONTROL!$C$15, $D$11, 100%, $F$11)</f>
        <v>18.607900000000001</v>
      </c>
      <c r="H581" s="4">
        <f>19.4915 * CHOOSE(CONTROL!$C$15, $D$11, 100%, $F$11)</f>
        <v>19.491499999999998</v>
      </c>
      <c r="I581" s="8">
        <f>18.4021 * CHOOSE(CONTROL!$C$15, $D$11, 100%, $F$11)</f>
        <v>18.402100000000001</v>
      </c>
      <c r="J581" s="4">
        <f>18.2852 * CHOOSE(CONTROL!$C$15, $D$11, 100%, $F$11)</f>
        <v>18.2852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17.7224 * CHOOSE(CONTROL!$C$15, $D$11, 100%, $F$11)</f>
        <v>17.7224</v>
      </c>
      <c r="C582" s="8">
        <f>17.7276 * CHOOSE(CONTROL!$C$15, $D$11, 100%, $F$11)</f>
        <v>17.727599999999999</v>
      </c>
      <c r="D582" s="8">
        <f>17.7022 * CHOOSE( CONTROL!$C$15, $D$11, 100%, $F$11)</f>
        <v>17.702200000000001</v>
      </c>
      <c r="E582" s="12">
        <f>17.7109 * CHOOSE( CONTROL!$C$15, $D$11, 100%, $F$11)</f>
        <v>17.710899999999999</v>
      </c>
      <c r="F582" s="4">
        <f>18.3647 * CHOOSE(CONTROL!$C$15, $D$11, 100%, $F$11)</f>
        <v>18.364699999999999</v>
      </c>
      <c r="G582" s="8">
        <f>17.4054 * CHOOSE( CONTROL!$C$15, $D$11, 100%, $F$11)</f>
        <v>17.4054</v>
      </c>
      <c r="H582" s="4">
        <f>18.289 * CHOOSE(CONTROL!$C$15, $D$11, 100%, $F$11)</f>
        <v>18.289000000000001</v>
      </c>
      <c r="I582" s="8">
        <f>17.2197 * CHOOSE(CONTROL!$C$15, $D$11, 100%, $F$11)</f>
        <v>17.2197</v>
      </c>
      <c r="J582" s="4">
        <f>17.1031 * CHOOSE(CONTROL!$C$15, $D$11, 100%, $F$11)</f>
        <v>17.103100000000001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17.3458 * CHOOSE(CONTROL!$C$15, $D$11, 100%, $F$11)</f>
        <v>17.345800000000001</v>
      </c>
      <c r="C583" s="8">
        <f>17.3509 * CHOOSE(CONTROL!$C$15, $D$11, 100%, $F$11)</f>
        <v>17.350899999999999</v>
      </c>
      <c r="D583" s="8">
        <f>17.3253 * CHOOSE( CONTROL!$C$15, $D$11, 100%, $F$11)</f>
        <v>17.325299999999999</v>
      </c>
      <c r="E583" s="12">
        <f>17.3341 * CHOOSE( CONTROL!$C$15, $D$11, 100%, $F$11)</f>
        <v>17.334099999999999</v>
      </c>
      <c r="F583" s="4">
        <f>17.9881 * CHOOSE(CONTROL!$C$15, $D$11, 100%, $F$11)</f>
        <v>17.988099999999999</v>
      </c>
      <c r="G583" s="8">
        <f>17.0348 * CHOOSE( CONTROL!$C$15, $D$11, 100%, $F$11)</f>
        <v>17.034800000000001</v>
      </c>
      <c r="H583" s="4">
        <f>17.9186 * CHOOSE(CONTROL!$C$15, $D$11, 100%, $F$11)</f>
        <v>17.918600000000001</v>
      </c>
      <c r="I583" s="8">
        <f>16.8546 * CHOOSE(CONTROL!$C$15, $D$11, 100%, $F$11)</f>
        <v>16.854600000000001</v>
      </c>
      <c r="J583" s="4">
        <f>16.739 * CHOOSE(CONTROL!$C$15, $D$11, 100%, $F$11)</f>
        <v>16.739000000000001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17.6098 * CHOOSE(CONTROL!$C$15, $D$11, 100%, $F$11)</f>
        <v>17.6098</v>
      </c>
      <c r="C584" s="8">
        <f>17.6143 * CHOOSE(CONTROL!$C$15, $D$11, 100%, $F$11)</f>
        <v>17.6143</v>
      </c>
      <c r="D584" s="8">
        <f>17.6286 * CHOOSE( CONTROL!$C$15, $D$11, 100%, $F$11)</f>
        <v>17.628599999999999</v>
      </c>
      <c r="E584" s="12">
        <f>17.6234 * CHOOSE( CONTROL!$C$15, $D$11, 100%, $F$11)</f>
        <v>17.6234</v>
      </c>
      <c r="F584" s="4">
        <f>18.302 * CHOOSE(CONTROL!$C$15, $D$11, 100%, $F$11)</f>
        <v>18.302</v>
      </c>
      <c r="G584" s="8">
        <f>17.2889 * CHOOSE( CONTROL!$C$15, $D$11, 100%, $F$11)</f>
        <v>17.288900000000002</v>
      </c>
      <c r="H584" s="4">
        <f>18.2273 * CHOOSE(CONTROL!$C$15, $D$11, 100%, $F$11)</f>
        <v>18.2273</v>
      </c>
      <c r="I584" s="8">
        <f>17.0963 * CHOOSE(CONTROL!$C$15, $D$11, 100%, $F$11)</f>
        <v>17.096299999999999</v>
      </c>
      <c r="J584" s="4">
        <f>16.9934 * CHOOSE(CONTROL!$C$15, $D$11, 100%, $F$11)</f>
        <v>16.993400000000001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18.0844, 18.0795) * CHOOSE(CONTROL!$C$15, $D$11, 100%, $F$11)</f>
        <v>18.084399999999999</v>
      </c>
      <c r="C585" s="8">
        <f>CHOOSE( CONTROL!$C$32, 18.0924, 18.0875) * CHOOSE(CONTROL!$C$15, $D$11, 100%, $F$11)</f>
        <v>18.092400000000001</v>
      </c>
      <c r="D585" s="8">
        <f>CHOOSE( CONTROL!$C$32, 18.1017, 18.0968) * CHOOSE( CONTROL!$C$15, $D$11, 100%, $F$11)</f>
        <v>18.101700000000001</v>
      </c>
      <c r="E585" s="12">
        <f>CHOOSE( CONTROL!$C$32, 18.0971, 18.0922) * CHOOSE( CONTROL!$C$15, $D$11, 100%, $F$11)</f>
        <v>18.097100000000001</v>
      </c>
      <c r="F585" s="4">
        <f>CHOOSE( CONTROL!$C$32, 18.7753, 18.7704) * CHOOSE(CONTROL!$C$15, $D$11, 100%, $F$11)</f>
        <v>18.775300000000001</v>
      </c>
      <c r="G585" s="8">
        <f>CHOOSE( CONTROL!$C$32, 17.7554, 17.7506) * CHOOSE( CONTROL!$C$15, $D$11, 100%, $F$11)</f>
        <v>17.755400000000002</v>
      </c>
      <c r="H585" s="4">
        <f>CHOOSE( CONTROL!$C$32, 18.6927, 18.6879) * CHOOSE(CONTROL!$C$15, $D$11, 100%, $F$11)</f>
        <v>18.692699999999999</v>
      </c>
      <c r="I585" s="8">
        <f>CHOOSE( CONTROL!$C$32, 17.5544, 17.5497) * CHOOSE(CONTROL!$C$15, $D$11, 100%, $F$11)</f>
        <v>17.554400000000001</v>
      </c>
      <c r="J585" s="4">
        <f>CHOOSE( CONTROL!$C$32, 17.451, 17.4462) * CHOOSE(CONTROL!$C$15, $D$11, 100%, $F$11)</f>
        <v>17.451000000000001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17.7943, 17.7894) * CHOOSE(CONTROL!$C$15, $D$11, 100%, $F$11)</f>
        <v>17.7943</v>
      </c>
      <c r="C586" s="8">
        <f>CHOOSE( CONTROL!$C$32, 17.8023, 17.7974) * CHOOSE(CONTROL!$C$15, $D$11, 100%, $F$11)</f>
        <v>17.802299999999999</v>
      </c>
      <c r="D586" s="8">
        <f>CHOOSE( CONTROL!$C$32, 17.8118, 17.8069) * CHOOSE( CONTROL!$C$15, $D$11, 100%, $F$11)</f>
        <v>17.811800000000002</v>
      </c>
      <c r="E586" s="12">
        <f>CHOOSE( CONTROL!$C$32, 17.8071, 17.8022) * CHOOSE( CONTROL!$C$15, $D$11, 100%, $F$11)</f>
        <v>17.807099999999998</v>
      </c>
      <c r="F586" s="4">
        <f>CHOOSE( CONTROL!$C$32, 18.4851, 18.4802) * CHOOSE(CONTROL!$C$15, $D$11, 100%, $F$11)</f>
        <v>18.485099999999999</v>
      </c>
      <c r="G586" s="8">
        <f>CHOOSE( CONTROL!$C$32, 17.4704, 17.4656) * CHOOSE( CONTROL!$C$15, $D$11, 100%, $F$11)</f>
        <v>17.470400000000001</v>
      </c>
      <c r="H586" s="4">
        <f>CHOOSE( CONTROL!$C$32, 18.4074, 18.4026) * CHOOSE(CONTROL!$C$15, $D$11, 100%, $F$11)</f>
        <v>18.407399999999999</v>
      </c>
      <c r="I586" s="8">
        <f>CHOOSE( CONTROL!$C$32, 17.2748, 17.2701) * CHOOSE(CONTROL!$C$15, $D$11, 100%, $F$11)</f>
        <v>17.274799999999999</v>
      </c>
      <c r="J586" s="4">
        <f>CHOOSE( CONTROL!$C$32, 17.1705, 17.1657) * CHOOSE(CONTROL!$C$15, $D$11, 100%, $F$11)</f>
        <v>17.170500000000001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18.5583, 18.5535) * CHOOSE(CONTROL!$C$15, $D$11, 100%, $F$11)</f>
        <v>18.558299999999999</v>
      </c>
      <c r="C587" s="8">
        <f>CHOOSE( CONTROL!$C$32, 18.5664, 18.5615) * CHOOSE(CONTROL!$C$15, $D$11, 100%, $F$11)</f>
        <v>18.566400000000002</v>
      </c>
      <c r="D587" s="8">
        <f>CHOOSE( CONTROL!$C$32, 18.5761, 18.5712) * CHOOSE( CONTROL!$C$15, $D$11, 100%, $F$11)</f>
        <v>18.5761</v>
      </c>
      <c r="E587" s="12">
        <f>CHOOSE( CONTROL!$C$32, 18.5714, 18.5665) * CHOOSE( CONTROL!$C$15, $D$11, 100%, $F$11)</f>
        <v>18.571400000000001</v>
      </c>
      <c r="F587" s="4">
        <f>CHOOSE( CONTROL!$C$32, 19.2492, 19.2443) * CHOOSE(CONTROL!$C$15, $D$11, 100%, $F$11)</f>
        <v>19.249199999999998</v>
      </c>
      <c r="G587" s="8">
        <f>CHOOSE( CONTROL!$C$32, 18.2222, 18.2173) * CHOOSE( CONTROL!$C$15, $D$11, 100%, $F$11)</f>
        <v>18.222200000000001</v>
      </c>
      <c r="H587" s="4">
        <f>CHOOSE( CONTROL!$C$32, 19.1588, 19.154) * CHOOSE(CONTROL!$C$15, $D$11, 100%, $F$11)</f>
        <v>19.158799999999999</v>
      </c>
      <c r="I587" s="8">
        <f>CHOOSE( CONTROL!$C$32, 18.0149, 18.0102) * CHOOSE(CONTROL!$C$15, $D$11, 100%, $F$11)</f>
        <v>18.014900000000001</v>
      </c>
      <c r="J587" s="4">
        <f>CHOOSE( CONTROL!$C$32, 17.9091, 17.9044) * CHOOSE(CONTROL!$C$15, $D$11, 100%, $F$11)</f>
        <v>17.909099999999999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17.1287, 17.1238) * CHOOSE(CONTROL!$C$15, $D$11, 100%, $F$11)</f>
        <v>17.128699999999998</v>
      </c>
      <c r="C588" s="8">
        <f>CHOOSE( CONTROL!$C$32, 17.1367, 17.1318) * CHOOSE(CONTROL!$C$15, $D$11, 100%, $F$11)</f>
        <v>17.136700000000001</v>
      </c>
      <c r="D588" s="8">
        <f>CHOOSE( CONTROL!$C$32, 17.1465, 17.1416) * CHOOSE( CONTROL!$C$15, $D$11, 100%, $F$11)</f>
        <v>17.1465</v>
      </c>
      <c r="E588" s="12">
        <f>CHOOSE( CONTROL!$C$32, 17.1417, 17.1368) * CHOOSE( CONTROL!$C$15, $D$11, 100%, $F$11)</f>
        <v>17.1417</v>
      </c>
      <c r="F588" s="4">
        <f>CHOOSE( CONTROL!$C$32, 17.8195, 17.8146) * CHOOSE(CONTROL!$C$15, $D$11, 100%, $F$11)</f>
        <v>17.819500000000001</v>
      </c>
      <c r="G588" s="8">
        <f>CHOOSE( CONTROL!$C$32, 16.8163, 16.8115) * CHOOSE( CONTROL!$C$15, $D$11, 100%, $F$11)</f>
        <v>16.816299999999998</v>
      </c>
      <c r="H588" s="4">
        <f>CHOOSE( CONTROL!$C$32, 17.7528, 17.748) * CHOOSE(CONTROL!$C$15, $D$11, 100%, $F$11)</f>
        <v>17.752800000000001</v>
      </c>
      <c r="I588" s="8">
        <f>CHOOSE( CONTROL!$C$32, 16.6325, 16.6277) * CHOOSE(CONTROL!$C$15, $D$11, 100%, $F$11)</f>
        <v>16.6325</v>
      </c>
      <c r="J588" s="4">
        <f>CHOOSE( CONTROL!$C$32, 16.527, 16.5223) * CHOOSE(CONTROL!$C$15, $D$11, 100%, $F$11)</f>
        <v>16.527000000000001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16.7706, 16.7657) * CHOOSE(CONTROL!$C$15, $D$11, 100%, $F$11)</f>
        <v>16.770600000000002</v>
      </c>
      <c r="C589" s="8">
        <f>CHOOSE( CONTROL!$C$32, 16.7787, 16.7738) * CHOOSE(CONTROL!$C$15, $D$11, 100%, $F$11)</f>
        <v>16.778700000000001</v>
      </c>
      <c r="D589" s="8">
        <f>CHOOSE( CONTROL!$C$32, 16.7884, 16.7835) * CHOOSE( CONTROL!$C$15, $D$11, 100%, $F$11)</f>
        <v>16.788399999999999</v>
      </c>
      <c r="E589" s="12">
        <f>CHOOSE( CONTROL!$C$32, 16.7837, 16.7788) * CHOOSE( CONTROL!$C$15, $D$11, 100%, $F$11)</f>
        <v>16.7837</v>
      </c>
      <c r="F589" s="4">
        <f>CHOOSE( CONTROL!$C$32, 17.4615, 17.4566) * CHOOSE(CONTROL!$C$15, $D$11, 100%, $F$11)</f>
        <v>17.461500000000001</v>
      </c>
      <c r="G589" s="8">
        <f>CHOOSE( CONTROL!$C$32, 16.4641, 16.4593) * CHOOSE( CONTROL!$C$15, $D$11, 100%, $F$11)</f>
        <v>16.464099999999998</v>
      </c>
      <c r="H589" s="4">
        <f>CHOOSE( CONTROL!$C$32, 17.4007, 17.3959) * CHOOSE(CONTROL!$C$15, $D$11, 100%, $F$11)</f>
        <v>17.400700000000001</v>
      </c>
      <c r="I589" s="8">
        <f>CHOOSE( CONTROL!$C$32, 16.286, 16.2813) * CHOOSE(CONTROL!$C$15, $D$11, 100%, $F$11)</f>
        <v>16.286000000000001</v>
      </c>
      <c r="J589" s="4">
        <f>CHOOSE( CONTROL!$C$32, 16.1809, 16.1762) * CHOOSE(CONTROL!$C$15, $D$11, 100%, $F$11)</f>
        <v>16.180900000000001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17.5074 * CHOOSE(CONTROL!$C$15, $D$11, 100%, $F$11)</f>
        <v>17.507400000000001</v>
      </c>
      <c r="C590" s="8">
        <f>17.5128 * CHOOSE(CONTROL!$C$15, $D$11, 100%, $F$11)</f>
        <v>17.512799999999999</v>
      </c>
      <c r="D590" s="8">
        <f>17.5273 * CHOOSE( CONTROL!$C$15, $D$11, 100%, $F$11)</f>
        <v>17.5273</v>
      </c>
      <c r="E590" s="12">
        <f>17.5219 * CHOOSE( CONTROL!$C$15, $D$11, 100%, $F$11)</f>
        <v>17.521899999999999</v>
      </c>
      <c r="F590" s="4">
        <f>18.2 * CHOOSE(CONTROL!$C$15, $D$11, 100%, $F$11)</f>
        <v>18.2</v>
      </c>
      <c r="G590" s="8">
        <f>17.1896 * CHOOSE( CONTROL!$C$15, $D$11, 100%, $F$11)</f>
        <v>17.189599999999999</v>
      </c>
      <c r="H590" s="4">
        <f>18.1269 * CHOOSE(CONTROL!$C$15, $D$11, 100%, $F$11)</f>
        <v>18.126899999999999</v>
      </c>
      <c r="I590" s="8">
        <f>17.0011 * CHOOSE(CONTROL!$C$15, $D$11, 100%, $F$11)</f>
        <v>17.001100000000001</v>
      </c>
      <c r="J590" s="4">
        <f>16.8948 * CHOOSE(CONTROL!$C$15, $D$11, 100%, $F$11)</f>
        <v>16.8948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18.8791 * CHOOSE(CONTROL!$C$15, $D$11, 100%, $F$11)</f>
        <v>18.879100000000001</v>
      </c>
      <c r="C591" s="8">
        <f>18.8842 * CHOOSE(CONTROL!$C$15, $D$11, 100%, $F$11)</f>
        <v>18.8842</v>
      </c>
      <c r="D591" s="8">
        <f>18.8611 * CHOOSE( CONTROL!$C$15, $D$11, 100%, $F$11)</f>
        <v>18.8611</v>
      </c>
      <c r="E591" s="12">
        <f>18.869 * CHOOSE( CONTROL!$C$15, $D$11, 100%, $F$11)</f>
        <v>18.869</v>
      </c>
      <c r="F591" s="4">
        <f>19.524 * CHOOSE(CONTROL!$C$15, $D$11, 100%, $F$11)</f>
        <v>19.524000000000001</v>
      </c>
      <c r="G591" s="8">
        <f>18.5469 * CHOOSE( CONTROL!$C$15, $D$11, 100%, $F$11)</f>
        <v>18.546900000000001</v>
      </c>
      <c r="H591" s="4">
        <f>19.429 * CHOOSE(CONTROL!$C$15, $D$11, 100%, $F$11)</f>
        <v>19.428999999999998</v>
      </c>
      <c r="I591" s="8">
        <f>18.3528 * CHOOSE(CONTROL!$C$15, $D$11, 100%, $F$11)</f>
        <v>18.352799999999998</v>
      </c>
      <c r="J591" s="4">
        <f>18.2212 * CHOOSE(CONTROL!$C$15, $D$11, 100%, $F$11)</f>
        <v>18.2212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18.8448 * CHOOSE(CONTROL!$C$15, $D$11, 100%, $F$11)</f>
        <v>18.844799999999999</v>
      </c>
      <c r="C592" s="8">
        <f>18.8499 * CHOOSE(CONTROL!$C$15, $D$11, 100%, $F$11)</f>
        <v>18.849900000000002</v>
      </c>
      <c r="D592" s="8">
        <f>18.8284 * CHOOSE( CONTROL!$C$15, $D$11, 100%, $F$11)</f>
        <v>18.828399999999998</v>
      </c>
      <c r="E592" s="12">
        <f>18.8357 * CHOOSE( CONTROL!$C$15, $D$11, 100%, $F$11)</f>
        <v>18.835699999999999</v>
      </c>
      <c r="F592" s="4">
        <f>19.4897 * CHOOSE(CONTROL!$C$15, $D$11, 100%, $F$11)</f>
        <v>19.489699999999999</v>
      </c>
      <c r="G592" s="8">
        <f>18.5144 * CHOOSE( CONTROL!$C$15, $D$11, 100%, $F$11)</f>
        <v>18.514399999999998</v>
      </c>
      <c r="H592" s="4">
        <f>19.3953 * CHOOSE(CONTROL!$C$15, $D$11, 100%, $F$11)</f>
        <v>19.395299999999999</v>
      </c>
      <c r="I592" s="8">
        <f>18.3246 * CHOOSE(CONTROL!$C$15, $D$11, 100%, $F$11)</f>
        <v>18.3246</v>
      </c>
      <c r="J592" s="4">
        <f>18.1881 * CHOOSE(CONTROL!$C$15, $D$11, 100%, $F$11)</f>
        <v>18.188099999999999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19.5639 * CHOOSE(CONTROL!$C$15, $D$11, 100%, $F$11)</f>
        <v>19.5639</v>
      </c>
      <c r="C593" s="8">
        <f>19.569 * CHOOSE(CONTROL!$C$15, $D$11, 100%, $F$11)</f>
        <v>19.568999999999999</v>
      </c>
      <c r="D593" s="8">
        <f>19.5436 * CHOOSE( CONTROL!$C$15, $D$11, 100%, $F$11)</f>
        <v>19.543600000000001</v>
      </c>
      <c r="E593" s="12">
        <f>19.5523 * CHOOSE( CONTROL!$C$15, $D$11, 100%, $F$11)</f>
        <v>19.552299999999999</v>
      </c>
      <c r="F593" s="4">
        <f>20.2062 * CHOOSE(CONTROL!$C$15, $D$11, 100%, $F$11)</f>
        <v>20.206199999999999</v>
      </c>
      <c r="G593" s="8">
        <f>19.2162 * CHOOSE( CONTROL!$C$15, $D$11, 100%, $F$11)</f>
        <v>19.216200000000001</v>
      </c>
      <c r="H593" s="4">
        <f>20.0999 * CHOOSE(CONTROL!$C$15, $D$11, 100%, $F$11)</f>
        <v>20.099900000000002</v>
      </c>
      <c r="I593" s="8">
        <f>19.0004 * CHOOSE(CONTROL!$C$15, $D$11, 100%, $F$11)</f>
        <v>19.000399999999999</v>
      </c>
      <c r="J593" s="4">
        <f>18.8832 * CHOOSE(CONTROL!$C$15, $D$11, 100%, $F$11)</f>
        <v>18.883199999999999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18.301 * CHOOSE(CONTROL!$C$15, $D$11, 100%, $F$11)</f>
        <v>18.300999999999998</v>
      </c>
      <c r="C594" s="8">
        <f>18.3062 * CHOOSE(CONTROL!$C$15, $D$11, 100%, $F$11)</f>
        <v>18.3062</v>
      </c>
      <c r="D594" s="8">
        <f>18.2808 * CHOOSE( CONTROL!$C$15, $D$11, 100%, $F$11)</f>
        <v>18.280799999999999</v>
      </c>
      <c r="E594" s="12">
        <f>18.2895 * CHOOSE( CONTROL!$C$15, $D$11, 100%, $F$11)</f>
        <v>18.2895</v>
      </c>
      <c r="F594" s="4">
        <f>18.9433 * CHOOSE(CONTROL!$C$15, $D$11, 100%, $F$11)</f>
        <v>18.943300000000001</v>
      </c>
      <c r="G594" s="8">
        <f>17.9744 * CHOOSE( CONTROL!$C$15, $D$11, 100%, $F$11)</f>
        <v>17.974399999999999</v>
      </c>
      <c r="H594" s="4">
        <f>18.858 * CHOOSE(CONTROL!$C$15, $D$11, 100%, $F$11)</f>
        <v>18.858000000000001</v>
      </c>
      <c r="I594" s="8">
        <f>17.7793 * CHOOSE(CONTROL!$C$15, $D$11, 100%, $F$11)</f>
        <v>17.779299999999999</v>
      </c>
      <c r="J594" s="4">
        <f>17.6624 * CHOOSE(CONTROL!$C$15, $D$11, 100%, $F$11)</f>
        <v>17.662400000000002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17.9121 * CHOOSE(CONTROL!$C$15, $D$11, 100%, $F$11)</f>
        <v>17.912099999999999</v>
      </c>
      <c r="C595" s="8">
        <f>17.9172 * CHOOSE(CONTROL!$C$15, $D$11, 100%, $F$11)</f>
        <v>17.917200000000001</v>
      </c>
      <c r="D595" s="8">
        <f>17.8916 * CHOOSE( CONTROL!$C$15, $D$11, 100%, $F$11)</f>
        <v>17.8916</v>
      </c>
      <c r="E595" s="12">
        <f>17.9004 * CHOOSE( CONTROL!$C$15, $D$11, 100%, $F$11)</f>
        <v>17.900400000000001</v>
      </c>
      <c r="F595" s="4">
        <f>18.5544 * CHOOSE(CONTROL!$C$15, $D$11, 100%, $F$11)</f>
        <v>18.554400000000001</v>
      </c>
      <c r="G595" s="8">
        <f>17.5917 * CHOOSE( CONTROL!$C$15, $D$11, 100%, $F$11)</f>
        <v>17.591699999999999</v>
      </c>
      <c r="H595" s="4">
        <f>18.4755 * CHOOSE(CONTROL!$C$15, $D$11, 100%, $F$11)</f>
        <v>18.4755</v>
      </c>
      <c r="I595" s="8">
        <f>17.4023 * CHOOSE(CONTROL!$C$15, $D$11, 100%, $F$11)</f>
        <v>17.4023</v>
      </c>
      <c r="J595" s="4">
        <f>17.2865 * CHOOSE(CONTROL!$C$15, $D$11, 100%, $F$11)</f>
        <v>17.2865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18.1847 * CHOOSE(CONTROL!$C$15, $D$11, 100%, $F$11)</f>
        <v>18.184699999999999</v>
      </c>
      <c r="C596" s="8">
        <f>18.1892 * CHOOSE(CONTROL!$C$15, $D$11, 100%, $F$11)</f>
        <v>18.1892</v>
      </c>
      <c r="D596" s="8">
        <f>18.2035 * CHOOSE( CONTROL!$C$15, $D$11, 100%, $F$11)</f>
        <v>18.203499999999998</v>
      </c>
      <c r="E596" s="12">
        <f>18.1983 * CHOOSE( CONTROL!$C$15, $D$11, 100%, $F$11)</f>
        <v>18.1983</v>
      </c>
      <c r="F596" s="4">
        <f>18.8769 * CHOOSE(CONTROL!$C$15, $D$11, 100%, $F$11)</f>
        <v>18.876899999999999</v>
      </c>
      <c r="G596" s="8">
        <f>17.8542 * CHOOSE( CONTROL!$C$15, $D$11, 100%, $F$11)</f>
        <v>17.854199999999999</v>
      </c>
      <c r="H596" s="4">
        <f>18.7926 * CHOOSE(CONTROL!$C$15, $D$11, 100%, $F$11)</f>
        <v>18.7926</v>
      </c>
      <c r="I596" s="8">
        <f>17.6523 * CHOOSE(CONTROL!$C$15, $D$11, 100%, $F$11)</f>
        <v>17.6523</v>
      </c>
      <c r="J596" s="4">
        <f>17.5492 * CHOOSE(CONTROL!$C$15, $D$11, 100%, $F$11)</f>
        <v>17.549199999999999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18.6746, 18.6697) * CHOOSE(CONTROL!$C$15, $D$11, 100%, $F$11)</f>
        <v>18.674600000000002</v>
      </c>
      <c r="C597" s="8">
        <f>CHOOSE( CONTROL!$C$32, 18.6826, 18.6777) * CHOOSE(CONTROL!$C$15, $D$11, 100%, $F$11)</f>
        <v>18.682600000000001</v>
      </c>
      <c r="D597" s="8">
        <f>CHOOSE( CONTROL!$C$32, 18.6919, 18.6871) * CHOOSE( CONTROL!$C$15, $D$11, 100%, $F$11)</f>
        <v>18.6919</v>
      </c>
      <c r="E597" s="12">
        <f>CHOOSE( CONTROL!$C$32, 18.6873, 18.6825) * CHOOSE( CONTROL!$C$15, $D$11, 100%, $F$11)</f>
        <v>18.6873</v>
      </c>
      <c r="F597" s="4">
        <f>CHOOSE( CONTROL!$C$32, 19.3655, 19.3606) * CHOOSE(CONTROL!$C$15, $D$11, 100%, $F$11)</f>
        <v>19.365500000000001</v>
      </c>
      <c r="G597" s="8">
        <f>CHOOSE( CONTROL!$C$32, 18.3358, 18.331) * CHOOSE( CONTROL!$C$15, $D$11, 100%, $F$11)</f>
        <v>18.335799999999999</v>
      </c>
      <c r="H597" s="4">
        <f>CHOOSE( CONTROL!$C$32, 19.2731, 19.2683) * CHOOSE(CONTROL!$C$15, $D$11, 100%, $F$11)</f>
        <v>19.273099999999999</v>
      </c>
      <c r="I597" s="8">
        <f>CHOOSE( CONTROL!$C$32, 18.1252, 18.1205) * CHOOSE(CONTROL!$C$15, $D$11, 100%, $F$11)</f>
        <v>18.1252</v>
      </c>
      <c r="J597" s="4">
        <f>CHOOSE( CONTROL!$C$32, 18.0215, 18.0168) * CHOOSE(CONTROL!$C$15, $D$11, 100%, $F$11)</f>
        <v>18.0215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18.375, 18.3701) * CHOOSE(CONTROL!$C$15, $D$11, 100%, $F$11)</f>
        <v>18.375</v>
      </c>
      <c r="C598" s="8">
        <f>CHOOSE( CONTROL!$C$32, 18.383, 18.3781) * CHOOSE(CONTROL!$C$15, $D$11, 100%, $F$11)</f>
        <v>18.382999999999999</v>
      </c>
      <c r="D598" s="8">
        <f>CHOOSE( CONTROL!$C$32, 18.3925, 18.3876) * CHOOSE( CONTROL!$C$15, $D$11, 100%, $F$11)</f>
        <v>18.392499999999998</v>
      </c>
      <c r="E598" s="12">
        <f>CHOOSE( CONTROL!$C$32, 18.3878, 18.3829) * CHOOSE( CONTROL!$C$15, $D$11, 100%, $F$11)</f>
        <v>18.387799999999999</v>
      </c>
      <c r="F598" s="4">
        <f>CHOOSE( CONTROL!$C$32, 19.0658, 19.0609) * CHOOSE(CONTROL!$C$15, $D$11, 100%, $F$11)</f>
        <v>19.065799999999999</v>
      </c>
      <c r="G598" s="8">
        <f>CHOOSE( CONTROL!$C$32, 18.0415, 18.0367) * CHOOSE( CONTROL!$C$15, $D$11, 100%, $F$11)</f>
        <v>18.041499999999999</v>
      </c>
      <c r="H598" s="4">
        <f>CHOOSE( CONTROL!$C$32, 18.9785, 18.9736) * CHOOSE(CONTROL!$C$15, $D$11, 100%, $F$11)</f>
        <v>18.9785</v>
      </c>
      <c r="I598" s="8">
        <f>CHOOSE( CONTROL!$C$32, 17.8365, 17.8317) * CHOOSE(CONTROL!$C$15, $D$11, 100%, $F$11)</f>
        <v>17.836500000000001</v>
      </c>
      <c r="J598" s="4">
        <f>CHOOSE( CONTROL!$C$32, 17.7319, 17.7271) * CHOOSE(CONTROL!$C$15, $D$11, 100%, $F$11)</f>
        <v>17.7319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19.1641, 19.1592) * CHOOSE(CONTROL!$C$15, $D$11, 100%, $F$11)</f>
        <v>19.164100000000001</v>
      </c>
      <c r="C599" s="8">
        <f>CHOOSE( CONTROL!$C$32, 19.1721, 19.1672) * CHOOSE(CONTROL!$C$15, $D$11, 100%, $F$11)</f>
        <v>19.1721</v>
      </c>
      <c r="D599" s="8">
        <f>CHOOSE( CONTROL!$C$32, 19.1818, 19.1769) * CHOOSE( CONTROL!$C$15, $D$11, 100%, $F$11)</f>
        <v>19.181799999999999</v>
      </c>
      <c r="E599" s="12">
        <f>CHOOSE( CONTROL!$C$32, 19.1771, 19.1722) * CHOOSE( CONTROL!$C$15, $D$11, 100%, $F$11)</f>
        <v>19.177099999999999</v>
      </c>
      <c r="F599" s="4">
        <f>CHOOSE( CONTROL!$C$32, 19.8549, 19.85) * CHOOSE(CONTROL!$C$15, $D$11, 100%, $F$11)</f>
        <v>19.854900000000001</v>
      </c>
      <c r="G599" s="8">
        <f>CHOOSE( CONTROL!$C$32, 18.8178, 18.813) * CHOOSE( CONTROL!$C$15, $D$11, 100%, $F$11)</f>
        <v>18.817799999999998</v>
      </c>
      <c r="H599" s="4">
        <f>CHOOSE( CONTROL!$C$32, 19.7544, 19.7496) * CHOOSE(CONTROL!$C$15, $D$11, 100%, $F$11)</f>
        <v>19.7544</v>
      </c>
      <c r="I599" s="8">
        <f>CHOOSE( CONTROL!$C$32, 18.6007, 18.596) * CHOOSE(CONTROL!$C$15, $D$11, 100%, $F$11)</f>
        <v>18.6007</v>
      </c>
      <c r="J599" s="4">
        <f>CHOOSE( CONTROL!$C$32, 18.4947, 18.4899) * CHOOSE(CONTROL!$C$15, $D$11, 100%, $F$11)</f>
        <v>18.494700000000002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17.6876, 17.6827) * CHOOSE(CONTROL!$C$15, $D$11, 100%, $F$11)</f>
        <v>17.6876</v>
      </c>
      <c r="C600" s="8">
        <f>CHOOSE( CONTROL!$C$32, 17.6956, 17.6907) * CHOOSE(CONTROL!$C$15, $D$11, 100%, $F$11)</f>
        <v>17.695599999999999</v>
      </c>
      <c r="D600" s="8">
        <f>CHOOSE( CONTROL!$C$32, 17.7054, 17.7005) * CHOOSE( CONTROL!$C$15, $D$11, 100%, $F$11)</f>
        <v>17.705400000000001</v>
      </c>
      <c r="E600" s="12">
        <f>CHOOSE( CONTROL!$C$32, 17.7006, 17.6957) * CHOOSE( CONTROL!$C$15, $D$11, 100%, $F$11)</f>
        <v>17.700600000000001</v>
      </c>
      <c r="F600" s="4">
        <f>CHOOSE( CONTROL!$C$32, 18.3785, 18.3736) * CHOOSE(CONTROL!$C$15, $D$11, 100%, $F$11)</f>
        <v>18.378499999999999</v>
      </c>
      <c r="G600" s="8">
        <f>CHOOSE( CONTROL!$C$32, 17.366, 17.3611) * CHOOSE( CONTROL!$C$15, $D$11, 100%, $F$11)</f>
        <v>17.366</v>
      </c>
      <c r="H600" s="4">
        <f>CHOOSE( CONTROL!$C$32, 18.3025, 18.2977) * CHOOSE(CONTROL!$C$15, $D$11, 100%, $F$11)</f>
        <v>18.302499999999998</v>
      </c>
      <c r="I600" s="8">
        <f>CHOOSE( CONTROL!$C$32, 17.1731, 17.1683) * CHOOSE(CONTROL!$C$15, $D$11, 100%, $F$11)</f>
        <v>17.173100000000002</v>
      </c>
      <c r="J600" s="4">
        <f>CHOOSE( CONTROL!$C$32, 17.0674, 17.0626) * CHOOSE(CONTROL!$C$15, $D$11, 100%, $F$11)</f>
        <v>17.067399999999999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17.3179, 17.313) * CHOOSE(CONTROL!$C$15, $D$11, 100%, $F$11)</f>
        <v>17.317900000000002</v>
      </c>
      <c r="C601" s="8">
        <f>CHOOSE( CONTROL!$C$32, 17.3259, 17.321) * CHOOSE(CONTROL!$C$15, $D$11, 100%, $F$11)</f>
        <v>17.325900000000001</v>
      </c>
      <c r="D601" s="8">
        <f>CHOOSE( CONTROL!$C$32, 17.3357, 17.3308) * CHOOSE( CONTROL!$C$15, $D$11, 100%, $F$11)</f>
        <v>17.335699999999999</v>
      </c>
      <c r="E601" s="12">
        <f>CHOOSE( CONTROL!$C$32, 17.3309, 17.326) * CHOOSE( CONTROL!$C$15, $D$11, 100%, $F$11)</f>
        <v>17.3309</v>
      </c>
      <c r="F601" s="4">
        <f>CHOOSE( CONTROL!$C$32, 18.0087, 18.0039) * CHOOSE(CONTROL!$C$15, $D$11, 100%, $F$11)</f>
        <v>18.008700000000001</v>
      </c>
      <c r="G601" s="8">
        <f>CHOOSE( CONTROL!$C$32, 17.0023, 16.9975) * CHOOSE( CONTROL!$C$15, $D$11, 100%, $F$11)</f>
        <v>17.002300000000002</v>
      </c>
      <c r="H601" s="4">
        <f>CHOOSE( CONTROL!$C$32, 17.9389, 17.9341) * CHOOSE(CONTROL!$C$15, $D$11, 100%, $F$11)</f>
        <v>17.9389</v>
      </c>
      <c r="I601" s="8">
        <f>CHOOSE( CONTROL!$C$32, 16.8153, 16.8106) * CHOOSE(CONTROL!$C$15, $D$11, 100%, $F$11)</f>
        <v>16.815300000000001</v>
      </c>
      <c r="J601" s="4">
        <f>CHOOSE( CONTROL!$C$32, 16.71, 16.7052) * CHOOSE(CONTROL!$C$15, $D$11, 100%, $F$11)</f>
        <v>16.71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18.0789 * CHOOSE(CONTROL!$C$15, $D$11, 100%, $F$11)</f>
        <v>18.078900000000001</v>
      </c>
      <c r="C602" s="8">
        <f>18.0843 * CHOOSE(CONTROL!$C$15, $D$11, 100%, $F$11)</f>
        <v>18.084299999999999</v>
      </c>
      <c r="D602" s="8">
        <f>18.0989 * CHOOSE( CONTROL!$C$15, $D$11, 100%, $F$11)</f>
        <v>18.0989</v>
      </c>
      <c r="E602" s="12">
        <f>18.0935 * CHOOSE( CONTROL!$C$15, $D$11, 100%, $F$11)</f>
        <v>18.093499999999999</v>
      </c>
      <c r="F602" s="4">
        <f>18.7715 * CHOOSE(CONTROL!$C$15, $D$11, 100%, $F$11)</f>
        <v>18.7715</v>
      </c>
      <c r="G602" s="8">
        <f>17.7517 * CHOOSE( CONTROL!$C$15, $D$11, 100%, $F$11)</f>
        <v>17.7517</v>
      </c>
      <c r="H602" s="4">
        <f>18.689 * CHOOSE(CONTROL!$C$15, $D$11, 100%, $F$11)</f>
        <v>18.689</v>
      </c>
      <c r="I602" s="8">
        <f>17.5539 * CHOOSE(CONTROL!$C$15, $D$11, 100%, $F$11)</f>
        <v>17.553899999999999</v>
      </c>
      <c r="J602" s="4">
        <f>17.4473 * CHOOSE(CONTROL!$C$15, $D$11, 100%, $F$11)</f>
        <v>17.447299999999998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19.4955 * CHOOSE(CONTROL!$C$15, $D$11, 100%, $F$11)</f>
        <v>19.4955</v>
      </c>
      <c r="C603" s="8">
        <f>19.5006 * CHOOSE(CONTROL!$C$15, $D$11, 100%, $F$11)</f>
        <v>19.500599999999999</v>
      </c>
      <c r="D603" s="8">
        <f>19.4776 * CHOOSE( CONTROL!$C$15, $D$11, 100%, $F$11)</f>
        <v>19.477599999999999</v>
      </c>
      <c r="E603" s="12">
        <f>19.4855 * CHOOSE( CONTROL!$C$15, $D$11, 100%, $F$11)</f>
        <v>19.485499999999998</v>
      </c>
      <c r="F603" s="4">
        <f>20.1404 * CHOOSE(CONTROL!$C$15, $D$11, 100%, $F$11)</f>
        <v>20.1404</v>
      </c>
      <c r="G603" s="8">
        <f>19.1532 * CHOOSE( CONTROL!$C$15, $D$11, 100%, $F$11)</f>
        <v>19.153199999999998</v>
      </c>
      <c r="H603" s="4">
        <f>20.0352 * CHOOSE(CONTROL!$C$15, $D$11, 100%, $F$11)</f>
        <v>20.0352</v>
      </c>
      <c r="I603" s="8">
        <f>18.949 * CHOOSE(CONTROL!$C$15, $D$11, 100%, $F$11)</f>
        <v>18.949000000000002</v>
      </c>
      <c r="J603" s="4">
        <f>18.8171 * CHOOSE(CONTROL!$C$15, $D$11, 100%, $F$11)</f>
        <v>18.8171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19.4601 * CHOOSE(CONTROL!$C$15, $D$11, 100%, $F$11)</f>
        <v>19.460100000000001</v>
      </c>
      <c r="C604" s="8">
        <f>19.4652 * CHOOSE(CONTROL!$C$15, $D$11, 100%, $F$11)</f>
        <v>19.465199999999999</v>
      </c>
      <c r="D604" s="8">
        <f>19.4437 * CHOOSE( CONTROL!$C$15, $D$11, 100%, $F$11)</f>
        <v>19.4437</v>
      </c>
      <c r="E604" s="12">
        <f>19.451 * CHOOSE( CONTROL!$C$15, $D$11, 100%, $F$11)</f>
        <v>19.451000000000001</v>
      </c>
      <c r="F604" s="4">
        <f>20.105 * CHOOSE(CONTROL!$C$15, $D$11, 100%, $F$11)</f>
        <v>20.105</v>
      </c>
      <c r="G604" s="8">
        <f>19.1195 * CHOOSE( CONTROL!$C$15, $D$11, 100%, $F$11)</f>
        <v>19.119499999999999</v>
      </c>
      <c r="H604" s="4">
        <f>20.0004 * CHOOSE(CONTROL!$C$15, $D$11, 100%, $F$11)</f>
        <v>20.000399999999999</v>
      </c>
      <c r="I604" s="8">
        <f>18.9197 * CHOOSE(CONTROL!$C$15, $D$11, 100%, $F$11)</f>
        <v>18.919699999999999</v>
      </c>
      <c r="J604" s="4">
        <f>18.7829 * CHOOSE(CONTROL!$C$15, $D$11, 100%, $F$11)</f>
        <v>18.782900000000001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20.2027 * CHOOSE(CONTROL!$C$15, $D$11, 100%, $F$11)</f>
        <v>20.2027</v>
      </c>
      <c r="C605" s="8">
        <f>20.2078 * CHOOSE(CONTROL!$C$15, $D$11, 100%, $F$11)</f>
        <v>20.207799999999999</v>
      </c>
      <c r="D605" s="8">
        <f>20.1824 * CHOOSE( CONTROL!$C$15, $D$11, 100%, $F$11)</f>
        <v>20.182400000000001</v>
      </c>
      <c r="E605" s="12">
        <f>20.1911 * CHOOSE( CONTROL!$C$15, $D$11, 100%, $F$11)</f>
        <v>20.191099999999999</v>
      </c>
      <c r="F605" s="4">
        <f>20.845 * CHOOSE(CONTROL!$C$15, $D$11, 100%, $F$11)</f>
        <v>20.844999999999999</v>
      </c>
      <c r="G605" s="8">
        <f>19.8444 * CHOOSE( CONTROL!$C$15, $D$11, 100%, $F$11)</f>
        <v>19.8444</v>
      </c>
      <c r="H605" s="4">
        <f>20.7281 * CHOOSE(CONTROL!$C$15, $D$11, 100%, $F$11)</f>
        <v>20.728100000000001</v>
      </c>
      <c r="I605" s="8">
        <f>19.6182 * CHOOSE(CONTROL!$C$15, $D$11, 100%, $F$11)</f>
        <v>19.618200000000002</v>
      </c>
      <c r="J605" s="4">
        <f>19.5008 * CHOOSE(CONTROL!$C$15, $D$11, 100%, $F$11)</f>
        <v>19.500800000000002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18.8986 * CHOOSE(CONTROL!$C$15, $D$11, 100%, $F$11)</f>
        <v>18.898599999999998</v>
      </c>
      <c r="C606" s="8">
        <f>18.9037 * CHOOSE(CONTROL!$C$15, $D$11, 100%, $F$11)</f>
        <v>18.903700000000001</v>
      </c>
      <c r="D606" s="8">
        <f>18.8784 * CHOOSE( CONTROL!$C$15, $D$11, 100%, $F$11)</f>
        <v>18.878399999999999</v>
      </c>
      <c r="E606" s="12">
        <f>18.8871 * CHOOSE( CONTROL!$C$15, $D$11, 100%, $F$11)</f>
        <v>18.8871</v>
      </c>
      <c r="F606" s="4">
        <f>19.5409 * CHOOSE(CONTROL!$C$15, $D$11, 100%, $F$11)</f>
        <v>19.540900000000001</v>
      </c>
      <c r="G606" s="8">
        <f>18.562 * CHOOSE( CONTROL!$C$15, $D$11, 100%, $F$11)</f>
        <v>18.562000000000001</v>
      </c>
      <c r="H606" s="4">
        <f>19.4456 * CHOOSE(CONTROL!$C$15, $D$11, 100%, $F$11)</f>
        <v>19.445599999999999</v>
      </c>
      <c r="I606" s="8">
        <f>18.3572 * CHOOSE(CONTROL!$C$15, $D$11, 100%, $F$11)</f>
        <v>18.357199999999999</v>
      </c>
      <c r="J606" s="4">
        <f>18.2401 * CHOOSE(CONTROL!$C$15, $D$11, 100%, $F$11)</f>
        <v>18.240100000000002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18.4969 * CHOOSE(CONTROL!$C$15, $D$11, 100%, $F$11)</f>
        <v>18.4969</v>
      </c>
      <c r="C607" s="8">
        <f>18.502 * CHOOSE(CONTROL!$C$15, $D$11, 100%, $F$11)</f>
        <v>18.501999999999999</v>
      </c>
      <c r="D607" s="8">
        <f>18.4764 * CHOOSE( CONTROL!$C$15, $D$11, 100%, $F$11)</f>
        <v>18.476400000000002</v>
      </c>
      <c r="E607" s="12">
        <f>18.4852 * CHOOSE( CONTROL!$C$15, $D$11, 100%, $F$11)</f>
        <v>18.485199999999999</v>
      </c>
      <c r="F607" s="4">
        <f>19.1392 * CHOOSE(CONTROL!$C$15, $D$11, 100%, $F$11)</f>
        <v>19.139199999999999</v>
      </c>
      <c r="G607" s="8">
        <f>18.1668 * CHOOSE( CONTROL!$C$15, $D$11, 100%, $F$11)</f>
        <v>18.166799999999999</v>
      </c>
      <c r="H607" s="4">
        <f>19.0506 * CHOOSE(CONTROL!$C$15, $D$11, 100%, $F$11)</f>
        <v>19.050599999999999</v>
      </c>
      <c r="I607" s="8">
        <f>17.9679 * CHOOSE(CONTROL!$C$15, $D$11, 100%, $F$11)</f>
        <v>17.9679</v>
      </c>
      <c r="J607" s="4">
        <f>17.8518 * CHOOSE(CONTROL!$C$15, $D$11, 100%, $F$11)</f>
        <v>17.851800000000001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18.7783 * CHOOSE(CONTROL!$C$15, $D$11, 100%, $F$11)</f>
        <v>18.778300000000002</v>
      </c>
      <c r="C608" s="8">
        <f>18.7829 * CHOOSE(CONTROL!$C$15, $D$11, 100%, $F$11)</f>
        <v>18.782900000000001</v>
      </c>
      <c r="D608" s="8">
        <f>18.7972 * CHOOSE( CONTROL!$C$15, $D$11, 100%, $F$11)</f>
        <v>18.7972</v>
      </c>
      <c r="E608" s="12">
        <f>18.792 * CHOOSE( CONTROL!$C$15, $D$11, 100%, $F$11)</f>
        <v>18.792000000000002</v>
      </c>
      <c r="F608" s="4">
        <f>19.4706 * CHOOSE(CONTROL!$C$15, $D$11, 100%, $F$11)</f>
        <v>19.470600000000001</v>
      </c>
      <c r="G608" s="8">
        <f>18.4381 * CHOOSE( CONTROL!$C$15, $D$11, 100%, $F$11)</f>
        <v>18.438099999999999</v>
      </c>
      <c r="H608" s="4">
        <f>19.3765 * CHOOSE(CONTROL!$C$15, $D$11, 100%, $F$11)</f>
        <v>19.3765</v>
      </c>
      <c r="I608" s="8">
        <f>18.2265 * CHOOSE(CONTROL!$C$15, $D$11, 100%, $F$11)</f>
        <v>18.226500000000001</v>
      </c>
      <c r="J608" s="4">
        <f>18.1231 * CHOOSE(CONTROL!$C$15, $D$11, 100%, $F$11)</f>
        <v>18.123100000000001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19.2841, 19.2792) * CHOOSE(CONTROL!$C$15, $D$11, 100%, $F$11)</f>
        <v>19.284099999999999</v>
      </c>
      <c r="C609" s="8">
        <f>CHOOSE( CONTROL!$C$32, 19.2922, 19.2873) * CHOOSE(CONTROL!$C$15, $D$11, 100%, $F$11)</f>
        <v>19.292200000000001</v>
      </c>
      <c r="D609" s="8">
        <f>CHOOSE( CONTROL!$C$32, 19.3015, 19.2966) * CHOOSE( CONTROL!$C$15, $D$11, 100%, $F$11)</f>
        <v>19.301500000000001</v>
      </c>
      <c r="E609" s="12">
        <f>CHOOSE( CONTROL!$C$32, 19.2969, 19.292) * CHOOSE( CONTROL!$C$15, $D$11, 100%, $F$11)</f>
        <v>19.296900000000001</v>
      </c>
      <c r="F609" s="4">
        <f>CHOOSE( CONTROL!$C$32, 19.975, 19.9701) * CHOOSE(CONTROL!$C$15, $D$11, 100%, $F$11)</f>
        <v>19.975000000000001</v>
      </c>
      <c r="G609" s="8">
        <f>CHOOSE( CONTROL!$C$32, 18.9352, 18.9304) * CHOOSE( CONTROL!$C$15, $D$11, 100%, $F$11)</f>
        <v>18.935199999999998</v>
      </c>
      <c r="H609" s="4">
        <f>CHOOSE( CONTROL!$C$32, 19.8725, 19.8677) * CHOOSE(CONTROL!$C$15, $D$11, 100%, $F$11)</f>
        <v>19.872499999999999</v>
      </c>
      <c r="I609" s="8">
        <f>CHOOSE( CONTROL!$C$32, 18.7148, 18.71) * CHOOSE(CONTROL!$C$15, $D$11, 100%, $F$11)</f>
        <v>18.7148</v>
      </c>
      <c r="J609" s="4">
        <f>CHOOSE( CONTROL!$C$32, 18.6107, 18.606) * CHOOSE(CONTROL!$C$15, $D$11, 100%, $F$11)</f>
        <v>18.610700000000001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18.9747, 18.9698) * CHOOSE(CONTROL!$C$15, $D$11, 100%, $F$11)</f>
        <v>18.974699999999999</v>
      </c>
      <c r="C610" s="8">
        <f>CHOOSE( CONTROL!$C$32, 18.9827, 18.9778) * CHOOSE(CONTROL!$C$15, $D$11, 100%, $F$11)</f>
        <v>18.982700000000001</v>
      </c>
      <c r="D610" s="8">
        <f>CHOOSE( CONTROL!$C$32, 18.9922, 18.9873) * CHOOSE( CONTROL!$C$15, $D$11, 100%, $F$11)</f>
        <v>18.9922</v>
      </c>
      <c r="E610" s="12">
        <f>CHOOSE( CONTROL!$C$32, 18.9875, 18.9826) * CHOOSE( CONTROL!$C$15, $D$11, 100%, $F$11)</f>
        <v>18.987500000000001</v>
      </c>
      <c r="F610" s="4">
        <f>CHOOSE( CONTROL!$C$32, 19.6655, 19.6607) * CHOOSE(CONTROL!$C$15, $D$11, 100%, $F$11)</f>
        <v>19.665500000000002</v>
      </c>
      <c r="G610" s="8">
        <f>CHOOSE( CONTROL!$C$32, 18.6313, 18.6264) * CHOOSE( CONTROL!$C$15, $D$11, 100%, $F$11)</f>
        <v>18.6313</v>
      </c>
      <c r="H610" s="4">
        <f>CHOOSE( CONTROL!$C$32, 19.5682, 19.5634) * CHOOSE(CONTROL!$C$15, $D$11, 100%, $F$11)</f>
        <v>19.568200000000001</v>
      </c>
      <c r="I610" s="8">
        <f>CHOOSE( CONTROL!$C$32, 18.4165, 18.4118) * CHOOSE(CONTROL!$C$15, $D$11, 100%, $F$11)</f>
        <v>18.416499999999999</v>
      </c>
      <c r="J610" s="4">
        <f>CHOOSE( CONTROL!$C$32, 18.3116, 18.3069) * CHOOSE(CONTROL!$C$15, $D$11, 100%, $F$11)</f>
        <v>18.311599999999999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19.7896, 19.7847) * CHOOSE(CONTROL!$C$15, $D$11, 100%, $F$11)</f>
        <v>19.7896</v>
      </c>
      <c r="C611" s="8">
        <f>CHOOSE( CONTROL!$C$32, 19.7976, 19.7927) * CHOOSE(CONTROL!$C$15, $D$11, 100%, $F$11)</f>
        <v>19.797599999999999</v>
      </c>
      <c r="D611" s="8">
        <f>CHOOSE( CONTROL!$C$32, 19.8073, 19.8024) * CHOOSE( CONTROL!$C$15, $D$11, 100%, $F$11)</f>
        <v>19.807300000000001</v>
      </c>
      <c r="E611" s="12">
        <f>CHOOSE( CONTROL!$C$32, 19.8026, 19.7977) * CHOOSE( CONTROL!$C$15, $D$11, 100%, $F$11)</f>
        <v>19.802600000000002</v>
      </c>
      <c r="F611" s="4">
        <f>CHOOSE( CONTROL!$C$32, 20.4804, 20.4755) * CHOOSE(CONTROL!$C$15, $D$11, 100%, $F$11)</f>
        <v>20.480399999999999</v>
      </c>
      <c r="G611" s="8">
        <f>CHOOSE( CONTROL!$C$32, 19.433, 19.4282) * CHOOSE( CONTROL!$C$15, $D$11, 100%, $F$11)</f>
        <v>19.433</v>
      </c>
      <c r="H611" s="4">
        <f>CHOOSE( CONTROL!$C$32, 20.3696, 20.3648) * CHOOSE(CONTROL!$C$15, $D$11, 100%, $F$11)</f>
        <v>20.369599999999998</v>
      </c>
      <c r="I611" s="8">
        <f>CHOOSE( CONTROL!$C$32, 19.2057, 19.201) * CHOOSE(CONTROL!$C$15, $D$11, 100%, $F$11)</f>
        <v>19.2057</v>
      </c>
      <c r="J611" s="4">
        <f>CHOOSE( CONTROL!$C$32, 19.0994, 19.0946) * CHOOSE(CONTROL!$C$15, $D$11, 100%, $F$11)</f>
        <v>19.099399999999999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18.2648, 18.2599) * CHOOSE(CONTROL!$C$15, $D$11, 100%, $F$11)</f>
        <v>18.264800000000001</v>
      </c>
      <c r="C612" s="8">
        <f>CHOOSE( CONTROL!$C$32, 18.2729, 18.268) * CHOOSE(CONTROL!$C$15, $D$11, 100%, $F$11)</f>
        <v>18.2729</v>
      </c>
      <c r="D612" s="8">
        <f>CHOOSE( CONTROL!$C$32, 18.2827, 18.2778) * CHOOSE( CONTROL!$C$15, $D$11, 100%, $F$11)</f>
        <v>18.282699999999998</v>
      </c>
      <c r="E612" s="12">
        <f>CHOOSE( CONTROL!$C$32, 18.2779, 18.273) * CHOOSE( CONTROL!$C$15, $D$11, 100%, $F$11)</f>
        <v>18.277899999999999</v>
      </c>
      <c r="F612" s="4">
        <f>CHOOSE( CONTROL!$C$32, 18.9557, 18.9508) * CHOOSE(CONTROL!$C$15, $D$11, 100%, $F$11)</f>
        <v>18.9557</v>
      </c>
      <c r="G612" s="8">
        <f>CHOOSE( CONTROL!$C$32, 17.9336, 17.9288) * CHOOSE( CONTROL!$C$15, $D$11, 100%, $F$11)</f>
        <v>17.933599999999998</v>
      </c>
      <c r="H612" s="4">
        <f>CHOOSE( CONTROL!$C$32, 18.8701, 18.8653) * CHOOSE(CONTROL!$C$15, $D$11, 100%, $F$11)</f>
        <v>18.870100000000001</v>
      </c>
      <c r="I612" s="8">
        <f>CHOOSE( CONTROL!$C$32, 17.7314, 17.7266) * CHOOSE(CONTROL!$C$15, $D$11, 100%, $F$11)</f>
        <v>17.731400000000001</v>
      </c>
      <c r="J612" s="4">
        <f>CHOOSE( CONTROL!$C$32, 17.6254, 17.6207) * CHOOSE(CONTROL!$C$15, $D$11, 100%, $F$11)</f>
        <v>17.625399999999999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17.883, 17.8781) * CHOOSE(CONTROL!$C$15, $D$11, 100%, $F$11)</f>
        <v>17.882999999999999</v>
      </c>
      <c r="C613" s="8">
        <f>CHOOSE( CONTROL!$C$32, 17.891, 17.8862) * CHOOSE(CONTROL!$C$15, $D$11, 100%, $F$11)</f>
        <v>17.890999999999998</v>
      </c>
      <c r="D613" s="8">
        <f>CHOOSE( CONTROL!$C$32, 17.9008, 17.8959) * CHOOSE( CONTROL!$C$15, $D$11, 100%, $F$11)</f>
        <v>17.9008</v>
      </c>
      <c r="E613" s="12">
        <f>CHOOSE( CONTROL!$C$32, 17.896, 17.8912) * CHOOSE( CONTROL!$C$15, $D$11, 100%, $F$11)</f>
        <v>17.896000000000001</v>
      </c>
      <c r="F613" s="4">
        <f>CHOOSE( CONTROL!$C$32, 18.5739, 18.569) * CHOOSE(CONTROL!$C$15, $D$11, 100%, $F$11)</f>
        <v>18.573899999999998</v>
      </c>
      <c r="G613" s="8">
        <f>CHOOSE( CONTROL!$C$32, 17.5581, 17.5533) * CHOOSE( CONTROL!$C$15, $D$11, 100%, $F$11)</f>
        <v>17.5581</v>
      </c>
      <c r="H613" s="4">
        <f>CHOOSE( CONTROL!$C$32, 18.4947, 18.4898) * CHOOSE(CONTROL!$C$15, $D$11, 100%, $F$11)</f>
        <v>18.494700000000002</v>
      </c>
      <c r="I613" s="8">
        <f>CHOOSE( CONTROL!$C$32, 17.3619, 17.3572) * CHOOSE(CONTROL!$C$15, $D$11, 100%, $F$11)</f>
        <v>17.361899999999999</v>
      </c>
      <c r="J613" s="4">
        <f>CHOOSE( CONTROL!$C$32, 17.2563, 17.2516) * CHOOSE(CONTROL!$C$15, $D$11, 100%, $F$11)</f>
        <v>17.2563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18.6692 * CHOOSE(CONTROL!$C$15, $D$11, 100%, $F$11)</f>
        <v>18.6692</v>
      </c>
      <c r="C614" s="8">
        <f>18.6746 * CHOOSE(CONTROL!$C$15, $D$11, 100%, $F$11)</f>
        <v>18.674600000000002</v>
      </c>
      <c r="D614" s="8">
        <f>18.6891 * CHOOSE( CONTROL!$C$15, $D$11, 100%, $F$11)</f>
        <v>18.6891</v>
      </c>
      <c r="E614" s="12">
        <f>18.6837 * CHOOSE( CONTROL!$C$15, $D$11, 100%, $F$11)</f>
        <v>18.683700000000002</v>
      </c>
      <c r="F614" s="4">
        <f>19.3618 * CHOOSE(CONTROL!$C$15, $D$11, 100%, $F$11)</f>
        <v>19.361799999999999</v>
      </c>
      <c r="G614" s="8">
        <f>18.3322 * CHOOSE( CONTROL!$C$15, $D$11, 100%, $F$11)</f>
        <v>18.3322</v>
      </c>
      <c r="H614" s="4">
        <f>19.2695 * CHOOSE(CONTROL!$C$15, $D$11, 100%, $F$11)</f>
        <v>19.269500000000001</v>
      </c>
      <c r="I614" s="8">
        <f>18.1248 * CHOOSE(CONTROL!$C$15, $D$11, 100%, $F$11)</f>
        <v>18.1248</v>
      </c>
      <c r="J614" s="4">
        <f>18.0179 * CHOOSE(CONTROL!$C$15, $D$11, 100%, $F$11)</f>
        <v>18.017900000000001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20.1321 * CHOOSE(CONTROL!$C$15, $D$11, 100%, $F$11)</f>
        <v>20.132100000000001</v>
      </c>
      <c r="C615" s="8">
        <f>20.1372 * CHOOSE(CONTROL!$C$15, $D$11, 100%, $F$11)</f>
        <v>20.1372</v>
      </c>
      <c r="D615" s="8">
        <f>20.1142 * CHOOSE( CONTROL!$C$15, $D$11, 100%, $F$11)</f>
        <v>20.1142</v>
      </c>
      <c r="E615" s="12">
        <f>20.1221 * CHOOSE( CONTROL!$C$15, $D$11, 100%, $F$11)</f>
        <v>20.1221</v>
      </c>
      <c r="F615" s="4">
        <f>20.777 * CHOOSE(CONTROL!$C$15, $D$11, 100%, $F$11)</f>
        <v>20.777000000000001</v>
      </c>
      <c r="G615" s="8">
        <f>19.7792 * CHOOSE( CONTROL!$C$15, $D$11, 100%, $F$11)</f>
        <v>19.779199999999999</v>
      </c>
      <c r="H615" s="4">
        <f>20.6612 * CHOOSE(CONTROL!$C$15, $D$11, 100%, $F$11)</f>
        <v>20.661200000000001</v>
      </c>
      <c r="I615" s="8">
        <f>19.5647 * CHOOSE(CONTROL!$C$15, $D$11, 100%, $F$11)</f>
        <v>19.564699999999998</v>
      </c>
      <c r="J615" s="4">
        <f>19.4325 * CHOOSE(CONTROL!$C$15, $D$11, 100%, $F$11)</f>
        <v>19.432500000000001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20.0955 * CHOOSE(CONTROL!$C$15, $D$11, 100%, $F$11)</f>
        <v>20.095500000000001</v>
      </c>
      <c r="C616" s="8">
        <f>20.1006 * CHOOSE(CONTROL!$C$15, $D$11, 100%, $F$11)</f>
        <v>20.1006</v>
      </c>
      <c r="D616" s="8">
        <f>20.0791 * CHOOSE( CONTROL!$C$15, $D$11, 100%, $F$11)</f>
        <v>20.0791</v>
      </c>
      <c r="E616" s="12">
        <f>20.0864 * CHOOSE( CONTROL!$C$15, $D$11, 100%, $F$11)</f>
        <v>20.086400000000001</v>
      </c>
      <c r="F616" s="4">
        <f>20.7404 * CHOOSE(CONTROL!$C$15, $D$11, 100%, $F$11)</f>
        <v>20.740400000000001</v>
      </c>
      <c r="G616" s="8">
        <f>19.7444 * CHOOSE( CONTROL!$C$15, $D$11, 100%, $F$11)</f>
        <v>19.744399999999999</v>
      </c>
      <c r="H616" s="4">
        <f>20.6253 * CHOOSE(CONTROL!$C$15, $D$11, 100%, $F$11)</f>
        <v>20.625299999999999</v>
      </c>
      <c r="I616" s="8">
        <f>19.5343 * CHOOSE(CONTROL!$C$15, $D$11, 100%, $F$11)</f>
        <v>19.534300000000002</v>
      </c>
      <c r="J616" s="4">
        <f>19.3972 * CHOOSE(CONTROL!$C$15, $D$11, 100%, $F$11)</f>
        <v>19.397200000000002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20.8624 * CHOOSE(CONTROL!$C$15, $D$11, 100%, $F$11)</f>
        <v>20.862400000000001</v>
      </c>
      <c r="C617" s="8">
        <f>20.8675 * CHOOSE(CONTROL!$C$15, $D$11, 100%, $F$11)</f>
        <v>20.8675</v>
      </c>
      <c r="D617" s="8">
        <f>20.8421 * CHOOSE( CONTROL!$C$15, $D$11, 100%, $F$11)</f>
        <v>20.842099999999999</v>
      </c>
      <c r="E617" s="12">
        <f>20.8508 * CHOOSE( CONTROL!$C$15, $D$11, 100%, $F$11)</f>
        <v>20.8508</v>
      </c>
      <c r="F617" s="4">
        <f>21.5047 * CHOOSE(CONTROL!$C$15, $D$11, 100%, $F$11)</f>
        <v>21.5047</v>
      </c>
      <c r="G617" s="8">
        <f>20.4932 * CHOOSE( CONTROL!$C$15, $D$11, 100%, $F$11)</f>
        <v>20.493200000000002</v>
      </c>
      <c r="H617" s="4">
        <f>21.3769 * CHOOSE(CONTROL!$C$15, $D$11, 100%, $F$11)</f>
        <v>21.376899999999999</v>
      </c>
      <c r="I617" s="8">
        <f>20.2563 * CHOOSE(CONTROL!$C$15, $D$11, 100%, $F$11)</f>
        <v>20.2563</v>
      </c>
      <c r="J617" s="4">
        <f>20.1385 * CHOOSE(CONTROL!$C$15, $D$11, 100%, $F$11)</f>
        <v>20.138500000000001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19.5156 * CHOOSE(CONTROL!$C$15, $D$11, 100%, $F$11)</f>
        <v>19.515599999999999</v>
      </c>
      <c r="C618" s="8">
        <f>19.5208 * CHOOSE(CONTROL!$C$15, $D$11, 100%, $F$11)</f>
        <v>19.520800000000001</v>
      </c>
      <c r="D618" s="8">
        <f>19.4954 * CHOOSE( CONTROL!$C$15, $D$11, 100%, $F$11)</f>
        <v>19.4954</v>
      </c>
      <c r="E618" s="12">
        <f>19.5041 * CHOOSE( CONTROL!$C$15, $D$11, 100%, $F$11)</f>
        <v>19.504100000000001</v>
      </c>
      <c r="F618" s="4">
        <f>20.1579 * CHOOSE(CONTROL!$C$15, $D$11, 100%, $F$11)</f>
        <v>20.157900000000001</v>
      </c>
      <c r="G618" s="8">
        <f>19.1688 * CHOOSE( CONTROL!$C$15, $D$11, 100%, $F$11)</f>
        <v>19.168800000000001</v>
      </c>
      <c r="H618" s="4">
        <f>20.0524 * CHOOSE(CONTROL!$C$15, $D$11, 100%, $F$11)</f>
        <v>20.052399999999999</v>
      </c>
      <c r="I618" s="8">
        <f>18.954 * CHOOSE(CONTROL!$C$15, $D$11, 100%, $F$11)</f>
        <v>18.954000000000001</v>
      </c>
      <c r="J618" s="4">
        <f>18.8366 * CHOOSE(CONTROL!$C$15, $D$11, 100%, $F$11)</f>
        <v>18.836600000000001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19.1008 * CHOOSE(CONTROL!$C$15, $D$11, 100%, $F$11)</f>
        <v>19.1008</v>
      </c>
      <c r="C619" s="8">
        <f>19.106 * CHOOSE(CONTROL!$C$15, $D$11, 100%, $F$11)</f>
        <v>19.106000000000002</v>
      </c>
      <c r="D619" s="8">
        <f>19.0804 * CHOOSE( CONTROL!$C$15, $D$11, 100%, $F$11)</f>
        <v>19.080400000000001</v>
      </c>
      <c r="E619" s="12">
        <f>19.0892 * CHOOSE( CONTROL!$C$15, $D$11, 100%, $F$11)</f>
        <v>19.089200000000002</v>
      </c>
      <c r="F619" s="4">
        <f>19.7431 * CHOOSE(CONTROL!$C$15, $D$11, 100%, $F$11)</f>
        <v>19.743099999999998</v>
      </c>
      <c r="G619" s="8">
        <f>18.7607 * CHOOSE( CONTROL!$C$15, $D$11, 100%, $F$11)</f>
        <v>18.7607</v>
      </c>
      <c r="H619" s="4">
        <f>19.6445 * CHOOSE(CONTROL!$C$15, $D$11, 100%, $F$11)</f>
        <v>19.644500000000001</v>
      </c>
      <c r="I619" s="8">
        <f>18.552 * CHOOSE(CONTROL!$C$15, $D$11, 100%, $F$11)</f>
        <v>18.552</v>
      </c>
      <c r="J619" s="4">
        <f>18.4356 * CHOOSE(CONTROL!$C$15, $D$11, 100%, $F$11)</f>
        <v>18.435600000000001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19.3915 * CHOOSE(CONTROL!$C$15, $D$11, 100%, $F$11)</f>
        <v>19.391500000000001</v>
      </c>
      <c r="C620" s="8">
        <f>19.396 * CHOOSE(CONTROL!$C$15, $D$11, 100%, $F$11)</f>
        <v>19.396000000000001</v>
      </c>
      <c r="D620" s="8">
        <f>19.4103 * CHOOSE( CONTROL!$C$15, $D$11, 100%, $F$11)</f>
        <v>19.410299999999999</v>
      </c>
      <c r="E620" s="12">
        <f>19.4051 * CHOOSE( CONTROL!$C$15, $D$11, 100%, $F$11)</f>
        <v>19.405100000000001</v>
      </c>
      <c r="F620" s="4">
        <f>20.0837 * CHOOSE(CONTROL!$C$15, $D$11, 100%, $F$11)</f>
        <v>20.0837</v>
      </c>
      <c r="G620" s="8">
        <f>19.041 * CHOOSE( CONTROL!$C$15, $D$11, 100%, $F$11)</f>
        <v>19.041</v>
      </c>
      <c r="H620" s="4">
        <f>19.9794 * CHOOSE(CONTROL!$C$15, $D$11, 100%, $F$11)</f>
        <v>19.979399999999998</v>
      </c>
      <c r="I620" s="8">
        <f>18.8195 * CHOOSE(CONTROL!$C$15, $D$11, 100%, $F$11)</f>
        <v>18.819500000000001</v>
      </c>
      <c r="J620" s="4">
        <f>18.7158 * CHOOSE(CONTROL!$C$15, $D$11, 100%, $F$11)</f>
        <v>18.715800000000002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19.9136, 19.9087) * CHOOSE(CONTROL!$C$15, $D$11, 100%, $F$11)</f>
        <v>19.913599999999999</v>
      </c>
      <c r="C621" s="8">
        <f>CHOOSE( CONTROL!$C$32, 19.9216, 19.9167) * CHOOSE(CONTROL!$C$15, $D$11, 100%, $F$11)</f>
        <v>19.921600000000002</v>
      </c>
      <c r="D621" s="8">
        <f>CHOOSE( CONTROL!$C$32, 19.9309, 19.926) * CHOOSE( CONTROL!$C$15, $D$11, 100%, $F$11)</f>
        <v>19.930900000000001</v>
      </c>
      <c r="E621" s="12">
        <f>CHOOSE( CONTROL!$C$32, 19.9263, 19.9214) * CHOOSE( CONTROL!$C$15, $D$11, 100%, $F$11)</f>
        <v>19.926300000000001</v>
      </c>
      <c r="F621" s="4">
        <f>CHOOSE( CONTROL!$C$32, 20.6044, 20.5996) * CHOOSE(CONTROL!$C$15, $D$11, 100%, $F$11)</f>
        <v>20.604399999999998</v>
      </c>
      <c r="G621" s="8">
        <f>CHOOSE( CONTROL!$C$32, 19.5543, 19.5494) * CHOOSE( CONTROL!$C$15, $D$11, 100%, $F$11)</f>
        <v>19.554300000000001</v>
      </c>
      <c r="H621" s="4">
        <f>CHOOSE( CONTROL!$C$32, 20.4915, 20.4867) * CHOOSE(CONTROL!$C$15, $D$11, 100%, $F$11)</f>
        <v>20.491499999999998</v>
      </c>
      <c r="I621" s="8">
        <f>CHOOSE( CONTROL!$C$32, 19.3235, 19.3188) * CHOOSE(CONTROL!$C$15, $D$11, 100%, $F$11)</f>
        <v>19.323499999999999</v>
      </c>
      <c r="J621" s="4">
        <f>CHOOSE( CONTROL!$C$32, 19.2192, 19.2145) * CHOOSE(CONTROL!$C$15, $D$11, 100%, $F$11)</f>
        <v>19.219200000000001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19.594, 19.5891) * CHOOSE(CONTROL!$C$15, $D$11, 100%, $F$11)</f>
        <v>19.594000000000001</v>
      </c>
      <c r="C622" s="8">
        <f>CHOOSE( CONTROL!$C$32, 19.602, 19.5971) * CHOOSE(CONTROL!$C$15, $D$11, 100%, $F$11)</f>
        <v>19.602</v>
      </c>
      <c r="D622" s="8">
        <f>CHOOSE( CONTROL!$C$32, 19.6116, 19.6067) * CHOOSE( CONTROL!$C$15, $D$11, 100%, $F$11)</f>
        <v>19.611599999999999</v>
      </c>
      <c r="E622" s="12">
        <f>CHOOSE( CONTROL!$C$32, 19.6069, 19.602) * CHOOSE( CONTROL!$C$15, $D$11, 100%, $F$11)</f>
        <v>19.6069</v>
      </c>
      <c r="F622" s="4">
        <f>CHOOSE( CONTROL!$C$32, 20.2849, 20.28) * CHOOSE(CONTROL!$C$15, $D$11, 100%, $F$11)</f>
        <v>20.2849</v>
      </c>
      <c r="G622" s="8">
        <f>CHOOSE( CONTROL!$C$32, 19.2403, 19.2355) * CHOOSE( CONTROL!$C$15, $D$11, 100%, $F$11)</f>
        <v>19.240300000000001</v>
      </c>
      <c r="H622" s="4">
        <f>CHOOSE( CONTROL!$C$32, 20.1773, 20.1725) * CHOOSE(CONTROL!$C$15, $D$11, 100%, $F$11)</f>
        <v>20.177299999999999</v>
      </c>
      <c r="I622" s="8">
        <f>CHOOSE( CONTROL!$C$32, 19.0155, 19.0108) * CHOOSE(CONTROL!$C$15, $D$11, 100%, $F$11)</f>
        <v>19.015499999999999</v>
      </c>
      <c r="J622" s="4">
        <f>CHOOSE( CONTROL!$C$32, 18.9103, 18.9056) * CHOOSE(CONTROL!$C$15, $D$11, 100%, $F$11)</f>
        <v>18.910299999999999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20.4356, 20.4307) * CHOOSE(CONTROL!$C$15, $D$11, 100%, $F$11)</f>
        <v>20.435600000000001</v>
      </c>
      <c r="C623" s="8">
        <f>CHOOSE( CONTROL!$C$32, 20.4436, 20.4387) * CHOOSE(CONTROL!$C$15, $D$11, 100%, $F$11)</f>
        <v>20.4436</v>
      </c>
      <c r="D623" s="8">
        <f>CHOOSE( CONTROL!$C$32, 20.4533, 20.4484) * CHOOSE( CONTROL!$C$15, $D$11, 100%, $F$11)</f>
        <v>20.453299999999999</v>
      </c>
      <c r="E623" s="12">
        <f>CHOOSE( CONTROL!$C$32, 20.4486, 20.4437) * CHOOSE( CONTROL!$C$15, $D$11, 100%, $F$11)</f>
        <v>20.448599999999999</v>
      </c>
      <c r="F623" s="4">
        <f>CHOOSE( CONTROL!$C$32, 21.1264, 21.1215) * CHOOSE(CONTROL!$C$15, $D$11, 100%, $F$11)</f>
        <v>21.1264</v>
      </c>
      <c r="G623" s="8">
        <f>CHOOSE( CONTROL!$C$32, 20.0682, 20.0634) * CHOOSE( CONTROL!$C$15, $D$11, 100%, $F$11)</f>
        <v>20.068200000000001</v>
      </c>
      <c r="H623" s="4">
        <f>CHOOSE( CONTROL!$C$32, 21.0049, 21.0001) * CHOOSE(CONTROL!$C$15, $D$11, 100%, $F$11)</f>
        <v>21.004899999999999</v>
      </c>
      <c r="I623" s="8">
        <f>CHOOSE( CONTROL!$C$32, 19.8305, 19.8258) * CHOOSE(CONTROL!$C$15, $D$11, 100%, $F$11)</f>
        <v>19.830500000000001</v>
      </c>
      <c r="J623" s="4">
        <f>CHOOSE( CONTROL!$C$32, 19.7238, 19.7191) * CHOOSE(CONTROL!$C$15, $D$11, 100%, $F$11)</f>
        <v>19.723800000000001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18.861, 18.8561) * CHOOSE(CONTROL!$C$15, $D$11, 100%, $F$11)</f>
        <v>18.861000000000001</v>
      </c>
      <c r="C624" s="8">
        <f>CHOOSE( CONTROL!$C$32, 18.869, 18.8641) * CHOOSE(CONTROL!$C$15, $D$11, 100%, $F$11)</f>
        <v>18.869</v>
      </c>
      <c r="D624" s="8">
        <f>CHOOSE( CONTROL!$C$32, 18.8788, 18.8739) * CHOOSE( CONTROL!$C$15, $D$11, 100%, $F$11)</f>
        <v>18.878799999999998</v>
      </c>
      <c r="E624" s="12">
        <f>CHOOSE( CONTROL!$C$32, 18.874, 18.8691) * CHOOSE( CONTROL!$C$15, $D$11, 100%, $F$11)</f>
        <v>18.873999999999999</v>
      </c>
      <c r="F624" s="4">
        <f>CHOOSE( CONTROL!$C$32, 19.5518, 19.5469) * CHOOSE(CONTROL!$C$15, $D$11, 100%, $F$11)</f>
        <v>19.5518</v>
      </c>
      <c r="G624" s="8">
        <f>CHOOSE( CONTROL!$C$32, 18.5198, 18.515) * CHOOSE( CONTROL!$C$15, $D$11, 100%, $F$11)</f>
        <v>18.5198</v>
      </c>
      <c r="H624" s="4">
        <f>CHOOSE( CONTROL!$C$32, 19.4564, 19.4516) * CHOOSE(CONTROL!$C$15, $D$11, 100%, $F$11)</f>
        <v>19.456399999999999</v>
      </c>
      <c r="I624" s="8">
        <f>CHOOSE( CONTROL!$C$32, 18.3079, 18.3032) * CHOOSE(CONTROL!$C$15, $D$11, 100%, $F$11)</f>
        <v>18.3079</v>
      </c>
      <c r="J624" s="4">
        <f>CHOOSE( CONTROL!$C$32, 18.2016, 18.1969) * CHOOSE(CONTROL!$C$15, $D$11, 100%, $F$11)</f>
        <v>18.201599999999999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18.4667, 18.4618) * CHOOSE(CONTROL!$C$15, $D$11, 100%, $F$11)</f>
        <v>18.466699999999999</v>
      </c>
      <c r="C625" s="8">
        <f>CHOOSE( CONTROL!$C$32, 18.4747, 18.4698) * CHOOSE(CONTROL!$C$15, $D$11, 100%, $F$11)</f>
        <v>18.474699999999999</v>
      </c>
      <c r="D625" s="8">
        <f>CHOOSE( CONTROL!$C$32, 18.4844, 18.4796) * CHOOSE( CONTROL!$C$15, $D$11, 100%, $F$11)</f>
        <v>18.484400000000001</v>
      </c>
      <c r="E625" s="12">
        <f>CHOOSE( CONTROL!$C$32, 18.4797, 18.4748) * CHOOSE( CONTROL!$C$15, $D$11, 100%, $F$11)</f>
        <v>18.479700000000001</v>
      </c>
      <c r="F625" s="4">
        <f>CHOOSE( CONTROL!$C$32, 19.1575, 19.1526) * CHOOSE(CONTROL!$C$15, $D$11, 100%, $F$11)</f>
        <v>19.157499999999999</v>
      </c>
      <c r="G625" s="8">
        <f>CHOOSE( CONTROL!$C$32, 18.132, 18.1272) * CHOOSE( CONTROL!$C$15, $D$11, 100%, $F$11)</f>
        <v>18.132000000000001</v>
      </c>
      <c r="H625" s="4">
        <f>CHOOSE( CONTROL!$C$32, 19.0686, 19.0638) * CHOOSE(CONTROL!$C$15, $D$11, 100%, $F$11)</f>
        <v>19.0686</v>
      </c>
      <c r="I625" s="8">
        <f>CHOOSE( CONTROL!$C$32, 17.9264, 17.9216) * CHOOSE(CONTROL!$C$15, $D$11, 100%, $F$11)</f>
        <v>17.926400000000001</v>
      </c>
      <c r="J625" s="4">
        <f>CHOOSE( CONTROL!$C$32, 17.8205, 17.8158) * CHOOSE(CONTROL!$C$15, $D$11, 100%, $F$11)</f>
        <v>17.820499999999999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19.2787 * CHOOSE(CONTROL!$C$15, $D$11, 100%, $F$11)</f>
        <v>19.278700000000001</v>
      </c>
      <c r="C626" s="8">
        <f>19.2841 * CHOOSE(CONTROL!$C$15, $D$11, 100%, $F$11)</f>
        <v>19.284099999999999</v>
      </c>
      <c r="D626" s="8">
        <f>19.2987 * CHOOSE( CONTROL!$C$15, $D$11, 100%, $F$11)</f>
        <v>19.2987</v>
      </c>
      <c r="E626" s="12">
        <f>19.2933 * CHOOSE( CONTROL!$C$15, $D$11, 100%, $F$11)</f>
        <v>19.293299999999999</v>
      </c>
      <c r="F626" s="4">
        <f>19.9713 * CHOOSE(CONTROL!$C$15, $D$11, 100%, $F$11)</f>
        <v>19.971299999999999</v>
      </c>
      <c r="G626" s="8">
        <f>18.9316 * CHOOSE( CONTROL!$C$15, $D$11, 100%, $F$11)</f>
        <v>18.9316</v>
      </c>
      <c r="H626" s="4">
        <f>19.8689 * CHOOSE(CONTROL!$C$15, $D$11, 100%, $F$11)</f>
        <v>19.8689</v>
      </c>
      <c r="I626" s="8">
        <f>18.7143 * CHOOSE(CONTROL!$C$15, $D$11, 100%, $F$11)</f>
        <v>18.714300000000001</v>
      </c>
      <c r="J626" s="4">
        <f>18.6072 * CHOOSE(CONTROL!$C$15, $D$11, 100%, $F$11)</f>
        <v>18.607199999999999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20.7895 * CHOOSE(CONTROL!$C$15, $D$11, 100%, $F$11)</f>
        <v>20.7895</v>
      </c>
      <c r="C627" s="8">
        <f>20.7946 * CHOOSE(CONTROL!$C$15, $D$11, 100%, $F$11)</f>
        <v>20.794599999999999</v>
      </c>
      <c r="D627" s="8">
        <f>20.7716 * CHOOSE( CONTROL!$C$15, $D$11, 100%, $F$11)</f>
        <v>20.771599999999999</v>
      </c>
      <c r="E627" s="12">
        <f>20.7795 * CHOOSE( CONTROL!$C$15, $D$11, 100%, $F$11)</f>
        <v>20.779499999999999</v>
      </c>
      <c r="F627" s="4">
        <f>21.4344 * CHOOSE(CONTROL!$C$15, $D$11, 100%, $F$11)</f>
        <v>21.4344</v>
      </c>
      <c r="G627" s="8">
        <f>20.4257 * CHOOSE( CONTROL!$C$15, $D$11, 100%, $F$11)</f>
        <v>20.425699999999999</v>
      </c>
      <c r="H627" s="4">
        <f>21.3077 * CHOOSE(CONTROL!$C$15, $D$11, 100%, $F$11)</f>
        <v>21.307700000000001</v>
      </c>
      <c r="I627" s="8">
        <f>20.2005 * CHOOSE(CONTROL!$C$15, $D$11, 100%, $F$11)</f>
        <v>20.200500000000002</v>
      </c>
      <c r="J627" s="4">
        <f>20.068 * CHOOSE(CONTROL!$C$15, $D$11, 100%, $F$11)</f>
        <v>20.068000000000001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20.7517 * CHOOSE(CONTROL!$C$15, $D$11, 100%, $F$11)</f>
        <v>20.7517</v>
      </c>
      <c r="C628" s="8">
        <f>20.7568 * CHOOSE(CONTROL!$C$15, $D$11, 100%, $F$11)</f>
        <v>20.756799999999998</v>
      </c>
      <c r="D628" s="8">
        <f>20.7354 * CHOOSE( CONTROL!$C$15, $D$11, 100%, $F$11)</f>
        <v>20.735399999999998</v>
      </c>
      <c r="E628" s="12">
        <f>20.7427 * CHOOSE( CONTROL!$C$15, $D$11, 100%, $F$11)</f>
        <v>20.742699999999999</v>
      </c>
      <c r="F628" s="4">
        <f>21.3966 * CHOOSE(CONTROL!$C$15, $D$11, 100%, $F$11)</f>
        <v>21.396599999999999</v>
      </c>
      <c r="G628" s="8">
        <f>20.3897 * CHOOSE( CONTROL!$C$15, $D$11, 100%, $F$11)</f>
        <v>20.389700000000001</v>
      </c>
      <c r="H628" s="4">
        <f>21.2706 * CHOOSE(CONTROL!$C$15, $D$11, 100%, $F$11)</f>
        <v>21.270600000000002</v>
      </c>
      <c r="I628" s="8">
        <f>20.169 * CHOOSE(CONTROL!$C$15, $D$11, 100%, $F$11)</f>
        <v>20.169</v>
      </c>
      <c r="J628" s="4">
        <f>20.0315 * CHOOSE(CONTROL!$C$15, $D$11, 100%, $F$11)</f>
        <v>20.031500000000001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21.5437 * CHOOSE(CONTROL!$C$15, $D$11, 100%, $F$11)</f>
        <v>21.543700000000001</v>
      </c>
      <c r="C629" s="8">
        <f>21.5488 * CHOOSE(CONTROL!$C$15, $D$11, 100%, $F$11)</f>
        <v>21.5488</v>
      </c>
      <c r="D629" s="8">
        <f>21.5234 * CHOOSE( CONTROL!$C$15, $D$11, 100%, $F$11)</f>
        <v>21.523399999999999</v>
      </c>
      <c r="E629" s="12">
        <f>21.5321 * CHOOSE( CONTROL!$C$15, $D$11, 100%, $F$11)</f>
        <v>21.5321</v>
      </c>
      <c r="F629" s="4">
        <f>22.186 * CHOOSE(CONTROL!$C$15, $D$11, 100%, $F$11)</f>
        <v>22.186</v>
      </c>
      <c r="G629" s="8">
        <f>21.1632 * CHOOSE( CONTROL!$C$15, $D$11, 100%, $F$11)</f>
        <v>21.1632</v>
      </c>
      <c r="H629" s="4">
        <f>22.0469 * CHOOSE(CONTROL!$C$15, $D$11, 100%, $F$11)</f>
        <v>22.046900000000001</v>
      </c>
      <c r="I629" s="8">
        <f>20.9152 * CHOOSE(CONTROL!$C$15, $D$11, 100%, $F$11)</f>
        <v>20.915199999999999</v>
      </c>
      <c r="J629" s="4">
        <f>20.7971 * CHOOSE(CONTROL!$C$15, $D$11, 100%, $F$11)</f>
        <v>20.7971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20.1529 * CHOOSE(CONTROL!$C$15, $D$11, 100%, $F$11)</f>
        <v>20.152899999999999</v>
      </c>
      <c r="C630" s="8">
        <f>20.158 * CHOOSE(CONTROL!$C$15, $D$11, 100%, $F$11)</f>
        <v>20.158000000000001</v>
      </c>
      <c r="D630" s="8">
        <f>20.1327 * CHOOSE( CONTROL!$C$15, $D$11, 100%, $F$11)</f>
        <v>20.1327</v>
      </c>
      <c r="E630" s="12">
        <f>20.1414 * CHOOSE( CONTROL!$C$15, $D$11, 100%, $F$11)</f>
        <v>20.141400000000001</v>
      </c>
      <c r="F630" s="4">
        <f>20.7952 * CHOOSE(CONTROL!$C$15, $D$11, 100%, $F$11)</f>
        <v>20.795200000000001</v>
      </c>
      <c r="G630" s="8">
        <f>19.7955 * CHOOSE( CONTROL!$C$15, $D$11, 100%, $F$11)</f>
        <v>19.795500000000001</v>
      </c>
      <c r="H630" s="4">
        <f>20.6791 * CHOOSE(CONTROL!$C$15, $D$11, 100%, $F$11)</f>
        <v>20.679099999999998</v>
      </c>
      <c r="I630" s="8">
        <f>19.5704 * CHOOSE(CONTROL!$C$15, $D$11, 100%, $F$11)</f>
        <v>19.570399999999999</v>
      </c>
      <c r="J630" s="4">
        <f>19.4526 * CHOOSE(CONTROL!$C$15, $D$11, 100%, $F$11)</f>
        <v>19.4526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19.7245 * CHOOSE(CONTROL!$C$15, $D$11, 100%, $F$11)</f>
        <v>19.724499999999999</v>
      </c>
      <c r="C631" s="8">
        <f>19.7296 * CHOOSE(CONTROL!$C$15, $D$11, 100%, $F$11)</f>
        <v>19.729600000000001</v>
      </c>
      <c r="D631" s="8">
        <f>19.7041 * CHOOSE( CONTROL!$C$15, $D$11, 100%, $F$11)</f>
        <v>19.7041</v>
      </c>
      <c r="E631" s="12">
        <f>19.7129 * CHOOSE( CONTROL!$C$15, $D$11, 100%, $F$11)</f>
        <v>19.712900000000001</v>
      </c>
      <c r="F631" s="4">
        <f>20.3668 * CHOOSE(CONTROL!$C$15, $D$11, 100%, $F$11)</f>
        <v>20.366800000000001</v>
      </c>
      <c r="G631" s="8">
        <f>19.3741 * CHOOSE( CONTROL!$C$15, $D$11, 100%, $F$11)</f>
        <v>19.374099999999999</v>
      </c>
      <c r="H631" s="4">
        <f>20.2579 * CHOOSE(CONTROL!$C$15, $D$11, 100%, $F$11)</f>
        <v>20.257899999999999</v>
      </c>
      <c r="I631" s="8">
        <f>19.1552 * CHOOSE(CONTROL!$C$15, $D$11, 100%, $F$11)</f>
        <v>19.155200000000001</v>
      </c>
      <c r="J631" s="4">
        <f>19.0385 * CHOOSE(CONTROL!$C$15, $D$11, 100%, $F$11)</f>
        <v>19.038499999999999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20.0246 * CHOOSE(CONTROL!$C$15, $D$11, 100%, $F$11)</f>
        <v>20.0246</v>
      </c>
      <c r="C632" s="8">
        <f>20.0292 * CHOOSE(CONTROL!$C$15, $D$11, 100%, $F$11)</f>
        <v>20.029199999999999</v>
      </c>
      <c r="D632" s="8">
        <f>20.0435 * CHOOSE( CONTROL!$C$15, $D$11, 100%, $F$11)</f>
        <v>20.043500000000002</v>
      </c>
      <c r="E632" s="12">
        <f>20.0383 * CHOOSE( CONTROL!$C$15, $D$11, 100%, $F$11)</f>
        <v>20.0383</v>
      </c>
      <c r="F632" s="4">
        <f>20.7168 * CHOOSE(CONTROL!$C$15, $D$11, 100%, $F$11)</f>
        <v>20.716799999999999</v>
      </c>
      <c r="G632" s="8">
        <f>19.6637 * CHOOSE( CONTROL!$C$15, $D$11, 100%, $F$11)</f>
        <v>19.663699999999999</v>
      </c>
      <c r="H632" s="4">
        <f>20.6021 * CHOOSE(CONTROL!$C$15, $D$11, 100%, $F$11)</f>
        <v>20.6021</v>
      </c>
      <c r="I632" s="8">
        <f>19.4319 * CHOOSE(CONTROL!$C$15, $D$11, 100%, $F$11)</f>
        <v>19.431899999999999</v>
      </c>
      <c r="J632" s="4">
        <f>19.3279 * CHOOSE(CONTROL!$C$15, $D$11, 100%, $F$11)</f>
        <v>19.3279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20.5636, 20.5587) * CHOOSE(CONTROL!$C$15, $D$11, 100%, $F$11)</f>
        <v>20.563600000000001</v>
      </c>
      <c r="C633" s="8">
        <f>CHOOSE( CONTROL!$C$32, 20.5716, 20.5667) * CHOOSE(CONTROL!$C$15, $D$11, 100%, $F$11)</f>
        <v>20.5716</v>
      </c>
      <c r="D633" s="8">
        <f>CHOOSE( CONTROL!$C$32, 20.5809, 20.576) * CHOOSE( CONTROL!$C$15, $D$11, 100%, $F$11)</f>
        <v>20.5809</v>
      </c>
      <c r="E633" s="12">
        <f>CHOOSE( CONTROL!$C$32, 20.5763, 20.5714) * CHOOSE( CONTROL!$C$15, $D$11, 100%, $F$11)</f>
        <v>20.5763</v>
      </c>
      <c r="F633" s="4">
        <f>CHOOSE( CONTROL!$C$32, 21.2545, 21.2496) * CHOOSE(CONTROL!$C$15, $D$11, 100%, $F$11)</f>
        <v>21.2545</v>
      </c>
      <c r="G633" s="8">
        <f>CHOOSE( CONTROL!$C$32, 20.1935, 20.1887) * CHOOSE( CONTROL!$C$15, $D$11, 100%, $F$11)</f>
        <v>20.1935</v>
      </c>
      <c r="H633" s="4">
        <f>CHOOSE( CONTROL!$C$32, 21.1308, 21.126) * CHOOSE(CONTROL!$C$15, $D$11, 100%, $F$11)</f>
        <v>21.130800000000001</v>
      </c>
      <c r="I633" s="8">
        <f>CHOOSE( CONTROL!$C$32, 19.9522, 19.9475) * CHOOSE(CONTROL!$C$15, $D$11, 100%, $F$11)</f>
        <v>19.952200000000001</v>
      </c>
      <c r="J633" s="4">
        <f>CHOOSE( CONTROL!$C$32, 19.8476, 19.8429) * CHOOSE(CONTROL!$C$15, $D$11, 100%, $F$11)</f>
        <v>19.8476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20.2336, 20.2287) * CHOOSE(CONTROL!$C$15, $D$11, 100%, $F$11)</f>
        <v>20.233599999999999</v>
      </c>
      <c r="C634" s="8">
        <f>CHOOSE( CONTROL!$C$32, 20.2416, 20.2367) * CHOOSE(CONTROL!$C$15, $D$11, 100%, $F$11)</f>
        <v>20.241599999999998</v>
      </c>
      <c r="D634" s="8">
        <f>CHOOSE( CONTROL!$C$32, 20.2511, 20.2462) * CHOOSE( CONTROL!$C$15, $D$11, 100%, $F$11)</f>
        <v>20.251100000000001</v>
      </c>
      <c r="E634" s="12">
        <f>CHOOSE( CONTROL!$C$32, 20.2464, 20.2415) * CHOOSE( CONTROL!$C$15, $D$11, 100%, $F$11)</f>
        <v>20.246400000000001</v>
      </c>
      <c r="F634" s="4">
        <f>CHOOSE( CONTROL!$C$32, 20.9245, 20.9196) * CHOOSE(CONTROL!$C$15, $D$11, 100%, $F$11)</f>
        <v>20.924499999999998</v>
      </c>
      <c r="G634" s="8">
        <f>CHOOSE( CONTROL!$C$32, 19.8693, 19.8645) * CHOOSE( CONTROL!$C$15, $D$11, 100%, $F$11)</f>
        <v>19.869299999999999</v>
      </c>
      <c r="H634" s="4">
        <f>CHOOSE( CONTROL!$C$32, 20.8063, 20.8014) * CHOOSE(CONTROL!$C$15, $D$11, 100%, $F$11)</f>
        <v>20.8063</v>
      </c>
      <c r="I634" s="8">
        <f>CHOOSE( CONTROL!$C$32, 19.6341, 19.6294) * CHOOSE(CONTROL!$C$15, $D$11, 100%, $F$11)</f>
        <v>19.6341</v>
      </c>
      <c r="J634" s="4">
        <f>CHOOSE( CONTROL!$C$32, 19.5286, 19.5239) * CHOOSE(CONTROL!$C$15, $D$11, 100%, $F$11)</f>
        <v>19.528600000000001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21.1027, 21.0978) * CHOOSE(CONTROL!$C$15, $D$11, 100%, $F$11)</f>
        <v>21.102699999999999</v>
      </c>
      <c r="C635" s="8">
        <f>CHOOSE( CONTROL!$C$32, 21.1107, 21.1058) * CHOOSE(CONTROL!$C$15, $D$11, 100%, $F$11)</f>
        <v>21.110700000000001</v>
      </c>
      <c r="D635" s="8">
        <f>CHOOSE( CONTROL!$C$32, 21.1204, 21.1155) * CHOOSE( CONTROL!$C$15, $D$11, 100%, $F$11)</f>
        <v>21.1204</v>
      </c>
      <c r="E635" s="12">
        <f>CHOOSE( CONTROL!$C$32, 21.1157, 21.1108) * CHOOSE( CONTROL!$C$15, $D$11, 100%, $F$11)</f>
        <v>21.1157</v>
      </c>
      <c r="F635" s="4">
        <f>CHOOSE( CONTROL!$C$32, 21.7935, 21.7886) * CHOOSE(CONTROL!$C$15, $D$11, 100%, $F$11)</f>
        <v>21.793500000000002</v>
      </c>
      <c r="G635" s="8">
        <f>CHOOSE( CONTROL!$C$32, 20.7243, 20.7195) * CHOOSE( CONTROL!$C$15, $D$11, 100%, $F$11)</f>
        <v>20.724299999999999</v>
      </c>
      <c r="H635" s="4">
        <f>CHOOSE( CONTROL!$C$32, 21.6609, 21.6561) * CHOOSE(CONTROL!$C$15, $D$11, 100%, $F$11)</f>
        <v>21.660900000000002</v>
      </c>
      <c r="I635" s="8">
        <f>CHOOSE( CONTROL!$C$32, 20.4757, 20.471) * CHOOSE(CONTROL!$C$15, $D$11, 100%, $F$11)</f>
        <v>20.4757</v>
      </c>
      <c r="J635" s="4">
        <f>CHOOSE( CONTROL!$C$32, 20.3687, 20.364) * CHOOSE(CONTROL!$C$15, $D$11, 100%, $F$11)</f>
        <v>20.3687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19.4766, 19.4717) * CHOOSE(CONTROL!$C$15, $D$11, 100%, $F$11)</f>
        <v>19.476600000000001</v>
      </c>
      <c r="C636" s="8">
        <f>CHOOSE( CONTROL!$C$32, 19.4846, 19.4797) * CHOOSE(CONTROL!$C$15, $D$11, 100%, $F$11)</f>
        <v>19.4846</v>
      </c>
      <c r="D636" s="8">
        <f>CHOOSE( CONTROL!$C$32, 19.4944, 19.4895) * CHOOSE( CONTROL!$C$15, $D$11, 100%, $F$11)</f>
        <v>19.494399999999999</v>
      </c>
      <c r="E636" s="12">
        <f>CHOOSE( CONTROL!$C$32, 19.4896, 19.4847) * CHOOSE( CONTROL!$C$15, $D$11, 100%, $F$11)</f>
        <v>19.489599999999999</v>
      </c>
      <c r="F636" s="4">
        <f>CHOOSE( CONTROL!$C$32, 20.1674, 20.1625) * CHOOSE(CONTROL!$C$15, $D$11, 100%, $F$11)</f>
        <v>20.167400000000001</v>
      </c>
      <c r="G636" s="8">
        <f>CHOOSE( CONTROL!$C$32, 19.1252, 19.1204) * CHOOSE( CONTROL!$C$15, $D$11, 100%, $F$11)</f>
        <v>19.1252</v>
      </c>
      <c r="H636" s="4">
        <f>CHOOSE( CONTROL!$C$32, 20.0618, 20.057) * CHOOSE(CONTROL!$C$15, $D$11, 100%, $F$11)</f>
        <v>20.061800000000002</v>
      </c>
      <c r="I636" s="8">
        <f>CHOOSE( CONTROL!$C$32, 18.9033, 18.8986) * CHOOSE(CONTROL!$C$15, $D$11, 100%, $F$11)</f>
        <v>18.903300000000002</v>
      </c>
      <c r="J636" s="4">
        <f>CHOOSE( CONTROL!$C$32, 18.7968, 18.792) * CHOOSE(CONTROL!$C$15, $D$11, 100%, $F$11)</f>
        <v>18.796800000000001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19.0694, 19.0645) * CHOOSE(CONTROL!$C$15, $D$11, 100%, $F$11)</f>
        <v>19.069400000000002</v>
      </c>
      <c r="C637" s="8">
        <f>CHOOSE( CONTROL!$C$32, 19.0774, 19.0725) * CHOOSE(CONTROL!$C$15, $D$11, 100%, $F$11)</f>
        <v>19.077400000000001</v>
      </c>
      <c r="D637" s="8">
        <f>CHOOSE( CONTROL!$C$32, 19.0872, 19.0823) * CHOOSE( CONTROL!$C$15, $D$11, 100%, $F$11)</f>
        <v>19.087199999999999</v>
      </c>
      <c r="E637" s="12">
        <f>CHOOSE( CONTROL!$C$32, 19.0824, 19.0775) * CHOOSE( CONTROL!$C$15, $D$11, 100%, $F$11)</f>
        <v>19.0824</v>
      </c>
      <c r="F637" s="4">
        <f>CHOOSE( CONTROL!$C$32, 19.7602, 19.7553) * CHOOSE(CONTROL!$C$15, $D$11, 100%, $F$11)</f>
        <v>19.760200000000001</v>
      </c>
      <c r="G637" s="8">
        <f>CHOOSE( CONTROL!$C$32, 18.7247, 18.7199) * CHOOSE( CONTROL!$C$15, $D$11, 100%, $F$11)</f>
        <v>18.724699999999999</v>
      </c>
      <c r="H637" s="4">
        <f>CHOOSE( CONTROL!$C$32, 19.6613, 19.6565) * CHOOSE(CONTROL!$C$15, $D$11, 100%, $F$11)</f>
        <v>19.661300000000001</v>
      </c>
      <c r="I637" s="8">
        <f>CHOOSE( CONTROL!$C$32, 18.5093, 18.5046) * CHOOSE(CONTROL!$C$15, $D$11, 100%, $F$11)</f>
        <v>18.5093</v>
      </c>
      <c r="J637" s="4">
        <f>CHOOSE( CONTROL!$C$32, 18.4031, 18.3984) * CHOOSE(CONTROL!$C$15, $D$11, 100%, $F$11)</f>
        <v>18.403099999999998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19.9082 * CHOOSE(CONTROL!$C$15, $D$11, 100%, $F$11)</f>
        <v>19.908200000000001</v>
      </c>
      <c r="C638" s="8">
        <f>19.9136 * CHOOSE(CONTROL!$C$15, $D$11, 100%, $F$11)</f>
        <v>19.913599999999999</v>
      </c>
      <c r="D638" s="8">
        <f>19.9281 * CHOOSE( CONTROL!$C$15, $D$11, 100%, $F$11)</f>
        <v>19.928100000000001</v>
      </c>
      <c r="E638" s="12">
        <f>19.9227 * CHOOSE( CONTROL!$C$15, $D$11, 100%, $F$11)</f>
        <v>19.922699999999999</v>
      </c>
      <c r="F638" s="4">
        <f>20.6008 * CHOOSE(CONTROL!$C$15, $D$11, 100%, $F$11)</f>
        <v>20.6008</v>
      </c>
      <c r="G638" s="8">
        <f>19.5506 * CHOOSE( CONTROL!$C$15, $D$11, 100%, $F$11)</f>
        <v>19.550599999999999</v>
      </c>
      <c r="H638" s="4">
        <f>20.488 * CHOOSE(CONTROL!$C$15, $D$11, 100%, $F$11)</f>
        <v>20.488</v>
      </c>
      <c r="I638" s="8">
        <f>19.3231 * CHOOSE(CONTROL!$C$15, $D$11, 100%, $F$11)</f>
        <v>19.3231</v>
      </c>
      <c r="J638" s="4">
        <f>19.2157 * CHOOSE(CONTROL!$C$15, $D$11, 100%, $F$11)</f>
        <v>19.215699999999998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21.4684 * CHOOSE(CONTROL!$C$15, $D$11, 100%, $F$11)</f>
        <v>21.468399999999999</v>
      </c>
      <c r="C639" s="8">
        <f>21.4735 * CHOOSE(CONTROL!$C$15, $D$11, 100%, $F$11)</f>
        <v>21.473500000000001</v>
      </c>
      <c r="D639" s="8">
        <f>21.4505 * CHOOSE( CONTROL!$C$15, $D$11, 100%, $F$11)</f>
        <v>21.450500000000002</v>
      </c>
      <c r="E639" s="12">
        <f>21.4584 * CHOOSE( CONTROL!$C$15, $D$11, 100%, $F$11)</f>
        <v>21.458400000000001</v>
      </c>
      <c r="F639" s="4">
        <f>22.1133 * CHOOSE(CONTROL!$C$15, $D$11, 100%, $F$11)</f>
        <v>22.113299999999999</v>
      </c>
      <c r="G639" s="8">
        <f>21.0933 * CHOOSE( CONTROL!$C$15, $D$11, 100%, $F$11)</f>
        <v>21.093299999999999</v>
      </c>
      <c r="H639" s="4">
        <f>21.9754 * CHOOSE(CONTROL!$C$15, $D$11, 100%, $F$11)</f>
        <v>21.9754</v>
      </c>
      <c r="I639" s="8">
        <f>20.8572 * CHOOSE(CONTROL!$C$15, $D$11, 100%, $F$11)</f>
        <v>20.857199999999999</v>
      </c>
      <c r="J639" s="4">
        <f>20.7243 * CHOOSE(CONTROL!$C$15, $D$11, 100%, $F$11)</f>
        <v>20.724299999999999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21.4294 * CHOOSE(CONTROL!$C$15, $D$11, 100%, $F$11)</f>
        <v>21.429400000000001</v>
      </c>
      <c r="C640" s="8">
        <f>21.4345 * CHOOSE(CONTROL!$C$15, $D$11, 100%, $F$11)</f>
        <v>21.4345</v>
      </c>
      <c r="D640" s="8">
        <f>21.413 * CHOOSE( CONTROL!$C$15, $D$11, 100%, $F$11)</f>
        <v>21.413</v>
      </c>
      <c r="E640" s="12">
        <f>21.4203 * CHOOSE( CONTROL!$C$15, $D$11, 100%, $F$11)</f>
        <v>21.420300000000001</v>
      </c>
      <c r="F640" s="4">
        <f>22.0743 * CHOOSE(CONTROL!$C$15, $D$11, 100%, $F$11)</f>
        <v>22.074300000000001</v>
      </c>
      <c r="G640" s="8">
        <f>21.0561 * CHOOSE( CONTROL!$C$15, $D$11, 100%, $F$11)</f>
        <v>21.056100000000001</v>
      </c>
      <c r="H640" s="4">
        <f>21.937 * CHOOSE(CONTROL!$C$15, $D$11, 100%, $F$11)</f>
        <v>21.937000000000001</v>
      </c>
      <c r="I640" s="8">
        <f>20.8244 * CHOOSE(CONTROL!$C$15, $D$11, 100%, $F$11)</f>
        <v>20.824400000000001</v>
      </c>
      <c r="J640" s="4">
        <f>20.6866 * CHOOSE(CONTROL!$C$15, $D$11, 100%, $F$11)</f>
        <v>20.686599999999999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22.2473 * CHOOSE(CONTROL!$C$15, $D$11, 100%, $F$11)</f>
        <v>22.247299999999999</v>
      </c>
      <c r="C641" s="8">
        <f>22.2524 * CHOOSE(CONTROL!$C$15, $D$11, 100%, $F$11)</f>
        <v>22.252400000000002</v>
      </c>
      <c r="D641" s="8">
        <f>22.227 * CHOOSE( CONTROL!$C$15, $D$11, 100%, $F$11)</f>
        <v>22.227</v>
      </c>
      <c r="E641" s="12">
        <f>22.2357 * CHOOSE( CONTROL!$C$15, $D$11, 100%, $F$11)</f>
        <v>22.235700000000001</v>
      </c>
      <c r="F641" s="4">
        <f>22.8896 * CHOOSE(CONTROL!$C$15, $D$11, 100%, $F$11)</f>
        <v>22.889600000000002</v>
      </c>
      <c r="G641" s="8">
        <f>21.8551 * CHOOSE( CONTROL!$C$15, $D$11, 100%, $F$11)</f>
        <v>21.8551</v>
      </c>
      <c r="H641" s="4">
        <f>22.7388 * CHOOSE(CONTROL!$C$15, $D$11, 100%, $F$11)</f>
        <v>22.738800000000001</v>
      </c>
      <c r="I641" s="8">
        <f>21.5957 * CHOOSE(CONTROL!$C$15, $D$11, 100%, $F$11)</f>
        <v>21.595700000000001</v>
      </c>
      <c r="J641" s="4">
        <f>21.4773 * CHOOSE(CONTROL!$C$15, $D$11, 100%, $F$11)</f>
        <v>21.4773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20.811 * CHOOSE(CONTROL!$C$15, $D$11, 100%, $F$11)</f>
        <v>20.811</v>
      </c>
      <c r="C642" s="8">
        <f>20.8161 * CHOOSE(CONTROL!$C$15, $D$11, 100%, $F$11)</f>
        <v>20.816099999999999</v>
      </c>
      <c r="D642" s="8">
        <f>20.7908 * CHOOSE( CONTROL!$C$15, $D$11, 100%, $F$11)</f>
        <v>20.790800000000001</v>
      </c>
      <c r="E642" s="12">
        <f>20.7995 * CHOOSE( CONTROL!$C$15, $D$11, 100%, $F$11)</f>
        <v>20.799499999999998</v>
      </c>
      <c r="F642" s="4">
        <f>21.4533 * CHOOSE(CONTROL!$C$15, $D$11, 100%, $F$11)</f>
        <v>21.453299999999999</v>
      </c>
      <c r="G642" s="8">
        <f>20.4427 * CHOOSE( CONTROL!$C$15, $D$11, 100%, $F$11)</f>
        <v>20.442699999999999</v>
      </c>
      <c r="H642" s="4">
        <f>21.3263 * CHOOSE(CONTROL!$C$15, $D$11, 100%, $F$11)</f>
        <v>21.3263</v>
      </c>
      <c r="I642" s="8">
        <f>20.2068 * CHOOSE(CONTROL!$C$15, $D$11, 100%, $F$11)</f>
        <v>20.206800000000001</v>
      </c>
      <c r="J642" s="4">
        <f>20.0888 * CHOOSE(CONTROL!$C$15, $D$11, 100%, $F$11)</f>
        <v>20.088799999999999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20.3686 * CHOOSE(CONTROL!$C$15, $D$11, 100%, $F$11)</f>
        <v>20.368600000000001</v>
      </c>
      <c r="C643" s="8">
        <f>20.3737 * CHOOSE(CONTROL!$C$15, $D$11, 100%, $F$11)</f>
        <v>20.373699999999999</v>
      </c>
      <c r="D643" s="8">
        <f>20.3481 * CHOOSE( CONTROL!$C$15, $D$11, 100%, $F$11)</f>
        <v>20.348099999999999</v>
      </c>
      <c r="E643" s="12">
        <f>20.3569 * CHOOSE( CONTROL!$C$15, $D$11, 100%, $F$11)</f>
        <v>20.3569</v>
      </c>
      <c r="F643" s="4">
        <f>21.0109 * CHOOSE(CONTROL!$C$15, $D$11, 100%, $F$11)</f>
        <v>21.010899999999999</v>
      </c>
      <c r="G643" s="8">
        <f>20.0075 * CHOOSE( CONTROL!$C$15, $D$11, 100%, $F$11)</f>
        <v>20.0075</v>
      </c>
      <c r="H643" s="4">
        <f>20.8913 * CHOOSE(CONTROL!$C$15, $D$11, 100%, $F$11)</f>
        <v>20.891300000000001</v>
      </c>
      <c r="I643" s="8">
        <f>19.7781 * CHOOSE(CONTROL!$C$15, $D$11, 100%, $F$11)</f>
        <v>19.778099999999998</v>
      </c>
      <c r="J643" s="4">
        <f>19.6611 * CHOOSE(CONTROL!$C$15, $D$11, 100%, $F$11)</f>
        <v>19.661100000000001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20.6785 * CHOOSE(CONTROL!$C$15, $D$11, 100%, $F$11)</f>
        <v>20.6785</v>
      </c>
      <c r="C644" s="8">
        <f>20.683 * CHOOSE(CONTROL!$C$15, $D$11, 100%, $F$11)</f>
        <v>20.683</v>
      </c>
      <c r="D644" s="8">
        <f>20.6973 * CHOOSE( CONTROL!$C$15, $D$11, 100%, $F$11)</f>
        <v>20.697299999999998</v>
      </c>
      <c r="E644" s="12">
        <f>20.6921 * CHOOSE( CONTROL!$C$15, $D$11, 100%, $F$11)</f>
        <v>20.6921</v>
      </c>
      <c r="F644" s="4">
        <f>21.3707 * CHOOSE(CONTROL!$C$15, $D$11, 100%, $F$11)</f>
        <v>21.370699999999999</v>
      </c>
      <c r="G644" s="8">
        <f>20.3067 * CHOOSE( CONTROL!$C$15, $D$11, 100%, $F$11)</f>
        <v>20.306699999999999</v>
      </c>
      <c r="H644" s="4">
        <f>21.2451 * CHOOSE(CONTROL!$C$15, $D$11, 100%, $F$11)</f>
        <v>21.245100000000001</v>
      </c>
      <c r="I644" s="8">
        <f>20.0643 * CHOOSE(CONTROL!$C$15, $D$11, 100%, $F$11)</f>
        <v>20.064299999999999</v>
      </c>
      <c r="J644" s="4">
        <f>19.96 * CHOOSE(CONTROL!$C$15, $D$11, 100%, $F$11)</f>
        <v>19.96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21.2349, 21.23) * CHOOSE(CONTROL!$C$15, $D$11, 100%, $F$11)</f>
        <v>21.2349</v>
      </c>
      <c r="C645" s="8">
        <f>CHOOSE( CONTROL!$C$32, 21.2429, 21.238) * CHOOSE(CONTROL!$C$15, $D$11, 100%, $F$11)</f>
        <v>21.242899999999999</v>
      </c>
      <c r="D645" s="8">
        <f>CHOOSE( CONTROL!$C$32, 21.2522, 21.2473) * CHOOSE( CONTROL!$C$15, $D$11, 100%, $F$11)</f>
        <v>21.252199999999998</v>
      </c>
      <c r="E645" s="12">
        <f>CHOOSE( CONTROL!$C$32, 21.2476, 21.2427) * CHOOSE( CONTROL!$C$15, $D$11, 100%, $F$11)</f>
        <v>21.247599999999998</v>
      </c>
      <c r="F645" s="4">
        <f>CHOOSE( CONTROL!$C$32, 21.9258, 21.9209) * CHOOSE(CONTROL!$C$15, $D$11, 100%, $F$11)</f>
        <v>21.925799999999999</v>
      </c>
      <c r="G645" s="8">
        <f>CHOOSE( CONTROL!$C$32, 20.8537, 20.8489) * CHOOSE( CONTROL!$C$15, $D$11, 100%, $F$11)</f>
        <v>20.8537</v>
      </c>
      <c r="H645" s="4">
        <f>CHOOSE( CONTROL!$C$32, 21.791, 21.7861) * CHOOSE(CONTROL!$C$15, $D$11, 100%, $F$11)</f>
        <v>21.791</v>
      </c>
      <c r="I645" s="8">
        <f>CHOOSE( CONTROL!$C$32, 20.6015, 20.5968) * CHOOSE(CONTROL!$C$15, $D$11, 100%, $F$11)</f>
        <v>20.601500000000001</v>
      </c>
      <c r="J645" s="4">
        <f>CHOOSE( CONTROL!$C$32, 20.4966, 20.4918) * CHOOSE(CONTROL!$C$15, $D$11, 100%, $F$11)</f>
        <v>20.496600000000001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20.8941, 20.8892) * CHOOSE(CONTROL!$C$15, $D$11, 100%, $F$11)</f>
        <v>20.894100000000002</v>
      </c>
      <c r="C646" s="8">
        <f>CHOOSE( CONTROL!$C$32, 20.9021, 20.8972) * CHOOSE(CONTROL!$C$15, $D$11, 100%, $F$11)</f>
        <v>20.902100000000001</v>
      </c>
      <c r="D646" s="8">
        <f>CHOOSE( CONTROL!$C$32, 20.9116, 20.9067) * CHOOSE( CONTROL!$C$15, $D$11, 100%, $F$11)</f>
        <v>20.9116</v>
      </c>
      <c r="E646" s="12">
        <f>CHOOSE( CONTROL!$C$32, 20.9069, 20.902) * CHOOSE( CONTROL!$C$15, $D$11, 100%, $F$11)</f>
        <v>20.9069</v>
      </c>
      <c r="F646" s="4">
        <f>CHOOSE( CONTROL!$C$32, 21.585, 21.5801) * CHOOSE(CONTROL!$C$15, $D$11, 100%, $F$11)</f>
        <v>21.585000000000001</v>
      </c>
      <c r="G646" s="8">
        <f>CHOOSE( CONTROL!$C$32, 20.5188, 20.514) * CHOOSE( CONTROL!$C$15, $D$11, 100%, $F$11)</f>
        <v>20.518799999999999</v>
      </c>
      <c r="H646" s="4">
        <f>CHOOSE( CONTROL!$C$32, 21.4558, 21.451) * CHOOSE(CONTROL!$C$15, $D$11, 100%, $F$11)</f>
        <v>21.4558</v>
      </c>
      <c r="I646" s="8">
        <f>CHOOSE( CONTROL!$C$32, 20.2729, 20.2682) * CHOOSE(CONTROL!$C$15, $D$11, 100%, $F$11)</f>
        <v>20.2729</v>
      </c>
      <c r="J646" s="4">
        <f>CHOOSE( CONTROL!$C$32, 20.1671, 20.1624) * CHOOSE(CONTROL!$C$15, $D$11, 100%, $F$11)</f>
        <v>20.167100000000001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21.7916, 21.7867) * CHOOSE(CONTROL!$C$15, $D$11, 100%, $F$11)</f>
        <v>21.791599999999999</v>
      </c>
      <c r="C647" s="8">
        <f>CHOOSE( CONTROL!$C$32, 21.7996, 21.7947) * CHOOSE(CONTROL!$C$15, $D$11, 100%, $F$11)</f>
        <v>21.799600000000002</v>
      </c>
      <c r="D647" s="8">
        <f>CHOOSE( CONTROL!$C$32, 21.8093, 21.8044) * CHOOSE( CONTROL!$C$15, $D$11, 100%, $F$11)</f>
        <v>21.8093</v>
      </c>
      <c r="E647" s="12">
        <f>CHOOSE( CONTROL!$C$32, 21.8046, 21.7997) * CHOOSE( CONTROL!$C$15, $D$11, 100%, $F$11)</f>
        <v>21.804600000000001</v>
      </c>
      <c r="F647" s="4">
        <f>CHOOSE( CONTROL!$C$32, 22.4824, 22.4775) * CHOOSE(CONTROL!$C$15, $D$11, 100%, $F$11)</f>
        <v>22.482399999999998</v>
      </c>
      <c r="G647" s="8">
        <f>CHOOSE( CONTROL!$C$32, 21.4018, 21.397) * CHOOSE( CONTROL!$C$15, $D$11, 100%, $F$11)</f>
        <v>21.401800000000001</v>
      </c>
      <c r="H647" s="4">
        <f>CHOOSE( CONTROL!$C$32, 22.3384, 22.3336) * CHOOSE(CONTROL!$C$15, $D$11, 100%, $F$11)</f>
        <v>22.3384</v>
      </c>
      <c r="I647" s="8">
        <f>CHOOSE( CONTROL!$C$32, 21.142, 21.1373) * CHOOSE(CONTROL!$C$15, $D$11, 100%, $F$11)</f>
        <v>21.141999999999999</v>
      </c>
      <c r="J647" s="4">
        <f>CHOOSE( CONTROL!$C$32, 21.0347, 21.03) * CHOOSE(CONTROL!$C$15, $D$11, 100%, $F$11)</f>
        <v>21.034700000000001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20.1123, 20.1074) * CHOOSE(CONTROL!$C$15, $D$11, 100%, $F$11)</f>
        <v>20.112300000000001</v>
      </c>
      <c r="C648" s="8">
        <f>CHOOSE( CONTROL!$C$32, 20.1203, 20.1154) * CHOOSE(CONTROL!$C$15, $D$11, 100%, $F$11)</f>
        <v>20.1203</v>
      </c>
      <c r="D648" s="8">
        <f>CHOOSE( CONTROL!$C$32, 20.1301, 20.1252) * CHOOSE( CONTROL!$C$15, $D$11, 100%, $F$11)</f>
        <v>20.130099999999999</v>
      </c>
      <c r="E648" s="12">
        <f>CHOOSE( CONTROL!$C$32, 20.1253, 20.1204) * CHOOSE( CONTROL!$C$15, $D$11, 100%, $F$11)</f>
        <v>20.125299999999999</v>
      </c>
      <c r="F648" s="4">
        <f>CHOOSE( CONTROL!$C$32, 20.8032, 20.7983) * CHOOSE(CONTROL!$C$15, $D$11, 100%, $F$11)</f>
        <v>20.8032</v>
      </c>
      <c r="G648" s="8">
        <f>CHOOSE( CONTROL!$C$32, 19.7504, 19.7456) * CHOOSE( CONTROL!$C$15, $D$11, 100%, $F$11)</f>
        <v>19.750399999999999</v>
      </c>
      <c r="H648" s="4">
        <f>CHOOSE( CONTROL!$C$32, 20.687, 20.6822) * CHOOSE(CONTROL!$C$15, $D$11, 100%, $F$11)</f>
        <v>20.687000000000001</v>
      </c>
      <c r="I648" s="8">
        <f>CHOOSE( CONTROL!$C$32, 19.5182, 19.5135) * CHOOSE(CONTROL!$C$15, $D$11, 100%, $F$11)</f>
        <v>19.5182</v>
      </c>
      <c r="J648" s="4">
        <f>CHOOSE( CONTROL!$C$32, 19.4113, 19.4066) * CHOOSE(CONTROL!$C$15, $D$11, 100%, $F$11)</f>
        <v>19.411300000000001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19.6918, 19.6869) * CHOOSE(CONTROL!$C$15, $D$11, 100%, $F$11)</f>
        <v>19.691800000000001</v>
      </c>
      <c r="C649" s="8">
        <f>CHOOSE( CONTROL!$C$32, 19.6998, 19.6949) * CHOOSE(CONTROL!$C$15, $D$11, 100%, $F$11)</f>
        <v>19.6998</v>
      </c>
      <c r="D649" s="8">
        <f>CHOOSE( CONTROL!$C$32, 19.7096, 19.7047) * CHOOSE( CONTROL!$C$15, $D$11, 100%, $F$11)</f>
        <v>19.709599999999998</v>
      </c>
      <c r="E649" s="12">
        <f>CHOOSE( CONTROL!$C$32, 19.7048, 19.6999) * CHOOSE( CONTROL!$C$15, $D$11, 100%, $F$11)</f>
        <v>19.704799999999999</v>
      </c>
      <c r="F649" s="4">
        <f>CHOOSE( CONTROL!$C$32, 20.3826, 20.3778) * CHOOSE(CONTROL!$C$15, $D$11, 100%, $F$11)</f>
        <v>20.3826</v>
      </c>
      <c r="G649" s="8">
        <f>CHOOSE( CONTROL!$C$32, 19.3368, 19.332) * CHOOSE( CONTROL!$C$15, $D$11, 100%, $F$11)</f>
        <v>19.3368</v>
      </c>
      <c r="H649" s="4">
        <f>CHOOSE( CONTROL!$C$32, 20.2734, 20.2686) * CHOOSE(CONTROL!$C$15, $D$11, 100%, $F$11)</f>
        <v>20.273399999999999</v>
      </c>
      <c r="I649" s="8">
        <f>CHOOSE( CONTROL!$C$32, 19.1113, 19.1066) * CHOOSE(CONTROL!$C$15, $D$11, 100%, $F$11)</f>
        <v>19.1113</v>
      </c>
      <c r="J649" s="4">
        <f>CHOOSE( CONTROL!$C$32, 19.0048, 19.0001) * CHOOSE(CONTROL!$C$15, $D$11, 100%, $F$11)</f>
        <v>19.004799999999999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20.5583 * CHOOSE(CONTROL!$C$15, $D$11, 100%, $F$11)</f>
        <v>20.558299999999999</v>
      </c>
      <c r="C650" s="8">
        <f>20.5637 * CHOOSE(CONTROL!$C$15, $D$11, 100%, $F$11)</f>
        <v>20.563700000000001</v>
      </c>
      <c r="D650" s="8">
        <f>20.5782 * CHOOSE( CONTROL!$C$15, $D$11, 100%, $F$11)</f>
        <v>20.578199999999999</v>
      </c>
      <c r="E650" s="12">
        <f>20.5728 * CHOOSE( CONTROL!$C$15, $D$11, 100%, $F$11)</f>
        <v>20.572800000000001</v>
      </c>
      <c r="F650" s="4">
        <f>21.2509 * CHOOSE(CONTROL!$C$15, $D$11, 100%, $F$11)</f>
        <v>21.250900000000001</v>
      </c>
      <c r="G650" s="8">
        <f>20.1899 * CHOOSE( CONTROL!$C$15, $D$11, 100%, $F$11)</f>
        <v>20.189900000000002</v>
      </c>
      <c r="H650" s="4">
        <f>21.1273 * CHOOSE(CONTROL!$C$15, $D$11, 100%, $F$11)</f>
        <v>21.127300000000002</v>
      </c>
      <c r="I650" s="8">
        <f>19.9519 * CHOOSE(CONTROL!$C$15, $D$11, 100%, $F$11)</f>
        <v>19.951899999999998</v>
      </c>
      <c r="J650" s="4">
        <f>19.8441 * CHOOSE(CONTROL!$C$15, $D$11, 100%, $F$11)</f>
        <v>19.844100000000001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22.1695 * CHOOSE(CONTROL!$C$15, $D$11, 100%, $F$11)</f>
        <v>22.169499999999999</v>
      </c>
      <c r="C651" s="8">
        <f>22.1746 * CHOOSE(CONTROL!$C$15, $D$11, 100%, $F$11)</f>
        <v>22.174600000000002</v>
      </c>
      <c r="D651" s="8">
        <f>22.1516 * CHOOSE( CONTROL!$C$15, $D$11, 100%, $F$11)</f>
        <v>22.151599999999998</v>
      </c>
      <c r="E651" s="12">
        <f>22.1595 * CHOOSE( CONTROL!$C$15, $D$11, 100%, $F$11)</f>
        <v>22.159500000000001</v>
      </c>
      <c r="F651" s="4">
        <f>22.8144 * CHOOSE(CONTROL!$C$15, $D$11, 100%, $F$11)</f>
        <v>22.814399999999999</v>
      </c>
      <c r="G651" s="8">
        <f>21.7828 * CHOOSE( CONTROL!$C$15, $D$11, 100%, $F$11)</f>
        <v>21.782800000000002</v>
      </c>
      <c r="H651" s="4">
        <f>22.6648 * CHOOSE(CONTROL!$C$15, $D$11, 100%, $F$11)</f>
        <v>22.6648</v>
      </c>
      <c r="I651" s="8">
        <f>21.5353 * CHOOSE(CONTROL!$C$15, $D$11, 100%, $F$11)</f>
        <v>21.535299999999999</v>
      </c>
      <c r="J651" s="4">
        <f>21.4021 * CHOOSE(CONTROL!$C$15, $D$11, 100%, $F$11)</f>
        <v>21.402100000000001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22.1292 * CHOOSE(CONTROL!$C$15, $D$11, 100%, $F$11)</f>
        <v>22.129200000000001</v>
      </c>
      <c r="C652" s="8">
        <f>22.1344 * CHOOSE(CONTROL!$C$15, $D$11, 100%, $F$11)</f>
        <v>22.134399999999999</v>
      </c>
      <c r="D652" s="8">
        <f>22.1129 * CHOOSE( CONTROL!$C$15, $D$11, 100%, $F$11)</f>
        <v>22.1129</v>
      </c>
      <c r="E652" s="12">
        <f>22.1202 * CHOOSE( CONTROL!$C$15, $D$11, 100%, $F$11)</f>
        <v>22.120200000000001</v>
      </c>
      <c r="F652" s="4">
        <f>22.7741 * CHOOSE(CONTROL!$C$15, $D$11, 100%, $F$11)</f>
        <v>22.774100000000001</v>
      </c>
      <c r="G652" s="8">
        <f>21.7444 * CHOOSE( CONTROL!$C$15, $D$11, 100%, $F$11)</f>
        <v>21.744399999999999</v>
      </c>
      <c r="H652" s="4">
        <f>22.6253 * CHOOSE(CONTROL!$C$15, $D$11, 100%, $F$11)</f>
        <v>22.625299999999999</v>
      </c>
      <c r="I652" s="8">
        <f>21.5013 * CHOOSE(CONTROL!$C$15, $D$11, 100%, $F$11)</f>
        <v>21.501300000000001</v>
      </c>
      <c r="J652" s="4">
        <f>21.3632 * CHOOSE(CONTROL!$C$15, $D$11, 100%, $F$11)</f>
        <v>21.363199999999999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22.9739 * CHOOSE(CONTROL!$C$15, $D$11, 100%, $F$11)</f>
        <v>22.9739</v>
      </c>
      <c r="C653" s="8">
        <f>22.979 * CHOOSE(CONTROL!$C$15, $D$11, 100%, $F$11)</f>
        <v>22.978999999999999</v>
      </c>
      <c r="D653" s="8">
        <f>22.9536 * CHOOSE( CONTROL!$C$15, $D$11, 100%, $F$11)</f>
        <v>22.953600000000002</v>
      </c>
      <c r="E653" s="12">
        <f>22.9623 * CHOOSE( CONTROL!$C$15, $D$11, 100%, $F$11)</f>
        <v>22.962299999999999</v>
      </c>
      <c r="F653" s="4">
        <f>23.6162 * CHOOSE(CONTROL!$C$15, $D$11, 100%, $F$11)</f>
        <v>23.616199999999999</v>
      </c>
      <c r="G653" s="8">
        <f>22.5696 * CHOOSE( CONTROL!$C$15, $D$11, 100%, $F$11)</f>
        <v>22.569600000000001</v>
      </c>
      <c r="H653" s="4">
        <f>23.4533 * CHOOSE(CONTROL!$C$15, $D$11, 100%, $F$11)</f>
        <v>23.453299999999999</v>
      </c>
      <c r="I653" s="8">
        <f>22.2985 * CHOOSE(CONTROL!$C$15, $D$11, 100%, $F$11)</f>
        <v>22.298500000000001</v>
      </c>
      <c r="J653" s="4">
        <f>22.1796 * CHOOSE(CONTROL!$C$15, $D$11, 100%, $F$11)</f>
        <v>22.179600000000001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21.4906 * CHOOSE(CONTROL!$C$15, $D$11, 100%, $F$11)</f>
        <v>21.490600000000001</v>
      </c>
      <c r="C654" s="8">
        <f>21.4957 * CHOOSE(CONTROL!$C$15, $D$11, 100%, $F$11)</f>
        <v>21.495699999999999</v>
      </c>
      <c r="D654" s="8">
        <f>21.4704 * CHOOSE( CONTROL!$C$15, $D$11, 100%, $F$11)</f>
        <v>21.470400000000001</v>
      </c>
      <c r="E654" s="12">
        <f>21.4791 * CHOOSE( CONTROL!$C$15, $D$11, 100%, $F$11)</f>
        <v>21.479099999999999</v>
      </c>
      <c r="F654" s="4">
        <f>22.1329 * CHOOSE(CONTROL!$C$15, $D$11, 100%, $F$11)</f>
        <v>22.132899999999999</v>
      </c>
      <c r="G654" s="8">
        <f>21.111 * CHOOSE( CONTROL!$C$15, $D$11, 100%, $F$11)</f>
        <v>21.111000000000001</v>
      </c>
      <c r="H654" s="4">
        <f>21.9946 * CHOOSE(CONTROL!$C$15, $D$11, 100%, $F$11)</f>
        <v>21.994599999999998</v>
      </c>
      <c r="I654" s="8">
        <f>20.8641 * CHOOSE(CONTROL!$C$15, $D$11, 100%, $F$11)</f>
        <v>20.864100000000001</v>
      </c>
      <c r="J654" s="4">
        <f>20.7458 * CHOOSE(CONTROL!$C$15, $D$11, 100%, $F$11)</f>
        <v>20.745799999999999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21.0337 * CHOOSE(CONTROL!$C$15, $D$11, 100%, $F$11)</f>
        <v>21.0337</v>
      </c>
      <c r="C655" s="8">
        <f>21.0389 * CHOOSE(CONTROL!$C$15, $D$11, 100%, $F$11)</f>
        <v>21.038900000000002</v>
      </c>
      <c r="D655" s="8">
        <f>21.0133 * CHOOSE( CONTROL!$C$15, $D$11, 100%, $F$11)</f>
        <v>21.013300000000001</v>
      </c>
      <c r="E655" s="12">
        <f>21.0221 * CHOOSE( CONTROL!$C$15, $D$11, 100%, $F$11)</f>
        <v>21.022099999999998</v>
      </c>
      <c r="F655" s="4">
        <f>21.676 * CHOOSE(CONTROL!$C$15, $D$11, 100%, $F$11)</f>
        <v>21.675999999999998</v>
      </c>
      <c r="G655" s="8">
        <f>20.6616 * CHOOSE( CONTROL!$C$15, $D$11, 100%, $F$11)</f>
        <v>20.6616</v>
      </c>
      <c r="H655" s="4">
        <f>21.5454 * CHOOSE(CONTROL!$C$15, $D$11, 100%, $F$11)</f>
        <v>21.545400000000001</v>
      </c>
      <c r="I655" s="8">
        <f>20.4215 * CHOOSE(CONTROL!$C$15, $D$11, 100%, $F$11)</f>
        <v>20.421500000000002</v>
      </c>
      <c r="J655" s="4">
        <f>20.3041 * CHOOSE(CONTROL!$C$15, $D$11, 100%, $F$11)</f>
        <v>20.304099999999998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21.3537 * CHOOSE(CONTROL!$C$15, $D$11, 100%, $F$11)</f>
        <v>21.3537</v>
      </c>
      <c r="C656" s="8">
        <f>21.3583 * CHOOSE(CONTROL!$C$15, $D$11, 100%, $F$11)</f>
        <v>21.3583</v>
      </c>
      <c r="D656" s="8">
        <f>21.3726 * CHOOSE( CONTROL!$C$15, $D$11, 100%, $F$11)</f>
        <v>21.372599999999998</v>
      </c>
      <c r="E656" s="12">
        <f>21.3674 * CHOOSE( CONTROL!$C$15, $D$11, 100%, $F$11)</f>
        <v>21.3674</v>
      </c>
      <c r="F656" s="4">
        <f>22.046 * CHOOSE(CONTROL!$C$15, $D$11, 100%, $F$11)</f>
        <v>22.045999999999999</v>
      </c>
      <c r="G656" s="8">
        <f>20.9708 * CHOOSE( CONTROL!$C$15, $D$11, 100%, $F$11)</f>
        <v>20.970800000000001</v>
      </c>
      <c r="H656" s="4">
        <f>21.9092 * CHOOSE(CONTROL!$C$15, $D$11, 100%, $F$11)</f>
        <v>21.909199999999998</v>
      </c>
      <c r="I656" s="8">
        <f>20.7174 * CHOOSE(CONTROL!$C$15, $D$11, 100%, $F$11)</f>
        <v>20.717400000000001</v>
      </c>
      <c r="J656" s="4">
        <f>20.6127 * CHOOSE(CONTROL!$C$15, $D$11, 100%, $F$11)</f>
        <v>20.6127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21.9282, 21.9233) * CHOOSE(CONTROL!$C$15, $D$11, 100%, $F$11)</f>
        <v>21.9282</v>
      </c>
      <c r="C657" s="8">
        <f>CHOOSE( CONTROL!$C$32, 21.9362, 21.9313) * CHOOSE(CONTROL!$C$15, $D$11, 100%, $F$11)</f>
        <v>21.936199999999999</v>
      </c>
      <c r="D657" s="8">
        <f>CHOOSE( CONTROL!$C$32, 21.9455, 21.9406) * CHOOSE( CONTROL!$C$15, $D$11, 100%, $F$11)</f>
        <v>21.945499999999999</v>
      </c>
      <c r="E657" s="12">
        <f>CHOOSE( CONTROL!$C$32, 21.9409, 21.936) * CHOOSE( CONTROL!$C$15, $D$11, 100%, $F$11)</f>
        <v>21.940899999999999</v>
      </c>
      <c r="F657" s="4">
        <f>CHOOSE( CONTROL!$C$32, 22.619, 22.6141) * CHOOSE(CONTROL!$C$15, $D$11, 100%, $F$11)</f>
        <v>22.619</v>
      </c>
      <c r="G657" s="8">
        <f>CHOOSE( CONTROL!$C$32, 21.5354, 21.5306) * CHOOSE( CONTROL!$C$15, $D$11, 100%, $F$11)</f>
        <v>21.535399999999999</v>
      </c>
      <c r="H657" s="4">
        <f>CHOOSE( CONTROL!$C$32, 22.4727, 22.4679) * CHOOSE(CONTROL!$C$15, $D$11, 100%, $F$11)</f>
        <v>22.4727</v>
      </c>
      <c r="I657" s="8">
        <f>CHOOSE( CONTROL!$C$32, 21.272, 21.2673) * CHOOSE(CONTROL!$C$15, $D$11, 100%, $F$11)</f>
        <v>21.271999999999998</v>
      </c>
      <c r="J657" s="4">
        <f>CHOOSE( CONTROL!$C$32, 21.1667, 21.162) * CHOOSE(CONTROL!$C$15, $D$11, 100%, $F$11)</f>
        <v>21.166699999999999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21.5762, 21.5713) * CHOOSE(CONTROL!$C$15, $D$11, 100%, $F$11)</f>
        <v>21.5762</v>
      </c>
      <c r="C658" s="8">
        <f>CHOOSE( CONTROL!$C$32, 21.5842, 21.5793) * CHOOSE(CONTROL!$C$15, $D$11, 100%, $F$11)</f>
        <v>21.584199999999999</v>
      </c>
      <c r="D658" s="8">
        <f>CHOOSE( CONTROL!$C$32, 21.5937, 21.5888) * CHOOSE( CONTROL!$C$15, $D$11, 100%, $F$11)</f>
        <v>21.593699999999998</v>
      </c>
      <c r="E658" s="12">
        <f>CHOOSE( CONTROL!$C$32, 21.589, 21.5841) * CHOOSE( CONTROL!$C$15, $D$11, 100%, $F$11)</f>
        <v>21.588999999999999</v>
      </c>
      <c r="F658" s="4">
        <f>CHOOSE( CONTROL!$C$32, 22.2671, 22.2622) * CHOOSE(CONTROL!$C$15, $D$11, 100%, $F$11)</f>
        <v>22.267099999999999</v>
      </c>
      <c r="G658" s="8">
        <f>CHOOSE( CONTROL!$C$32, 21.1896, 21.1848) * CHOOSE( CONTROL!$C$15, $D$11, 100%, $F$11)</f>
        <v>21.189599999999999</v>
      </c>
      <c r="H658" s="4">
        <f>CHOOSE( CONTROL!$C$32, 22.1266, 22.1218) * CHOOSE(CONTROL!$C$15, $D$11, 100%, $F$11)</f>
        <v>22.1266</v>
      </c>
      <c r="I658" s="8">
        <f>CHOOSE( CONTROL!$C$32, 20.9326, 20.9279) * CHOOSE(CONTROL!$C$15, $D$11, 100%, $F$11)</f>
        <v>20.932600000000001</v>
      </c>
      <c r="J658" s="4">
        <f>CHOOSE( CONTROL!$C$32, 20.8265, 20.8217) * CHOOSE(CONTROL!$C$15, $D$11, 100%, $F$11)</f>
        <v>20.826499999999999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22.503, 22.4981) * CHOOSE(CONTROL!$C$15, $D$11, 100%, $F$11)</f>
        <v>22.503</v>
      </c>
      <c r="C659" s="8">
        <f>CHOOSE( CONTROL!$C$32, 22.511, 22.5061) * CHOOSE(CONTROL!$C$15, $D$11, 100%, $F$11)</f>
        <v>22.510999999999999</v>
      </c>
      <c r="D659" s="8">
        <f>CHOOSE( CONTROL!$C$32, 22.5208, 22.5159) * CHOOSE( CONTROL!$C$15, $D$11, 100%, $F$11)</f>
        <v>22.520800000000001</v>
      </c>
      <c r="E659" s="12">
        <f>CHOOSE( CONTROL!$C$32, 22.516, 22.5111) * CHOOSE( CONTROL!$C$15, $D$11, 100%, $F$11)</f>
        <v>22.515999999999998</v>
      </c>
      <c r="F659" s="4">
        <f>CHOOSE( CONTROL!$C$32, 23.1939, 23.189) * CHOOSE(CONTROL!$C$15, $D$11, 100%, $F$11)</f>
        <v>23.193899999999999</v>
      </c>
      <c r="G659" s="8">
        <f>CHOOSE( CONTROL!$C$32, 22.1014, 22.0966) * CHOOSE( CONTROL!$C$15, $D$11, 100%, $F$11)</f>
        <v>22.101400000000002</v>
      </c>
      <c r="H659" s="4">
        <f>CHOOSE( CONTROL!$C$32, 23.038, 23.0332) * CHOOSE(CONTROL!$C$15, $D$11, 100%, $F$11)</f>
        <v>23.038</v>
      </c>
      <c r="I659" s="8">
        <f>CHOOSE( CONTROL!$C$32, 21.8301, 21.8254) * CHOOSE(CONTROL!$C$15, $D$11, 100%, $F$11)</f>
        <v>21.830100000000002</v>
      </c>
      <c r="J659" s="4">
        <f>CHOOSE( CONTROL!$C$32, 21.7224, 21.7177) * CHOOSE(CONTROL!$C$15, $D$11, 100%, $F$11)</f>
        <v>21.7224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20.7688, 20.7639) * CHOOSE(CONTROL!$C$15, $D$11, 100%, $F$11)</f>
        <v>20.768799999999999</v>
      </c>
      <c r="C660" s="8">
        <f>CHOOSE( CONTROL!$C$32, 20.7768, 20.772) * CHOOSE(CONTROL!$C$15, $D$11, 100%, $F$11)</f>
        <v>20.776800000000001</v>
      </c>
      <c r="D660" s="8">
        <f>CHOOSE( CONTROL!$C$32, 20.7867, 20.7818) * CHOOSE( CONTROL!$C$15, $D$11, 100%, $F$11)</f>
        <v>20.7867</v>
      </c>
      <c r="E660" s="12">
        <f>CHOOSE( CONTROL!$C$32, 20.7819, 20.777) * CHOOSE( CONTROL!$C$15, $D$11, 100%, $F$11)</f>
        <v>20.7819</v>
      </c>
      <c r="F660" s="4">
        <f>CHOOSE( CONTROL!$C$32, 21.4597, 21.4548) * CHOOSE(CONTROL!$C$15, $D$11, 100%, $F$11)</f>
        <v>21.459700000000002</v>
      </c>
      <c r="G660" s="8">
        <f>CHOOSE( CONTROL!$C$32, 20.3961, 20.3913) * CHOOSE( CONTROL!$C$15, $D$11, 100%, $F$11)</f>
        <v>20.396100000000001</v>
      </c>
      <c r="H660" s="4">
        <f>CHOOSE( CONTROL!$C$32, 21.3326, 21.3278) * CHOOSE(CONTROL!$C$15, $D$11, 100%, $F$11)</f>
        <v>21.332599999999999</v>
      </c>
      <c r="I660" s="8">
        <f>CHOOSE( CONTROL!$C$32, 20.1532, 20.1484) * CHOOSE(CONTROL!$C$15, $D$11, 100%, $F$11)</f>
        <v>20.153199999999998</v>
      </c>
      <c r="J660" s="4">
        <f>CHOOSE( CONTROL!$C$32, 20.046, 20.0413) * CHOOSE(CONTROL!$C$15, $D$11, 100%, $F$11)</f>
        <v>20.045999999999999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20.3346, 20.3297) * CHOOSE(CONTROL!$C$15, $D$11, 100%, $F$11)</f>
        <v>20.334599999999998</v>
      </c>
      <c r="C661" s="8">
        <f>CHOOSE( CONTROL!$C$32, 20.3426, 20.3377) * CHOOSE(CONTROL!$C$15, $D$11, 100%, $F$11)</f>
        <v>20.342600000000001</v>
      </c>
      <c r="D661" s="8">
        <f>CHOOSE( CONTROL!$C$32, 20.3524, 20.3475) * CHOOSE( CONTROL!$C$15, $D$11, 100%, $F$11)</f>
        <v>20.352399999999999</v>
      </c>
      <c r="E661" s="12">
        <f>CHOOSE( CONTROL!$C$32, 20.3476, 20.3427) * CHOOSE( CONTROL!$C$15, $D$11, 100%, $F$11)</f>
        <v>20.3476</v>
      </c>
      <c r="F661" s="4">
        <f>CHOOSE( CONTROL!$C$32, 21.0254, 21.0205) * CHOOSE(CONTROL!$C$15, $D$11, 100%, $F$11)</f>
        <v>21.025400000000001</v>
      </c>
      <c r="G661" s="8">
        <f>CHOOSE( CONTROL!$C$32, 19.969, 19.9642) * CHOOSE( CONTROL!$C$15, $D$11, 100%, $F$11)</f>
        <v>19.969000000000001</v>
      </c>
      <c r="H661" s="4">
        <f>CHOOSE( CONTROL!$C$32, 20.9055, 20.9007) * CHOOSE(CONTROL!$C$15, $D$11, 100%, $F$11)</f>
        <v>20.9055</v>
      </c>
      <c r="I661" s="8">
        <f>CHOOSE( CONTROL!$C$32, 19.733, 19.7283) * CHOOSE(CONTROL!$C$15, $D$11, 100%, $F$11)</f>
        <v>19.733000000000001</v>
      </c>
      <c r="J661" s="4">
        <f>CHOOSE( CONTROL!$C$32, 19.6262, 19.6215) * CHOOSE(CONTROL!$C$15, $D$11, 100%, $F$11)</f>
        <v>19.626200000000001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21.2296 * CHOOSE(CONTROL!$C$15, $D$11, 100%, $F$11)</f>
        <v>21.229600000000001</v>
      </c>
      <c r="C662" s="8">
        <f>21.235 * CHOOSE(CONTROL!$C$15, $D$11, 100%, $F$11)</f>
        <v>21.234999999999999</v>
      </c>
      <c r="D662" s="8">
        <f>21.2495 * CHOOSE( CONTROL!$C$15, $D$11, 100%, $F$11)</f>
        <v>21.249500000000001</v>
      </c>
      <c r="E662" s="12">
        <f>21.2441 * CHOOSE( CONTROL!$C$15, $D$11, 100%, $F$11)</f>
        <v>21.2441</v>
      </c>
      <c r="F662" s="4">
        <f>21.9222 * CHOOSE(CONTROL!$C$15, $D$11, 100%, $F$11)</f>
        <v>21.9222</v>
      </c>
      <c r="G662" s="8">
        <f>20.8501 * CHOOSE( CONTROL!$C$15, $D$11, 100%, $F$11)</f>
        <v>20.850100000000001</v>
      </c>
      <c r="H662" s="4">
        <f>21.7875 * CHOOSE(CONTROL!$C$15, $D$11, 100%, $F$11)</f>
        <v>21.787500000000001</v>
      </c>
      <c r="I662" s="8">
        <f>20.6012 * CHOOSE(CONTROL!$C$15, $D$11, 100%, $F$11)</f>
        <v>20.601199999999999</v>
      </c>
      <c r="J662" s="4">
        <f>20.4931 * CHOOSE(CONTROL!$C$15, $D$11, 100%, $F$11)</f>
        <v>20.493099999999998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22.8935 * CHOOSE(CONTROL!$C$15, $D$11, 100%, $F$11)</f>
        <v>22.8935</v>
      </c>
      <c r="C663" s="8">
        <f>22.8987 * CHOOSE(CONTROL!$C$15, $D$11, 100%, $F$11)</f>
        <v>22.898700000000002</v>
      </c>
      <c r="D663" s="8">
        <f>22.8756 * CHOOSE( CONTROL!$C$15, $D$11, 100%, $F$11)</f>
        <v>22.875599999999999</v>
      </c>
      <c r="E663" s="12">
        <f>22.8835 * CHOOSE( CONTROL!$C$15, $D$11, 100%, $F$11)</f>
        <v>22.883500000000002</v>
      </c>
      <c r="F663" s="4">
        <f>23.5384 * CHOOSE(CONTROL!$C$15, $D$11, 100%, $F$11)</f>
        <v>23.538399999999999</v>
      </c>
      <c r="G663" s="8">
        <f>22.4949 * CHOOSE( CONTROL!$C$15, $D$11, 100%, $F$11)</f>
        <v>22.494900000000001</v>
      </c>
      <c r="H663" s="4">
        <f>23.3769 * CHOOSE(CONTROL!$C$15, $D$11, 100%, $F$11)</f>
        <v>23.376899999999999</v>
      </c>
      <c r="I663" s="8">
        <f>22.2356 * CHOOSE(CONTROL!$C$15, $D$11, 100%, $F$11)</f>
        <v>22.235600000000002</v>
      </c>
      <c r="J663" s="4">
        <f>22.102 * CHOOSE(CONTROL!$C$15, $D$11, 100%, $F$11)</f>
        <v>22.102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22.852 * CHOOSE(CONTROL!$C$15, $D$11, 100%, $F$11)</f>
        <v>22.852</v>
      </c>
      <c r="C664" s="8">
        <f>22.8571 * CHOOSE(CONTROL!$C$15, $D$11, 100%, $F$11)</f>
        <v>22.857099999999999</v>
      </c>
      <c r="D664" s="8">
        <f>22.8356 * CHOOSE( CONTROL!$C$15, $D$11, 100%, $F$11)</f>
        <v>22.835599999999999</v>
      </c>
      <c r="E664" s="12">
        <f>22.8429 * CHOOSE( CONTROL!$C$15, $D$11, 100%, $F$11)</f>
        <v>22.8429</v>
      </c>
      <c r="F664" s="4">
        <f>23.4968 * CHOOSE(CONTROL!$C$15, $D$11, 100%, $F$11)</f>
        <v>23.4968</v>
      </c>
      <c r="G664" s="8">
        <f>22.4551 * CHOOSE( CONTROL!$C$15, $D$11, 100%, $F$11)</f>
        <v>22.455100000000002</v>
      </c>
      <c r="H664" s="4">
        <f>23.336 * CHOOSE(CONTROL!$C$15, $D$11, 100%, $F$11)</f>
        <v>23.335999999999999</v>
      </c>
      <c r="I664" s="8">
        <f>22.2003 * CHOOSE(CONTROL!$C$15, $D$11, 100%, $F$11)</f>
        <v>22.200299999999999</v>
      </c>
      <c r="J664" s="4">
        <f>22.0618 * CHOOSE(CONTROL!$C$15, $D$11, 100%, $F$11)</f>
        <v>22.061800000000002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23.7242 * CHOOSE(CONTROL!$C$15, $D$11, 100%, $F$11)</f>
        <v>23.7242</v>
      </c>
      <c r="C665" s="8">
        <f>23.7293 * CHOOSE(CONTROL!$C$15, $D$11, 100%, $F$11)</f>
        <v>23.729299999999999</v>
      </c>
      <c r="D665" s="8">
        <f>23.7039 * CHOOSE( CONTROL!$C$15, $D$11, 100%, $F$11)</f>
        <v>23.703900000000001</v>
      </c>
      <c r="E665" s="12">
        <f>23.7126 * CHOOSE( CONTROL!$C$15, $D$11, 100%, $F$11)</f>
        <v>23.712599999999998</v>
      </c>
      <c r="F665" s="4">
        <f>24.3665 * CHOOSE(CONTROL!$C$15, $D$11, 100%, $F$11)</f>
        <v>24.366499999999998</v>
      </c>
      <c r="G665" s="8">
        <f>23.3075 * CHOOSE( CONTROL!$C$15, $D$11, 100%, $F$11)</f>
        <v>23.307500000000001</v>
      </c>
      <c r="H665" s="4">
        <f>24.1912 * CHOOSE(CONTROL!$C$15, $D$11, 100%, $F$11)</f>
        <v>24.191199999999998</v>
      </c>
      <c r="I665" s="8">
        <f>23.0242 * CHOOSE(CONTROL!$C$15, $D$11, 100%, $F$11)</f>
        <v>23.0242</v>
      </c>
      <c r="J665" s="4">
        <f>22.905 * CHOOSE(CONTROL!$C$15, $D$11, 100%, $F$11)</f>
        <v>22.905000000000001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22.1924 * CHOOSE(CONTROL!$C$15, $D$11, 100%, $F$11)</f>
        <v>22.192399999999999</v>
      </c>
      <c r="C666" s="8">
        <f>22.1975 * CHOOSE(CONTROL!$C$15, $D$11, 100%, $F$11)</f>
        <v>22.197500000000002</v>
      </c>
      <c r="D666" s="8">
        <f>22.1722 * CHOOSE( CONTROL!$C$15, $D$11, 100%, $F$11)</f>
        <v>22.1722</v>
      </c>
      <c r="E666" s="12">
        <f>22.1809 * CHOOSE( CONTROL!$C$15, $D$11, 100%, $F$11)</f>
        <v>22.180900000000001</v>
      </c>
      <c r="F666" s="4">
        <f>22.8347 * CHOOSE(CONTROL!$C$15, $D$11, 100%, $F$11)</f>
        <v>22.834700000000002</v>
      </c>
      <c r="G666" s="8">
        <f>21.8012 * CHOOSE( CONTROL!$C$15, $D$11, 100%, $F$11)</f>
        <v>21.801200000000001</v>
      </c>
      <c r="H666" s="4">
        <f>22.6848 * CHOOSE(CONTROL!$C$15, $D$11, 100%, $F$11)</f>
        <v>22.684799999999999</v>
      </c>
      <c r="I666" s="8">
        <f>21.543 * CHOOSE(CONTROL!$C$15, $D$11, 100%, $F$11)</f>
        <v>21.542999999999999</v>
      </c>
      <c r="J666" s="4">
        <f>21.4242 * CHOOSE(CONTROL!$C$15, $D$11, 100%, $F$11)</f>
        <v>21.424199999999999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21.7206 * CHOOSE(CONTROL!$C$15, $D$11, 100%, $F$11)</f>
        <v>21.720600000000001</v>
      </c>
      <c r="C667" s="8">
        <f>21.7257 * CHOOSE(CONTROL!$C$15, $D$11, 100%, $F$11)</f>
        <v>21.7257</v>
      </c>
      <c r="D667" s="8">
        <f>21.7002 * CHOOSE( CONTROL!$C$15, $D$11, 100%, $F$11)</f>
        <v>21.700199999999999</v>
      </c>
      <c r="E667" s="12">
        <f>21.709 * CHOOSE( CONTROL!$C$15, $D$11, 100%, $F$11)</f>
        <v>21.709</v>
      </c>
      <c r="F667" s="4">
        <f>22.3629 * CHOOSE(CONTROL!$C$15, $D$11, 100%, $F$11)</f>
        <v>22.3629</v>
      </c>
      <c r="G667" s="8">
        <f>21.3371 * CHOOSE( CONTROL!$C$15, $D$11, 100%, $F$11)</f>
        <v>21.3371</v>
      </c>
      <c r="H667" s="4">
        <f>22.2209 * CHOOSE(CONTROL!$C$15, $D$11, 100%, $F$11)</f>
        <v>22.2209</v>
      </c>
      <c r="I667" s="8">
        <f>21.0858 * CHOOSE(CONTROL!$C$15, $D$11, 100%, $F$11)</f>
        <v>21.085799999999999</v>
      </c>
      <c r="J667" s="4">
        <f>20.9682 * CHOOSE(CONTROL!$C$15, $D$11, 100%, $F$11)</f>
        <v>20.9682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22.0511 * CHOOSE(CONTROL!$C$15, $D$11, 100%, $F$11)</f>
        <v>22.051100000000002</v>
      </c>
      <c r="C668" s="8">
        <f>22.0556 * CHOOSE(CONTROL!$C$15, $D$11, 100%, $F$11)</f>
        <v>22.055599999999998</v>
      </c>
      <c r="D668" s="8">
        <f>22.0699 * CHOOSE( CONTROL!$C$15, $D$11, 100%, $F$11)</f>
        <v>22.069900000000001</v>
      </c>
      <c r="E668" s="12">
        <f>22.0647 * CHOOSE( CONTROL!$C$15, $D$11, 100%, $F$11)</f>
        <v>22.064699999999998</v>
      </c>
      <c r="F668" s="4">
        <f>22.7433 * CHOOSE(CONTROL!$C$15, $D$11, 100%, $F$11)</f>
        <v>22.743300000000001</v>
      </c>
      <c r="G668" s="8">
        <f>21.6565 * CHOOSE( CONTROL!$C$15, $D$11, 100%, $F$11)</f>
        <v>21.656500000000001</v>
      </c>
      <c r="H668" s="4">
        <f>22.5949 * CHOOSE(CONTROL!$C$15, $D$11, 100%, $F$11)</f>
        <v>22.594899999999999</v>
      </c>
      <c r="I668" s="8">
        <f>21.3918 * CHOOSE(CONTROL!$C$15, $D$11, 100%, $F$11)</f>
        <v>21.3918</v>
      </c>
      <c r="J668" s="4">
        <f>21.2869 * CHOOSE(CONTROL!$C$15, $D$11, 100%, $F$11)</f>
        <v>21.286899999999999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22.6441, 22.6392) * CHOOSE(CONTROL!$C$15, $D$11, 100%, $F$11)</f>
        <v>22.644100000000002</v>
      </c>
      <c r="C669" s="8">
        <f>CHOOSE( CONTROL!$C$32, 22.6521, 22.6472) * CHOOSE(CONTROL!$C$15, $D$11, 100%, $F$11)</f>
        <v>22.652100000000001</v>
      </c>
      <c r="D669" s="8">
        <f>CHOOSE( CONTROL!$C$32, 22.6614, 22.6565) * CHOOSE( CONTROL!$C$15, $D$11, 100%, $F$11)</f>
        <v>22.6614</v>
      </c>
      <c r="E669" s="12">
        <f>CHOOSE( CONTROL!$C$32, 22.6568, 22.6519) * CHOOSE( CONTROL!$C$15, $D$11, 100%, $F$11)</f>
        <v>22.6568</v>
      </c>
      <c r="F669" s="4">
        <f>CHOOSE( CONTROL!$C$32, 23.3349, 23.33) * CHOOSE(CONTROL!$C$15, $D$11, 100%, $F$11)</f>
        <v>23.334900000000001</v>
      </c>
      <c r="G669" s="8">
        <f>CHOOSE( CONTROL!$C$32, 22.2395, 22.2347) * CHOOSE( CONTROL!$C$15, $D$11, 100%, $F$11)</f>
        <v>22.2395</v>
      </c>
      <c r="H669" s="4">
        <f>CHOOSE( CONTROL!$C$32, 23.1768, 23.1719) * CHOOSE(CONTROL!$C$15, $D$11, 100%, $F$11)</f>
        <v>23.1768</v>
      </c>
      <c r="I669" s="8">
        <f>CHOOSE( CONTROL!$C$32, 21.9644, 21.9597) * CHOOSE(CONTROL!$C$15, $D$11, 100%, $F$11)</f>
        <v>21.964400000000001</v>
      </c>
      <c r="J669" s="4">
        <f>CHOOSE( CONTROL!$C$32, 21.8588, 21.8541) * CHOOSE(CONTROL!$C$15, $D$11, 100%, $F$11)</f>
        <v>21.858799999999999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22.2806, 22.2757) * CHOOSE(CONTROL!$C$15, $D$11, 100%, $F$11)</f>
        <v>22.2806</v>
      </c>
      <c r="C670" s="8">
        <f>CHOOSE( CONTROL!$C$32, 22.2886, 22.2837) * CHOOSE(CONTROL!$C$15, $D$11, 100%, $F$11)</f>
        <v>22.288599999999999</v>
      </c>
      <c r="D670" s="8">
        <f>CHOOSE( CONTROL!$C$32, 22.2981, 22.2932) * CHOOSE( CONTROL!$C$15, $D$11, 100%, $F$11)</f>
        <v>22.298100000000002</v>
      </c>
      <c r="E670" s="12">
        <f>CHOOSE( CONTROL!$C$32, 22.2934, 22.2885) * CHOOSE( CONTROL!$C$15, $D$11, 100%, $F$11)</f>
        <v>22.293399999999998</v>
      </c>
      <c r="F670" s="4">
        <f>CHOOSE( CONTROL!$C$32, 22.9715, 22.9666) * CHOOSE(CONTROL!$C$15, $D$11, 100%, $F$11)</f>
        <v>22.971499999999999</v>
      </c>
      <c r="G670" s="8">
        <f>CHOOSE( CONTROL!$C$32, 21.8823, 21.8775) * CHOOSE( CONTROL!$C$15, $D$11, 100%, $F$11)</f>
        <v>21.882300000000001</v>
      </c>
      <c r="H670" s="4">
        <f>CHOOSE( CONTROL!$C$32, 22.8193, 22.8145) * CHOOSE(CONTROL!$C$15, $D$11, 100%, $F$11)</f>
        <v>22.819299999999998</v>
      </c>
      <c r="I670" s="8">
        <f>CHOOSE( CONTROL!$C$32, 21.6139, 21.6092) * CHOOSE(CONTROL!$C$15, $D$11, 100%, $F$11)</f>
        <v>21.613900000000001</v>
      </c>
      <c r="J670" s="4">
        <f>CHOOSE( CONTROL!$C$32, 21.5074, 21.5027) * CHOOSE(CONTROL!$C$15, $D$11, 100%, $F$11)</f>
        <v>21.507400000000001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23.2377, 23.2328) * CHOOSE(CONTROL!$C$15, $D$11, 100%, $F$11)</f>
        <v>23.2377</v>
      </c>
      <c r="C671" s="8">
        <f>CHOOSE( CONTROL!$C$32, 23.2458, 23.2409) * CHOOSE(CONTROL!$C$15, $D$11, 100%, $F$11)</f>
        <v>23.245799999999999</v>
      </c>
      <c r="D671" s="8">
        <f>CHOOSE( CONTROL!$C$32, 23.2555, 23.2506) * CHOOSE( CONTROL!$C$15, $D$11, 100%, $F$11)</f>
        <v>23.255500000000001</v>
      </c>
      <c r="E671" s="12">
        <f>CHOOSE( CONTROL!$C$32, 23.2508, 23.2459) * CHOOSE( CONTROL!$C$15, $D$11, 100%, $F$11)</f>
        <v>23.250800000000002</v>
      </c>
      <c r="F671" s="4">
        <f>CHOOSE( CONTROL!$C$32, 23.9286, 23.9237) * CHOOSE(CONTROL!$C$15, $D$11, 100%, $F$11)</f>
        <v>23.928599999999999</v>
      </c>
      <c r="G671" s="8">
        <f>CHOOSE( CONTROL!$C$32, 22.8239, 22.8191) * CHOOSE( CONTROL!$C$15, $D$11, 100%, $F$11)</f>
        <v>22.823899999999998</v>
      </c>
      <c r="H671" s="4">
        <f>CHOOSE( CONTROL!$C$32, 23.7606, 23.7558) * CHOOSE(CONTROL!$C$15, $D$11, 100%, $F$11)</f>
        <v>23.7606</v>
      </c>
      <c r="I671" s="8">
        <f>CHOOSE( CONTROL!$C$32, 22.5407, 22.536) * CHOOSE(CONTROL!$C$15, $D$11, 100%, $F$11)</f>
        <v>22.540700000000001</v>
      </c>
      <c r="J671" s="4">
        <f>CHOOSE( CONTROL!$C$32, 22.4327, 22.428) * CHOOSE(CONTROL!$C$15, $D$11, 100%, $F$11)</f>
        <v>22.432700000000001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21.4468, 21.4419) * CHOOSE(CONTROL!$C$15, $D$11, 100%, $F$11)</f>
        <v>21.4468</v>
      </c>
      <c r="C672" s="8">
        <f>CHOOSE( CONTROL!$C$32, 21.4548, 21.45) * CHOOSE(CONTROL!$C$15, $D$11, 100%, $F$11)</f>
        <v>21.454799999999999</v>
      </c>
      <c r="D672" s="8">
        <f>CHOOSE( CONTROL!$C$32, 21.4647, 21.4598) * CHOOSE( CONTROL!$C$15, $D$11, 100%, $F$11)</f>
        <v>21.464700000000001</v>
      </c>
      <c r="E672" s="12">
        <f>CHOOSE( CONTROL!$C$32, 21.4599, 21.455) * CHOOSE( CONTROL!$C$15, $D$11, 100%, $F$11)</f>
        <v>21.459900000000001</v>
      </c>
      <c r="F672" s="4">
        <f>CHOOSE( CONTROL!$C$32, 22.1377, 22.1328) * CHOOSE(CONTROL!$C$15, $D$11, 100%, $F$11)</f>
        <v>22.137699999999999</v>
      </c>
      <c r="G672" s="8">
        <f>CHOOSE( CONTROL!$C$32, 21.0628, 21.058) * CHOOSE( CONTROL!$C$15, $D$11, 100%, $F$11)</f>
        <v>21.062799999999999</v>
      </c>
      <c r="H672" s="4">
        <f>CHOOSE( CONTROL!$C$32, 21.9994, 21.9946) * CHOOSE(CONTROL!$C$15, $D$11, 100%, $F$11)</f>
        <v>21.999400000000001</v>
      </c>
      <c r="I672" s="8">
        <f>CHOOSE( CONTROL!$C$32, 20.8089, 20.8042) * CHOOSE(CONTROL!$C$15, $D$11, 100%, $F$11)</f>
        <v>20.808900000000001</v>
      </c>
      <c r="J672" s="4">
        <f>CHOOSE( CONTROL!$C$32, 20.7014, 20.6967) * CHOOSE(CONTROL!$C$15, $D$11, 100%, $F$11)</f>
        <v>20.7014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20.9984, 20.9935) * CHOOSE(CONTROL!$C$15, $D$11, 100%, $F$11)</f>
        <v>20.9984</v>
      </c>
      <c r="C673" s="8">
        <f>CHOOSE( CONTROL!$C$32, 21.0064, 21.0015) * CHOOSE(CONTROL!$C$15, $D$11, 100%, $F$11)</f>
        <v>21.006399999999999</v>
      </c>
      <c r="D673" s="8">
        <f>CHOOSE( CONTROL!$C$32, 21.0162, 21.0113) * CHOOSE( CONTROL!$C$15, $D$11, 100%, $F$11)</f>
        <v>21.016200000000001</v>
      </c>
      <c r="E673" s="12">
        <f>CHOOSE( CONTROL!$C$32, 21.0114, 21.0065) * CHOOSE( CONTROL!$C$15, $D$11, 100%, $F$11)</f>
        <v>21.011399999999998</v>
      </c>
      <c r="F673" s="4">
        <f>CHOOSE( CONTROL!$C$32, 21.6892, 21.6843) * CHOOSE(CONTROL!$C$15, $D$11, 100%, $F$11)</f>
        <v>21.6892</v>
      </c>
      <c r="G673" s="8">
        <f>CHOOSE( CONTROL!$C$32, 20.6218, 20.6169) * CHOOSE( CONTROL!$C$15, $D$11, 100%, $F$11)</f>
        <v>20.6218</v>
      </c>
      <c r="H673" s="4">
        <f>CHOOSE( CONTROL!$C$32, 21.5583, 21.5535) * CHOOSE(CONTROL!$C$15, $D$11, 100%, $F$11)</f>
        <v>21.558299999999999</v>
      </c>
      <c r="I673" s="8">
        <f>CHOOSE( CONTROL!$C$32, 20.375, 20.3703) * CHOOSE(CONTROL!$C$15, $D$11, 100%, $F$11)</f>
        <v>20.375</v>
      </c>
      <c r="J673" s="4">
        <f>CHOOSE( CONTROL!$C$32, 20.2679, 20.2632) * CHOOSE(CONTROL!$C$15, $D$11, 100%, $F$11)</f>
        <v>20.267900000000001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21.9229 * CHOOSE(CONTROL!$C$15, $D$11, 100%, $F$11)</f>
        <v>21.922899999999998</v>
      </c>
      <c r="C674" s="8">
        <f>21.9283 * CHOOSE(CONTROL!$C$15, $D$11, 100%, $F$11)</f>
        <v>21.9283</v>
      </c>
      <c r="D674" s="8">
        <f>21.9428 * CHOOSE( CONTROL!$C$15, $D$11, 100%, $F$11)</f>
        <v>21.942799999999998</v>
      </c>
      <c r="E674" s="12">
        <f>21.9374 * CHOOSE( CONTROL!$C$15, $D$11, 100%, $F$11)</f>
        <v>21.9374</v>
      </c>
      <c r="F674" s="4">
        <f>22.6155 * CHOOSE(CONTROL!$C$15, $D$11, 100%, $F$11)</f>
        <v>22.615500000000001</v>
      </c>
      <c r="G674" s="8">
        <f>21.5319 * CHOOSE( CONTROL!$C$15, $D$11, 100%, $F$11)</f>
        <v>21.5319</v>
      </c>
      <c r="H674" s="4">
        <f>22.4693 * CHOOSE(CONTROL!$C$15, $D$11, 100%, $F$11)</f>
        <v>22.4693</v>
      </c>
      <c r="I674" s="8">
        <f>21.2717 * CHOOSE(CONTROL!$C$15, $D$11, 100%, $F$11)</f>
        <v>21.271699999999999</v>
      </c>
      <c r="J674" s="4">
        <f>21.1633 * CHOOSE(CONTROL!$C$15, $D$11, 100%, $F$11)</f>
        <v>21.1633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23.6413 * CHOOSE(CONTROL!$C$15, $D$11, 100%, $F$11)</f>
        <v>23.641300000000001</v>
      </c>
      <c r="C675" s="8">
        <f>23.6464 * CHOOSE(CONTROL!$C$15, $D$11, 100%, $F$11)</f>
        <v>23.6464</v>
      </c>
      <c r="D675" s="8">
        <f>23.6233 * CHOOSE( CONTROL!$C$15, $D$11, 100%, $F$11)</f>
        <v>23.6233</v>
      </c>
      <c r="E675" s="12">
        <f>23.6312 * CHOOSE( CONTROL!$C$15, $D$11, 100%, $F$11)</f>
        <v>23.6312</v>
      </c>
      <c r="F675" s="4">
        <f>24.2861 * CHOOSE(CONTROL!$C$15, $D$11, 100%, $F$11)</f>
        <v>24.286100000000001</v>
      </c>
      <c r="G675" s="8">
        <f>23.2302 * CHOOSE( CONTROL!$C$15, $D$11, 100%, $F$11)</f>
        <v>23.2302</v>
      </c>
      <c r="H675" s="4">
        <f>24.1122 * CHOOSE(CONTROL!$C$15, $D$11, 100%, $F$11)</f>
        <v>24.112200000000001</v>
      </c>
      <c r="I675" s="8">
        <f>22.9587 * CHOOSE(CONTROL!$C$15, $D$11, 100%, $F$11)</f>
        <v>22.9587</v>
      </c>
      <c r="J675" s="4">
        <f>22.8248 * CHOOSE(CONTROL!$C$15, $D$11, 100%, $F$11)</f>
        <v>22.8248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23.5983 * CHOOSE(CONTROL!$C$15, $D$11, 100%, $F$11)</f>
        <v>23.598299999999998</v>
      </c>
      <c r="C676" s="8">
        <f>23.6034 * CHOOSE(CONTROL!$C$15, $D$11, 100%, $F$11)</f>
        <v>23.603400000000001</v>
      </c>
      <c r="D676" s="8">
        <f>23.5819 * CHOOSE( CONTROL!$C$15, $D$11, 100%, $F$11)</f>
        <v>23.581900000000001</v>
      </c>
      <c r="E676" s="12">
        <f>23.5892 * CHOOSE( CONTROL!$C$15, $D$11, 100%, $F$11)</f>
        <v>23.589200000000002</v>
      </c>
      <c r="F676" s="4">
        <f>24.2432 * CHOOSE(CONTROL!$C$15, $D$11, 100%, $F$11)</f>
        <v>24.243200000000002</v>
      </c>
      <c r="G676" s="8">
        <f>23.1891 * CHOOSE( CONTROL!$C$15, $D$11, 100%, $F$11)</f>
        <v>23.1891</v>
      </c>
      <c r="H676" s="4">
        <f>24.07 * CHOOSE(CONTROL!$C$15, $D$11, 100%, $F$11)</f>
        <v>24.07</v>
      </c>
      <c r="I676" s="8">
        <f>22.9222 * CHOOSE(CONTROL!$C$15, $D$11, 100%, $F$11)</f>
        <v>22.9222</v>
      </c>
      <c r="J676" s="4">
        <f>22.7833 * CHOOSE(CONTROL!$C$15, $D$11, 100%, $F$11)</f>
        <v>22.783300000000001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24.4991 * CHOOSE(CONTROL!$C$15, $D$11, 100%, $F$11)</f>
        <v>24.499099999999999</v>
      </c>
      <c r="C677" s="8">
        <f>24.5042 * CHOOSE(CONTROL!$C$15, $D$11, 100%, $F$11)</f>
        <v>24.504200000000001</v>
      </c>
      <c r="D677" s="8">
        <f>24.4788 * CHOOSE( CONTROL!$C$15, $D$11, 100%, $F$11)</f>
        <v>24.4788</v>
      </c>
      <c r="E677" s="12">
        <f>24.4875 * CHOOSE( CONTROL!$C$15, $D$11, 100%, $F$11)</f>
        <v>24.487500000000001</v>
      </c>
      <c r="F677" s="4">
        <f>25.1414 * CHOOSE(CONTROL!$C$15, $D$11, 100%, $F$11)</f>
        <v>25.141400000000001</v>
      </c>
      <c r="G677" s="8">
        <f>24.0696 * CHOOSE( CONTROL!$C$15, $D$11, 100%, $F$11)</f>
        <v>24.069600000000001</v>
      </c>
      <c r="H677" s="4">
        <f>24.9532 * CHOOSE(CONTROL!$C$15, $D$11, 100%, $F$11)</f>
        <v>24.953199999999999</v>
      </c>
      <c r="I677" s="8">
        <f>23.7736 * CHOOSE(CONTROL!$C$15, $D$11, 100%, $F$11)</f>
        <v>23.773599999999998</v>
      </c>
      <c r="J677" s="4">
        <f>23.6541 * CHOOSE(CONTROL!$C$15, $D$11, 100%, $F$11)</f>
        <v>23.6541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22.9172 * CHOOSE(CONTROL!$C$15, $D$11, 100%, $F$11)</f>
        <v>22.917200000000001</v>
      </c>
      <c r="C678" s="8">
        <f>22.9223 * CHOOSE(CONTROL!$C$15, $D$11, 100%, $F$11)</f>
        <v>22.9223</v>
      </c>
      <c r="D678" s="8">
        <f>22.897 * CHOOSE( CONTROL!$C$15, $D$11, 100%, $F$11)</f>
        <v>22.896999999999998</v>
      </c>
      <c r="E678" s="12">
        <f>22.9057 * CHOOSE( CONTROL!$C$15, $D$11, 100%, $F$11)</f>
        <v>22.9057</v>
      </c>
      <c r="F678" s="4">
        <f>23.5595 * CHOOSE(CONTROL!$C$15, $D$11, 100%, $F$11)</f>
        <v>23.5595</v>
      </c>
      <c r="G678" s="8">
        <f>22.514 * CHOOSE( CONTROL!$C$15, $D$11, 100%, $F$11)</f>
        <v>22.513999999999999</v>
      </c>
      <c r="H678" s="4">
        <f>23.3976 * CHOOSE(CONTROL!$C$15, $D$11, 100%, $F$11)</f>
        <v>23.397600000000001</v>
      </c>
      <c r="I678" s="8">
        <f>22.244 * CHOOSE(CONTROL!$C$15, $D$11, 100%, $F$11)</f>
        <v>22.244</v>
      </c>
      <c r="J678" s="4">
        <f>22.1249 * CHOOSE(CONTROL!$C$15, $D$11, 100%, $F$11)</f>
        <v>22.1249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22.43 * CHOOSE(CONTROL!$C$15, $D$11, 100%, $F$11)</f>
        <v>22.43</v>
      </c>
      <c r="C679" s="8">
        <f>22.4351 * CHOOSE(CONTROL!$C$15, $D$11, 100%, $F$11)</f>
        <v>22.435099999999998</v>
      </c>
      <c r="D679" s="8">
        <f>22.4095 * CHOOSE( CONTROL!$C$15, $D$11, 100%, $F$11)</f>
        <v>22.409500000000001</v>
      </c>
      <c r="E679" s="12">
        <f>22.4183 * CHOOSE( CONTROL!$C$15, $D$11, 100%, $F$11)</f>
        <v>22.418299999999999</v>
      </c>
      <c r="F679" s="4">
        <f>23.0723 * CHOOSE(CONTROL!$C$15, $D$11, 100%, $F$11)</f>
        <v>23.072299999999998</v>
      </c>
      <c r="G679" s="8">
        <f>22.0347 * CHOOSE( CONTROL!$C$15, $D$11, 100%, $F$11)</f>
        <v>22.034700000000001</v>
      </c>
      <c r="H679" s="4">
        <f>22.9185 * CHOOSE(CONTROL!$C$15, $D$11, 100%, $F$11)</f>
        <v>22.918500000000002</v>
      </c>
      <c r="I679" s="8">
        <f>21.7719 * CHOOSE(CONTROL!$C$15, $D$11, 100%, $F$11)</f>
        <v>21.771899999999999</v>
      </c>
      <c r="J679" s="4">
        <f>21.6539 * CHOOSE(CONTROL!$C$15, $D$11, 100%, $F$11)</f>
        <v>21.6539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22.7712 * CHOOSE(CONTROL!$C$15, $D$11, 100%, $F$11)</f>
        <v>22.7712</v>
      </c>
      <c r="C680" s="8">
        <f>22.7758 * CHOOSE(CONTROL!$C$15, $D$11, 100%, $F$11)</f>
        <v>22.7758</v>
      </c>
      <c r="D680" s="8">
        <f>22.7901 * CHOOSE( CONTROL!$C$15, $D$11, 100%, $F$11)</f>
        <v>22.790099999999999</v>
      </c>
      <c r="E680" s="12">
        <f>22.7849 * CHOOSE( CONTROL!$C$15, $D$11, 100%, $F$11)</f>
        <v>22.7849</v>
      </c>
      <c r="F680" s="4">
        <f>23.4634 * CHOOSE(CONTROL!$C$15, $D$11, 100%, $F$11)</f>
        <v>23.4634</v>
      </c>
      <c r="G680" s="8">
        <f>22.3647 * CHOOSE( CONTROL!$C$15, $D$11, 100%, $F$11)</f>
        <v>22.364699999999999</v>
      </c>
      <c r="H680" s="4">
        <f>23.3031 * CHOOSE(CONTROL!$C$15, $D$11, 100%, $F$11)</f>
        <v>23.303100000000001</v>
      </c>
      <c r="I680" s="8">
        <f>22.0883 * CHOOSE(CONTROL!$C$15, $D$11, 100%, $F$11)</f>
        <v>22.0883</v>
      </c>
      <c r="J680" s="4">
        <f>21.983 * CHOOSE(CONTROL!$C$15, $D$11, 100%, $F$11)</f>
        <v>21.983000000000001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23.3834, 23.3785) * CHOOSE(CONTROL!$C$15, $D$11, 100%, $F$11)</f>
        <v>23.383400000000002</v>
      </c>
      <c r="C681" s="8">
        <f>CHOOSE( CONTROL!$C$32, 23.3914, 23.3865) * CHOOSE(CONTROL!$C$15, $D$11, 100%, $F$11)</f>
        <v>23.391400000000001</v>
      </c>
      <c r="D681" s="8">
        <f>CHOOSE( CONTROL!$C$32, 23.4007, 23.3958) * CHOOSE( CONTROL!$C$15, $D$11, 100%, $F$11)</f>
        <v>23.400700000000001</v>
      </c>
      <c r="E681" s="12">
        <f>CHOOSE( CONTROL!$C$32, 23.3961, 23.3912) * CHOOSE( CONTROL!$C$15, $D$11, 100%, $F$11)</f>
        <v>23.396100000000001</v>
      </c>
      <c r="F681" s="4">
        <f>CHOOSE( CONTROL!$C$32, 24.0743, 24.0694) * CHOOSE(CONTROL!$C$15, $D$11, 100%, $F$11)</f>
        <v>24.074300000000001</v>
      </c>
      <c r="G681" s="8">
        <f>CHOOSE( CONTROL!$C$32, 22.9665, 22.9617) * CHOOSE( CONTROL!$C$15, $D$11, 100%, $F$11)</f>
        <v>22.9665</v>
      </c>
      <c r="H681" s="4">
        <f>CHOOSE( CONTROL!$C$32, 23.9038, 23.899) * CHOOSE(CONTROL!$C$15, $D$11, 100%, $F$11)</f>
        <v>23.9038</v>
      </c>
      <c r="I681" s="8">
        <f>CHOOSE( CONTROL!$C$32, 22.6795, 22.6748) * CHOOSE(CONTROL!$C$15, $D$11, 100%, $F$11)</f>
        <v>22.679500000000001</v>
      </c>
      <c r="J681" s="4">
        <f>CHOOSE( CONTROL!$C$32, 22.5735, 22.5688) * CHOOSE(CONTROL!$C$15, $D$11, 100%, $F$11)</f>
        <v>22.573499999999999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23.008, 23.0032) * CHOOSE(CONTROL!$C$15, $D$11, 100%, $F$11)</f>
        <v>23.007999999999999</v>
      </c>
      <c r="C682" s="8">
        <f>CHOOSE( CONTROL!$C$32, 23.0161, 23.0112) * CHOOSE(CONTROL!$C$15, $D$11, 100%, $F$11)</f>
        <v>23.016100000000002</v>
      </c>
      <c r="D682" s="8">
        <f>CHOOSE( CONTROL!$C$32, 23.0256, 23.0207) * CHOOSE( CONTROL!$C$15, $D$11, 100%, $F$11)</f>
        <v>23.025600000000001</v>
      </c>
      <c r="E682" s="12">
        <f>CHOOSE( CONTROL!$C$32, 23.0209, 23.016) * CHOOSE( CONTROL!$C$15, $D$11, 100%, $F$11)</f>
        <v>23.020900000000001</v>
      </c>
      <c r="F682" s="4">
        <f>CHOOSE( CONTROL!$C$32, 23.6989, 23.694) * CHOOSE(CONTROL!$C$15, $D$11, 100%, $F$11)</f>
        <v>23.698899999999998</v>
      </c>
      <c r="G682" s="8">
        <f>CHOOSE( CONTROL!$C$32, 22.5977, 22.5929) * CHOOSE( CONTROL!$C$15, $D$11, 100%, $F$11)</f>
        <v>22.5977</v>
      </c>
      <c r="H682" s="4">
        <f>CHOOSE( CONTROL!$C$32, 23.5347, 23.5299) * CHOOSE(CONTROL!$C$15, $D$11, 100%, $F$11)</f>
        <v>23.534700000000001</v>
      </c>
      <c r="I682" s="8">
        <f>CHOOSE( CONTROL!$C$32, 22.3175, 22.3128) * CHOOSE(CONTROL!$C$15, $D$11, 100%, $F$11)</f>
        <v>22.317499999999999</v>
      </c>
      <c r="J682" s="4">
        <f>CHOOSE( CONTROL!$C$32, 22.2106, 22.2059) * CHOOSE(CONTROL!$C$15, $D$11, 100%, $F$11)</f>
        <v>22.210599999999999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23.9965, 23.9916) * CHOOSE(CONTROL!$C$15, $D$11, 100%, $F$11)</f>
        <v>23.996500000000001</v>
      </c>
      <c r="C683" s="8">
        <f>CHOOSE( CONTROL!$C$32, 24.0045, 23.9996) * CHOOSE(CONTROL!$C$15, $D$11, 100%, $F$11)</f>
        <v>24.0045</v>
      </c>
      <c r="D683" s="8">
        <f>CHOOSE( CONTROL!$C$32, 24.0142, 24.0094) * CHOOSE( CONTROL!$C$15, $D$11, 100%, $F$11)</f>
        <v>24.014199999999999</v>
      </c>
      <c r="E683" s="12">
        <f>CHOOSE( CONTROL!$C$32, 24.0095, 24.0046) * CHOOSE( CONTROL!$C$15, $D$11, 100%, $F$11)</f>
        <v>24.009499999999999</v>
      </c>
      <c r="F683" s="4">
        <f>CHOOSE( CONTROL!$C$32, 24.6873, 24.6825) * CHOOSE(CONTROL!$C$15, $D$11, 100%, $F$11)</f>
        <v>24.6873</v>
      </c>
      <c r="G683" s="8">
        <f>CHOOSE( CONTROL!$C$32, 23.5701, 23.5653) * CHOOSE( CONTROL!$C$15, $D$11, 100%, $F$11)</f>
        <v>23.5701</v>
      </c>
      <c r="H683" s="4">
        <f>CHOOSE( CONTROL!$C$32, 24.5067, 24.5019) * CHOOSE(CONTROL!$C$15, $D$11, 100%, $F$11)</f>
        <v>24.506699999999999</v>
      </c>
      <c r="I683" s="8">
        <f>CHOOSE( CONTROL!$C$32, 23.2746, 23.2698) * CHOOSE(CONTROL!$C$15, $D$11, 100%, $F$11)</f>
        <v>23.2746</v>
      </c>
      <c r="J683" s="4">
        <f>CHOOSE( CONTROL!$C$32, 23.1662, 23.1614) * CHOOSE(CONTROL!$C$15, $D$11, 100%, $F$11)</f>
        <v>23.1662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22.147, 22.1421) * CHOOSE(CONTROL!$C$15, $D$11, 100%, $F$11)</f>
        <v>22.146999999999998</v>
      </c>
      <c r="C684" s="8">
        <f>CHOOSE( CONTROL!$C$32, 22.155, 22.1501) * CHOOSE(CONTROL!$C$15, $D$11, 100%, $F$11)</f>
        <v>22.155000000000001</v>
      </c>
      <c r="D684" s="8">
        <f>CHOOSE( CONTROL!$C$32, 22.1648, 22.1599) * CHOOSE( CONTROL!$C$15, $D$11, 100%, $F$11)</f>
        <v>22.1648</v>
      </c>
      <c r="E684" s="12">
        <f>CHOOSE( CONTROL!$C$32, 22.16, 22.1551) * CHOOSE( CONTROL!$C$15, $D$11, 100%, $F$11)</f>
        <v>22.16</v>
      </c>
      <c r="F684" s="4">
        <f>CHOOSE( CONTROL!$C$32, 22.8379, 22.833) * CHOOSE(CONTROL!$C$15, $D$11, 100%, $F$11)</f>
        <v>22.837900000000001</v>
      </c>
      <c r="G684" s="8">
        <f>CHOOSE( CONTROL!$C$32, 21.7514, 21.7466) * CHOOSE( CONTROL!$C$15, $D$11, 100%, $F$11)</f>
        <v>21.7514</v>
      </c>
      <c r="H684" s="4">
        <f>CHOOSE( CONTROL!$C$32, 22.6879, 22.6831) * CHOOSE(CONTROL!$C$15, $D$11, 100%, $F$11)</f>
        <v>22.687899999999999</v>
      </c>
      <c r="I684" s="8">
        <f>CHOOSE( CONTROL!$C$32, 21.4861, 21.4814) * CHOOSE(CONTROL!$C$15, $D$11, 100%, $F$11)</f>
        <v>21.4861</v>
      </c>
      <c r="J684" s="4">
        <f>CHOOSE( CONTROL!$C$32, 21.3783, 21.3735) * CHOOSE(CONTROL!$C$15, $D$11, 100%, $F$11)</f>
        <v>21.378299999999999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21.6839, 21.679) * CHOOSE(CONTROL!$C$15, $D$11, 100%, $F$11)</f>
        <v>21.683900000000001</v>
      </c>
      <c r="C685" s="8">
        <f>CHOOSE( CONTROL!$C$32, 21.6919, 21.687) * CHOOSE(CONTROL!$C$15, $D$11, 100%, $F$11)</f>
        <v>21.6919</v>
      </c>
      <c r="D685" s="8">
        <f>CHOOSE( CONTROL!$C$32, 21.7017, 21.6968) * CHOOSE( CONTROL!$C$15, $D$11, 100%, $F$11)</f>
        <v>21.701699999999999</v>
      </c>
      <c r="E685" s="12">
        <f>CHOOSE( CONTROL!$C$32, 21.6969, 21.692) * CHOOSE( CONTROL!$C$15, $D$11, 100%, $F$11)</f>
        <v>21.696899999999999</v>
      </c>
      <c r="F685" s="4">
        <f>CHOOSE( CONTROL!$C$32, 22.3747, 22.3698) * CHOOSE(CONTROL!$C$15, $D$11, 100%, $F$11)</f>
        <v>22.374700000000001</v>
      </c>
      <c r="G685" s="8">
        <f>CHOOSE( CONTROL!$C$32, 21.2959, 21.2911) * CHOOSE( CONTROL!$C$15, $D$11, 100%, $F$11)</f>
        <v>21.2959</v>
      </c>
      <c r="H685" s="4">
        <f>CHOOSE( CONTROL!$C$32, 22.2325, 22.2277) * CHOOSE(CONTROL!$C$15, $D$11, 100%, $F$11)</f>
        <v>22.232500000000002</v>
      </c>
      <c r="I685" s="8">
        <f>CHOOSE( CONTROL!$C$32, 21.038, 21.0333) * CHOOSE(CONTROL!$C$15, $D$11, 100%, $F$11)</f>
        <v>21.038</v>
      </c>
      <c r="J685" s="4">
        <f>CHOOSE( CONTROL!$C$32, 20.9306, 20.9258) * CHOOSE(CONTROL!$C$15, $D$11, 100%, $F$11)</f>
        <v>20.930599999999998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22.6389 * CHOOSE(CONTROL!$C$15, $D$11, 100%, $F$11)</f>
        <v>22.6389</v>
      </c>
      <c r="C686" s="8">
        <f>22.6442 * CHOOSE(CONTROL!$C$15, $D$11, 100%, $F$11)</f>
        <v>22.644200000000001</v>
      </c>
      <c r="D686" s="8">
        <f>22.6588 * CHOOSE( CONTROL!$C$15, $D$11, 100%, $F$11)</f>
        <v>22.658799999999999</v>
      </c>
      <c r="E686" s="12">
        <f>22.6534 * CHOOSE( CONTROL!$C$15, $D$11, 100%, $F$11)</f>
        <v>22.653400000000001</v>
      </c>
      <c r="F686" s="4">
        <f>23.3315 * CHOOSE(CONTROL!$C$15, $D$11, 100%, $F$11)</f>
        <v>23.331499999999998</v>
      </c>
      <c r="G686" s="8">
        <f>22.236 * CHOOSE( CONTROL!$C$15, $D$11, 100%, $F$11)</f>
        <v>22.236000000000001</v>
      </c>
      <c r="H686" s="4">
        <f>23.1733 * CHOOSE(CONTROL!$C$15, $D$11, 100%, $F$11)</f>
        <v>23.173300000000001</v>
      </c>
      <c r="I686" s="8">
        <f>21.9642 * CHOOSE(CONTROL!$C$15, $D$11, 100%, $F$11)</f>
        <v>21.964200000000002</v>
      </c>
      <c r="J686" s="4">
        <f>21.8554 * CHOOSE(CONTROL!$C$15, $D$11, 100%, $F$11)</f>
        <v>21.855399999999999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24.4134 * CHOOSE(CONTROL!$C$15, $D$11, 100%, $F$11)</f>
        <v>24.413399999999999</v>
      </c>
      <c r="C687" s="8">
        <f>24.4185 * CHOOSE(CONTROL!$C$15, $D$11, 100%, $F$11)</f>
        <v>24.418500000000002</v>
      </c>
      <c r="D687" s="8">
        <f>24.3955 * CHOOSE( CONTROL!$C$15, $D$11, 100%, $F$11)</f>
        <v>24.395499999999998</v>
      </c>
      <c r="E687" s="12">
        <f>24.4034 * CHOOSE( CONTROL!$C$15, $D$11, 100%, $F$11)</f>
        <v>24.403400000000001</v>
      </c>
      <c r="F687" s="4">
        <f>25.0583 * CHOOSE(CONTROL!$C$15, $D$11, 100%, $F$11)</f>
        <v>25.058299999999999</v>
      </c>
      <c r="G687" s="8">
        <f>23.9895 * CHOOSE( CONTROL!$C$15, $D$11, 100%, $F$11)</f>
        <v>23.9895</v>
      </c>
      <c r="H687" s="4">
        <f>24.8716 * CHOOSE(CONTROL!$C$15, $D$11, 100%, $F$11)</f>
        <v>24.871600000000001</v>
      </c>
      <c r="I687" s="8">
        <f>23.7056 * CHOOSE(CONTROL!$C$15, $D$11, 100%, $F$11)</f>
        <v>23.7056</v>
      </c>
      <c r="J687" s="4">
        <f>23.5713 * CHOOSE(CONTROL!$C$15, $D$11, 100%, $F$11)</f>
        <v>23.571300000000001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24.3691 * CHOOSE(CONTROL!$C$15, $D$11, 100%, $F$11)</f>
        <v>24.3691</v>
      </c>
      <c r="C688" s="8">
        <f>24.3742 * CHOOSE(CONTROL!$C$15, $D$11, 100%, $F$11)</f>
        <v>24.374199999999998</v>
      </c>
      <c r="D688" s="8">
        <f>24.3527 * CHOOSE( CONTROL!$C$15, $D$11, 100%, $F$11)</f>
        <v>24.352699999999999</v>
      </c>
      <c r="E688" s="12">
        <f>24.36 * CHOOSE( CONTROL!$C$15, $D$11, 100%, $F$11)</f>
        <v>24.36</v>
      </c>
      <c r="F688" s="4">
        <f>25.014 * CHOOSE(CONTROL!$C$15, $D$11, 100%, $F$11)</f>
        <v>25.013999999999999</v>
      </c>
      <c r="G688" s="8">
        <f>23.9471 * CHOOSE( CONTROL!$C$15, $D$11, 100%, $F$11)</f>
        <v>23.947099999999999</v>
      </c>
      <c r="H688" s="4">
        <f>24.828 * CHOOSE(CONTROL!$C$15, $D$11, 100%, $F$11)</f>
        <v>24.827999999999999</v>
      </c>
      <c r="I688" s="8">
        <f>23.6676 * CHOOSE(CONTROL!$C$15, $D$11, 100%, $F$11)</f>
        <v>23.6676</v>
      </c>
      <c r="J688" s="4">
        <f>23.5284 * CHOOSE(CONTROL!$C$15, $D$11, 100%, $F$11)</f>
        <v>23.528400000000001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25.2993 * CHOOSE(CONTROL!$C$15, $D$11, 100%, $F$11)</f>
        <v>25.299299999999999</v>
      </c>
      <c r="C689" s="8">
        <f>25.3044 * CHOOSE(CONTROL!$C$15, $D$11, 100%, $F$11)</f>
        <v>25.304400000000001</v>
      </c>
      <c r="D689" s="8">
        <f>25.279 * CHOOSE( CONTROL!$C$15, $D$11, 100%, $F$11)</f>
        <v>25.279</v>
      </c>
      <c r="E689" s="12">
        <f>25.2877 * CHOOSE( CONTROL!$C$15, $D$11, 100%, $F$11)</f>
        <v>25.287700000000001</v>
      </c>
      <c r="F689" s="4">
        <f>25.9416 * CHOOSE(CONTROL!$C$15, $D$11, 100%, $F$11)</f>
        <v>25.941600000000001</v>
      </c>
      <c r="G689" s="8">
        <f>24.8565 * CHOOSE( CONTROL!$C$15, $D$11, 100%, $F$11)</f>
        <v>24.8565</v>
      </c>
      <c r="H689" s="4">
        <f>25.7402 * CHOOSE(CONTROL!$C$15, $D$11, 100%, $F$11)</f>
        <v>25.740200000000002</v>
      </c>
      <c r="I689" s="8">
        <f>24.5476 * CHOOSE(CONTROL!$C$15, $D$11, 100%, $F$11)</f>
        <v>24.547599999999999</v>
      </c>
      <c r="J689" s="4">
        <f>24.4277 * CHOOSE(CONTROL!$C$15, $D$11, 100%, $F$11)</f>
        <v>24.427700000000002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23.6657 * CHOOSE(CONTROL!$C$15, $D$11, 100%, $F$11)</f>
        <v>23.665700000000001</v>
      </c>
      <c r="C690" s="8">
        <f>23.6708 * CHOOSE(CONTROL!$C$15, $D$11, 100%, $F$11)</f>
        <v>23.6708</v>
      </c>
      <c r="D690" s="8">
        <f>23.6455 * CHOOSE( CONTROL!$C$15, $D$11, 100%, $F$11)</f>
        <v>23.645499999999998</v>
      </c>
      <c r="E690" s="12">
        <f>23.6542 * CHOOSE( CONTROL!$C$15, $D$11, 100%, $F$11)</f>
        <v>23.654199999999999</v>
      </c>
      <c r="F690" s="4">
        <f>24.308 * CHOOSE(CONTROL!$C$15, $D$11, 100%, $F$11)</f>
        <v>24.308</v>
      </c>
      <c r="G690" s="8">
        <f>23.2501 * CHOOSE( CONTROL!$C$15, $D$11, 100%, $F$11)</f>
        <v>23.2501</v>
      </c>
      <c r="H690" s="4">
        <f>24.1337 * CHOOSE(CONTROL!$C$15, $D$11, 100%, $F$11)</f>
        <v>24.133700000000001</v>
      </c>
      <c r="I690" s="8">
        <f>22.9679 * CHOOSE(CONTROL!$C$15, $D$11, 100%, $F$11)</f>
        <v>22.9679</v>
      </c>
      <c r="J690" s="4">
        <f>22.8485 * CHOOSE(CONTROL!$C$15, $D$11, 100%, $F$11)</f>
        <v>22.848500000000001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23.1625 * CHOOSE(CONTROL!$C$15, $D$11, 100%, $F$11)</f>
        <v>23.162500000000001</v>
      </c>
      <c r="C691" s="8">
        <f>23.1677 * CHOOSE(CONTROL!$C$15, $D$11, 100%, $F$11)</f>
        <v>23.1677</v>
      </c>
      <c r="D691" s="8">
        <f>23.1421 * CHOOSE( CONTROL!$C$15, $D$11, 100%, $F$11)</f>
        <v>23.142099999999999</v>
      </c>
      <c r="E691" s="12">
        <f>23.1509 * CHOOSE( CONTROL!$C$15, $D$11, 100%, $F$11)</f>
        <v>23.1509</v>
      </c>
      <c r="F691" s="4">
        <f>23.8048 * CHOOSE(CONTROL!$C$15, $D$11, 100%, $F$11)</f>
        <v>23.8048</v>
      </c>
      <c r="G691" s="8">
        <f>22.7551 * CHOOSE( CONTROL!$C$15, $D$11, 100%, $F$11)</f>
        <v>22.755099999999999</v>
      </c>
      <c r="H691" s="4">
        <f>23.6389 * CHOOSE(CONTROL!$C$15, $D$11, 100%, $F$11)</f>
        <v>23.6389</v>
      </c>
      <c r="I691" s="8">
        <f>22.4804 * CHOOSE(CONTROL!$C$15, $D$11, 100%, $F$11)</f>
        <v>22.480399999999999</v>
      </c>
      <c r="J691" s="4">
        <f>22.3621 * CHOOSE(CONTROL!$C$15, $D$11, 100%, $F$11)</f>
        <v>22.362100000000002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23.5149 * CHOOSE(CONTROL!$C$15, $D$11, 100%, $F$11)</f>
        <v>23.514900000000001</v>
      </c>
      <c r="C692" s="8">
        <f>23.5194 * CHOOSE(CONTROL!$C$15, $D$11, 100%, $F$11)</f>
        <v>23.519400000000001</v>
      </c>
      <c r="D692" s="8">
        <f>23.5338 * CHOOSE( CONTROL!$C$15, $D$11, 100%, $F$11)</f>
        <v>23.533799999999999</v>
      </c>
      <c r="E692" s="12">
        <f>23.5285 * CHOOSE( CONTROL!$C$15, $D$11, 100%, $F$11)</f>
        <v>23.528500000000001</v>
      </c>
      <c r="F692" s="4">
        <f>24.2071 * CHOOSE(CONTROL!$C$15, $D$11, 100%, $F$11)</f>
        <v>24.207100000000001</v>
      </c>
      <c r="G692" s="8">
        <f>23.0961 * CHOOSE( CONTROL!$C$15, $D$11, 100%, $F$11)</f>
        <v>23.0961</v>
      </c>
      <c r="H692" s="4">
        <f>24.0345 * CHOOSE(CONTROL!$C$15, $D$11, 100%, $F$11)</f>
        <v>24.034500000000001</v>
      </c>
      <c r="I692" s="8">
        <f>22.8076 * CHOOSE(CONTROL!$C$15, $D$11, 100%, $F$11)</f>
        <v>22.807600000000001</v>
      </c>
      <c r="J692" s="4">
        <f>22.7019 * CHOOSE(CONTROL!$C$15, $D$11, 100%, $F$11)</f>
        <v>22.701899999999998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24.1469, 24.142) * CHOOSE(CONTROL!$C$15, $D$11, 100%, $F$11)</f>
        <v>24.146899999999999</v>
      </c>
      <c r="C693" s="8">
        <f>CHOOSE( CONTROL!$C$32, 24.1549, 24.15) * CHOOSE(CONTROL!$C$15, $D$11, 100%, $F$11)</f>
        <v>24.154900000000001</v>
      </c>
      <c r="D693" s="8">
        <f>CHOOSE( CONTROL!$C$32, 24.1642, 24.1593) * CHOOSE( CONTROL!$C$15, $D$11, 100%, $F$11)</f>
        <v>24.164200000000001</v>
      </c>
      <c r="E693" s="12">
        <f>CHOOSE( CONTROL!$C$32, 24.1596, 24.1547) * CHOOSE( CONTROL!$C$15, $D$11, 100%, $F$11)</f>
        <v>24.159600000000001</v>
      </c>
      <c r="F693" s="4">
        <f>CHOOSE( CONTROL!$C$32, 24.8378, 24.8329) * CHOOSE(CONTROL!$C$15, $D$11, 100%, $F$11)</f>
        <v>24.837800000000001</v>
      </c>
      <c r="G693" s="8">
        <f>CHOOSE( CONTROL!$C$32, 23.7174, 23.7126) * CHOOSE( CONTROL!$C$15, $D$11, 100%, $F$11)</f>
        <v>23.717400000000001</v>
      </c>
      <c r="H693" s="4">
        <f>CHOOSE( CONTROL!$C$32, 24.6547, 24.6499) * CHOOSE(CONTROL!$C$15, $D$11, 100%, $F$11)</f>
        <v>24.654699999999998</v>
      </c>
      <c r="I693" s="8">
        <f>CHOOSE( CONTROL!$C$32, 23.4179, 23.4132) * CHOOSE(CONTROL!$C$15, $D$11, 100%, $F$11)</f>
        <v>23.417899999999999</v>
      </c>
      <c r="J693" s="4">
        <f>CHOOSE( CONTROL!$C$32, 23.3116, 23.3068) * CHOOSE(CONTROL!$C$15, $D$11, 100%, $F$11)</f>
        <v>23.311599999999999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23.7593, 23.7544) * CHOOSE(CONTROL!$C$15, $D$11, 100%, $F$11)</f>
        <v>23.7593</v>
      </c>
      <c r="C694" s="8">
        <f>CHOOSE( CONTROL!$C$32, 23.7673, 23.7624) * CHOOSE(CONTROL!$C$15, $D$11, 100%, $F$11)</f>
        <v>23.767299999999999</v>
      </c>
      <c r="D694" s="8">
        <f>CHOOSE( CONTROL!$C$32, 23.7768, 23.7719) * CHOOSE( CONTROL!$C$15, $D$11, 100%, $F$11)</f>
        <v>23.776800000000001</v>
      </c>
      <c r="E694" s="12">
        <f>CHOOSE( CONTROL!$C$32, 23.7721, 23.7672) * CHOOSE( CONTROL!$C$15, $D$11, 100%, $F$11)</f>
        <v>23.772099999999998</v>
      </c>
      <c r="F694" s="4">
        <f>CHOOSE( CONTROL!$C$32, 24.4501, 24.4452) * CHOOSE(CONTROL!$C$15, $D$11, 100%, $F$11)</f>
        <v>24.450099999999999</v>
      </c>
      <c r="G694" s="8">
        <f>CHOOSE( CONTROL!$C$32, 23.3365, 23.3317) * CHOOSE( CONTROL!$C$15, $D$11, 100%, $F$11)</f>
        <v>23.336500000000001</v>
      </c>
      <c r="H694" s="4">
        <f>CHOOSE( CONTROL!$C$32, 24.2735, 24.2687) * CHOOSE(CONTROL!$C$15, $D$11, 100%, $F$11)</f>
        <v>24.273499999999999</v>
      </c>
      <c r="I694" s="8">
        <f>CHOOSE( CONTROL!$C$32, 23.0441, 23.0393) * CHOOSE(CONTROL!$C$15, $D$11, 100%, $F$11)</f>
        <v>23.0441</v>
      </c>
      <c r="J694" s="4">
        <f>CHOOSE( CONTROL!$C$32, 22.9369, 22.9321) * CHOOSE(CONTROL!$C$15, $D$11, 100%, $F$11)</f>
        <v>22.936900000000001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24.78, 24.7752) * CHOOSE(CONTROL!$C$15, $D$11, 100%, $F$11)</f>
        <v>24.78</v>
      </c>
      <c r="C695" s="8">
        <f>CHOOSE( CONTROL!$C$32, 24.7881, 24.7832) * CHOOSE(CONTROL!$C$15, $D$11, 100%, $F$11)</f>
        <v>24.7881</v>
      </c>
      <c r="D695" s="8">
        <f>CHOOSE( CONTROL!$C$32, 24.7978, 24.7929) * CHOOSE( CONTROL!$C$15, $D$11, 100%, $F$11)</f>
        <v>24.797799999999999</v>
      </c>
      <c r="E695" s="12">
        <f>CHOOSE( CONTROL!$C$32, 24.7931, 24.7882) * CHOOSE( CONTROL!$C$15, $D$11, 100%, $F$11)</f>
        <v>24.793099999999999</v>
      </c>
      <c r="F695" s="4">
        <f>CHOOSE( CONTROL!$C$32, 25.4709, 25.466) * CHOOSE(CONTROL!$C$15, $D$11, 100%, $F$11)</f>
        <v>25.4709</v>
      </c>
      <c r="G695" s="8">
        <f>CHOOSE( CONTROL!$C$32, 24.3407, 24.3359) * CHOOSE( CONTROL!$C$15, $D$11, 100%, $F$11)</f>
        <v>24.340699999999998</v>
      </c>
      <c r="H695" s="4">
        <f>CHOOSE( CONTROL!$C$32, 25.2773, 25.2725) * CHOOSE(CONTROL!$C$15, $D$11, 100%, $F$11)</f>
        <v>25.2773</v>
      </c>
      <c r="I695" s="8">
        <f>CHOOSE( CONTROL!$C$32, 24.0324, 24.0277) * CHOOSE(CONTROL!$C$15, $D$11, 100%, $F$11)</f>
        <v>24.032399999999999</v>
      </c>
      <c r="J695" s="4">
        <f>CHOOSE( CONTROL!$C$32, 23.9236, 23.9189) * CHOOSE(CONTROL!$C$15, $D$11, 100%, $F$11)</f>
        <v>23.9236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22.8701, 22.8652) * CHOOSE(CONTROL!$C$15, $D$11, 100%, $F$11)</f>
        <v>22.870100000000001</v>
      </c>
      <c r="C696" s="8">
        <f>CHOOSE( CONTROL!$C$32, 22.8781, 22.8732) * CHOOSE(CONTROL!$C$15, $D$11, 100%, $F$11)</f>
        <v>22.8781</v>
      </c>
      <c r="D696" s="8">
        <f>CHOOSE( CONTROL!$C$32, 22.8879, 22.883) * CHOOSE( CONTROL!$C$15, $D$11, 100%, $F$11)</f>
        <v>22.887899999999998</v>
      </c>
      <c r="E696" s="12">
        <f>CHOOSE( CONTROL!$C$32, 22.8831, 22.8782) * CHOOSE( CONTROL!$C$15, $D$11, 100%, $F$11)</f>
        <v>22.883099999999999</v>
      </c>
      <c r="F696" s="4">
        <f>CHOOSE( CONTROL!$C$32, 23.5609, 23.556) * CHOOSE(CONTROL!$C$15, $D$11, 100%, $F$11)</f>
        <v>23.5609</v>
      </c>
      <c r="G696" s="8">
        <f>CHOOSE( CONTROL!$C$32, 22.4625, 22.4577) * CHOOSE( CONTROL!$C$15, $D$11, 100%, $F$11)</f>
        <v>22.462499999999999</v>
      </c>
      <c r="H696" s="4">
        <f>CHOOSE( CONTROL!$C$32, 23.399, 23.3942) * CHOOSE(CONTROL!$C$15, $D$11, 100%, $F$11)</f>
        <v>23.399000000000001</v>
      </c>
      <c r="I696" s="8">
        <f>CHOOSE( CONTROL!$C$32, 22.1855, 22.1807) * CHOOSE(CONTROL!$C$15, $D$11, 100%, $F$11)</f>
        <v>22.185500000000001</v>
      </c>
      <c r="J696" s="4">
        <f>CHOOSE( CONTROL!$C$32, 22.0773, 22.0725) * CHOOSE(CONTROL!$C$15, $D$11, 100%, $F$11)</f>
        <v>22.077300000000001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22.3918, 22.3869) * CHOOSE(CONTROL!$C$15, $D$11, 100%, $F$11)</f>
        <v>22.3918</v>
      </c>
      <c r="C697" s="8">
        <f>CHOOSE( CONTROL!$C$32, 22.3998, 22.3949) * CHOOSE(CONTROL!$C$15, $D$11, 100%, $F$11)</f>
        <v>22.399799999999999</v>
      </c>
      <c r="D697" s="8">
        <f>CHOOSE( CONTROL!$C$32, 22.4096, 22.4047) * CHOOSE( CONTROL!$C$15, $D$11, 100%, $F$11)</f>
        <v>22.409600000000001</v>
      </c>
      <c r="E697" s="12">
        <f>CHOOSE( CONTROL!$C$32, 22.4048, 22.3999) * CHOOSE( CONTROL!$C$15, $D$11, 100%, $F$11)</f>
        <v>22.404800000000002</v>
      </c>
      <c r="F697" s="4">
        <f>CHOOSE( CONTROL!$C$32, 23.0827, 23.0778) * CHOOSE(CONTROL!$C$15, $D$11, 100%, $F$11)</f>
        <v>23.082699999999999</v>
      </c>
      <c r="G697" s="8">
        <f>CHOOSE( CONTROL!$C$32, 21.9921, 21.9873) * CHOOSE( CONTROL!$C$15, $D$11, 100%, $F$11)</f>
        <v>21.992100000000001</v>
      </c>
      <c r="H697" s="4">
        <f>CHOOSE( CONTROL!$C$32, 22.9287, 22.9239) * CHOOSE(CONTROL!$C$15, $D$11, 100%, $F$11)</f>
        <v>22.928699999999999</v>
      </c>
      <c r="I697" s="8">
        <f>CHOOSE( CONTROL!$C$32, 21.7227, 21.718) * CHOOSE(CONTROL!$C$15, $D$11, 100%, $F$11)</f>
        <v>21.7227</v>
      </c>
      <c r="J697" s="4">
        <f>CHOOSE( CONTROL!$C$32, 21.6149, 21.6102) * CHOOSE(CONTROL!$C$15, $D$11, 100%, $F$11)</f>
        <v>21.614899999999999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23.3783 * CHOOSE(CONTROL!$C$15, $D$11, 100%, $F$11)</f>
        <v>23.378299999999999</v>
      </c>
      <c r="C698" s="8">
        <f>23.3836 * CHOOSE(CONTROL!$C$15, $D$11, 100%, $F$11)</f>
        <v>23.383600000000001</v>
      </c>
      <c r="D698" s="8">
        <f>23.3982 * CHOOSE( CONTROL!$C$15, $D$11, 100%, $F$11)</f>
        <v>23.398199999999999</v>
      </c>
      <c r="E698" s="12">
        <f>23.3928 * CHOOSE( CONTROL!$C$15, $D$11, 100%, $F$11)</f>
        <v>23.392800000000001</v>
      </c>
      <c r="F698" s="4">
        <f>24.0708 * CHOOSE(CONTROL!$C$15, $D$11, 100%, $F$11)</f>
        <v>24.070799999999998</v>
      </c>
      <c r="G698" s="8">
        <f>22.9631 * CHOOSE( CONTROL!$C$15, $D$11, 100%, $F$11)</f>
        <v>22.963100000000001</v>
      </c>
      <c r="H698" s="4">
        <f>23.9005 * CHOOSE(CONTROL!$C$15, $D$11, 100%, $F$11)</f>
        <v>23.900500000000001</v>
      </c>
      <c r="I698" s="8">
        <f>22.6793 * CHOOSE(CONTROL!$C$15, $D$11, 100%, $F$11)</f>
        <v>22.679300000000001</v>
      </c>
      <c r="J698" s="4">
        <f>22.5702 * CHOOSE(CONTROL!$C$15, $D$11, 100%, $F$11)</f>
        <v>22.5702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25.2109 * CHOOSE(CONTROL!$C$15, $D$11, 100%, $F$11)</f>
        <v>25.210899999999999</v>
      </c>
      <c r="C699" s="8">
        <f>25.216 * CHOOSE(CONTROL!$C$15, $D$11, 100%, $F$11)</f>
        <v>25.216000000000001</v>
      </c>
      <c r="D699" s="8">
        <f>25.1929 * CHOOSE( CONTROL!$C$15, $D$11, 100%, $F$11)</f>
        <v>25.192900000000002</v>
      </c>
      <c r="E699" s="12">
        <f>25.2008 * CHOOSE( CONTROL!$C$15, $D$11, 100%, $F$11)</f>
        <v>25.200800000000001</v>
      </c>
      <c r="F699" s="4">
        <f>25.8557 * CHOOSE(CONTROL!$C$15, $D$11, 100%, $F$11)</f>
        <v>25.855699999999999</v>
      </c>
      <c r="G699" s="8">
        <f>24.7737 * CHOOSE( CONTROL!$C$15, $D$11, 100%, $F$11)</f>
        <v>24.773700000000002</v>
      </c>
      <c r="H699" s="4">
        <f>25.6558 * CHOOSE(CONTROL!$C$15, $D$11, 100%, $F$11)</f>
        <v>25.655799999999999</v>
      </c>
      <c r="I699" s="8">
        <f>24.4768 * CHOOSE(CONTROL!$C$15, $D$11, 100%, $F$11)</f>
        <v>24.476800000000001</v>
      </c>
      <c r="J699" s="4">
        <f>24.3422 * CHOOSE(CONTROL!$C$15, $D$11, 100%, $F$11)</f>
        <v>24.342199999999998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25.1651 * CHOOSE(CONTROL!$C$15, $D$11, 100%, $F$11)</f>
        <v>25.165099999999999</v>
      </c>
      <c r="C700" s="8">
        <f>25.1702 * CHOOSE(CONTROL!$C$15, $D$11, 100%, $F$11)</f>
        <v>25.170200000000001</v>
      </c>
      <c r="D700" s="8">
        <f>25.1487 * CHOOSE( CONTROL!$C$15, $D$11, 100%, $F$11)</f>
        <v>25.148700000000002</v>
      </c>
      <c r="E700" s="12">
        <f>25.156 * CHOOSE( CONTROL!$C$15, $D$11, 100%, $F$11)</f>
        <v>25.155999999999999</v>
      </c>
      <c r="F700" s="4">
        <f>25.8099 * CHOOSE(CONTROL!$C$15, $D$11, 100%, $F$11)</f>
        <v>25.809899999999999</v>
      </c>
      <c r="G700" s="8">
        <f>24.7298 * CHOOSE( CONTROL!$C$15, $D$11, 100%, $F$11)</f>
        <v>24.729800000000001</v>
      </c>
      <c r="H700" s="4">
        <f>25.6107 * CHOOSE(CONTROL!$C$15, $D$11, 100%, $F$11)</f>
        <v>25.610700000000001</v>
      </c>
      <c r="I700" s="8">
        <f>24.4375 * CHOOSE(CONTROL!$C$15, $D$11, 100%, $F$11)</f>
        <v>24.4375</v>
      </c>
      <c r="J700" s="4">
        <f>24.2979 * CHOOSE(CONTROL!$C$15, $D$11, 100%, $F$11)</f>
        <v>24.297899999999998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26.1257 * CHOOSE(CONTROL!$C$15, $D$11, 100%, $F$11)</f>
        <v>26.125699999999998</v>
      </c>
      <c r="C701" s="8">
        <f>26.1308 * CHOOSE(CONTROL!$C$15, $D$11, 100%, $F$11)</f>
        <v>26.130800000000001</v>
      </c>
      <c r="D701" s="8">
        <f>26.1054 * CHOOSE( CONTROL!$C$15, $D$11, 100%, $F$11)</f>
        <v>26.105399999999999</v>
      </c>
      <c r="E701" s="12">
        <f>26.1141 * CHOOSE( CONTROL!$C$15, $D$11, 100%, $F$11)</f>
        <v>26.114100000000001</v>
      </c>
      <c r="F701" s="4">
        <f>26.768 * CHOOSE(CONTROL!$C$15, $D$11, 100%, $F$11)</f>
        <v>26.768000000000001</v>
      </c>
      <c r="G701" s="8">
        <f>25.6692 * CHOOSE( CONTROL!$C$15, $D$11, 100%, $F$11)</f>
        <v>25.6692</v>
      </c>
      <c r="H701" s="4">
        <f>26.5529 * CHOOSE(CONTROL!$C$15, $D$11, 100%, $F$11)</f>
        <v>26.552900000000001</v>
      </c>
      <c r="I701" s="8">
        <f>25.3469 * CHOOSE(CONTROL!$C$15, $D$11, 100%, $F$11)</f>
        <v>25.346900000000002</v>
      </c>
      <c r="J701" s="4">
        <f>25.2265 * CHOOSE(CONTROL!$C$15, $D$11, 100%, $F$11)</f>
        <v>25.226500000000001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24.4387 * CHOOSE(CONTROL!$C$15, $D$11, 100%, $F$11)</f>
        <v>24.438700000000001</v>
      </c>
      <c r="C702" s="8">
        <f>24.4438 * CHOOSE(CONTROL!$C$15, $D$11, 100%, $F$11)</f>
        <v>24.4438</v>
      </c>
      <c r="D702" s="8">
        <f>24.4185 * CHOOSE( CONTROL!$C$15, $D$11, 100%, $F$11)</f>
        <v>24.418500000000002</v>
      </c>
      <c r="E702" s="12">
        <f>24.4272 * CHOOSE( CONTROL!$C$15, $D$11, 100%, $F$11)</f>
        <v>24.427199999999999</v>
      </c>
      <c r="F702" s="4">
        <f>25.081 * CHOOSE(CONTROL!$C$15, $D$11, 100%, $F$11)</f>
        <v>25.081</v>
      </c>
      <c r="G702" s="8">
        <f>24.0102 * CHOOSE( CONTROL!$C$15, $D$11, 100%, $F$11)</f>
        <v>24.010200000000001</v>
      </c>
      <c r="H702" s="4">
        <f>24.8938 * CHOOSE(CONTROL!$C$15, $D$11, 100%, $F$11)</f>
        <v>24.893799999999999</v>
      </c>
      <c r="I702" s="8">
        <f>23.7155 * CHOOSE(CONTROL!$C$15, $D$11, 100%, $F$11)</f>
        <v>23.715499999999999</v>
      </c>
      <c r="J702" s="4">
        <f>23.5957 * CHOOSE(CONTROL!$C$15, $D$11, 100%, $F$11)</f>
        <v>23.595700000000001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23.9191 * CHOOSE(CONTROL!$C$15, $D$11, 100%, $F$11)</f>
        <v>23.9191</v>
      </c>
      <c r="C703" s="8">
        <f>23.9242 * CHOOSE(CONTROL!$C$15, $D$11, 100%, $F$11)</f>
        <v>23.924199999999999</v>
      </c>
      <c r="D703" s="8">
        <f>23.8986 * CHOOSE( CONTROL!$C$15, $D$11, 100%, $F$11)</f>
        <v>23.898599999999998</v>
      </c>
      <c r="E703" s="12">
        <f>23.9074 * CHOOSE( CONTROL!$C$15, $D$11, 100%, $F$11)</f>
        <v>23.907399999999999</v>
      </c>
      <c r="F703" s="4">
        <f>24.5614 * CHOOSE(CONTROL!$C$15, $D$11, 100%, $F$11)</f>
        <v>24.561399999999999</v>
      </c>
      <c r="G703" s="8">
        <f>23.4991 * CHOOSE( CONTROL!$C$15, $D$11, 100%, $F$11)</f>
        <v>23.499099999999999</v>
      </c>
      <c r="H703" s="4">
        <f>24.3829 * CHOOSE(CONTROL!$C$15, $D$11, 100%, $F$11)</f>
        <v>24.382899999999999</v>
      </c>
      <c r="I703" s="8">
        <f>23.2121 * CHOOSE(CONTROL!$C$15, $D$11, 100%, $F$11)</f>
        <v>23.2121</v>
      </c>
      <c r="J703" s="4">
        <f>23.0934 * CHOOSE(CONTROL!$C$15, $D$11, 100%, $F$11)</f>
        <v>23.093399999999999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24.2829 * CHOOSE(CONTROL!$C$15, $D$11, 100%, $F$11)</f>
        <v>24.282900000000001</v>
      </c>
      <c r="C704" s="8">
        <f>24.2875 * CHOOSE(CONTROL!$C$15, $D$11, 100%, $F$11)</f>
        <v>24.287500000000001</v>
      </c>
      <c r="D704" s="8">
        <f>24.3018 * CHOOSE( CONTROL!$C$15, $D$11, 100%, $F$11)</f>
        <v>24.3018</v>
      </c>
      <c r="E704" s="12">
        <f>24.2966 * CHOOSE( CONTROL!$C$15, $D$11, 100%, $F$11)</f>
        <v>24.296600000000002</v>
      </c>
      <c r="F704" s="4">
        <f>24.9751 * CHOOSE(CONTROL!$C$15, $D$11, 100%, $F$11)</f>
        <v>24.975100000000001</v>
      </c>
      <c r="G704" s="8">
        <f>23.8514 * CHOOSE( CONTROL!$C$15, $D$11, 100%, $F$11)</f>
        <v>23.851400000000002</v>
      </c>
      <c r="H704" s="4">
        <f>24.7898 * CHOOSE(CONTROL!$C$15, $D$11, 100%, $F$11)</f>
        <v>24.7898</v>
      </c>
      <c r="I704" s="8">
        <f>23.5504 * CHOOSE(CONTROL!$C$15, $D$11, 100%, $F$11)</f>
        <v>23.5504</v>
      </c>
      <c r="J704" s="4">
        <f>23.4444 * CHOOSE(CONTROL!$C$15, $D$11, 100%, $F$11)</f>
        <v>23.444400000000002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24.9354, 24.9305) * CHOOSE(CONTROL!$C$15, $D$11, 100%, $F$11)</f>
        <v>24.935400000000001</v>
      </c>
      <c r="C705" s="8">
        <f>CHOOSE( CONTROL!$C$32, 24.9434, 24.9385) * CHOOSE(CONTROL!$C$15, $D$11, 100%, $F$11)</f>
        <v>24.9434</v>
      </c>
      <c r="D705" s="8">
        <f>CHOOSE( CONTROL!$C$32, 24.9527, 24.9478) * CHOOSE( CONTROL!$C$15, $D$11, 100%, $F$11)</f>
        <v>24.9527</v>
      </c>
      <c r="E705" s="12">
        <f>CHOOSE( CONTROL!$C$32, 24.9481, 24.9432) * CHOOSE( CONTROL!$C$15, $D$11, 100%, $F$11)</f>
        <v>24.9481</v>
      </c>
      <c r="F705" s="4">
        <f>CHOOSE( CONTROL!$C$32, 25.6262, 25.6213) * CHOOSE(CONTROL!$C$15, $D$11, 100%, $F$11)</f>
        <v>25.626200000000001</v>
      </c>
      <c r="G705" s="8">
        <f>CHOOSE( CONTROL!$C$32, 24.4928, 24.488) * CHOOSE( CONTROL!$C$15, $D$11, 100%, $F$11)</f>
        <v>24.492799999999999</v>
      </c>
      <c r="H705" s="4">
        <f>CHOOSE( CONTROL!$C$32, 25.4301, 25.4253) * CHOOSE(CONTROL!$C$15, $D$11, 100%, $F$11)</f>
        <v>25.430099999999999</v>
      </c>
      <c r="I705" s="8">
        <f>CHOOSE( CONTROL!$C$32, 24.1805, 24.1758) * CHOOSE(CONTROL!$C$15, $D$11, 100%, $F$11)</f>
        <v>24.180499999999999</v>
      </c>
      <c r="J705" s="4">
        <f>CHOOSE( CONTROL!$C$32, 24.0738, 24.0691) * CHOOSE(CONTROL!$C$15, $D$11, 100%, $F$11)</f>
        <v>24.073799999999999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24.5351, 24.5302) * CHOOSE(CONTROL!$C$15, $D$11, 100%, $F$11)</f>
        <v>24.5351</v>
      </c>
      <c r="C706" s="8">
        <f>CHOOSE( CONTROL!$C$32, 24.5431, 24.5382) * CHOOSE(CONTROL!$C$15, $D$11, 100%, $F$11)</f>
        <v>24.543099999999999</v>
      </c>
      <c r="D706" s="8">
        <f>CHOOSE( CONTROL!$C$32, 24.5526, 24.5477) * CHOOSE( CONTROL!$C$15, $D$11, 100%, $F$11)</f>
        <v>24.552600000000002</v>
      </c>
      <c r="E706" s="12">
        <f>CHOOSE( CONTROL!$C$32, 24.5479, 24.543) * CHOOSE( CONTROL!$C$15, $D$11, 100%, $F$11)</f>
        <v>24.547899999999998</v>
      </c>
      <c r="F706" s="4">
        <f>CHOOSE( CONTROL!$C$32, 25.2259, 25.221) * CHOOSE(CONTROL!$C$15, $D$11, 100%, $F$11)</f>
        <v>25.225899999999999</v>
      </c>
      <c r="G706" s="8">
        <f>CHOOSE( CONTROL!$C$32, 24.0994, 24.0946) * CHOOSE( CONTROL!$C$15, $D$11, 100%, $F$11)</f>
        <v>24.099399999999999</v>
      </c>
      <c r="H706" s="4">
        <f>CHOOSE( CONTROL!$C$32, 25.0364, 25.0316) * CHOOSE(CONTROL!$C$15, $D$11, 100%, $F$11)</f>
        <v>25.0364</v>
      </c>
      <c r="I706" s="8">
        <f>CHOOSE( CONTROL!$C$32, 23.7944, 23.7897) * CHOOSE(CONTROL!$C$15, $D$11, 100%, $F$11)</f>
        <v>23.7944</v>
      </c>
      <c r="J706" s="4">
        <f>CHOOSE( CONTROL!$C$32, 23.6868, 23.6821) * CHOOSE(CONTROL!$C$15, $D$11, 100%, $F$11)</f>
        <v>23.686800000000002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25.5892, 25.5843) * CHOOSE(CONTROL!$C$15, $D$11, 100%, $F$11)</f>
        <v>25.589200000000002</v>
      </c>
      <c r="C707" s="8">
        <f>CHOOSE( CONTROL!$C$32, 25.5972, 25.5923) * CHOOSE(CONTROL!$C$15, $D$11, 100%, $F$11)</f>
        <v>25.597200000000001</v>
      </c>
      <c r="D707" s="8">
        <f>CHOOSE( CONTROL!$C$32, 25.607, 25.6021) * CHOOSE( CONTROL!$C$15, $D$11, 100%, $F$11)</f>
        <v>25.606999999999999</v>
      </c>
      <c r="E707" s="12">
        <f>CHOOSE( CONTROL!$C$32, 25.6022, 25.5973) * CHOOSE( CONTROL!$C$15, $D$11, 100%, $F$11)</f>
        <v>25.6022</v>
      </c>
      <c r="F707" s="4">
        <f>CHOOSE( CONTROL!$C$32, 26.2801, 26.2752) * CHOOSE(CONTROL!$C$15, $D$11, 100%, $F$11)</f>
        <v>26.280100000000001</v>
      </c>
      <c r="G707" s="8">
        <f>CHOOSE( CONTROL!$C$32, 25.1364, 25.1316) * CHOOSE( CONTROL!$C$15, $D$11, 100%, $F$11)</f>
        <v>25.136399999999998</v>
      </c>
      <c r="H707" s="4">
        <f>CHOOSE( CONTROL!$C$32, 26.0731, 26.0683) * CHOOSE(CONTROL!$C$15, $D$11, 100%, $F$11)</f>
        <v>26.0731</v>
      </c>
      <c r="I707" s="8">
        <f>CHOOSE( CONTROL!$C$32, 24.815, 24.8103) * CHOOSE(CONTROL!$C$15, $D$11, 100%, $F$11)</f>
        <v>24.815000000000001</v>
      </c>
      <c r="J707" s="4">
        <f>CHOOSE( CONTROL!$C$32, 24.7059, 24.7011) * CHOOSE(CONTROL!$C$15, $D$11, 100%, $F$11)</f>
        <v>24.7059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23.6168, 23.6119) * CHOOSE(CONTROL!$C$15, $D$11, 100%, $F$11)</f>
        <v>23.616800000000001</v>
      </c>
      <c r="C708" s="8">
        <f>CHOOSE( CONTROL!$C$32, 23.6248, 23.6199) * CHOOSE(CONTROL!$C$15, $D$11, 100%, $F$11)</f>
        <v>23.6248</v>
      </c>
      <c r="D708" s="8">
        <f>CHOOSE( CONTROL!$C$32, 23.6346, 23.6297) * CHOOSE( CONTROL!$C$15, $D$11, 100%, $F$11)</f>
        <v>23.634599999999999</v>
      </c>
      <c r="E708" s="12">
        <f>CHOOSE( CONTROL!$C$32, 23.6298, 23.6249) * CHOOSE( CONTROL!$C$15, $D$11, 100%, $F$11)</f>
        <v>23.629799999999999</v>
      </c>
      <c r="F708" s="4">
        <f>CHOOSE( CONTROL!$C$32, 24.3077, 24.3028) * CHOOSE(CONTROL!$C$15, $D$11, 100%, $F$11)</f>
        <v>24.307700000000001</v>
      </c>
      <c r="G708" s="8">
        <f>CHOOSE( CONTROL!$C$32, 23.1968, 23.192) * CHOOSE( CONTROL!$C$15, $D$11, 100%, $F$11)</f>
        <v>23.1968</v>
      </c>
      <c r="H708" s="4">
        <f>CHOOSE( CONTROL!$C$32, 24.1334, 24.1285) * CHOOSE(CONTROL!$C$15, $D$11, 100%, $F$11)</f>
        <v>24.133400000000002</v>
      </c>
      <c r="I708" s="8">
        <f>CHOOSE( CONTROL!$C$32, 22.9077, 22.9029) * CHOOSE(CONTROL!$C$15, $D$11, 100%, $F$11)</f>
        <v>22.907699999999998</v>
      </c>
      <c r="J708" s="4">
        <f>CHOOSE( CONTROL!$C$32, 22.7991, 22.7944) * CHOOSE(CONTROL!$C$15, $D$11, 100%, $F$11)</f>
        <v>22.799099999999999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23.1229, 23.118) * CHOOSE(CONTROL!$C$15, $D$11, 100%, $F$11)</f>
        <v>23.122900000000001</v>
      </c>
      <c r="C709" s="8">
        <f>CHOOSE( CONTROL!$C$32, 23.1309, 23.126) * CHOOSE(CONTROL!$C$15, $D$11, 100%, $F$11)</f>
        <v>23.1309</v>
      </c>
      <c r="D709" s="8">
        <f>CHOOSE( CONTROL!$C$32, 23.1407, 23.1358) * CHOOSE( CONTROL!$C$15, $D$11, 100%, $F$11)</f>
        <v>23.140699999999999</v>
      </c>
      <c r="E709" s="12">
        <f>CHOOSE( CONTROL!$C$32, 23.1359, 23.131) * CHOOSE( CONTROL!$C$15, $D$11, 100%, $F$11)</f>
        <v>23.135899999999999</v>
      </c>
      <c r="F709" s="4">
        <f>CHOOSE( CONTROL!$C$32, 23.8137, 23.8088) * CHOOSE(CONTROL!$C$15, $D$11, 100%, $F$11)</f>
        <v>23.813700000000001</v>
      </c>
      <c r="G709" s="8">
        <f>CHOOSE( CONTROL!$C$32, 22.711, 22.7062) * CHOOSE( CONTROL!$C$15, $D$11, 100%, $F$11)</f>
        <v>22.710999999999999</v>
      </c>
      <c r="H709" s="4">
        <f>CHOOSE( CONTROL!$C$32, 23.6476, 23.6428) * CHOOSE(CONTROL!$C$15, $D$11, 100%, $F$11)</f>
        <v>23.647600000000001</v>
      </c>
      <c r="I709" s="8">
        <f>CHOOSE( CONTROL!$C$32, 22.4298, 22.4251) * CHOOSE(CONTROL!$C$15, $D$11, 100%, $F$11)</f>
        <v>22.4298</v>
      </c>
      <c r="J709" s="4">
        <f>CHOOSE( CONTROL!$C$32, 22.3217, 22.3169) * CHOOSE(CONTROL!$C$15, $D$11, 100%, $F$11)</f>
        <v>22.3217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24.1418 * CHOOSE(CONTROL!$C$15, $D$11, 100%, $F$11)</f>
        <v>24.1418</v>
      </c>
      <c r="C710" s="8">
        <f>24.1472 * CHOOSE(CONTROL!$C$15, $D$11, 100%, $F$11)</f>
        <v>24.147200000000002</v>
      </c>
      <c r="D710" s="8">
        <f>24.1617 * CHOOSE( CONTROL!$C$15, $D$11, 100%, $F$11)</f>
        <v>24.1617</v>
      </c>
      <c r="E710" s="12">
        <f>24.1563 * CHOOSE( CONTROL!$C$15, $D$11, 100%, $F$11)</f>
        <v>24.156300000000002</v>
      </c>
      <c r="F710" s="4">
        <f>24.8344 * CHOOSE(CONTROL!$C$15, $D$11, 100%, $F$11)</f>
        <v>24.834399999999999</v>
      </c>
      <c r="G710" s="8">
        <f>23.714 * CHOOSE( CONTROL!$C$15, $D$11, 100%, $F$11)</f>
        <v>23.713999999999999</v>
      </c>
      <c r="H710" s="4">
        <f>24.6514 * CHOOSE(CONTROL!$C$15, $D$11, 100%, $F$11)</f>
        <v>24.651399999999999</v>
      </c>
      <c r="I710" s="8">
        <f>23.4178 * CHOOSE(CONTROL!$C$15, $D$11, 100%, $F$11)</f>
        <v>23.4178</v>
      </c>
      <c r="J710" s="4">
        <f>23.3083 * CHOOSE(CONTROL!$C$15, $D$11, 100%, $F$11)</f>
        <v>23.308299999999999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26.0344 * CHOOSE(CONTROL!$C$15, $D$11, 100%, $F$11)</f>
        <v>26.034400000000002</v>
      </c>
      <c r="C711" s="8">
        <f>26.0395 * CHOOSE(CONTROL!$C$15, $D$11, 100%, $F$11)</f>
        <v>26.0395</v>
      </c>
      <c r="D711" s="8">
        <f>26.0164 * CHOOSE( CONTROL!$C$15, $D$11, 100%, $F$11)</f>
        <v>26.016400000000001</v>
      </c>
      <c r="E711" s="12">
        <f>26.0243 * CHOOSE( CONTROL!$C$15, $D$11, 100%, $F$11)</f>
        <v>26.0243</v>
      </c>
      <c r="F711" s="4">
        <f>26.6792 * CHOOSE(CONTROL!$C$15, $D$11, 100%, $F$11)</f>
        <v>26.679200000000002</v>
      </c>
      <c r="G711" s="8">
        <f>25.5836 * CHOOSE( CONTROL!$C$15, $D$11, 100%, $F$11)</f>
        <v>25.583600000000001</v>
      </c>
      <c r="H711" s="4">
        <f>26.4656 * CHOOSE(CONTROL!$C$15, $D$11, 100%, $F$11)</f>
        <v>26.465599999999998</v>
      </c>
      <c r="I711" s="8">
        <f>25.2733 * CHOOSE(CONTROL!$C$15, $D$11, 100%, $F$11)</f>
        <v>25.273299999999999</v>
      </c>
      <c r="J711" s="4">
        <f>25.1382 * CHOOSE(CONTROL!$C$15, $D$11, 100%, $F$11)</f>
        <v>25.138200000000001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25.9871 * CHOOSE(CONTROL!$C$15, $D$11, 100%, $F$11)</f>
        <v>25.987100000000002</v>
      </c>
      <c r="C712" s="8">
        <f>25.9922 * CHOOSE(CONTROL!$C$15, $D$11, 100%, $F$11)</f>
        <v>25.9922</v>
      </c>
      <c r="D712" s="8">
        <f>25.9707 * CHOOSE( CONTROL!$C$15, $D$11, 100%, $F$11)</f>
        <v>25.970700000000001</v>
      </c>
      <c r="E712" s="12">
        <f>25.978 * CHOOSE( CONTROL!$C$15, $D$11, 100%, $F$11)</f>
        <v>25.978000000000002</v>
      </c>
      <c r="F712" s="4">
        <f>26.6319 * CHOOSE(CONTROL!$C$15, $D$11, 100%, $F$11)</f>
        <v>26.631900000000002</v>
      </c>
      <c r="G712" s="8">
        <f>25.5382 * CHOOSE( CONTROL!$C$15, $D$11, 100%, $F$11)</f>
        <v>25.5382</v>
      </c>
      <c r="H712" s="4">
        <f>26.4191 * CHOOSE(CONTROL!$C$15, $D$11, 100%, $F$11)</f>
        <v>26.4191</v>
      </c>
      <c r="I712" s="8">
        <f>25.2325 * CHOOSE(CONTROL!$C$15, $D$11, 100%, $F$11)</f>
        <v>25.232500000000002</v>
      </c>
      <c r="J712" s="4">
        <f>25.0925 * CHOOSE(CONTROL!$C$15, $D$11, 100%, $F$11)</f>
        <v>25.092500000000001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26.9791 * CHOOSE(CONTROL!$C$15, $D$11, 100%, $F$11)</f>
        <v>26.979099999999999</v>
      </c>
      <c r="C713" s="8">
        <f>26.9842 * CHOOSE(CONTROL!$C$15, $D$11, 100%, $F$11)</f>
        <v>26.984200000000001</v>
      </c>
      <c r="D713" s="8">
        <f>26.9588 * CHOOSE( CONTROL!$C$15, $D$11, 100%, $F$11)</f>
        <v>26.9588</v>
      </c>
      <c r="E713" s="12">
        <f>26.9675 * CHOOSE( CONTROL!$C$15, $D$11, 100%, $F$11)</f>
        <v>26.967500000000001</v>
      </c>
      <c r="F713" s="4">
        <f>27.6214 * CHOOSE(CONTROL!$C$15, $D$11, 100%, $F$11)</f>
        <v>27.621400000000001</v>
      </c>
      <c r="G713" s="8">
        <f>26.5085 * CHOOSE( CONTROL!$C$15, $D$11, 100%, $F$11)</f>
        <v>26.508500000000002</v>
      </c>
      <c r="H713" s="4">
        <f>27.3922 * CHOOSE(CONTROL!$C$15, $D$11, 100%, $F$11)</f>
        <v>27.392199999999999</v>
      </c>
      <c r="I713" s="8">
        <f>26.1723 * CHOOSE(CONTROL!$C$15, $D$11, 100%, $F$11)</f>
        <v>26.1723</v>
      </c>
      <c r="J713" s="4">
        <f>26.0515 * CHOOSE(CONTROL!$C$15, $D$11, 100%, $F$11)</f>
        <v>26.051500000000001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25.2369 * CHOOSE(CONTROL!$C$15, $D$11, 100%, $F$11)</f>
        <v>25.236899999999999</v>
      </c>
      <c r="C714" s="8">
        <f>25.242 * CHOOSE(CONTROL!$C$15, $D$11, 100%, $F$11)</f>
        <v>25.242000000000001</v>
      </c>
      <c r="D714" s="8">
        <f>25.2167 * CHOOSE( CONTROL!$C$15, $D$11, 100%, $F$11)</f>
        <v>25.216699999999999</v>
      </c>
      <c r="E714" s="12">
        <f>25.2254 * CHOOSE( CONTROL!$C$15, $D$11, 100%, $F$11)</f>
        <v>25.2254</v>
      </c>
      <c r="F714" s="4">
        <f>25.8792 * CHOOSE(CONTROL!$C$15, $D$11, 100%, $F$11)</f>
        <v>25.879200000000001</v>
      </c>
      <c r="G714" s="8">
        <f>24.7952 * CHOOSE( CONTROL!$C$15, $D$11, 100%, $F$11)</f>
        <v>24.795200000000001</v>
      </c>
      <c r="H714" s="4">
        <f>25.6788 * CHOOSE(CONTROL!$C$15, $D$11, 100%, $F$11)</f>
        <v>25.678799999999999</v>
      </c>
      <c r="I714" s="8">
        <f>24.4875 * CHOOSE(CONTROL!$C$15, $D$11, 100%, $F$11)</f>
        <v>24.487500000000001</v>
      </c>
      <c r="J714" s="4">
        <f>24.3673 * CHOOSE(CONTROL!$C$15, $D$11, 100%, $F$11)</f>
        <v>24.3673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24.7003 * CHOOSE(CONTROL!$C$15, $D$11, 100%, $F$11)</f>
        <v>24.700299999999999</v>
      </c>
      <c r="C715" s="8">
        <f>24.7054 * CHOOSE(CONTROL!$C$15, $D$11, 100%, $F$11)</f>
        <v>24.705400000000001</v>
      </c>
      <c r="D715" s="8">
        <f>24.6799 * CHOOSE( CONTROL!$C$15, $D$11, 100%, $F$11)</f>
        <v>24.6799</v>
      </c>
      <c r="E715" s="12">
        <f>24.6887 * CHOOSE( CONTROL!$C$15, $D$11, 100%, $F$11)</f>
        <v>24.688700000000001</v>
      </c>
      <c r="F715" s="4">
        <f>25.3426 * CHOOSE(CONTROL!$C$15, $D$11, 100%, $F$11)</f>
        <v>25.342600000000001</v>
      </c>
      <c r="G715" s="8">
        <f>24.2674 * CHOOSE( CONTROL!$C$15, $D$11, 100%, $F$11)</f>
        <v>24.267399999999999</v>
      </c>
      <c r="H715" s="4">
        <f>25.1512 * CHOOSE(CONTROL!$C$15, $D$11, 100%, $F$11)</f>
        <v>25.151199999999999</v>
      </c>
      <c r="I715" s="8">
        <f>23.9677 * CHOOSE(CONTROL!$C$15, $D$11, 100%, $F$11)</f>
        <v>23.967700000000001</v>
      </c>
      <c r="J715" s="4">
        <f>23.8486 * CHOOSE(CONTROL!$C$15, $D$11, 100%, $F$11)</f>
        <v>23.848600000000001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25.076 * CHOOSE(CONTROL!$C$15, $D$11, 100%, $F$11)</f>
        <v>25.076000000000001</v>
      </c>
      <c r="C716" s="8">
        <f>25.0806 * CHOOSE(CONTROL!$C$15, $D$11, 100%, $F$11)</f>
        <v>25.0806</v>
      </c>
      <c r="D716" s="8">
        <f>25.0949 * CHOOSE( CONTROL!$C$15, $D$11, 100%, $F$11)</f>
        <v>25.094899999999999</v>
      </c>
      <c r="E716" s="12">
        <f>25.0897 * CHOOSE( CONTROL!$C$15, $D$11, 100%, $F$11)</f>
        <v>25.089700000000001</v>
      </c>
      <c r="F716" s="4">
        <f>25.7683 * CHOOSE(CONTROL!$C$15, $D$11, 100%, $F$11)</f>
        <v>25.7683</v>
      </c>
      <c r="G716" s="8">
        <f>24.6313 * CHOOSE( CONTROL!$C$15, $D$11, 100%, $F$11)</f>
        <v>24.6313</v>
      </c>
      <c r="H716" s="4">
        <f>25.5697 * CHOOSE(CONTROL!$C$15, $D$11, 100%, $F$11)</f>
        <v>25.569700000000001</v>
      </c>
      <c r="I716" s="8">
        <f>24.3175 * CHOOSE(CONTROL!$C$15, $D$11, 100%, $F$11)</f>
        <v>24.317499999999999</v>
      </c>
      <c r="J716" s="4">
        <f>24.2111 * CHOOSE(CONTROL!$C$15, $D$11, 100%, $F$11)</f>
        <v>24.211099999999998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25.7496, 25.7448) * CHOOSE(CONTROL!$C$15, $D$11, 100%, $F$11)</f>
        <v>25.749600000000001</v>
      </c>
      <c r="C717" s="8">
        <f>CHOOSE( CONTROL!$C$32, 25.7577, 25.7528) * CHOOSE(CONTROL!$C$15, $D$11, 100%, $F$11)</f>
        <v>25.7577</v>
      </c>
      <c r="D717" s="8">
        <f>CHOOSE( CONTROL!$C$32, 25.767, 25.7621) * CHOOSE( CONTROL!$C$15, $D$11, 100%, $F$11)</f>
        <v>25.766999999999999</v>
      </c>
      <c r="E717" s="12">
        <f>CHOOSE( CONTROL!$C$32, 25.7624, 25.7575) * CHOOSE( CONTROL!$C$15, $D$11, 100%, $F$11)</f>
        <v>25.7624</v>
      </c>
      <c r="F717" s="4">
        <f>CHOOSE( CONTROL!$C$32, 26.4405, 26.4356) * CHOOSE(CONTROL!$C$15, $D$11, 100%, $F$11)</f>
        <v>26.4405</v>
      </c>
      <c r="G717" s="8">
        <f>CHOOSE( CONTROL!$C$32, 25.2935, 25.2887) * CHOOSE( CONTROL!$C$15, $D$11, 100%, $F$11)</f>
        <v>25.293500000000002</v>
      </c>
      <c r="H717" s="4">
        <f>CHOOSE( CONTROL!$C$32, 26.2308, 26.226) * CHOOSE(CONTROL!$C$15, $D$11, 100%, $F$11)</f>
        <v>26.230799999999999</v>
      </c>
      <c r="I717" s="8">
        <f>CHOOSE( CONTROL!$C$32, 24.9681, 24.9634) * CHOOSE(CONTROL!$C$15, $D$11, 100%, $F$11)</f>
        <v>24.9681</v>
      </c>
      <c r="J717" s="4">
        <f>CHOOSE( CONTROL!$C$32, 24.8609, 24.8562) * CHOOSE(CONTROL!$C$15, $D$11, 100%, $F$11)</f>
        <v>24.860900000000001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25.3362, 25.3314) * CHOOSE(CONTROL!$C$15, $D$11, 100%, $F$11)</f>
        <v>25.336200000000002</v>
      </c>
      <c r="C718" s="8">
        <f>CHOOSE( CONTROL!$C$32, 25.3443, 25.3394) * CHOOSE(CONTROL!$C$15, $D$11, 100%, $F$11)</f>
        <v>25.3443</v>
      </c>
      <c r="D718" s="8">
        <f>CHOOSE( CONTROL!$C$32, 25.3538, 25.3489) * CHOOSE( CONTROL!$C$15, $D$11, 100%, $F$11)</f>
        <v>25.3538</v>
      </c>
      <c r="E718" s="12">
        <f>CHOOSE( CONTROL!$C$32, 25.3491, 25.3442) * CHOOSE( CONTROL!$C$15, $D$11, 100%, $F$11)</f>
        <v>25.3491</v>
      </c>
      <c r="F718" s="4">
        <f>CHOOSE( CONTROL!$C$32, 26.0271, 26.0222) * CHOOSE(CONTROL!$C$15, $D$11, 100%, $F$11)</f>
        <v>26.027100000000001</v>
      </c>
      <c r="G718" s="8">
        <f>CHOOSE( CONTROL!$C$32, 24.8873, 24.8825) * CHOOSE( CONTROL!$C$15, $D$11, 100%, $F$11)</f>
        <v>24.8873</v>
      </c>
      <c r="H718" s="4">
        <f>CHOOSE( CONTROL!$C$32, 25.8243, 25.8195) * CHOOSE(CONTROL!$C$15, $D$11, 100%, $F$11)</f>
        <v>25.824300000000001</v>
      </c>
      <c r="I718" s="8">
        <f>CHOOSE( CONTROL!$C$32, 24.5693, 24.5646) * CHOOSE(CONTROL!$C$15, $D$11, 100%, $F$11)</f>
        <v>24.569299999999998</v>
      </c>
      <c r="J718" s="4">
        <f>CHOOSE( CONTROL!$C$32, 24.4613, 24.4566) * CHOOSE(CONTROL!$C$15, $D$11, 100%, $F$11)</f>
        <v>24.461300000000001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26.4249, 26.42) * CHOOSE(CONTROL!$C$15, $D$11, 100%, $F$11)</f>
        <v>26.424900000000001</v>
      </c>
      <c r="C719" s="8">
        <f>CHOOSE( CONTROL!$C$32, 26.4329, 26.428) * CHOOSE(CONTROL!$C$15, $D$11, 100%, $F$11)</f>
        <v>26.4329</v>
      </c>
      <c r="D719" s="8">
        <f>CHOOSE( CONTROL!$C$32, 26.4426, 26.4377) * CHOOSE( CONTROL!$C$15, $D$11, 100%, $F$11)</f>
        <v>26.442599999999999</v>
      </c>
      <c r="E719" s="12">
        <f>CHOOSE( CONTROL!$C$32, 26.4379, 26.433) * CHOOSE( CONTROL!$C$15, $D$11, 100%, $F$11)</f>
        <v>26.437899999999999</v>
      </c>
      <c r="F719" s="4">
        <f>CHOOSE( CONTROL!$C$32, 27.1157, 27.1108) * CHOOSE(CONTROL!$C$15, $D$11, 100%, $F$11)</f>
        <v>27.1157</v>
      </c>
      <c r="G719" s="8">
        <f>CHOOSE( CONTROL!$C$32, 25.9582, 25.9534) * CHOOSE( CONTROL!$C$15, $D$11, 100%, $F$11)</f>
        <v>25.958200000000001</v>
      </c>
      <c r="H719" s="4">
        <f>CHOOSE( CONTROL!$C$32, 26.8949, 26.8901) * CHOOSE(CONTROL!$C$15, $D$11, 100%, $F$11)</f>
        <v>26.8949</v>
      </c>
      <c r="I719" s="8">
        <f>CHOOSE( CONTROL!$C$32, 25.6233, 25.6185) * CHOOSE(CONTROL!$C$15, $D$11, 100%, $F$11)</f>
        <v>25.6233</v>
      </c>
      <c r="J719" s="4">
        <f>CHOOSE( CONTROL!$C$32, 25.5137, 25.509) * CHOOSE(CONTROL!$C$15, $D$11, 100%, $F$11)</f>
        <v>25.5137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24.3879, 24.383) * CHOOSE(CONTROL!$C$15, $D$11, 100%, $F$11)</f>
        <v>24.387899999999998</v>
      </c>
      <c r="C720" s="8">
        <f>CHOOSE( CONTROL!$C$32, 24.396, 24.3911) * CHOOSE(CONTROL!$C$15, $D$11, 100%, $F$11)</f>
        <v>24.396000000000001</v>
      </c>
      <c r="D720" s="8">
        <f>CHOOSE( CONTROL!$C$32, 24.4058, 24.4009) * CHOOSE( CONTROL!$C$15, $D$11, 100%, $F$11)</f>
        <v>24.405799999999999</v>
      </c>
      <c r="E720" s="12">
        <f>CHOOSE( CONTROL!$C$32, 24.401, 24.3961) * CHOOSE( CONTROL!$C$15, $D$11, 100%, $F$11)</f>
        <v>24.401</v>
      </c>
      <c r="F720" s="4">
        <f>CHOOSE( CONTROL!$C$32, 25.0788, 25.0739) * CHOOSE(CONTROL!$C$15, $D$11, 100%, $F$11)</f>
        <v>25.078800000000001</v>
      </c>
      <c r="G720" s="8">
        <f>CHOOSE( CONTROL!$C$32, 23.9552, 23.9504) * CHOOSE( CONTROL!$C$15, $D$11, 100%, $F$11)</f>
        <v>23.955200000000001</v>
      </c>
      <c r="H720" s="4">
        <f>CHOOSE( CONTROL!$C$32, 24.8917, 24.8869) * CHOOSE(CONTROL!$C$15, $D$11, 100%, $F$11)</f>
        <v>24.8917</v>
      </c>
      <c r="I720" s="8">
        <f>CHOOSE( CONTROL!$C$32, 23.6535, 23.6488) * CHOOSE(CONTROL!$C$15, $D$11, 100%, $F$11)</f>
        <v>23.653500000000001</v>
      </c>
      <c r="J720" s="4">
        <f>CHOOSE( CONTROL!$C$32, 23.5446, 23.5399) * CHOOSE(CONTROL!$C$15, $D$11, 100%, $F$11)</f>
        <v>23.544599999999999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23.8779, 23.873) * CHOOSE(CONTROL!$C$15, $D$11, 100%, $F$11)</f>
        <v>23.8779</v>
      </c>
      <c r="C721" s="8">
        <f>CHOOSE( CONTROL!$C$32, 23.8859, 23.881) * CHOOSE(CONTROL!$C$15, $D$11, 100%, $F$11)</f>
        <v>23.885899999999999</v>
      </c>
      <c r="D721" s="8">
        <f>CHOOSE( CONTROL!$C$32, 23.8957, 23.8908) * CHOOSE( CONTROL!$C$15, $D$11, 100%, $F$11)</f>
        <v>23.895700000000001</v>
      </c>
      <c r="E721" s="12">
        <f>CHOOSE( CONTROL!$C$32, 23.8909, 23.886) * CHOOSE( CONTROL!$C$15, $D$11, 100%, $F$11)</f>
        <v>23.890899999999998</v>
      </c>
      <c r="F721" s="4">
        <f>CHOOSE( CONTROL!$C$32, 24.5687, 24.5638) * CHOOSE(CONTROL!$C$15, $D$11, 100%, $F$11)</f>
        <v>24.5687</v>
      </c>
      <c r="G721" s="8">
        <f>CHOOSE( CONTROL!$C$32, 23.4535, 23.4487) * CHOOSE( CONTROL!$C$15, $D$11, 100%, $F$11)</f>
        <v>23.453499999999998</v>
      </c>
      <c r="H721" s="4">
        <f>CHOOSE( CONTROL!$C$32, 24.3901, 24.3853) * CHOOSE(CONTROL!$C$15, $D$11, 100%, $F$11)</f>
        <v>24.3901</v>
      </c>
      <c r="I721" s="8">
        <f>CHOOSE( CONTROL!$C$32, 23.16, 23.1553) * CHOOSE(CONTROL!$C$15, $D$11, 100%, $F$11)</f>
        <v>23.16</v>
      </c>
      <c r="J721" s="4">
        <f>CHOOSE( CONTROL!$C$32, 23.0515, 23.0468) * CHOOSE(CONTROL!$C$15, $D$11, 100%, $F$11)</f>
        <v>23.051500000000001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24.9303 * CHOOSE(CONTROL!$C$15, $D$11, 100%, $F$11)</f>
        <v>24.930299999999999</v>
      </c>
      <c r="C722" s="8">
        <f>24.9357 * CHOOSE(CONTROL!$C$15, $D$11, 100%, $F$11)</f>
        <v>24.935700000000001</v>
      </c>
      <c r="D722" s="8">
        <f>24.9502 * CHOOSE( CONTROL!$C$15, $D$11, 100%, $F$11)</f>
        <v>24.950199999999999</v>
      </c>
      <c r="E722" s="12">
        <f>24.9448 * CHOOSE( CONTROL!$C$15, $D$11, 100%, $F$11)</f>
        <v>24.944800000000001</v>
      </c>
      <c r="F722" s="4">
        <f>25.6229 * CHOOSE(CONTROL!$C$15, $D$11, 100%, $F$11)</f>
        <v>25.622900000000001</v>
      </c>
      <c r="G722" s="8">
        <f>24.4895 * CHOOSE( CONTROL!$C$15, $D$11, 100%, $F$11)</f>
        <v>24.4895</v>
      </c>
      <c r="H722" s="4">
        <f>25.4268 * CHOOSE(CONTROL!$C$15, $D$11, 100%, $F$11)</f>
        <v>25.4268</v>
      </c>
      <c r="I722" s="8">
        <f>24.1804 * CHOOSE(CONTROL!$C$15, $D$11, 100%, $F$11)</f>
        <v>24.180399999999999</v>
      </c>
      <c r="J722" s="4">
        <f>24.0706 * CHOOSE(CONTROL!$C$15, $D$11, 100%, $F$11)</f>
        <v>24.070599999999999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26.8848 * CHOOSE(CONTROL!$C$15, $D$11, 100%, $F$11)</f>
        <v>26.884799999999998</v>
      </c>
      <c r="C723" s="8">
        <f>26.8899 * CHOOSE(CONTROL!$C$15, $D$11, 100%, $F$11)</f>
        <v>26.889900000000001</v>
      </c>
      <c r="D723" s="8">
        <f>26.8669 * CHOOSE( CONTROL!$C$15, $D$11, 100%, $F$11)</f>
        <v>26.866900000000001</v>
      </c>
      <c r="E723" s="12">
        <f>26.8748 * CHOOSE( CONTROL!$C$15, $D$11, 100%, $F$11)</f>
        <v>26.8748</v>
      </c>
      <c r="F723" s="4">
        <f>27.5297 * CHOOSE(CONTROL!$C$15, $D$11, 100%, $F$11)</f>
        <v>27.529699999999998</v>
      </c>
      <c r="G723" s="8">
        <f>26.4199 * CHOOSE( CONTROL!$C$15, $D$11, 100%, $F$11)</f>
        <v>26.419899999999998</v>
      </c>
      <c r="H723" s="4">
        <f>27.3019 * CHOOSE(CONTROL!$C$15, $D$11, 100%, $F$11)</f>
        <v>27.3019</v>
      </c>
      <c r="I723" s="8">
        <f>26.0958 * CHOOSE(CONTROL!$C$15, $D$11, 100%, $F$11)</f>
        <v>26.095800000000001</v>
      </c>
      <c r="J723" s="4">
        <f>25.9604 * CHOOSE(CONTROL!$C$15, $D$11, 100%, $F$11)</f>
        <v>25.9604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26.8359 * CHOOSE(CONTROL!$C$15, $D$11, 100%, $F$11)</f>
        <v>26.835899999999999</v>
      </c>
      <c r="C724" s="8">
        <f>26.8411 * CHOOSE(CONTROL!$C$15, $D$11, 100%, $F$11)</f>
        <v>26.841100000000001</v>
      </c>
      <c r="D724" s="8">
        <f>26.8196 * CHOOSE( CONTROL!$C$15, $D$11, 100%, $F$11)</f>
        <v>26.819600000000001</v>
      </c>
      <c r="E724" s="12">
        <f>26.8269 * CHOOSE( CONTROL!$C$15, $D$11, 100%, $F$11)</f>
        <v>26.826899999999998</v>
      </c>
      <c r="F724" s="4">
        <f>27.4808 * CHOOSE(CONTROL!$C$15, $D$11, 100%, $F$11)</f>
        <v>27.480799999999999</v>
      </c>
      <c r="G724" s="8">
        <f>26.373 * CHOOSE( CONTROL!$C$15, $D$11, 100%, $F$11)</f>
        <v>26.373000000000001</v>
      </c>
      <c r="H724" s="4">
        <f>27.2539 * CHOOSE(CONTROL!$C$15, $D$11, 100%, $F$11)</f>
        <v>27.253900000000002</v>
      </c>
      <c r="I724" s="8">
        <f>26.0535 * CHOOSE(CONTROL!$C$15, $D$11, 100%, $F$11)</f>
        <v>26.0535</v>
      </c>
      <c r="J724" s="4">
        <f>25.9131 * CHOOSE(CONTROL!$C$15, $D$11, 100%, $F$11)</f>
        <v>25.9131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27.8604 * CHOOSE(CONTROL!$C$15, $D$11, 100%, $F$11)</f>
        <v>27.860399999999998</v>
      </c>
      <c r="C725" s="8">
        <f>27.8656 * CHOOSE(CONTROL!$C$15, $D$11, 100%, $F$11)</f>
        <v>27.865600000000001</v>
      </c>
      <c r="D725" s="8">
        <f>27.8401 * CHOOSE( CONTROL!$C$15, $D$11, 100%, $F$11)</f>
        <v>27.8401</v>
      </c>
      <c r="E725" s="12">
        <f>27.8489 * CHOOSE( CONTROL!$C$15, $D$11, 100%, $F$11)</f>
        <v>27.8489</v>
      </c>
      <c r="F725" s="4">
        <f>28.5027 * CHOOSE(CONTROL!$C$15, $D$11, 100%, $F$11)</f>
        <v>28.502700000000001</v>
      </c>
      <c r="G725" s="8">
        <f>27.3752 * CHOOSE( CONTROL!$C$15, $D$11, 100%, $F$11)</f>
        <v>27.3752</v>
      </c>
      <c r="H725" s="4">
        <f>28.2589 * CHOOSE(CONTROL!$C$15, $D$11, 100%, $F$11)</f>
        <v>28.258900000000001</v>
      </c>
      <c r="I725" s="8">
        <f>27.0247 * CHOOSE(CONTROL!$C$15, $D$11, 100%, $F$11)</f>
        <v>27.024699999999999</v>
      </c>
      <c r="J725" s="4">
        <f>26.9035 * CHOOSE(CONTROL!$C$15, $D$11, 100%, $F$11)</f>
        <v>26.903500000000001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26.0613 * CHOOSE(CONTROL!$C$15, $D$11, 100%, $F$11)</f>
        <v>26.061299999999999</v>
      </c>
      <c r="C726" s="8">
        <f>26.0664 * CHOOSE(CONTROL!$C$15, $D$11, 100%, $F$11)</f>
        <v>26.066400000000002</v>
      </c>
      <c r="D726" s="8">
        <f>26.0411 * CHOOSE( CONTROL!$C$15, $D$11, 100%, $F$11)</f>
        <v>26.0411</v>
      </c>
      <c r="E726" s="12">
        <f>26.0498 * CHOOSE( CONTROL!$C$15, $D$11, 100%, $F$11)</f>
        <v>26.049800000000001</v>
      </c>
      <c r="F726" s="4">
        <f>26.7036 * CHOOSE(CONTROL!$C$15, $D$11, 100%, $F$11)</f>
        <v>26.703600000000002</v>
      </c>
      <c r="G726" s="8">
        <f>25.6059 * CHOOSE( CONTROL!$C$15, $D$11, 100%, $F$11)</f>
        <v>25.605899999999998</v>
      </c>
      <c r="H726" s="4">
        <f>26.4895 * CHOOSE(CONTROL!$C$15, $D$11, 100%, $F$11)</f>
        <v>26.4895</v>
      </c>
      <c r="I726" s="8">
        <f>25.2848 * CHOOSE(CONTROL!$C$15, $D$11, 100%, $F$11)</f>
        <v>25.284800000000001</v>
      </c>
      <c r="J726" s="4">
        <f>25.1643 * CHOOSE(CONTROL!$C$15, $D$11, 100%, $F$11)</f>
        <v>25.164300000000001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25.5071 * CHOOSE(CONTROL!$C$15, $D$11, 100%, $F$11)</f>
        <v>25.507100000000001</v>
      </c>
      <c r="C727" s="8">
        <f>25.5122 * CHOOSE(CONTROL!$C$15, $D$11, 100%, $F$11)</f>
        <v>25.5122</v>
      </c>
      <c r="D727" s="8">
        <f>25.4867 * CHOOSE( CONTROL!$C$15, $D$11, 100%, $F$11)</f>
        <v>25.486699999999999</v>
      </c>
      <c r="E727" s="12">
        <f>25.4955 * CHOOSE( CONTROL!$C$15, $D$11, 100%, $F$11)</f>
        <v>25.4955</v>
      </c>
      <c r="F727" s="4">
        <f>26.1494 * CHOOSE(CONTROL!$C$15, $D$11, 100%, $F$11)</f>
        <v>26.1494</v>
      </c>
      <c r="G727" s="8">
        <f>25.0608 * CHOOSE( CONTROL!$C$15, $D$11, 100%, $F$11)</f>
        <v>25.0608</v>
      </c>
      <c r="H727" s="4">
        <f>25.9446 * CHOOSE(CONTROL!$C$15, $D$11, 100%, $F$11)</f>
        <v>25.944600000000001</v>
      </c>
      <c r="I727" s="8">
        <f>24.748 * CHOOSE(CONTROL!$C$15, $D$11, 100%, $F$11)</f>
        <v>24.748000000000001</v>
      </c>
      <c r="J727" s="4">
        <f>24.6286 * CHOOSE(CONTROL!$C$15, $D$11, 100%, $F$11)</f>
        <v>24.628599999999999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25.8951 * CHOOSE(CONTROL!$C$15, $D$11, 100%, $F$11)</f>
        <v>25.895099999999999</v>
      </c>
      <c r="C728" s="8">
        <f>25.8997 * CHOOSE(CONTROL!$C$15, $D$11, 100%, $F$11)</f>
        <v>25.899699999999999</v>
      </c>
      <c r="D728" s="8">
        <f>25.914 * CHOOSE( CONTROL!$C$15, $D$11, 100%, $F$11)</f>
        <v>25.914000000000001</v>
      </c>
      <c r="E728" s="12">
        <f>25.9088 * CHOOSE( CONTROL!$C$15, $D$11, 100%, $F$11)</f>
        <v>25.908799999999999</v>
      </c>
      <c r="F728" s="4">
        <f>26.5873 * CHOOSE(CONTROL!$C$15, $D$11, 100%, $F$11)</f>
        <v>26.587299999999999</v>
      </c>
      <c r="G728" s="8">
        <f>25.4368 * CHOOSE( CONTROL!$C$15, $D$11, 100%, $F$11)</f>
        <v>25.436800000000002</v>
      </c>
      <c r="H728" s="4">
        <f>26.3752 * CHOOSE(CONTROL!$C$15, $D$11, 100%, $F$11)</f>
        <v>26.3752</v>
      </c>
      <c r="I728" s="8">
        <f>25.1097 * CHOOSE(CONTROL!$C$15, $D$11, 100%, $F$11)</f>
        <v>25.1097</v>
      </c>
      <c r="J728" s="4">
        <f>25.0029 * CHOOSE(CONTROL!$C$15, $D$11, 100%, $F$11)</f>
        <v>25.0029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26.5905, 26.5856) * CHOOSE(CONTROL!$C$15, $D$11, 100%, $F$11)</f>
        <v>26.590499999999999</v>
      </c>
      <c r="C729" s="8">
        <f>CHOOSE( CONTROL!$C$32, 26.5985, 26.5937) * CHOOSE(CONTROL!$C$15, $D$11, 100%, $F$11)</f>
        <v>26.598500000000001</v>
      </c>
      <c r="D729" s="8">
        <f>CHOOSE( CONTROL!$C$32, 26.6079, 26.603) * CHOOSE( CONTROL!$C$15, $D$11, 100%, $F$11)</f>
        <v>26.607900000000001</v>
      </c>
      <c r="E729" s="12">
        <f>CHOOSE( CONTROL!$C$32, 26.6033, 26.5984) * CHOOSE( CONTROL!$C$15, $D$11, 100%, $F$11)</f>
        <v>26.603300000000001</v>
      </c>
      <c r="F729" s="4">
        <f>CHOOSE( CONTROL!$C$32, 27.2814, 27.2765) * CHOOSE(CONTROL!$C$15, $D$11, 100%, $F$11)</f>
        <v>27.281400000000001</v>
      </c>
      <c r="G729" s="8">
        <f>CHOOSE( CONTROL!$C$32, 26.1205, 26.1157) * CHOOSE( CONTROL!$C$15, $D$11, 100%, $F$11)</f>
        <v>26.1205</v>
      </c>
      <c r="H729" s="4">
        <f>CHOOSE( CONTROL!$C$32, 27.0578, 27.053) * CHOOSE(CONTROL!$C$15, $D$11, 100%, $F$11)</f>
        <v>27.0578</v>
      </c>
      <c r="I729" s="8">
        <f>CHOOSE( CONTROL!$C$32, 25.7814, 25.7767) * CHOOSE(CONTROL!$C$15, $D$11, 100%, $F$11)</f>
        <v>25.781400000000001</v>
      </c>
      <c r="J729" s="4">
        <f>CHOOSE( CONTROL!$C$32, 25.6738, 25.6691) * CHOOSE(CONTROL!$C$15, $D$11, 100%, $F$11)</f>
        <v>25.6738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26.1636, 26.1587) * CHOOSE(CONTROL!$C$15, $D$11, 100%, $F$11)</f>
        <v>26.163599999999999</v>
      </c>
      <c r="C730" s="8">
        <f>CHOOSE( CONTROL!$C$32, 26.1716, 26.1667) * CHOOSE(CONTROL!$C$15, $D$11, 100%, $F$11)</f>
        <v>26.171600000000002</v>
      </c>
      <c r="D730" s="8">
        <f>CHOOSE( CONTROL!$C$32, 26.1812, 26.1763) * CHOOSE( CONTROL!$C$15, $D$11, 100%, $F$11)</f>
        <v>26.1812</v>
      </c>
      <c r="E730" s="12">
        <f>CHOOSE( CONTROL!$C$32, 26.1765, 26.1716) * CHOOSE( CONTROL!$C$15, $D$11, 100%, $F$11)</f>
        <v>26.176500000000001</v>
      </c>
      <c r="F730" s="4">
        <f>CHOOSE( CONTROL!$C$32, 26.8545, 26.8496) * CHOOSE(CONTROL!$C$15, $D$11, 100%, $F$11)</f>
        <v>26.854500000000002</v>
      </c>
      <c r="G730" s="8">
        <f>CHOOSE( CONTROL!$C$32, 25.701, 25.6962) * CHOOSE( CONTROL!$C$15, $D$11, 100%, $F$11)</f>
        <v>25.701000000000001</v>
      </c>
      <c r="H730" s="4">
        <f>CHOOSE( CONTROL!$C$32, 26.6379, 26.6331) * CHOOSE(CONTROL!$C$15, $D$11, 100%, $F$11)</f>
        <v>26.637899999999998</v>
      </c>
      <c r="I730" s="8">
        <f>CHOOSE( CONTROL!$C$32, 25.3695, 25.3648) * CHOOSE(CONTROL!$C$15, $D$11, 100%, $F$11)</f>
        <v>25.369499999999999</v>
      </c>
      <c r="J730" s="4">
        <f>CHOOSE( CONTROL!$C$32, 25.2611, 25.2564) * CHOOSE(CONTROL!$C$15, $D$11, 100%, $F$11)</f>
        <v>25.261099999999999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27.2878, 27.283) * CHOOSE(CONTROL!$C$15, $D$11, 100%, $F$11)</f>
        <v>27.287800000000001</v>
      </c>
      <c r="C731" s="8">
        <f>CHOOSE( CONTROL!$C$32, 27.2959, 27.291) * CHOOSE(CONTROL!$C$15, $D$11, 100%, $F$11)</f>
        <v>27.2959</v>
      </c>
      <c r="D731" s="8">
        <f>CHOOSE( CONTROL!$C$32, 27.3056, 27.3007) * CHOOSE( CONTROL!$C$15, $D$11, 100%, $F$11)</f>
        <v>27.305599999999998</v>
      </c>
      <c r="E731" s="12">
        <f>CHOOSE( CONTROL!$C$32, 27.3009, 27.296) * CHOOSE( CONTROL!$C$15, $D$11, 100%, $F$11)</f>
        <v>27.300899999999999</v>
      </c>
      <c r="F731" s="4">
        <f>CHOOSE( CONTROL!$C$32, 27.9787, 27.9738) * CHOOSE(CONTROL!$C$15, $D$11, 100%, $F$11)</f>
        <v>27.9787</v>
      </c>
      <c r="G731" s="8">
        <f>CHOOSE( CONTROL!$C$32, 26.8069, 26.8021) * CHOOSE( CONTROL!$C$15, $D$11, 100%, $F$11)</f>
        <v>26.806899999999999</v>
      </c>
      <c r="H731" s="4">
        <f>CHOOSE( CONTROL!$C$32, 27.7435, 27.7387) * CHOOSE(CONTROL!$C$15, $D$11, 100%, $F$11)</f>
        <v>27.743500000000001</v>
      </c>
      <c r="I731" s="8">
        <f>CHOOSE( CONTROL!$C$32, 26.4579, 26.4532) * CHOOSE(CONTROL!$C$15, $D$11, 100%, $F$11)</f>
        <v>26.457899999999999</v>
      </c>
      <c r="J731" s="4">
        <f>CHOOSE( CONTROL!$C$32, 26.3479, 26.3432) * CHOOSE(CONTROL!$C$15, $D$11, 100%, $F$11)</f>
        <v>26.347899999999999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25.1843, 25.1794) * CHOOSE(CONTROL!$C$15, $D$11, 100%, $F$11)</f>
        <v>25.1843</v>
      </c>
      <c r="C732" s="8">
        <f>CHOOSE( CONTROL!$C$32, 25.1923, 25.1874) * CHOOSE(CONTROL!$C$15, $D$11, 100%, $F$11)</f>
        <v>25.192299999999999</v>
      </c>
      <c r="D732" s="8">
        <f>CHOOSE( CONTROL!$C$32, 25.2021, 25.1972) * CHOOSE( CONTROL!$C$15, $D$11, 100%, $F$11)</f>
        <v>25.202100000000002</v>
      </c>
      <c r="E732" s="12">
        <f>CHOOSE( CONTROL!$C$32, 25.1973, 25.1924) * CHOOSE( CONTROL!$C$15, $D$11, 100%, $F$11)</f>
        <v>25.197299999999998</v>
      </c>
      <c r="F732" s="4">
        <f>CHOOSE( CONTROL!$C$32, 25.8752, 25.8703) * CHOOSE(CONTROL!$C$15, $D$11, 100%, $F$11)</f>
        <v>25.8752</v>
      </c>
      <c r="G732" s="8">
        <f>CHOOSE( CONTROL!$C$32, 24.7383, 24.7335) * CHOOSE( CONTROL!$C$15, $D$11, 100%, $F$11)</f>
        <v>24.738299999999999</v>
      </c>
      <c r="H732" s="4">
        <f>CHOOSE( CONTROL!$C$32, 25.6749, 25.67) * CHOOSE(CONTROL!$C$15, $D$11, 100%, $F$11)</f>
        <v>25.674900000000001</v>
      </c>
      <c r="I732" s="8">
        <f>CHOOSE( CONTROL!$C$32, 24.4237, 24.419) * CHOOSE(CONTROL!$C$15, $D$11, 100%, $F$11)</f>
        <v>24.4237</v>
      </c>
      <c r="J732" s="4">
        <f>CHOOSE( CONTROL!$C$32, 24.3144, 24.3097) * CHOOSE(CONTROL!$C$15, $D$11, 100%, $F$11)</f>
        <v>24.314399999999999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24.6575, 24.6527) * CHOOSE(CONTROL!$C$15, $D$11, 100%, $F$11)</f>
        <v>24.657499999999999</v>
      </c>
      <c r="C733" s="8">
        <f>CHOOSE( CONTROL!$C$32, 24.6656, 24.6607) * CHOOSE(CONTROL!$C$15, $D$11, 100%, $F$11)</f>
        <v>24.665600000000001</v>
      </c>
      <c r="D733" s="8">
        <f>CHOOSE( CONTROL!$C$32, 24.6753, 24.6704) * CHOOSE( CONTROL!$C$15, $D$11, 100%, $F$11)</f>
        <v>24.6753</v>
      </c>
      <c r="E733" s="12">
        <f>CHOOSE( CONTROL!$C$32, 24.6706, 24.6657) * CHOOSE( CONTROL!$C$15, $D$11, 100%, $F$11)</f>
        <v>24.6706</v>
      </c>
      <c r="F733" s="4">
        <f>CHOOSE( CONTROL!$C$32, 25.3484, 25.3435) * CHOOSE(CONTROL!$C$15, $D$11, 100%, $F$11)</f>
        <v>25.348400000000002</v>
      </c>
      <c r="G733" s="8">
        <f>CHOOSE( CONTROL!$C$32, 24.2203, 24.2155) * CHOOSE( CONTROL!$C$15, $D$11, 100%, $F$11)</f>
        <v>24.220300000000002</v>
      </c>
      <c r="H733" s="4">
        <f>CHOOSE( CONTROL!$C$32, 25.1568, 25.152) * CHOOSE(CONTROL!$C$15, $D$11, 100%, $F$11)</f>
        <v>25.1568</v>
      </c>
      <c r="I733" s="8">
        <f>CHOOSE( CONTROL!$C$32, 23.9141, 23.9094) * CHOOSE(CONTROL!$C$15, $D$11, 100%, $F$11)</f>
        <v>23.914100000000001</v>
      </c>
      <c r="J733" s="4">
        <f>CHOOSE( CONTROL!$C$32, 23.8052, 23.8005) * CHOOSE(CONTROL!$C$15, $D$11, 100%, $F$11)</f>
        <v>23.805199999999999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25.7446 * CHOOSE(CONTROL!$C$15, $D$11, 100%, $F$11)</f>
        <v>25.744599999999998</v>
      </c>
      <c r="C734" s="8">
        <f>25.75 * CHOOSE(CONTROL!$C$15, $D$11, 100%, $F$11)</f>
        <v>25.75</v>
      </c>
      <c r="D734" s="8">
        <f>25.7646 * CHOOSE( CONTROL!$C$15, $D$11, 100%, $F$11)</f>
        <v>25.764600000000002</v>
      </c>
      <c r="E734" s="12">
        <f>25.7592 * CHOOSE( CONTROL!$C$15, $D$11, 100%, $F$11)</f>
        <v>25.7592</v>
      </c>
      <c r="F734" s="4">
        <f>26.4372 * CHOOSE(CONTROL!$C$15, $D$11, 100%, $F$11)</f>
        <v>26.437200000000001</v>
      </c>
      <c r="G734" s="8">
        <f>25.2903 * CHOOSE( CONTROL!$C$15, $D$11, 100%, $F$11)</f>
        <v>25.290299999999998</v>
      </c>
      <c r="H734" s="4">
        <f>26.2276 * CHOOSE(CONTROL!$C$15, $D$11, 100%, $F$11)</f>
        <v>26.227599999999999</v>
      </c>
      <c r="I734" s="8">
        <f>24.968 * CHOOSE(CONTROL!$C$15, $D$11, 100%, $F$11)</f>
        <v>24.968</v>
      </c>
      <c r="J734" s="4">
        <f>24.8578 * CHOOSE(CONTROL!$C$15, $D$11, 100%, $F$11)</f>
        <v>24.857800000000001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27.763 * CHOOSE(CONTROL!$C$15, $D$11, 100%, $F$11)</f>
        <v>27.763000000000002</v>
      </c>
      <c r="C735" s="8">
        <f>27.7681 * CHOOSE(CONTROL!$C$15, $D$11, 100%, $F$11)</f>
        <v>27.7681</v>
      </c>
      <c r="D735" s="8">
        <f>27.7451 * CHOOSE( CONTROL!$C$15, $D$11, 100%, $F$11)</f>
        <v>27.745100000000001</v>
      </c>
      <c r="E735" s="12">
        <f>27.753 * CHOOSE( CONTROL!$C$15, $D$11, 100%, $F$11)</f>
        <v>27.753</v>
      </c>
      <c r="F735" s="4">
        <f>28.4079 * CHOOSE(CONTROL!$C$15, $D$11, 100%, $F$11)</f>
        <v>28.407900000000001</v>
      </c>
      <c r="G735" s="8">
        <f>27.2836 * CHOOSE( CONTROL!$C$15, $D$11, 100%, $F$11)</f>
        <v>27.2836</v>
      </c>
      <c r="H735" s="4">
        <f>28.1656 * CHOOSE(CONTROL!$C$15, $D$11, 100%, $F$11)</f>
        <v>28.165600000000001</v>
      </c>
      <c r="I735" s="8">
        <f>26.9452 * CHOOSE(CONTROL!$C$15, $D$11, 100%, $F$11)</f>
        <v>26.9452</v>
      </c>
      <c r="J735" s="4">
        <f>26.8094 * CHOOSE(CONTROL!$C$15, $D$11, 100%, $F$11)</f>
        <v>26.8094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27.7126 * CHOOSE(CONTROL!$C$15, $D$11, 100%, $F$11)</f>
        <v>27.712599999999998</v>
      </c>
      <c r="C736" s="8">
        <f>27.7177 * CHOOSE(CONTROL!$C$15, $D$11, 100%, $F$11)</f>
        <v>27.717700000000001</v>
      </c>
      <c r="D736" s="8">
        <f>27.6962 * CHOOSE( CONTROL!$C$15, $D$11, 100%, $F$11)</f>
        <v>27.696200000000001</v>
      </c>
      <c r="E736" s="12">
        <f>27.7035 * CHOOSE( CONTROL!$C$15, $D$11, 100%, $F$11)</f>
        <v>27.703499999999998</v>
      </c>
      <c r="F736" s="4">
        <f>28.3575 * CHOOSE(CONTROL!$C$15, $D$11, 100%, $F$11)</f>
        <v>28.357500000000002</v>
      </c>
      <c r="G736" s="8">
        <f>27.2351 * CHOOSE( CONTROL!$C$15, $D$11, 100%, $F$11)</f>
        <v>27.235099999999999</v>
      </c>
      <c r="H736" s="4">
        <f>28.116 * CHOOSE(CONTROL!$C$15, $D$11, 100%, $F$11)</f>
        <v>28.116</v>
      </c>
      <c r="I736" s="8">
        <f>26.9014 * CHOOSE(CONTROL!$C$15, $D$11, 100%, $F$11)</f>
        <v>26.901399999999999</v>
      </c>
      <c r="J736" s="4">
        <f>26.7606 * CHOOSE(CONTROL!$C$15, $D$11, 100%, $F$11)</f>
        <v>26.7606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28.7706 * CHOOSE(CONTROL!$C$15, $D$11, 100%, $F$11)</f>
        <v>28.770600000000002</v>
      </c>
      <c r="C737" s="8">
        <f>28.7757 * CHOOSE(CONTROL!$C$15, $D$11, 100%, $F$11)</f>
        <v>28.775700000000001</v>
      </c>
      <c r="D737" s="8">
        <f>28.7503 * CHOOSE( CONTROL!$C$15, $D$11, 100%, $F$11)</f>
        <v>28.750299999999999</v>
      </c>
      <c r="E737" s="12">
        <f>28.759 * CHOOSE( CONTROL!$C$15, $D$11, 100%, $F$11)</f>
        <v>28.759</v>
      </c>
      <c r="F737" s="4">
        <f>29.4129 * CHOOSE(CONTROL!$C$15, $D$11, 100%, $F$11)</f>
        <v>29.4129</v>
      </c>
      <c r="G737" s="8">
        <f>28.2703 * CHOOSE( CONTROL!$C$15, $D$11, 100%, $F$11)</f>
        <v>28.270299999999999</v>
      </c>
      <c r="H737" s="4">
        <f>29.1539 * CHOOSE(CONTROL!$C$15, $D$11, 100%, $F$11)</f>
        <v>29.1539</v>
      </c>
      <c r="I737" s="8">
        <f>27.905 * CHOOSE(CONTROL!$C$15, $D$11, 100%, $F$11)</f>
        <v>27.905000000000001</v>
      </c>
      <c r="J737" s="4">
        <f>27.7834 * CHOOSE(CONTROL!$C$15, $D$11, 100%, $F$11)</f>
        <v>27.7834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26.9126 * CHOOSE(CONTROL!$C$15, $D$11, 100%, $F$11)</f>
        <v>26.912600000000001</v>
      </c>
      <c r="C738" s="8">
        <f>26.9177 * CHOOSE(CONTROL!$C$15, $D$11, 100%, $F$11)</f>
        <v>26.9177</v>
      </c>
      <c r="D738" s="8">
        <f>26.8924 * CHOOSE( CONTROL!$C$15, $D$11, 100%, $F$11)</f>
        <v>26.892399999999999</v>
      </c>
      <c r="E738" s="12">
        <f>26.9011 * CHOOSE( CONTROL!$C$15, $D$11, 100%, $F$11)</f>
        <v>26.9011</v>
      </c>
      <c r="F738" s="4">
        <f>27.5549 * CHOOSE(CONTROL!$C$15, $D$11, 100%, $F$11)</f>
        <v>27.5549</v>
      </c>
      <c r="G738" s="8">
        <f>26.4431 * CHOOSE( CONTROL!$C$15, $D$11, 100%, $F$11)</f>
        <v>26.443100000000001</v>
      </c>
      <c r="H738" s="4">
        <f>27.3267 * CHOOSE(CONTROL!$C$15, $D$11, 100%, $F$11)</f>
        <v>27.326699999999999</v>
      </c>
      <c r="I738" s="8">
        <f>26.1082 * CHOOSE(CONTROL!$C$15, $D$11, 100%, $F$11)</f>
        <v>26.1082</v>
      </c>
      <c r="J738" s="4">
        <f>25.9872 * CHOOSE(CONTROL!$C$15, $D$11, 100%, $F$11)</f>
        <v>25.987200000000001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26.3403 * CHOOSE(CONTROL!$C$15, $D$11, 100%, $F$11)</f>
        <v>26.340299999999999</v>
      </c>
      <c r="C739" s="8">
        <f>26.3454 * CHOOSE(CONTROL!$C$15, $D$11, 100%, $F$11)</f>
        <v>26.345400000000001</v>
      </c>
      <c r="D739" s="8">
        <f>26.3198 * CHOOSE( CONTROL!$C$15, $D$11, 100%, $F$11)</f>
        <v>26.319800000000001</v>
      </c>
      <c r="E739" s="12">
        <f>26.3286 * CHOOSE( CONTROL!$C$15, $D$11, 100%, $F$11)</f>
        <v>26.328600000000002</v>
      </c>
      <c r="F739" s="4">
        <f>26.9826 * CHOOSE(CONTROL!$C$15, $D$11, 100%, $F$11)</f>
        <v>26.982600000000001</v>
      </c>
      <c r="G739" s="8">
        <f>25.8802 * CHOOSE( CONTROL!$C$15, $D$11, 100%, $F$11)</f>
        <v>25.880199999999999</v>
      </c>
      <c r="H739" s="4">
        <f>26.764 * CHOOSE(CONTROL!$C$15, $D$11, 100%, $F$11)</f>
        <v>26.763999999999999</v>
      </c>
      <c r="I739" s="8">
        <f>25.5539 * CHOOSE(CONTROL!$C$15, $D$11, 100%, $F$11)</f>
        <v>25.553899999999999</v>
      </c>
      <c r="J739" s="4">
        <f>25.434 * CHOOSE(CONTROL!$C$15, $D$11, 100%, $F$11)</f>
        <v>25.434000000000001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26.741 * CHOOSE(CONTROL!$C$15, $D$11, 100%, $F$11)</f>
        <v>26.741</v>
      </c>
      <c r="C740" s="8">
        <f>26.7455 * CHOOSE(CONTROL!$C$15, $D$11, 100%, $F$11)</f>
        <v>26.7455</v>
      </c>
      <c r="D740" s="8">
        <f>26.7598 * CHOOSE( CONTROL!$C$15, $D$11, 100%, $F$11)</f>
        <v>26.759799999999998</v>
      </c>
      <c r="E740" s="12">
        <f>26.7546 * CHOOSE( CONTROL!$C$15, $D$11, 100%, $F$11)</f>
        <v>26.7546</v>
      </c>
      <c r="F740" s="4">
        <f>27.4332 * CHOOSE(CONTROL!$C$15, $D$11, 100%, $F$11)</f>
        <v>27.433199999999999</v>
      </c>
      <c r="G740" s="8">
        <f>26.2687 * CHOOSE( CONTROL!$C$15, $D$11, 100%, $F$11)</f>
        <v>26.268699999999999</v>
      </c>
      <c r="H740" s="4">
        <f>27.2071 * CHOOSE(CONTROL!$C$15, $D$11, 100%, $F$11)</f>
        <v>27.207100000000001</v>
      </c>
      <c r="I740" s="8">
        <f>25.9278 * CHOOSE(CONTROL!$C$15, $D$11, 100%, $F$11)</f>
        <v>25.927800000000001</v>
      </c>
      <c r="J740" s="4">
        <f>25.8206 * CHOOSE(CONTROL!$C$15, $D$11, 100%, $F$11)</f>
        <v>25.820599999999999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27.4589, 27.454) * CHOOSE(CONTROL!$C$15, $D$11, 100%, $F$11)</f>
        <v>27.4589</v>
      </c>
      <c r="C741" s="8">
        <f>CHOOSE( CONTROL!$C$32, 27.4669, 27.4621) * CHOOSE(CONTROL!$C$15, $D$11, 100%, $F$11)</f>
        <v>27.466899999999999</v>
      </c>
      <c r="D741" s="8">
        <f>CHOOSE( CONTROL!$C$32, 27.4762, 27.4714) * CHOOSE( CONTROL!$C$15, $D$11, 100%, $F$11)</f>
        <v>27.476199999999999</v>
      </c>
      <c r="E741" s="12">
        <f>CHOOSE( CONTROL!$C$32, 27.4716, 27.4668) * CHOOSE( CONTROL!$C$15, $D$11, 100%, $F$11)</f>
        <v>27.471599999999999</v>
      </c>
      <c r="F741" s="4">
        <f>CHOOSE( CONTROL!$C$32, 28.1498, 28.1449) * CHOOSE(CONTROL!$C$15, $D$11, 100%, $F$11)</f>
        <v>28.149799999999999</v>
      </c>
      <c r="G741" s="8">
        <f>CHOOSE( CONTROL!$C$32, 26.9745, 26.9697) * CHOOSE( CONTROL!$C$15, $D$11, 100%, $F$11)</f>
        <v>26.974499999999999</v>
      </c>
      <c r="H741" s="4">
        <f>CHOOSE( CONTROL!$C$32, 27.9118, 27.907) * CHOOSE(CONTROL!$C$15, $D$11, 100%, $F$11)</f>
        <v>27.911799999999999</v>
      </c>
      <c r="I741" s="8">
        <f>CHOOSE( CONTROL!$C$32, 26.6213, 26.6165) * CHOOSE(CONTROL!$C$15, $D$11, 100%, $F$11)</f>
        <v>26.621300000000002</v>
      </c>
      <c r="J741" s="4">
        <f>CHOOSE( CONTROL!$C$32, 26.5133, 26.5086) * CHOOSE(CONTROL!$C$15, $D$11, 100%, $F$11)</f>
        <v>26.513300000000001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27.018, 27.0132) * CHOOSE(CONTROL!$C$15, $D$11, 100%, $F$11)</f>
        <v>27.018000000000001</v>
      </c>
      <c r="C742" s="8">
        <f>CHOOSE( CONTROL!$C$32, 27.0261, 27.0212) * CHOOSE(CONTROL!$C$15, $D$11, 100%, $F$11)</f>
        <v>27.0261</v>
      </c>
      <c r="D742" s="8">
        <f>CHOOSE( CONTROL!$C$32, 27.0356, 27.0307) * CHOOSE( CONTROL!$C$15, $D$11, 100%, $F$11)</f>
        <v>27.035599999999999</v>
      </c>
      <c r="E742" s="12">
        <f>CHOOSE( CONTROL!$C$32, 27.0309, 27.026) * CHOOSE( CONTROL!$C$15, $D$11, 100%, $F$11)</f>
        <v>27.030899999999999</v>
      </c>
      <c r="F742" s="4">
        <f>CHOOSE( CONTROL!$C$32, 27.7089, 27.704) * CHOOSE(CONTROL!$C$15, $D$11, 100%, $F$11)</f>
        <v>27.7089</v>
      </c>
      <c r="G742" s="8">
        <f>CHOOSE( CONTROL!$C$32, 26.5412, 26.5364) * CHOOSE( CONTROL!$C$15, $D$11, 100%, $F$11)</f>
        <v>26.5412</v>
      </c>
      <c r="H742" s="4">
        <f>CHOOSE( CONTROL!$C$32, 27.4782, 27.4734) * CHOOSE(CONTROL!$C$15, $D$11, 100%, $F$11)</f>
        <v>27.478200000000001</v>
      </c>
      <c r="I742" s="8">
        <f>CHOOSE( CONTROL!$C$32, 26.1959, 26.1912) * CHOOSE(CONTROL!$C$15, $D$11, 100%, $F$11)</f>
        <v>26.195900000000002</v>
      </c>
      <c r="J742" s="4">
        <f>CHOOSE( CONTROL!$C$32, 26.0871, 26.0824) * CHOOSE(CONTROL!$C$15, $D$11, 100%, $F$11)</f>
        <v>26.0871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28.179, 28.1742) * CHOOSE(CONTROL!$C$15, $D$11, 100%, $F$11)</f>
        <v>28.178999999999998</v>
      </c>
      <c r="C743" s="8">
        <f>CHOOSE( CONTROL!$C$32, 28.1871, 28.1822) * CHOOSE(CONTROL!$C$15, $D$11, 100%, $F$11)</f>
        <v>28.187100000000001</v>
      </c>
      <c r="D743" s="8">
        <f>CHOOSE( CONTROL!$C$32, 28.1968, 28.1919) * CHOOSE( CONTROL!$C$15, $D$11, 100%, $F$11)</f>
        <v>28.1968</v>
      </c>
      <c r="E743" s="12">
        <f>CHOOSE( CONTROL!$C$32, 28.1921, 28.1872) * CHOOSE( CONTROL!$C$15, $D$11, 100%, $F$11)</f>
        <v>28.1921</v>
      </c>
      <c r="F743" s="4">
        <f>CHOOSE( CONTROL!$C$32, 28.8699, 28.865) * CHOOSE(CONTROL!$C$15, $D$11, 100%, $F$11)</f>
        <v>28.869900000000001</v>
      </c>
      <c r="G743" s="8">
        <f>CHOOSE( CONTROL!$C$32, 27.6833, 27.6785) * CHOOSE( CONTROL!$C$15, $D$11, 100%, $F$11)</f>
        <v>27.683299999999999</v>
      </c>
      <c r="H743" s="4">
        <f>CHOOSE( CONTROL!$C$32, 28.6199, 28.6151) * CHOOSE(CONTROL!$C$15, $D$11, 100%, $F$11)</f>
        <v>28.619900000000001</v>
      </c>
      <c r="I743" s="8">
        <f>CHOOSE( CONTROL!$C$32, 27.3199, 27.3151) * CHOOSE(CONTROL!$C$15, $D$11, 100%, $F$11)</f>
        <v>27.319900000000001</v>
      </c>
      <c r="J743" s="4">
        <f>CHOOSE( CONTROL!$C$32, 27.2094, 27.2047) * CHOOSE(CONTROL!$C$15, $D$11, 100%, $F$11)</f>
        <v>27.209399999999999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26.0067, 26.0018) * CHOOSE(CONTROL!$C$15, $D$11, 100%, $F$11)</f>
        <v>26.006699999999999</v>
      </c>
      <c r="C744" s="8">
        <f>CHOOSE( CONTROL!$C$32, 26.0147, 26.0098) * CHOOSE(CONTROL!$C$15, $D$11, 100%, $F$11)</f>
        <v>26.014700000000001</v>
      </c>
      <c r="D744" s="8">
        <f>CHOOSE( CONTROL!$C$32, 26.0245, 26.0196) * CHOOSE( CONTROL!$C$15, $D$11, 100%, $F$11)</f>
        <v>26.0245</v>
      </c>
      <c r="E744" s="12">
        <f>CHOOSE( CONTROL!$C$32, 26.0197, 26.0148) * CHOOSE( CONTROL!$C$15, $D$11, 100%, $F$11)</f>
        <v>26.0197</v>
      </c>
      <c r="F744" s="4">
        <f>CHOOSE( CONTROL!$C$32, 26.6976, 26.6927) * CHOOSE(CONTROL!$C$15, $D$11, 100%, $F$11)</f>
        <v>26.697600000000001</v>
      </c>
      <c r="G744" s="8">
        <f>CHOOSE( CONTROL!$C$32, 25.5471, 25.5423) * CHOOSE( CONTROL!$C$15, $D$11, 100%, $F$11)</f>
        <v>25.5471</v>
      </c>
      <c r="H744" s="4">
        <f>CHOOSE( CONTROL!$C$32, 26.4836, 26.4788) * CHOOSE(CONTROL!$C$15, $D$11, 100%, $F$11)</f>
        <v>26.483599999999999</v>
      </c>
      <c r="I744" s="8">
        <f>CHOOSE( CONTROL!$C$32, 25.2192, 25.2144) * CHOOSE(CONTROL!$C$15, $D$11, 100%, $F$11)</f>
        <v>25.219200000000001</v>
      </c>
      <c r="J744" s="4">
        <f>CHOOSE( CONTROL!$C$32, 25.1094, 25.1047) * CHOOSE(CONTROL!$C$15, $D$11, 100%, $F$11)</f>
        <v>25.109400000000001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25.4627, 25.4578) * CHOOSE(CONTROL!$C$15, $D$11, 100%, $F$11)</f>
        <v>25.462700000000002</v>
      </c>
      <c r="C745" s="8">
        <f>CHOOSE( CONTROL!$C$32, 25.4707, 25.4658) * CHOOSE(CONTROL!$C$15, $D$11, 100%, $F$11)</f>
        <v>25.470700000000001</v>
      </c>
      <c r="D745" s="8">
        <f>CHOOSE( CONTROL!$C$32, 25.4805, 25.4756) * CHOOSE( CONTROL!$C$15, $D$11, 100%, $F$11)</f>
        <v>25.480499999999999</v>
      </c>
      <c r="E745" s="12">
        <f>CHOOSE( CONTROL!$C$32, 25.4757, 25.4708) * CHOOSE( CONTROL!$C$15, $D$11, 100%, $F$11)</f>
        <v>25.4757</v>
      </c>
      <c r="F745" s="4">
        <f>CHOOSE( CONTROL!$C$32, 26.1536, 26.1487) * CHOOSE(CONTROL!$C$15, $D$11, 100%, $F$11)</f>
        <v>26.153600000000001</v>
      </c>
      <c r="G745" s="8">
        <f>CHOOSE( CONTROL!$C$32, 25.0121, 25.0073) * CHOOSE( CONTROL!$C$15, $D$11, 100%, $F$11)</f>
        <v>25.0121</v>
      </c>
      <c r="H745" s="4">
        <f>CHOOSE( CONTROL!$C$32, 25.9487, 25.9439) * CHOOSE(CONTROL!$C$15, $D$11, 100%, $F$11)</f>
        <v>25.948699999999999</v>
      </c>
      <c r="I745" s="8">
        <f>CHOOSE( CONTROL!$C$32, 24.6929, 24.6881) * CHOOSE(CONTROL!$C$15, $D$11, 100%, $F$11)</f>
        <v>24.692900000000002</v>
      </c>
      <c r="J745" s="4">
        <f>CHOOSE( CONTROL!$C$32, 24.5836, 24.5788) * CHOOSE(CONTROL!$C$15, $D$11, 100%, $F$11)</f>
        <v>24.583600000000001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26.5856 * CHOOSE(CONTROL!$C$15, $D$11, 100%, $F$11)</f>
        <v>26.585599999999999</v>
      </c>
      <c r="C746" s="8">
        <f>26.591 * CHOOSE(CONTROL!$C$15, $D$11, 100%, $F$11)</f>
        <v>26.591000000000001</v>
      </c>
      <c r="D746" s="8">
        <f>26.6055 * CHOOSE( CONTROL!$C$15, $D$11, 100%, $F$11)</f>
        <v>26.605499999999999</v>
      </c>
      <c r="E746" s="12">
        <f>26.6001 * CHOOSE( CONTROL!$C$15, $D$11, 100%, $F$11)</f>
        <v>26.600100000000001</v>
      </c>
      <c r="F746" s="4">
        <f>27.2782 * CHOOSE(CONTROL!$C$15, $D$11, 100%, $F$11)</f>
        <v>27.278199999999998</v>
      </c>
      <c r="G746" s="8">
        <f>26.1173 * CHOOSE( CONTROL!$C$15, $D$11, 100%, $F$11)</f>
        <v>26.1173</v>
      </c>
      <c r="H746" s="4">
        <f>27.0546 * CHOOSE(CONTROL!$C$15, $D$11, 100%, $F$11)</f>
        <v>27.054600000000001</v>
      </c>
      <c r="I746" s="8">
        <f>25.7814 * CHOOSE(CONTROL!$C$15, $D$11, 100%, $F$11)</f>
        <v>25.781400000000001</v>
      </c>
      <c r="J746" s="4">
        <f>25.6707 * CHOOSE(CONTROL!$C$15, $D$11, 100%, $F$11)</f>
        <v>25.6707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28.67 * CHOOSE(CONTROL!$C$15, $D$11, 100%, $F$11)</f>
        <v>28.67</v>
      </c>
      <c r="C747" s="8">
        <f>28.6751 * CHOOSE(CONTROL!$C$15, $D$11, 100%, $F$11)</f>
        <v>28.6751</v>
      </c>
      <c r="D747" s="8">
        <f>28.6521 * CHOOSE( CONTROL!$C$15, $D$11, 100%, $F$11)</f>
        <v>28.652100000000001</v>
      </c>
      <c r="E747" s="12">
        <f>28.66 * CHOOSE( CONTROL!$C$15, $D$11, 100%, $F$11)</f>
        <v>28.66</v>
      </c>
      <c r="F747" s="4">
        <f>29.3149 * CHOOSE(CONTROL!$C$15, $D$11, 100%, $F$11)</f>
        <v>29.314900000000002</v>
      </c>
      <c r="G747" s="8">
        <f>28.1755 * CHOOSE( CONTROL!$C$15, $D$11, 100%, $F$11)</f>
        <v>28.1755</v>
      </c>
      <c r="H747" s="4">
        <f>29.0576 * CHOOSE(CONTROL!$C$15, $D$11, 100%, $F$11)</f>
        <v>29.057600000000001</v>
      </c>
      <c r="I747" s="8">
        <f>27.8224 * CHOOSE(CONTROL!$C$15, $D$11, 100%, $F$11)</f>
        <v>27.822399999999998</v>
      </c>
      <c r="J747" s="4">
        <f>27.6861 * CHOOSE(CONTROL!$C$15, $D$11, 100%, $F$11)</f>
        <v>27.6861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28.6179 * CHOOSE(CONTROL!$C$15, $D$11, 100%, $F$11)</f>
        <v>28.617899999999999</v>
      </c>
      <c r="C748" s="8">
        <f>28.623 * CHOOSE(CONTROL!$C$15, $D$11, 100%, $F$11)</f>
        <v>28.623000000000001</v>
      </c>
      <c r="D748" s="8">
        <f>28.6015 * CHOOSE( CONTROL!$C$15, $D$11, 100%, $F$11)</f>
        <v>28.601500000000001</v>
      </c>
      <c r="E748" s="12">
        <f>28.6088 * CHOOSE( CONTROL!$C$15, $D$11, 100%, $F$11)</f>
        <v>28.608799999999999</v>
      </c>
      <c r="F748" s="4">
        <f>29.2628 * CHOOSE(CONTROL!$C$15, $D$11, 100%, $F$11)</f>
        <v>29.262799999999999</v>
      </c>
      <c r="G748" s="8">
        <f>28.1254 * CHOOSE( CONTROL!$C$15, $D$11, 100%, $F$11)</f>
        <v>28.125399999999999</v>
      </c>
      <c r="H748" s="4">
        <f>29.0063 * CHOOSE(CONTROL!$C$15, $D$11, 100%, $F$11)</f>
        <v>29.0063</v>
      </c>
      <c r="I748" s="8">
        <f>27.777 * CHOOSE(CONTROL!$C$15, $D$11, 100%, $F$11)</f>
        <v>27.777000000000001</v>
      </c>
      <c r="J748" s="4">
        <f>27.6358 * CHOOSE(CONTROL!$C$15, $D$11, 100%, $F$11)</f>
        <v>27.6358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29.7105 * CHOOSE(CONTROL!$C$15, $D$11, 100%, $F$11)</f>
        <v>29.7105</v>
      </c>
      <c r="C749" s="8">
        <f>29.7156 * CHOOSE(CONTROL!$C$15, $D$11, 100%, $F$11)</f>
        <v>29.715599999999998</v>
      </c>
      <c r="D749" s="8">
        <f>29.6902 * CHOOSE( CONTROL!$C$15, $D$11, 100%, $F$11)</f>
        <v>29.690200000000001</v>
      </c>
      <c r="E749" s="12">
        <f>29.6989 * CHOOSE( CONTROL!$C$15, $D$11, 100%, $F$11)</f>
        <v>29.698899999999998</v>
      </c>
      <c r="F749" s="4">
        <f>30.3528 * CHOOSE(CONTROL!$C$15, $D$11, 100%, $F$11)</f>
        <v>30.352799999999998</v>
      </c>
      <c r="G749" s="8">
        <f>29.1946 * CHOOSE( CONTROL!$C$15, $D$11, 100%, $F$11)</f>
        <v>29.194600000000001</v>
      </c>
      <c r="H749" s="4">
        <f>30.0783 * CHOOSE(CONTROL!$C$15, $D$11, 100%, $F$11)</f>
        <v>30.078299999999999</v>
      </c>
      <c r="I749" s="8">
        <f>28.814 * CHOOSE(CONTROL!$C$15, $D$11, 100%, $F$11)</f>
        <v>28.814</v>
      </c>
      <c r="J749" s="4">
        <f>28.692 * CHOOSE(CONTROL!$C$15, $D$11, 100%, $F$11)</f>
        <v>28.692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27.7917 * CHOOSE(CONTROL!$C$15, $D$11, 100%, $F$11)</f>
        <v>27.791699999999999</v>
      </c>
      <c r="C750" s="8">
        <f>27.7968 * CHOOSE(CONTROL!$C$15, $D$11, 100%, $F$11)</f>
        <v>27.796800000000001</v>
      </c>
      <c r="D750" s="8">
        <f>27.7715 * CHOOSE( CONTROL!$C$15, $D$11, 100%, $F$11)</f>
        <v>27.7715</v>
      </c>
      <c r="E750" s="12">
        <f>27.7802 * CHOOSE( CONTROL!$C$15, $D$11, 100%, $F$11)</f>
        <v>27.780200000000001</v>
      </c>
      <c r="F750" s="4">
        <f>28.434 * CHOOSE(CONTROL!$C$15, $D$11, 100%, $F$11)</f>
        <v>28.434000000000001</v>
      </c>
      <c r="G750" s="8">
        <f>27.3077 * CHOOSE( CONTROL!$C$15, $D$11, 100%, $F$11)</f>
        <v>27.307700000000001</v>
      </c>
      <c r="H750" s="4">
        <f>28.1913 * CHOOSE(CONTROL!$C$15, $D$11, 100%, $F$11)</f>
        <v>28.191299999999998</v>
      </c>
      <c r="I750" s="8">
        <f>26.9585 * CHOOSE(CONTROL!$C$15, $D$11, 100%, $F$11)</f>
        <v>26.958500000000001</v>
      </c>
      <c r="J750" s="4">
        <f>26.8371 * CHOOSE(CONTROL!$C$15, $D$11, 100%, $F$11)</f>
        <v>26.8371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27.2008 * CHOOSE(CONTROL!$C$15, $D$11, 100%, $F$11)</f>
        <v>27.200800000000001</v>
      </c>
      <c r="C751" s="8">
        <f>27.2059 * CHOOSE(CONTROL!$C$15, $D$11, 100%, $F$11)</f>
        <v>27.2059</v>
      </c>
      <c r="D751" s="8">
        <f>27.1803 * CHOOSE( CONTROL!$C$15, $D$11, 100%, $F$11)</f>
        <v>27.180299999999999</v>
      </c>
      <c r="E751" s="12">
        <f>27.1891 * CHOOSE( CONTROL!$C$15, $D$11, 100%, $F$11)</f>
        <v>27.1891</v>
      </c>
      <c r="F751" s="4">
        <f>27.8431 * CHOOSE(CONTROL!$C$15, $D$11, 100%, $F$11)</f>
        <v>27.8431</v>
      </c>
      <c r="G751" s="8">
        <f>26.7263 * CHOOSE( CONTROL!$C$15, $D$11, 100%, $F$11)</f>
        <v>26.726299999999998</v>
      </c>
      <c r="H751" s="4">
        <f>27.6101 * CHOOSE(CONTROL!$C$15, $D$11, 100%, $F$11)</f>
        <v>27.610099999999999</v>
      </c>
      <c r="I751" s="8">
        <f>26.3861 * CHOOSE(CONTROL!$C$15, $D$11, 100%, $F$11)</f>
        <v>26.386099999999999</v>
      </c>
      <c r="J751" s="4">
        <f>26.2658 * CHOOSE(CONTROL!$C$15, $D$11, 100%, $F$11)</f>
        <v>26.265799999999999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27.6145 * CHOOSE(CONTROL!$C$15, $D$11, 100%, $F$11)</f>
        <v>27.6145</v>
      </c>
      <c r="C752" s="8">
        <f>27.619 * CHOOSE(CONTROL!$C$15, $D$11, 100%, $F$11)</f>
        <v>27.619</v>
      </c>
      <c r="D752" s="8">
        <f>27.6333 * CHOOSE( CONTROL!$C$15, $D$11, 100%, $F$11)</f>
        <v>27.633299999999998</v>
      </c>
      <c r="E752" s="12">
        <f>27.6281 * CHOOSE( CONTROL!$C$15, $D$11, 100%, $F$11)</f>
        <v>27.6281</v>
      </c>
      <c r="F752" s="4">
        <f>28.3067 * CHOOSE(CONTROL!$C$15, $D$11, 100%, $F$11)</f>
        <v>28.306699999999999</v>
      </c>
      <c r="G752" s="8">
        <f>27.1277 * CHOOSE( CONTROL!$C$15, $D$11, 100%, $F$11)</f>
        <v>27.127700000000001</v>
      </c>
      <c r="H752" s="4">
        <f>28.0661 * CHOOSE(CONTROL!$C$15, $D$11, 100%, $F$11)</f>
        <v>28.066099999999999</v>
      </c>
      <c r="I752" s="8">
        <f>26.7727 * CHOOSE(CONTROL!$C$15, $D$11, 100%, $F$11)</f>
        <v>26.7727</v>
      </c>
      <c r="J752" s="4">
        <f>26.665 * CHOOSE(CONTROL!$C$15, $D$11, 100%, $F$11)</f>
        <v>26.664999999999999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28.3557, 28.3508) * CHOOSE(CONTROL!$C$15, $D$11, 100%, $F$11)</f>
        <v>28.355699999999999</v>
      </c>
      <c r="C753" s="8">
        <f>CHOOSE( CONTROL!$C$32, 28.3637, 28.3588) * CHOOSE(CONTROL!$C$15, $D$11, 100%, $F$11)</f>
        <v>28.363700000000001</v>
      </c>
      <c r="D753" s="8">
        <f>CHOOSE( CONTROL!$C$32, 28.373, 28.3681) * CHOOSE( CONTROL!$C$15, $D$11, 100%, $F$11)</f>
        <v>28.373000000000001</v>
      </c>
      <c r="E753" s="12">
        <f>CHOOSE( CONTROL!$C$32, 28.3684, 28.3635) * CHOOSE( CONTROL!$C$15, $D$11, 100%, $F$11)</f>
        <v>28.368400000000001</v>
      </c>
      <c r="F753" s="4">
        <f>CHOOSE( CONTROL!$C$32, 29.0466, 29.0417) * CHOOSE(CONTROL!$C$15, $D$11, 100%, $F$11)</f>
        <v>29.046600000000002</v>
      </c>
      <c r="G753" s="8">
        <f>CHOOSE( CONTROL!$C$32, 27.8564, 27.8516) * CHOOSE( CONTROL!$C$15, $D$11, 100%, $F$11)</f>
        <v>27.856400000000001</v>
      </c>
      <c r="H753" s="4">
        <f>CHOOSE( CONTROL!$C$32, 28.7937, 28.7889) * CHOOSE(CONTROL!$C$15, $D$11, 100%, $F$11)</f>
        <v>28.793700000000001</v>
      </c>
      <c r="I753" s="8">
        <f>CHOOSE( CONTROL!$C$32, 27.4886, 27.4839) * CHOOSE(CONTROL!$C$15, $D$11, 100%, $F$11)</f>
        <v>27.488600000000002</v>
      </c>
      <c r="J753" s="4">
        <f>CHOOSE( CONTROL!$C$32, 27.3802, 27.3755) * CHOOSE(CONTROL!$C$15, $D$11, 100%, $F$11)</f>
        <v>27.380199999999999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27.9004, 27.8955) * CHOOSE(CONTROL!$C$15, $D$11, 100%, $F$11)</f>
        <v>27.900400000000001</v>
      </c>
      <c r="C754" s="8">
        <f>CHOOSE( CONTROL!$C$32, 27.9084, 27.9035) * CHOOSE(CONTROL!$C$15, $D$11, 100%, $F$11)</f>
        <v>27.9084</v>
      </c>
      <c r="D754" s="8">
        <f>CHOOSE( CONTROL!$C$32, 27.918, 27.9131) * CHOOSE( CONTROL!$C$15, $D$11, 100%, $F$11)</f>
        <v>27.917999999999999</v>
      </c>
      <c r="E754" s="12">
        <f>CHOOSE( CONTROL!$C$32, 27.9133, 27.9084) * CHOOSE( CONTROL!$C$15, $D$11, 100%, $F$11)</f>
        <v>27.9133</v>
      </c>
      <c r="F754" s="4">
        <f>CHOOSE( CONTROL!$C$32, 28.5913, 28.5864) * CHOOSE(CONTROL!$C$15, $D$11, 100%, $F$11)</f>
        <v>28.5913</v>
      </c>
      <c r="G754" s="8">
        <f>CHOOSE( CONTROL!$C$32, 27.409, 27.4042) * CHOOSE( CONTROL!$C$15, $D$11, 100%, $F$11)</f>
        <v>27.408999999999999</v>
      </c>
      <c r="H754" s="4">
        <f>CHOOSE( CONTROL!$C$32, 28.3459, 28.3411) * CHOOSE(CONTROL!$C$15, $D$11, 100%, $F$11)</f>
        <v>28.3459</v>
      </c>
      <c r="I754" s="8">
        <f>CHOOSE( CONTROL!$C$32, 27.0493, 27.0446) * CHOOSE(CONTROL!$C$15, $D$11, 100%, $F$11)</f>
        <v>27.049299999999999</v>
      </c>
      <c r="J754" s="4">
        <f>CHOOSE( CONTROL!$C$32, 26.9401, 26.9354) * CHOOSE(CONTROL!$C$15, $D$11, 100%, $F$11)</f>
        <v>26.940100000000001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29.0994, 29.0945) * CHOOSE(CONTROL!$C$15, $D$11, 100%, $F$11)</f>
        <v>29.099399999999999</v>
      </c>
      <c r="C755" s="8">
        <f>CHOOSE( CONTROL!$C$32, 29.1074, 29.1025) * CHOOSE(CONTROL!$C$15, $D$11, 100%, $F$11)</f>
        <v>29.107399999999998</v>
      </c>
      <c r="D755" s="8">
        <f>CHOOSE( CONTROL!$C$32, 29.1171, 29.1123) * CHOOSE( CONTROL!$C$15, $D$11, 100%, $F$11)</f>
        <v>29.117100000000001</v>
      </c>
      <c r="E755" s="12">
        <f>CHOOSE( CONTROL!$C$32, 29.1124, 29.1075) * CHOOSE( CONTROL!$C$15, $D$11, 100%, $F$11)</f>
        <v>29.112400000000001</v>
      </c>
      <c r="F755" s="4">
        <f>CHOOSE( CONTROL!$C$32, 29.7902, 29.7854) * CHOOSE(CONTROL!$C$15, $D$11, 100%, $F$11)</f>
        <v>29.790199999999999</v>
      </c>
      <c r="G755" s="8">
        <f>CHOOSE( CONTROL!$C$32, 28.5884, 28.5836) * CHOOSE( CONTROL!$C$15, $D$11, 100%, $F$11)</f>
        <v>28.5884</v>
      </c>
      <c r="H755" s="4">
        <f>CHOOSE( CONTROL!$C$32, 29.525, 29.5202) * CHOOSE(CONTROL!$C$15, $D$11, 100%, $F$11)</f>
        <v>29.524999999999999</v>
      </c>
      <c r="I755" s="8">
        <f>CHOOSE( CONTROL!$C$32, 28.21, 28.2053) * CHOOSE(CONTROL!$C$15, $D$11, 100%, $F$11)</f>
        <v>28.21</v>
      </c>
      <c r="J755" s="4">
        <f>CHOOSE( CONTROL!$C$32, 28.0991, 28.0944) * CHOOSE(CONTROL!$C$15, $D$11, 100%, $F$11)</f>
        <v>28.0991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26.856, 26.8511) * CHOOSE(CONTROL!$C$15, $D$11, 100%, $F$11)</f>
        <v>26.856000000000002</v>
      </c>
      <c r="C756" s="8">
        <f>CHOOSE( CONTROL!$C$32, 26.864, 26.8591) * CHOOSE(CONTROL!$C$15, $D$11, 100%, $F$11)</f>
        <v>26.864000000000001</v>
      </c>
      <c r="D756" s="8">
        <f>CHOOSE( CONTROL!$C$32, 26.8738, 26.8689) * CHOOSE( CONTROL!$C$15, $D$11, 100%, $F$11)</f>
        <v>26.873799999999999</v>
      </c>
      <c r="E756" s="12">
        <f>CHOOSE( CONTROL!$C$32, 26.869, 26.8641) * CHOOSE( CONTROL!$C$15, $D$11, 100%, $F$11)</f>
        <v>26.869</v>
      </c>
      <c r="F756" s="4">
        <f>CHOOSE( CONTROL!$C$32, 27.5469, 27.542) * CHOOSE(CONTROL!$C$15, $D$11, 100%, $F$11)</f>
        <v>27.546900000000001</v>
      </c>
      <c r="G756" s="8">
        <f>CHOOSE( CONTROL!$C$32, 26.3823, 26.3775) * CHOOSE( CONTROL!$C$15, $D$11, 100%, $F$11)</f>
        <v>26.382300000000001</v>
      </c>
      <c r="H756" s="4">
        <f>CHOOSE( CONTROL!$C$32, 27.3188, 27.314) * CHOOSE(CONTROL!$C$15, $D$11, 100%, $F$11)</f>
        <v>27.3188</v>
      </c>
      <c r="I756" s="8">
        <f>CHOOSE( CONTROL!$C$32, 26.0406, 26.0359) * CHOOSE(CONTROL!$C$15, $D$11, 100%, $F$11)</f>
        <v>26.040600000000001</v>
      </c>
      <c r="J756" s="4">
        <f>CHOOSE( CONTROL!$C$32, 25.9305, 25.9257) * CHOOSE(CONTROL!$C$15, $D$11, 100%, $F$11)</f>
        <v>25.930499999999999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26.2942, 26.2893) * CHOOSE(CONTROL!$C$15, $D$11, 100%, $F$11)</f>
        <v>26.2942</v>
      </c>
      <c r="C757" s="8">
        <f>CHOOSE( CONTROL!$C$32, 26.3022, 26.2974) * CHOOSE(CONTROL!$C$15, $D$11, 100%, $F$11)</f>
        <v>26.302199999999999</v>
      </c>
      <c r="D757" s="8">
        <f>CHOOSE( CONTROL!$C$32, 26.312, 26.3071) * CHOOSE( CONTROL!$C$15, $D$11, 100%, $F$11)</f>
        <v>26.312000000000001</v>
      </c>
      <c r="E757" s="12">
        <f>CHOOSE( CONTROL!$C$32, 26.3072, 26.3024) * CHOOSE( CONTROL!$C$15, $D$11, 100%, $F$11)</f>
        <v>26.307200000000002</v>
      </c>
      <c r="F757" s="4">
        <f>CHOOSE( CONTROL!$C$32, 26.9851, 26.9802) * CHOOSE(CONTROL!$C$15, $D$11, 100%, $F$11)</f>
        <v>26.985099999999999</v>
      </c>
      <c r="G757" s="8">
        <f>CHOOSE( CONTROL!$C$32, 25.8298, 25.825) * CHOOSE( CONTROL!$C$15, $D$11, 100%, $F$11)</f>
        <v>25.829799999999999</v>
      </c>
      <c r="H757" s="4">
        <f>CHOOSE( CONTROL!$C$32, 26.7664, 26.7616) * CHOOSE(CONTROL!$C$15, $D$11, 100%, $F$11)</f>
        <v>26.766400000000001</v>
      </c>
      <c r="I757" s="8">
        <f>CHOOSE( CONTROL!$C$32, 25.4971, 25.4923) * CHOOSE(CONTROL!$C$15, $D$11, 100%, $F$11)</f>
        <v>25.4971</v>
      </c>
      <c r="J757" s="4">
        <f>CHOOSE( CONTROL!$C$32, 25.3874, 25.3827) * CHOOSE(CONTROL!$C$15, $D$11, 100%, $F$11)</f>
        <v>25.3874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27.454 * CHOOSE(CONTROL!$C$15, $D$11, 100%, $F$11)</f>
        <v>27.454000000000001</v>
      </c>
      <c r="C758" s="8">
        <f>27.4594 * CHOOSE(CONTROL!$C$15, $D$11, 100%, $F$11)</f>
        <v>27.459399999999999</v>
      </c>
      <c r="D758" s="8">
        <f>27.474 * CHOOSE( CONTROL!$C$15, $D$11, 100%, $F$11)</f>
        <v>27.474</v>
      </c>
      <c r="E758" s="12">
        <f>27.4686 * CHOOSE( CONTROL!$C$15, $D$11, 100%, $F$11)</f>
        <v>27.468599999999999</v>
      </c>
      <c r="F758" s="4">
        <f>28.1466 * CHOOSE(CONTROL!$C$15, $D$11, 100%, $F$11)</f>
        <v>28.146599999999999</v>
      </c>
      <c r="G758" s="8">
        <f>26.9713 * CHOOSE( CONTROL!$C$15, $D$11, 100%, $F$11)</f>
        <v>26.971299999999999</v>
      </c>
      <c r="H758" s="4">
        <f>27.9087 * CHOOSE(CONTROL!$C$15, $D$11, 100%, $F$11)</f>
        <v>27.9087</v>
      </c>
      <c r="I758" s="8">
        <f>26.6213 * CHOOSE(CONTROL!$C$15, $D$11, 100%, $F$11)</f>
        <v>26.621300000000002</v>
      </c>
      <c r="J758" s="4">
        <f>26.5103 * CHOOSE(CONTROL!$C$15, $D$11, 100%, $F$11)</f>
        <v>26.510300000000001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29.6066 * CHOOSE(CONTROL!$C$15, $D$11, 100%, $F$11)</f>
        <v>29.6066</v>
      </c>
      <c r="C759" s="8">
        <f>29.6117 * CHOOSE(CONTROL!$C$15, $D$11, 100%, $F$11)</f>
        <v>29.611699999999999</v>
      </c>
      <c r="D759" s="8">
        <f>29.5887 * CHOOSE( CONTROL!$C$15, $D$11, 100%, $F$11)</f>
        <v>29.588699999999999</v>
      </c>
      <c r="E759" s="12">
        <f>29.5966 * CHOOSE( CONTROL!$C$15, $D$11, 100%, $F$11)</f>
        <v>29.596599999999999</v>
      </c>
      <c r="F759" s="4">
        <f>30.2515 * CHOOSE(CONTROL!$C$15, $D$11, 100%, $F$11)</f>
        <v>30.2515</v>
      </c>
      <c r="G759" s="8">
        <f>29.0966 * CHOOSE( CONTROL!$C$15, $D$11, 100%, $F$11)</f>
        <v>29.096599999999999</v>
      </c>
      <c r="H759" s="4">
        <f>29.9787 * CHOOSE(CONTROL!$C$15, $D$11, 100%, $F$11)</f>
        <v>29.9787</v>
      </c>
      <c r="I759" s="8">
        <f>28.7283 * CHOOSE(CONTROL!$C$15, $D$11, 100%, $F$11)</f>
        <v>28.728300000000001</v>
      </c>
      <c r="J759" s="4">
        <f>28.5916 * CHOOSE(CONTROL!$C$15, $D$11, 100%, $F$11)</f>
        <v>28.5916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29.5528 * CHOOSE(CONTROL!$C$15, $D$11, 100%, $F$11)</f>
        <v>29.552800000000001</v>
      </c>
      <c r="C760" s="8">
        <f>29.558 * CHOOSE(CONTROL!$C$15, $D$11, 100%, $F$11)</f>
        <v>29.558</v>
      </c>
      <c r="D760" s="8">
        <f>29.5365 * CHOOSE( CONTROL!$C$15, $D$11, 100%, $F$11)</f>
        <v>29.5365</v>
      </c>
      <c r="E760" s="12">
        <f>29.5438 * CHOOSE( CONTROL!$C$15, $D$11, 100%, $F$11)</f>
        <v>29.543800000000001</v>
      </c>
      <c r="F760" s="4">
        <f>30.1977 * CHOOSE(CONTROL!$C$15, $D$11, 100%, $F$11)</f>
        <v>30.197700000000001</v>
      </c>
      <c r="G760" s="8">
        <f>29.0449 * CHOOSE( CONTROL!$C$15, $D$11, 100%, $F$11)</f>
        <v>29.044899999999998</v>
      </c>
      <c r="H760" s="4">
        <f>29.9258 * CHOOSE(CONTROL!$C$15, $D$11, 100%, $F$11)</f>
        <v>29.925799999999999</v>
      </c>
      <c r="I760" s="8">
        <f>28.6813 * CHOOSE(CONTROL!$C$15, $D$11, 100%, $F$11)</f>
        <v>28.6813</v>
      </c>
      <c r="J760" s="4">
        <f>28.5396 * CHOOSE(CONTROL!$C$15, $D$11, 100%, $F$11)</f>
        <v>28.5396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30.6812 * CHOOSE(CONTROL!$C$15, $D$11, 100%, $F$11)</f>
        <v>30.6812</v>
      </c>
      <c r="C761" s="8">
        <f>30.6863 * CHOOSE(CONTROL!$C$15, $D$11, 100%, $F$11)</f>
        <v>30.686299999999999</v>
      </c>
      <c r="D761" s="8">
        <f>30.6609 * CHOOSE( CONTROL!$C$15, $D$11, 100%, $F$11)</f>
        <v>30.660900000000002</v>
      </c>
      <c r="E761" s="12">
        <f>30.6696 * CHOOSE( CONTROL!$C$15, $D$11, 100%, $F$11)</f>
        <v>30.669599999999999</v>
      </c>
      <c r="F761" s="4">
        <f>31.3235 * CHOOSE(CONTROL!$C$15, $D$11, 100%, $F$11)</f>
        <v>31.323499999999999</v>
      </c>
      <c r="G761" s="8">
        <f>30.1492 * CHOOSE( CONTROL!$C$15, $D$11, 100%, $F$11)</f>
        <v>30.1492</v>
      </c>
      <c r="H761" s="4">
        <f>31.0328 * CHOOSE(CONTROL!$C$15, $D$11, 100%, $F$11)</f>
        <v>31.032800000000002</v>
      </c>
      <c r="I761" s="8">
        <f>29.7529 * CHOOSE(CONTROL!$C$15, $D$11, 100%, $F$11)</f>
        <v>29.7529</v>
      </c>
      <c r="J761" s="4">
        <f>29.6303 * CHOOSE(CONTROL!$C$15, $D$11, 100%, $F$11)</f>
        <v>29.630299999999998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28.6996 * CHOOSE(CONTROL!$C$15, $D$11, 100%, $F$11)</f>
        <v>28.6996</v>
      </c>
      <c r="C762" s="8">
        <f>28.7048 * CHOOSE(CONTROL!$C$15, $D$11, 100%, $F$11)</f>
        <v>28.704799999999999</v>
      </c>
      <c r="D762" s="8">
        <f>28.6794 * CHOOSE( CONTROL!$C$15, $D$11, 100%, $F$11)</f>
        <v>28.679400000000001</v>
      </c>
      <c r="E762" s="12">
        <f>28.6881 * CHOOSE( CONTROL!$C$15, $D$11, 100%, $F$11)</f>
        <v>28.688099999999999</v>
      </c>
      <c r="F762" s="4">
        <f>29.3419 * CHOOSE(CONTROL!$C$15, $D$11, 100%, $F$11)</f>
        <v>29.341899999999999</v>
      </c>
      <c r="G762" s="8">
        <f>28.2006 * CHOOSE( CONTROL!$C$15, $D$11, 100%, $F$11)</f>
        <v>28.200600000000001</v>
      </c>
      <c r="H762" s="4">
        <f>29.0842 * CHOOSE(CONTROL!$C$15, $D$11, 100%, $F$11)</f>
        <v>29.084199999999999</v>
      </c>
      <c r="I762" s="8">
        <f>27.8366 * CHOOSE(CONTROL!$C$15, $D$11, 100%, $F$11)</f>
        <v>27.836600000000001</v>
      </c>
      <c r="J762" s="4">
        <f>27.7148 * CHOOSE(CONTROL!$C$15, $D$11, 100%, $F$11)</f>
        <v>27.7148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28.0893 * CHOOSE(CONTROL!$C$15, $D$11, 100%, $F$11)</f>
        <v>28.089300000000001</v>
      </c>
      <c r="C763" s="8">
        <f>28.0944 * CHOOSE(CONTROL!$C$15, $D$11, 100%, $F$11)</f>
        <v>28.0944</v>
      </c>
      <c r="D763" s="8">
        <f>28.0689 * CHOOSE( CONTROL!$C$15, $D$11, 100%, $F$11)</f>
        <v>28.068899999999999</v>
      </c>
      <c r="E763" s="12">
        <f>28.0777 * CHOOSE( CONTROL!$C$15, $D$11, 100%, $F$11)</f>
        <v>28.0777</v>
      </c>
      <c r="F763" s="4">
        <f>28.7316 * CHOOSE(CONTROL!$C$15, $D$11, 100%, $F$11)</f>
        <v>28.7316</v>
      </c>
      <c r="G763" s="8">
        <f>27.6002 * CHOOSE( CONTROL!$C$15, $D$11, 100%, $F$11)</f>
        <v>27.600200000000001</v>
      </c>
      <c r="H763" s="4">
        <f>28.484 * CHOOSE(CONTROL!$C$15, $D$11, 100%, $F$11)</f>
        <v>28.484000000000002</v>
      </c>
      <c r="I763" s="8">
        <f>27.2455 * CHOOSE(CONTROL!$C$15, $D$11, 100%, $F$11)</f>
        <v>27.2455</v>
      </c>
      <c r="J763" s="4">
        <f>27.1248 * CHOOSE(CONTROL!$C$15, $D$11, 100%, $F$11)</f>
        <v>27.1248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28.5166 * CHOOSE(CONTROL!$C$15, $D$11, 100%, $F$11)</f>
        <v>28.5166</v>
      </c>
      <c r="C764" s="8">
        <f>28.5211 * CHOOSE(CONTROL!$C$15, $D$11, 100%, $F$11)</f>
        <v>28.521100000000001</v>
      </c>
      <c r="D764" s="8">
        <f>28.5354 * CHOOSE( CONTROL!$C$15, $D$11, 100%, $F$11)</f>
        <v>28.535399999999999</v>
      </c>
      <c r="E764" s="12">
        <f>28.5302 * CHOOSE( CONTROL!$C$15, $D$11, 100%, $F$11)</f>
        <v>28.530200000000001</v>
      </c>
      <c r="F764" s="4">
        <f>29.2088 * CHOOSE(CONTROL!$C$15, $D$11, 100%, $F$11)</f>
        <v>29.2088</v>
      </c>
      <c r="G764" s="8">
        <f>28.0148 * CHOOSE( CONTROL!$C$15, $D$11, 100%, $F$11)</f>
        <v>28.014800000000001</v>
      </c>
      <c r="H764" s="4">
        <f>28.9532 * CHOOSE(CONTROL!$C$15, $D$11, 100%, $F$11)</f>
        <v>28.953199999999999</v>
      </c>
      <c r="I764" s="8">
        <f>27.6452 * CHOOSE(CONTROL!$C$15, $D$11, 100%, $F$11)</f>
        <v>27.645199999999999</v>
      </c>
      <c r="J764" s="4">
        <f>27.5371 * CHOOSE(CONTROL!$C$15, $D$11, 100%, $F$11)</f>
        <v>27.537099999999999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29.2818, 29.2769) * CHOOSE(CONTROL!$C$15, $D$11, 100%, $F$11)</f>
        <v>29.2818</v>
      </c>
      <c r="C765" s="8">
        <f>CHOOSE( CONTROL!$C$32, 29.2899, 29.285) * CHOOSE(CONTROL!$C$15, $D$11, 100%, $F$11)</f>
        <v>29.289899999999999</v>
      </c>
      <c r="D765" s="8">
        <f>CHOOSE( CONTROL!$C$32, 29.2992, 29.2943) * CHOOSE( CONTROL!$C$15, $D$11, 100%, $F$11)</f>
        <v>29.299199999999999</v>
      </c>
      <c r="E765" s="12">
        <f>CHOOSE( CONTROL!$C$32, 29.2946, 29.2897) * CHOOSE( CONTROL!$C$15, $D$11, 100%, $F$11)</f>
        <v>29.294599999999999</v>
      </c>
      <c r="F765" s="4">
        <f>CHOOSE( CONTROL!$C$32, 29.9727, 29.9678) * CHOOSE(CONTROL!$C$15, $D$11, 100%, $F$11)</f>
        <v>29.9727</v>
      </c>
      <c r="G765" s="8">
        <f>CHOOSE( CONTROL!$C$32, 28.7672, 28.7624) * CHOOSE( CONTROL!$C$15, $D$11, 100%, $F$11)</f>
        <v>28.767199999999999</v>
      </c>
      <c r="H765" s="4">
        <f>CHOOSE( CONTROL!$C$32, 29.7045, 29.6996) * CHOOSE(CONTROL!$C$15, $D$11, 100%, $F$11)</f>
        <v>29.704499999999999</v>
      </c>
      <c r="I765" s="8">
        <f>CHOOSE( CONTROL!$C$32, 28.3844, 28.3796) * CHOOSE(CONTROL!$C$15, $D$11, 100%, $F$11)</f>
        <v>28.384399999999999</v>
      </c>
      <c r="J765" s="4">
        <f>CHOOSE( CONTROL!$C$32, 28.2755, 28.2708) * CHOOSE(CONTROL!$C$15, $D$11, 100%, $F$11)</f>
        <v>28.275500000000001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28.8117, 28.8068) * CHOOSE(CONTROL!$C$15, $D$11, 100%, $F$11)</f>
        <v>28.811699999999998</v>
      </c>
      <c r="C766" s="8">
        <f>CHOOSE( CONTROL!$C$32, 28.8197, 28.8148) * CHOOSE(CONTROL!$C$15, $D$11, 100%, $F$11)</f>
        <v>28.819700000000001</v>
      </c>
      <c r="D766" s="8">
        <f>CHOOSE( CONTROL!$C$32, 28.8292, 28.8243) * CHOOSE( CONTROL!$C$15, $D$11, 100%, $F$11)</f>
        <v>28.8292</v>
      </c>
      <c r="E766" s="12">
        <f>CHOOSE( CONTROL!$C$32, 28.8245, 28.8196) * CHOOSE( CONTROL!$C$15, $D$11, 100%, $F$11)</f>
        <v>28.8245</v>
      </c>
      <c r="F766" s="4">
        <f>CHOOSE( CONTROL!$C$32, 29.5025, 29.4976) * CHOOSE(CONTROL!$C$15, $D$11, 100%, $F$11)</f>
        <v>29.502500000000001</v>
      </c>
      <c r="G766" s="8">
        <f>CHOOSE( CONTROL!$C$32, 28.3051, 28.3003) * CHOOSE( CONTROL!$C$15, $D$11, 100%, $F$11)</f>
        <v>28.305099999999999</v>
      </c>
      <c r="H766" s="4">
        <f>CHOOSE( CONTROL!$C$32, 29.2421, 29.2373) * CHOOSE(CONTROL!$C$15, $D$11, 100%, $F$11)</f>
        <v>29.242100000000001</v>
      </c>
      <c r="I766" s="8">
        <f>CHOOSE( CONTROL!$C$32, 27.9306, 27.9259) * CHOOSE(CONTROL!$C$15, $D$11, 100%, $F$11)</f>
        <v>27.930599999999998</v>
      </c>
      <c r="J766" s="4">
        <f>CHOOSE( CONTROL!$C$32, 27.821, 27.8163) * CHOOSE(CONTROL!$C$15, $D$11, 100%, $F$11)</f>
        <v>27.821000000000002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30.0498, 30.0449) * CHOOSE(CONTROL!$C$15, $D$11, 100%, $F$11)</f>
        <v>30.049800000000001</v>
      </c>
      <c r="C767" s="8">
        <f>CHOOSE( CONTROL!$C$32, 30.0578, 30.053) * CHOOSE(CONTROL!$C$15, $D$11, 100%, $F$11)</f>
        <v>30.0578</v>
      </c>
      <c r="D767" s="8">
        <f>CHOOSE( CONTROL!$C$32, 30.0676, 30.0627) * CHOOSE( CONTROL!$C$15, $D$11, 100%, $F$11)</f>
        <v>30.067599999999999</v>
      </c>
      <c r="E767" s="12">
        <f>CHOOSE( CONTROL!$C$32, 30.0628, 30.058) * CHOOSE( CONTROL!$C$15, $D$11, 100%, $F$11)</f>
        <v>30.062799999999999</v>
      </c>
      <c r="F767" s="4">
        <f>CHOOSE( CONTROL!$C$32, 30.7407, 30.7358) * CHOOSE(CONTROL!$C$15, $D$11, 100%, $F$11)</f>
        <v>30.7407</v>
      </c>
      <c r="G767" s="8">
        <f>CHOOSE( CONTROL!$C$32, 29.5231, 29.5183) * CHOOSE( CONTROL!$C$15, $D$11, 100%, $F$11)</f>
        <v>29.523099999999999</v>
      </c>
      <c r="H767" s="4">
        <f>CHOOSE( CONTROL!$C$32, 30.4597, 30.4549) * CHOOSE(CONTROL!$C$15, $D$11, 100%, $F$11)</f>
        <v>30.459700000000002</v>
      </c>
      <c r="I767" s="8">
        <f>CHOOSE( CONTROL!$C$32, 29.1293, 29.1245) * CHOOSE(CONTROL!$C$15, $D$11, 100%, $F$11)</f>
        <v>29.129300000000001</v>
      </c>
      <c r="J767" s="4">
        <f>CHOOSE( CONTROL!$C$32, 29.0179, 29.0132) * CHOOSE(CONTROL!$C$15, $D$11, 100%, $F$11)</f>
        <v>29.017900000000001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27.7331, 27.7282) * CHOOSE(CONTROL!$C$15, $D$11, 100%, $F$11)</f>
        <v>27.7331</v>
      </c>
      <c r="C768" s="8">
        <f>CHOOSE( CONTROL!$C$32, 27.7411, 27.7362) * CHOOSE(CONTROL!$C$15, $D$11, 100%, $F$11)</f>
        <v>27.741099999999999</v>
      </c>
      <c r="D768" s="8">
        <f>CHOOSE( CONTROL!$C$32, 27.7509, 27.746) * CHOOSE( CONTROL!$C$15, $D$11, 100%, $F$11)</f>
        <v>27.750900000000001</v>
      </c>
      <c r="E768" s="12">
        <f>CHOOSE( CONTROL!$C$32, 27.7461, 27.7412) * CHOOSE( CONTROL!$C$15, $D$11, 100%, $F$11)</f>
        <v>27.746099999999998</v>
      </c>
      <c r="F768" s="4">
        <f>CHOOSE( CONTROL!$C$32, 28.4239, 28.419) * CHOOSE(CONTROL!$C$15, $D$11, 100%, $F$11)</f>
        <v>28.4239</v>
      </c>
      <c r="G768" s="8">
        <f>CHOOSE( CONTROL!$C$32, 27.2448, 27.24) * CHOOSE( CONTROL!$C$15, $D$11, 100%, $F$11)</f>
        <v>27.244800000000001</v>
      </c>
      <c r="H768" s="4">
        <f>CHOOSE( CONTROL!$C$32, 28.1814, 28.1766) * CHOOSE(CONTROL!$C$15, $D$11, 100%, $F$11)</f>
        <v>28.1814</v>
      </c>
      <c r="I768" s="8">
        <f>CHOOSE( CONTROL!$C$32, 26.8889, 26.8841) * CHOOSE(CONTROL!$C$15, $D$11, 100%, $F$11)</f>
        <v>26.8889</v>
      </c>
      <c r="J768" s="4">
        <f>CHOOSE( CONTROL!$C$32, 26.7783, 26.7736) * CHOOSE(CONTROL!$C$15, $D$11, 100%, $F$11)</f>
        <v>26.778300000000002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27.1529, 27.148) * CHOOSE(CONTROL!$C$15, $D$11, 100%, $F$11)</f>
        <v>27.152899999999999</v>
      </c>
      <c r="C769" s="8">
        <f>CHOOSE( CONTROL!$C$32, 27.1609, 27.1561) * CHOOSE(CONTROL!$C$15, $D$11, 100%, $F$11)</f>
        <v>27.160900000000002</v>
      </c>
      <c r="D769" s="8">
        <f>CHOOSE( CONTROL!$C$32, 27.1707, 27.1658) * CHOOSE( CONTROL!$C$15, $D$11, 100%, $F$11)</f>
        <v>27.1707</v>
      </c>
      <c r="E769" s="12">
        <f>CHOOSE( CONTROL!$C$32, 27.1659, 27.1611) * CHOOSE( CONTROL!$C$15, $D$11, 100%, $F$11)</f>
        <v>27.165900000000001</v>
      </c>
      <c r="F769" s="4">
        <f>CHOOSE( CONTROL!$C$32, 27.8438, 27.8389) * CHOOSE(CONTROL!$C$15, $D$11, 100%, $F$11)</f>
        <v>27.843800000000002</v>
      </c>
      <c r="G769" s="8">
        <f>CHOOSE( CONTROL!$C$32, 26.6743, 26.6695) * CHOOSE( CONTROL!$C$15, $D$11, 100%, $F$11)</f>
        <v>26.674299999999999</v>
      </c>
      <c r="H769" s="4">
        <f>CHOOSE( CONTROL!$C$32, 27.6108, 27.606) * CHOOSE(CONTROL!$C$15, $D$11, 100%, $F$11)</f>
        <v>27.610800000000001</v>
      </c>
      <c r="I769" s="8">
        <f>CHOOSE( CONTROL!$C$32, 26.3276, 26.3229) * CHOOSE(CONTROL!$C$15, $D$11, 100%, $F$11)</f>
        <v>26.3276</v>
      </c>
      <c r="J769" s="4">
        <f>CHOOSE( CONTROL!$C$32, 26.2175, 26.2128) * CHOOSE(CONTROL!$C$15, $D$11, 100%, $F$11)</f>
        <v>26.217500000000001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28.3509 * CHOOSE(CONTROL!$C$15, $D$11, 100%, $F$11)</f>
        <v>28.350899999999999</v>
      </c>
      <c r="C770" s="8">
        <f>28.3563 * CHOOSE(CONTROL!$C$15, $D$11, 100%, $F$11)</f>
        <v>28.356300000000001</v>
      </c>
      <c r="D770" s="8">
        <f>28.3708 * CHOOSE( CONTROL!$C$15, $D$11, 100%, $F$11)</f>
        <v>28.370799999999999</v>
      </c>
      <c r="E770" s="12">
        <f>28.3654 * CHOOSE( CONTROL!$C$15, $D$11, 100%, $F$11)</f>
        <v>28.365400000000001</v>
      </c>
      <c r="F770" s="4">
        <f>29.0435 * CHOOSE(CONTROL!$C$15, $D$11, 100%, $F$11)</f>
        <v>29.043500000000002</v>
      </c>
      <c r="G770" s="8">
        <f>27.8533 * CHOOSE( CONTROL!$C$15, $D$11, 100%, $F$11)</f>
        <v>27.853300000000001</v>
      </c>
      <c r="H770" s="4">
        <f>28.7906 * CHOOSE(CONTROL!$C$15, $D$11, 100%, $F$11)</f>
        <v>28.790600000000001</v>
      </c>
      <c r="I770" s="8">
        <f>27.4887 * CHOOSE(CONTROL!$C$15, $D$11, 100%, $F$11)</f>
        <v>27.488700000000001</v>
      </c>
      <c r="J770" s="4">
        <f>27.3772 * CHOOSE(CONTROL!$C$15, $D$11, 100%, $F$11)</f>
        <v>27.377199999999998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30.5739 * CHOOSE(CONTROL!$C$15, $D$11, 100%, $F$11)</f>
        <v>30.573899999999998</v>
      </c>
      <c r="C771" s="8">
        <f>30.579 * CHOOSE(CONTROL!$C$15, $D$11, 100%, $F$11)</f>
        <v>30.579000000000001</v>
      </c>
      <c r="D771" s="8">
        <f>30.556 * CHOOSE( CONTROL!$C$15, $D$11, 100%, $F$11)</f>
        <v>30.556000000000001</v>
      </c>
      <c r="E771" s="12">
        <f>30.5639 * CHOOSE( CONTROL!$C$15, $D$11, 100%, $F$11)</f>
        <v>30.5639</v>
      </c>
      <c r="F771" s="4">
        <f>31.2188 * CHOOSE(CONTROL!$C$15, $D$11, 100%, $F$11)</f>
        <v>31.218800000000002</v>
      </c>
      <c r="G771" s="8">
        <f>30.0478 * CHOOSE( CONTROL!$C$15, $D$11, 100%, $F$11)</f>
        <v>30.047799999999999</v>
      </c>
      <c r="H771" s="4">
        <f>30.9299 * CHOOSE(CONTROL!$C$15, $D$11, 100%, $F$11)</f>
        <v>30.9299</v>
      </c>
      <c r="I771" s="8">
        <f>29.6639 * CHOOSE(CONTROL!$C$15, $D$11, 100%, $F$11)</f>
        <v>29.663900000000002</v>
      </c>
      <c r="J771" s="4">
        <f>29.5266 * CHOOSE(CONTROL!$C$15, $D$11, 100%, $F$11)</f>
        <v>29.526599999999998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30.5183 * CHOOSE(CONTROL!$C$15, $D$11, 100%, $F$11)</f>
        <v>30.5183</v>
      </c>
      <c r="C772" s="8">
        <f>30.5235 * CHOOSE(CONTROL!$C$15, $D$11, 100%, $F$11)</f>
        <v>30.523499999999999</v>
      </c>
      <c r="D772" s="8">
        <f>30.502 * CHOOSE( CONTROL!$C$15, $D$11, 100%, $F$11)</f>
        <v>30.501999999999999</v>
      </c>
      <c r="E772" s="12">
        <f>30.5093 * CHOOSE( CONTROL!$C$15, $D$11, 100%, $F$11)</f>
        <v>30.5093</v>
      </c>
      <c r="F772" s="4">
        <f>31.1632 * CHOOSE(CONTROL!$C$15, $D$11, 100%, $F$11)</f>
        <v>31.1632</v>
      </c>
      <c r="G772" s="8">
        <f>29.9944 * CHOOSE( CONTROL!$C$15, $D$11, 100%, $F$11)</f>
        <v>29.994399999999999</v>
      </c>
      <c r="H772" s="4">
        <f>30.8752 * CHOOSE(CONTROL!$C$15, $D$11, 100%, $F$11)</f>
        <v>30.8752</v>
      </c>
      <c r="I772" s="8">
        <f>29.6151 * CHOOSE(CONTROL!$C$15, $D$11, 100%, $F$11)</f>
        <v>29.615100000000002</v>
      </c>
      <c r="J772" s="4">
        <f>29.4729 * CHOOSE(CONTROL!$C$15, $D$11, 100%, $F$11)</f>
        <v>29.472899999999999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31.6836 * CHOOSE(CONTROL!$C$15, $D$11, 100%, $F$11)</f>
        <v>31.683599999999998</v>
      </c>
      <c r="C773" s="8">
        <f>31.6887 * CHOOSE(CONTROL!$C$15, $D$11, 100%, $F$11)</f>
        <v>31.688700000000001</v>
      </c>
      <c r="D773" s="8">
        <f>31.6633 * CHOOSE( CONTROL!$C$15, $D$11, 100%, $F$11)</f>
        <v>31.6633</v>
      </c>
      <c r="E773" s="12">
        <f>31.672 * CHOOSE( CONTROL!$C$15, $D$11, 100%, $F$11)</f>
        <v>31.672000000000001</v>
      </c>
      <c r="F773" s="4">
        <f>32.3259 * CHOOSE(CONTROL!$C$15, $D$11, 100%, $F$11)</f>
        <v>32.325899999999997</v>
      </c>
      <c r="G773" s="8">
        <f>31.1349 * CHOOSE( CONTROL!$C$15, $D$11, 100%, $F$11)</f>
        <v>31.134899999999998</v>
      </c>
      <c r="H773" s="4">
        <f>32.0186 * CHOOSE(CONTROL!$C$15, $D$11, 100%, $F$11)</f>
        <v>32.018599999999999</v>
      </c>
      <c r="I773" s="8">
        <f>30.7224 * CHOOSE(CONTROL!$C$15, $D$11, 100%, $F$11)</f>
        <v>30.7224</v>
      </c>
      <c r="J773" s="4">
        <f>30.5993 * CHOOSE(CONTROL!$C$15, $D$11, 100%, $F$11)</f>
        <v>30.599299999999999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29.6372 * CHOOSE(CONTROL!$C$15, $D$11, 100%, $F$11)</f>
        <v>29.6372</v>
      </c>
      <c r="C774" s="8">
        <f>29.6424 * CHOOSE(CONTROL!$C$15, $D$11, 100%, $F$11)</f>
        <v>29.642399999999999</v>
      </c>
      <c r="D774" s="8">
        <f>29.617 * CHOOSE( CONTROL!$C$15, $D$11, 100%, $F$11)</f>
        <v>29.617000000000001</v>
      </c>
      <c r="E774" s="12">
        <f>29.6257 * CHOOSE( CONTROL!$C$15, $D$11, 100%, $F$11)</f>
        <v>29.625699999999998</v>
      </c>
      <c r="F774" s="4">
        <f>30.2795 * CHOOSE(CONTROL!$C$15, $D$11, 100%, $F$11)</f>
        <v>30.279499999999999</v>
      </c>
      <c r="G774" s="8">
        <f>29.1226 * CHOOSE( CONTROL!$C$15, $D$11, 100%, $F$11)</f>
        <v>29.122599999999998</v>
      </c>
      <c r="H774" s="4">
        <f>30.0062 * CHOOSE(CONTROL!$C$15, $D$11, 100%, $F$11)</f>
        <v>30.0062</v>
      </c>
      <c r="I774" s="8">
        <f>28.7435 * CHOOSE(CONTROL!$C$15, $D$11, 100%, $F$11)</f>
        <v>28.743500000000001</v>
      </c>
      <c r="J774" s="4">
        <f>28.6211 * CHOOSE(CONTROL!$C$15, $D$11, 100%, $F$11)</f>
        <v>28.621099999999998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29.007 * CHOOSE(CONTROL!$C$15, $D$11, 100%, $F$11)</f>
        <v>29.007000000000001</v>
      </c>
      <c r="C775" s="8">
        <f>29.0121 * CHOOSE(CONTROL!$C$15, $D$11, 100%, $F$11)</f>
        <v>29.0121</v>
      </c>
      <c r="D775" s="8">
        <f>28.9865 * CHOOSE( CONTROL!$C$15, $D$11, 100%, $F$11)</f>
        <v>28.986499999999999</v>
      </c>
      <c r="E775" s="12">
        <f>28.9953 * CHOOSE( CONTROL!$C$15, $D$11, 100%, $F$11)</f>
        <v>28.9953</v>
      </c>
      <c r="F775" s="4">
        <f>29.6493 * CHOOSE(CONTROL!$C$15, $D$11, 100%, $F$11)</f>
        <v>29.6493</v>
      </c>
      <c r="G775" s="8">
        <f>28.5026 * CHOOSE( CONTROL!$C$15, $D$11, 100%, $F$11)</f>
        <v>28.502600000000001</v>
      </c>
      <c r="H775" s="4">
        <f>29.3864 * CHOOSE(CONTROL!$C$15, $D$11, 100%, $F$11)</f>
        <v>29.386399999999998</v>
      </c>
      <c r="I775" s="8">
        <f>28.133 * CHOOSE(CONTROL!$C$15, $D$11, 100%, $F$11)</f>
        <v>28.132999999999999</v>
      </c>
      <c r="J775" s="4">
        <f>28.0119 * CHOOSE(CONTROL!$C$15, $D$11, 100%, $F$11)</f>
        <v>28.011900000000001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29.4482 * CHOOSE(CONTROL!$C$15, $D$11, 100%, $F$11)</f>
        <v>29.4482</v>
      </c>
      <c r="C776" s="8">
        <f>29.4527 * CHOOSE(CONTROL!$C$15, $D$11, 100%, $F$11)</f>
        <v>29.4527</v>
      </c>
      <c r="D776" s="8">
        <f>29.467 * CHOOSE( CONTROL!$C$15, $D$11, 100%, $F$11)</f>
        <v>29.466999999999999</v>
      </c>
      <c r="E776" s="12">
        <f>29.4618 * CHOOSE( CONTROL!$C$15, $D$11, 100%, $F$11)</f>
        <v>29.4618</v>
      </c>
      <c r="F776" s="4">
        <f>30.1404 * CHOOSE(CONTROL!$C$15, $D$11, 100%, $F$11)</f>
        <v>30.1404</v>
      </c>
      <c r="G776" s="8">
        <f>28.9309 * CHOOSE( CONTROL!$C$15, $D$11, 100%, $F$11)</f>
        <v>28.930900000000001</v>
      </c>
      <c r="H776" s="4">
        <f>29.8694 * CHOOSE(CONTROL!$C$15, $D$11, 100%, $F$11)</f>
        <v>29.869399999999999</v>
      </c>
      <c r="I776" s="8">
        <f>28.5462 * CHOOSE(CONTROL!$C$15, $D$11, 100%, $F$11)</f>
        <v>28.546199999999999</v>
      </c>
      <c r="J776" s="4">
        <f>28.4376 * CHOOSE(CONTROL!$C$15, $D$11, 100%, $F$11)</f>
        <v>28.4376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30.2382, 30.2334) * CHOOSE(CONTROL!$C$15, $D$11, 100%, $F$11)</f>
        <v>30.238199999999999</v>
      </c>
      <c r="C777" s="8">
        <f>CHOOSE( CONTROL!$C$32, 30.2463, 30.2414) * CHOOSE(CONTROL!$C$15, $D$11, 100%, $F$11)</f>
        <v>30.246300000000002</v>
      </c>
      <c r="D777" s="8">
        <f>CHOOSE( CONTROL!$C$32, 30.2556, 30.2507) * CHOOSE( CONTROL!$C$15, $D$11, 100%, $F$11)</f>
        <v>30.255600000000001</v>
      </c>
      <c r="E777" s="12">
        <f>CHOOSE( CONTROL!$C$32, 30.251, 30.2461) * CHOOSE( CONTROL!$C$15, $D$11, 100%, $F$11)</f>
        <v>30.251000000000001</v>
      </c>
      <c r="F777" s="4">
        <f>CHOOSE( CONTROL!$C$32, 30.9291, 30.9242) * CHOOSE(CONTROL!$C$15, $D$11, 100%, $F$11)</f>
        <v>30.929099999999998</v>
      </c>
      <c r="G777" s="8">
        <f>CHOOSE( CONTROL!$C$32, 29.7077, 29.7029) * CHOOSE( CONTROL!$C$15, $D$11, 100%, $F$11)</f>
        <v>29.707699999999999</v>
      </c>
      <c r="H777" s="4">
        <f>CHOOSE( CONTROL!$C$32, 30.645, 30.6402) * CHOOSE(CONTROL!$C$15, $D$11, 100%, $F$11)</f>
        <v>30.645</v>
      </c>
      <c r="I777" s="8">
        <f>CHOOSE( CONTROL!$C$32, 29.3094, 29.3047) * CHOOSE(CONTROL!$C$15, $D$11, 100%, $F$11)</f>
        <v>29.3094</v>
      </c>
      <c r="J777" s="4">
        <f>CHOOSE( CONTROL!$C$32, 29.2001, 29.1954) * CHOOSE(CONTROL!$C$15, $D$11, 100%, $F$11)</f>
        <v>29.200099999999999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29.7527, 29.7478) * CHOOSE(CONTROL!$C$15, $D$11, 100%, $F$11)</f>
        <v>29.752700000000001</v>
      </c>
      <c r="C778" s="8">
        <f>CHOOSE( CONTROL!$C$32, 29.7607, 29.7558) * CHOOSE(CONTROL!$C$15, $D$11, 100%, $F$11)</f>
        <v>29.7607</v>
      </c>
      <c r="D778" s="8">
        <f>CHOOSE( CONTROL!$C$32, 29.7702, 29.7653) * CHOOSE( CONTROL!$C$15, $D$11, 100%, $F$11)</f>
        <v>29.770199999999999</v>
      </c>
      <c r="E778" s="12">
        <f>CHOOSE( CONTROL!$C$32, 29.7655, 29.7606) * CHOOSE( CONTROL!$C$15, $D$11, 100%, $F$11)</f>
        <v>29.765499999999999</v>
      </c>
      <c r="F778" s="4">
        <f>CHOOSE( CONTROL!$C$32, 30.4435, 30.4387) * CHOOSE(CONTROL!$C$15, $D$11, 100%, $F$11)</f>
        <v>30.4435</v>
      </c>
      <c r="G778" s="8">
        <f>CHOOSE( CONTROL!$C$32, 29.2305, 29.2257) * CHOOSE( CONTROL!$C$15, $D$11, 100%, $F$11)</f>
        <v>29.230499999999999</v>
      </c>
      <c r="H778" s="4">
        <f>CHOOSE( CONTROL!$C$32, 30.1675, 30.1627) * CHOOSE(CONTROL!$C$15, $D$11, 100%, $F$11)</f>
        <v>30.1675</v>
      </c>
      <c r="I778" s="8">
        <f>CHOOSE( CONTROL!$C$32, 28.8408, 28.8361) * CHOOSE(CONTROL!$C$15, $D$11, 100%, $F$11)</f>
        <v>28.840800000000002</v>
      </c>
      <c r="J778" s="4">
        <f>CHOOSE( CONTROL!$C$32, 28.7307, 28.726) * CHOOSE(CONTROL!$C$15, $D$11, 100%, $F$11)</f>
        <v>28.730699999999999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31.0314, 31.0265) * CHOOSE(CONTROL!$C$15, $D$11, 100%, $F$11)</f>
        <v>31.031400000000001</v>
      </c>
      <c r="C779" s="8">
        <f>CHOOSE( CONTROL!$C$32, 31.0394, 31.0345) * CHOOSE(CONTROL!$C$15, $D$11, 100%, $F$11)</f>
        <v>31.039400000000001</v>
      </c>
      <c r="D779" s="8">
        <f>CHOOSE( CONTROL!$C$32, 31.0491, 31.0442) * CHOOSE( CONTROL!$C$15, $D$11, 100%, $F$11)</f>
        <v>31.049099999999999</v>
      </c>
      <c r="E779" s="12">
        <f>CHOOSE( CONTROL!$C$32, 31.0444, 31.0395) * CHOOSE( CONTROL!$C$15, $D$11, 100%, $F$11)</f>
        <v>31.0444</v>
      </c>
      <c r="F779" s="4">
        <f>CHOOSE( CONTROL!$C$32, 31.7222, 31.7173) * CHOOSE(CONTROL!$C$15, $D$11, 100%, $F$11)</f>
        <v>31.722200000000001</v>
      </c>
      <c r="G779" s="8">
        <f>CHOOSE( CONTROL!$C$32, 30.4883, 30.4835) * CHOOSE( CONTROL!$C$15, $D$11, 100%, $F$11)</f>
        <v>30.488299999999999</v>
      </c>
      <c r="H779" s="4">
        <f>CHOOSE( CONTROL!$C$32, 31.425, 31.4201) * CHOOSE(CONTROL!$C$15, $D$11, 100%, $F$11)</f>
        <v>31.425000000000001</v>
      </c>
      <c r="I779" s="8">
        <f>CHOOSE( CONTROL!$C$32, 30.0786, 30.0738) * CHOOSE(CONTROL!$C$15, $D$11, 100%, $F$11)</f>
        <v>30.078600000000002</v>
      </c>
      <c r="J779" s="4">
        <f>CHOOSE( CONTROL!$C$32, 29.9668, 29.962) * CHOOSE(CONTROL!$C$15, $D$11, 100%, $F$11)</f>
        <v>29.966799999999999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28.6388, 28.6339) * CHOOSE(CONTROL!$C$15, $D$11, 100%, $F$11)</f>
        <v>28.6388</v>
      </c>
      <c r="C780" s="8">
        <f>CHOOSE( CONTROL!$C$32, 28.6468, 28.642) * CHOOSE(CONTROL!$C$15, $D$11, 100%, $F$11)</f>
        <v>28.646799999999999</v>
      </c>
      <c r="D780" s="8">
        <f>CHOOSE( CONTROL!$C$32, 28.6567, 28.6518) * CHOOSE( CONTROL!$C$15, $D$11, 100%, $F$11)</f>
        <v>28.656700000000001</v>
      </c>
      <c r="E780" s="12">
        <f>CHOOSE( CONTROL!$C$32, 28.6519, 28.647) * CHOOSE( CONTROL!$C$15, $D$11, 100%, $F$11)</f>
        <v>28.651900000000001</v>
      </c>
      <c r="F780" s="4">
        <f>CHOOSE( CONTROL!$C$32, 29.3297, 29.3248) * CHOOSE(CONTROL!$C$15, $D$11, 100%, $F$11)</f>
        <v>29.329699999999999</v>
      </c>
      <c r="G780" s="8">
        <f>CHOOSE( CONTROL!$C$32, 28.1356, 28.1308) * CHOOSE( CONTROL!$C$15, $D$11, 100%, $F$11)</f>
        <v>28.1356</v>
      </c>
      <c r="H780" s="4">
        <f>CHOOSE( CONTROL!$C$32, 29.0721, 29.0673) * CHOOSE(CONTROL!$C$15, $D$11, 100%, $F$11)</f>
        <v>29.072099999999999</v>
      </c>
      <c r="I780" s="8">
        <f>CHOOSE( CONTROL!$C$32, 27.7649, 27.7602) * CHOOSE(CONTROL!$C$15, $D$11, 100%, $F$11)</f>
        <v>27.764900000000001</v>
      </c>
      <c r="J780" s="4">
        <f>CHOOSE( CONTROL!$C$32, 27.6539, 27.6492) * CHOOSE(CONTROL!$C$15, $D$11, 100%, $F$11)</f>
        <v>27.6539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28.0397, 28.0348) * CHOOSE(CONTROL!$C$15, $D$11, 100%, $F$11)</f>
        <v>28.0397</v>
      </c>
      <c r="C781" s="8">
        <f>CHOOSE( CONTROL!$C$32, 28.0477, 28.0428) * CHOOSE(CONTROL!$C$15, $D$11, 100%, $F$11)</f>
        <v>28.047699999999999</v>
      </c>
      <c r="D781" s="8">
        <f>CHOOSE( CONTROL!$C$32, 28.0575, 28.0526) * CHOOSE( CONTROL!$C$15, $D$11, 100%, $F$11)</f>
        <v>28.057500000000001</v>
      </c>
      <c r="E781" s="12">
        <f>CHOOSE( CONTROL!$C$32, 28.0527, 28.0478) * CHOOSE( CONTROL!$C$15, $D$11, 100%, $F$11)</f>
        <v>28.052700000000002</v>
      </c>
      <c r="F781" s="4">
        <f>CHOOSE( CONTROL!$C$32, 28.7306, 28.7257) * CHOOSE(CONTROL!$C$15, $D$11, 100%, $F$11)</f>
        <v>28.730599999999999</v>
      </c>
      <c r="G781" s="8">
        <f>CHOOSE( CONTROL!$C$32, 27.5464, 27.5415) * CHOOSE( CONTROL!$C$15, $D$11, 100%, $F$11)</f>
        <v>27.546399999999998</v>
      </c>
      <c r="H781" s="4">
        <f>CHOOSE( CONTROL!$C$32, 28.4829, 28.4781) * CHOOSE(CONTROL!$C$15, $D$11, 100%, $F$11)</f>
        <v>28.482900000000001</v>
      </c>
      <c r="I781" s="8">
        <f>CHOOSE( CONTROL!$C$32, 27.1853, 27.1806) * CHOOSE(CONTROL!$C$15, $D$11, 100%, $F$11)</f>
        <v>27.185300000000002</v>
      </c>
      <c r="J781" s="4">
        <f>CHOOSE( CONTROL!$C$32, 27.0748, 27.07) * CHOOSE(CONTROL!$C$15, $D$11, 100%, $F$11)</f>
        <v>27.0748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29.2771 * CHOOSE(CONTROL!$C$15, $D$11, 100%, $F$11)</f>
        <v>29.277100000000001</v>
      </c>
      <c r="C782" s="8">
        <f>29.2824 * CHOOSE(CONTROL!$C$15, $D$11, 100%, $F$11)</f>
        <v>29.282399999999999</v>
      </c>
      <c r="D782" s="8">
        <f>29.297 * CHOOSE( CONTROL!$C$15, $D$11, 100%, $F$11)</f>
        <v>29.297000000000001</v>
      </c>
      <c r="E782" s="12">
        <f>29.2916 * CHOOSE( CONTROL!$C$15, $D$11, 100%, $F$11)</f>
        <v>29.291599999999999</v>
      </c>
      <c r="F782" s="4">
        <f>29.9696 * CHOOSE(CONTROL!$C$15, $D$11, 100%, $F$11)</f>
        <v>29.9696</v>
      </c>
      <c r="G782" s="8">
        <f>28.7641 * CHOOSE( CONTROL!$C$15, $D$11, 100%, $F$11)</f>
        <v>28.764099999999999</v>
      </c>
      <c r="H782" s="4">
        <f>29.7015 * CHOOSE(CONTROL!$C$15, $D$11, 100%, $F$11)</f>
        <v>29.701499999999999</v>
      </c>
      <c r="I782" s="8">
        <f>28.3845 * CHOOSE(CONTROL!$C$15, $D$11, 100%, $F$11)</f>
        <v>28.384499999999999</v>
      </c>
      <c r="J782" s="4">
        <f>28.2726 * CHOOSE(CONTROL!$C$15, $D$11, 100%, $F$11)</f>
        <v>28.272600000000001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31.5728 * CHOOSE(CONTROL!$C$15, $D$11, 100%, $F$11)</f>
        <v>31.572800000000001</v>
      </c>
      <c r="C783" s="8">
        <f>31.5779 * CHOOSE(CONTROL!$C$15, $D$11, 100%, $F$11)</f>
        <v>31.5779</v>
      </c>
      <c r="D783" s="8">
        <f>31.5549 * CHOOSE( CONTROL!$C$15, $D$11, 100%, $F$11)</f>
        <v>31.5549</v>
      </c>
      <c r="E783" s="12">
        <f>31.5628 * CHOOSE( CONTROL!$C$15, $D$11, 100%, $F$11)</f>
        <v>31.562799999999999</v>
      </c>
      <c r="F783" s="4">
        <f>32.2177 * CHOOSE(CONTROL!$C$15, $D$11, 100%, $F$11)</f>
        <v>32.217700000000001</v>
      </c>
      <c r="G783" s="8">
        <f>31.0302 * CHOOSE( CONTROL!$C$15, $D$11, 100%, $F$11)</f>
        <v>31.030200000000001</v>
      </c>
      <c r="H783" s="4">
        <f>31.9122 * CHOOSE(CONTROL!$C$15, $D$11, 100%, $F$11)</f>
        <v>31.912199999999999</v>
      </c>
      <c r="I783" s="8">
        <f>30.63 * CHOOSE(CONTROL!$C$15, $D$11, 100%, $F$11)</f>
        <v>30.63</v>
      </c>
      <c r="J783" s="4">
        <f>30.4922 * CHOOSE(CONTROL!$C$15, $D$11, 100%, $F$11)</f>
        <v>30.4922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31.5154 * CHOOSE(CONTROL!$C$15, $D$11, 100%, $F$11)</f>
        <v>31.5154</v>
      </c>
      <c r="C784" s="8">
        <f>31.5205 * CHOOSE(CONTROL!$C$15, $D$11, 100%, $F$11)</f>
        <v>31.520499999999998</v>
      </c>
      <c r="D784" s="8">
        <f>31.499 * CHOOSE( CONTROL!$C$15, $D$11, 100%, $F$11)</f>
        <v>31.498999999999999</v>
      </c>
      <c r="E784" s="12">
        <f>31.5063 * CHOOSE( CONTROL!$C$15, $D$11, 100%, $F$11)</f>
        <v>31.5063</v>
      </c>
      <c r="F784" s="4">
        <f>32.1603 * CHOOSE(CONTROL!$C$15, $D$11, 100%, $F$11)</f>
        <v>32.160299999999999</v>
      </c>
      <c r="G784" s="8">
        <f>30.9749 * CHOOSE( CONTROL!$C$15, $D$11, 100%, $F$11)</f>
        <v>30.974900000000002</v>
      </c>
      <c r="H784" s="4">
        <f>31.8558 * CHOOSE(CONTROL!$C$15, $D$11, 100%, $F$11)</f>
        <v>31.855799999999999</v>
      </c>
      <c r="I784" s="8">
        <f>30.5794 * CHOOSE(CONTROL!$C$15, $D$11, 100%, $F$11)</f>
        <v>30.5794</v>
      </c>
      <c r="J784" s="4">
        <f>30.4368 * CHOOSE(CONTROL!$C$15, $D$11, 100%, $F$11)</f>
        <v>30.436800000000002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32.7188 * CHOOSE(CONTROL!$C$15, $D$11, 100%, $F$11)</f>
        <v>32.718800000000002</v>
      </c>
      <c r="C785" s="8">
        <f>32.7239 * CHOOSE(CONTROL!$C$15, $D$11, 100%, $F$11)</f>
        <v>32.7239</v>
      </c>
      <c r="D785" s="8">
        <f>32.6985 * CHOOSE( CONTROL!$C$15, $D$11, 100%, $F$11)</f>
        <v>32.698500000000003</v>
      </c>
      <c r="E785" s="12">
        <f>32.7072 * CHOOSE( CONTROL!$C$15, $D$11, 100%, $F$11)</f>
        <v>32.7072</v>
      </c>
      <c r="F785" s="4">
        <f>33.3611 * CHOOSE(CONTROL!$C$15, $D$11, 100%, $F$11)</f>
        <v>33.3611</v>
      </c>
      <c r="G785" s="8">
        <f>32.153 * CHOOSE( CONTROL!$C$15, $D$11, 100%, $F$11)</f>
        <v>32.152999999999999</v>
      </c>
      <c r="H785" s="4">
        <f>33.0366 * CHOOSE(CONTROL!$C$15, $D$11, 100%, $F$11)</f>
        <v>33.0366</v>
      </c>
      <c r="I785" s="8">
        <f>31.7236 * CHOOSE(CONTROL!$C$15, $D$11, 100%, $F$11)</f>
        <v>31.723600000000001</v>
      </c>
      <c r="J785" s="4">
        <f>31.6001 * CHOOSE(CONTROL!$C$15, $D$11, 100%, $F$11)</f>
        <v>31.600100000000001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30.6055 * CHOOSE(CONTROL!$C$15, $D$11, 100%, $F$11)</f>
        <v>30.605499999999999</v>
      </c>
      <c r="C786" s="8">
        <f>30.6106 * CHOOSE(CONTROL!$C$15, $D$11, 100%, $F$11)</f>
        <v>30.610600000000002</v>
      </c>
      <c r="D786" s="8">
        <f>30.5853 * CHOOSE( CONTROL!$C$15, $D$11, 100%, $F$11)</f>
        <v>30.5853</v>
      </c>
      <c r="E786" s="12">
        <f>30.594 * CHOOSE( CONTROL!$C$15, $D$11, 100%, $F$11)</f>
        <v>30.594000000000001</v>
      </c>
      <c r="F786" s="4">
        <f>31.2478 * CHOOSE(CONTROL!$C$15, $D$11, 100%, $F$11)</f>
        <v>31.247800000000002</v>
      </c>
      <c r="G786" s="8">
        <f>30.0748 * CHOOSE( CONTROL!$C$15, $D$11, 100%, $F$11)</f>
        <v>30.0748</v>
      </c>
      <c r="H786" s="4">
        <f>30.9584 * CHOOSE(CONTROL!$C$15, $D$11, 100%, $F$11)</f>
        <v>30.958400000000001</v>
      </c>
      <c r="I786" s="8">
        <f>29.6799 * CHOOSE(CONTROL!$C$15, $D$11, 100%, $F$11)</f>
        <v>29.6799</v>
      </c>
      <c r="J786" s="4">
        <f>29.5572 * CHOOSE(CONTROL!$C$15, $D$11, 100%, $F$11)</f>
        <v>29.557200000000002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29.9546 * CHOOSE(CONTROL!$C$15, $D$11, 100%, $F$11)</f>
        <v>29.954599999999999</v>
      </c>
      <c r="C787" s="8">
        <f>29.9597 * CHOOSE(CONTROL!$C$15, $D$11, 100%, $F$11)</f>
        <v>29.959700000000002</v>
      </c>
      <c r="D787" s="8">
        <f>29.9342 * CHOOSE( CONTROL!$C$15, $D$11, 100%, $F$11)</f>
        <v>29.934200000000001</v>
      </c>
      <c r="E787" s="12">
        <f>29.943 * CHOOSE( CONTROL!$C$15, $D$11, 100%, $F$11)</f>
        <v>29.943000000000001</v>
      </c>
      <c r="F787" s="4">
        <f>30.5969 * CHOOSE(CONTROL!$C$15, $D$11, 100%, $F$11)</f>
        <v>30.596900000000002</v>
      </c>
      <c r="G787" s="8">
        <f>29.4345 * CHOOSE( CONTROL!$C$15, $D$11, 100%, $F$11)</f>
        <v>29.4345</v>
      </c>
      <c r="H787" s="4">
        <f>30.3183 * CHOOSE(CONTROL!$C$15, $D$11, 100%, $F$11)</f>
        <v>30.318300000000001</v>
      </c>
      <c r="I787" s="8">
        <f>29.0496 * CHOOSE(CONTROL!$C$15, $D$11, 100%, $F$11)</f>
        <v>29.049600000000002</v>
      </c>
      <c r="J787" s="4">
        <f>28.928 * CHOOSE(CONTROL!$C$15, $D$11, 100%, $F$11)</f>
        <v>28.928000000000001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30.4102 * CHOOSE(CONTROL!$C$15, $D$11, 100%, $F$11)</f>
        <v>30.4102</v>
      </c>
      <c r="C788" s="8">
        <f>30.4148 * CHOOSE(CONTROL!$C$15, $D$11, 100%, $F$11)</f>
        <v>30.4148</v>
      </c>
      <c r="D788" s="8">
        <f>30.4291 * CHOOSE( CONTROL!$C$15, $D$11, 100%, $F$11)</f>
        <v>30.429099999999998</v>
      </c>
      <c r="E788" s="12">
        <f>30.4239 * CHOOSE( CONTROL!$C$15, $D$11, 100%, $F$11)</f>
        <v>30.4239</v>
      </c>
      <c r="F788" s="4">
        <f>31.1024 * CHOOSE(CONTROL!$C$15, $D$11, 100%, $F$11)</f>
        <v>31.102399999999999</v>
      </c>
      <c r="G788" s="8">
        <f>29.877 * CHOOSE( CONTROL!$C$15, $D$11, 100%, $F$11)</f>
        <v>29.876999999999999</v>
      </c>
      <c r="H788" s="4">
        <f>30.8155 * CHOOSE(CONTROL!$C$15, $D$11, 100%, $F$11)</f>
        <v>30.8155</v>
      </c>
      <c r="I788" s="8">
        <f>29.4767 * CHOOSE(CONTROL!$C$15, $D$11, 100%, $F$11)</f>
        <v>29.476700000000001</v>
      </c>
      <c r="J788" s="4">
        <f>29.3676 * CHOOSE(CONTROL!$C$15, $D$11, 100%, $F$11)</f>
        <v>29.367599999999999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31.2259, 31.221) * CHOOSE(CONTROL!$C$15, $D$11, 100%, $F$11)</f>
        <v>31.225899999999999</v>
      </c>
      <c r="C789" s="8">
        <f>CHOOSE( CONTROL!$C$32, 31.2339, 31.2291) * CHOOSE(CONTROL!$C$15, $D$11, 100%, $F$11)</f>
        <v>31.233899999999998</v>
      </c>
      <c r="D789" s="8">
        <f>CHOOSE( CONTROL!$C$32, 31.2433, 31.2384) * CHOOSE( CONTROL!$C$15, $D$11, 100%, $F$11)</f>
        <v>31.243300000000001</v>
      </c>
      <c r="E789" s="12">
        <f>CHOOSE( CONTROL!$C$32, 31.2387, 31.2338) * CHOOSE( CONTROL!$C$15, $D$11, 100%, $F$11)</f>
        <v>31.238700000000001</v>
      </c>
      <c r="F789" s="4">
        <f>CHOOSE( CONTROL!$C$32, 31.9168, 31.9119) * CHOOSE(CONTROL!$C$15, $D$11, 100%, $F$11)</f>
        <v>31.916799999999999</v>
      </c>
      <c r="G789" s="8">
        <f>CHOOSE( CONTROL!$C$32, 30.679, 30.6742) * CHOOSE( CONTROL!$C$15, $D$11, 100%, $F$11)</f>
        <v>30.678999999999998</v>
      </c>
      <c r="H789" s="4">
        <f>CHOOSE( CONTROL!$C$32, 31.6163, 31.6115) * CHOOSE(CONTROL!$C$15, $D$11, 100%, $F$11)</f>
        <v>31.616299999999999</v>
      </c>
      <c r="I789" s="8">
        <f>CHOOSE( CONTROL!$C$32, 30.2647, 30.2599) * CHOOSE(CONTROL!$C$15, $D$11, 100%, $F$11)</f>
        <v>30.264700000000001</v>
      </c>
      <c r="J789" s="4">
        <f>CHOOSE( CONTROL!$C$32, 30.1549, 30.1501) * CHOOSE(CONTROL!$C$15, $D$11, 100%, $F$11)</f>
        <v>30.154900000000001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30.7245, 30.7196) * CHOOSE(CONTROL!$C$15, $D$11, 100%, $F$11)</f>
        <v>30.724499999999999</v>
      </c>
      <c r="C790" s="8">
        <f>CHOOSE( CONTROL!$C$32, 30.7325, 30.7276) * CHOOSE(CONTROL!$C$15, $D$11, 100%, $F$11)</f>
        <v>30.732500000000002</v>
      </c>
      <c r="D790" s="8">
        <f>CHOOSE( CONTROL!$C$32, 30.742, 30.7371) * CHOOSE( CONTROL!$C$15, $D$11, 100%, $F$11)</f>
        <v>30.742000000000001</v>
      </c>
      <c r="E790" s="12">
        <f>CHOOSE( CONTROL!$C$32, 30.7373, 30.7324) * CHOOSE( CONTROL!$C$15, $D$11, 100%, $F$11)</f>
        <v>30.737300000000001</v>
      </c>
      <c r="F790" s="4">
        <f>CHOOSE( CONTROL!$C$32, 31.4153, 31.4105) * CHOOSE(CONTROL!$C$15, $D$11, 100%, $F$11)</f>
        <v>31.415299999999998</v>
      </c>
      <c r="G790" s="8">
        <f>CHOOSE( CONTROL!$C$32, 30.1862, 30.1814) * CHOOSE( CONTROL!$C$15, $D$11, 100%, $F$11)</f>
        <v>30.186199999999999</v>
      </c>
      <c r="H790" s="4">
        <f>CHOOSE( CONTROL!$C$32, 31.1232, 31.1184) * CHOOSE(CONTROL!$C$15, $D$11, 100%, $F$11)</f>
        <v>31.123200000000001</v>
      </c>
      <c r="I790" s="8">
        <f>CHOOSE( CONTROL!$C$32, 29.7807, 29.776) * CHOOSE(CONTROL!$C$15, $D$11, 100%, $F$11)</f>
        <v>29.7807</v>
      </c>
      <c r="J790" s="4">
        <f>CHOOSE( CONTROL!$C$32, 29.6701, 29.6654) * CHOOSE(CONTROL!$C$15, $D$11, 100%, $F$11)</f>
        <v>29.670100000000001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32.045, 32.0401) * CHOOSE(CONTROL!$C$15, $D$11, 100%, $F$11)</f>
        <v>32.045000000000002</v>
      </c>
      <c r="C791" s="8">
        <f>CHOOSE( CONTROL!$C$32, 32.053, 32.0481) * CHOOSE(CONTROL!$C$15, $D$11, 100%, $F$11)</f>
        <v>32.052999999999997</v>
      </c>
      <c r="D791" s="8">
        <f>CHOOSE( CONTROL!$C$32, 32.0627, 32.0578) * CHOOSE( CONTROL!$C$15, $D$11, 100%, $F$11)</f>
        <v>32.0627</v>
      </c>
      <c r="E791" s="12">
        <f>CHOOSE( CONTROL!$C$32, 32.058, 32.0531) * CHOOSE( CONTROL!$C$15, $D$11, 100%, $F$11)</f>
        <v>32.058</v>
      </c>
      <c r="F791" s="4">
        <f>CHOOSE( CONTROL!$C$32, 32.7358, 32.7309) * CHOOSE(CONTROL!$C$15, $D$11, 100%, $F$11)</f>
        <v>32.735799999999998</v>
      </c>
      <c r="G791" s="8">
        <f>CHOOSE( CONTROL!$C$32, 31.4851, 31.4803) * CHOOSE( CONTROL!$C$15, $D$11, 100%, $F$11)</f>
        <v>31.485099999999999</v>
      </c>
      <c r="H791" s="4">
        <f>CHOOSE( CONTROL!$C$32, 32.4218, 32.417) * CHOOSE(CONTROL!$C$15, $D$11, 100%, $F$11)</f>
        <v>32.421799999999998</v>
      </c>
      <c r="I791" s="8">
        <f>CHOOSE( CONTROL!$C$32, 31.0589, 31.0542) * CHOOSE(CONTROL!$C$15, $D$11, 100%, $F$11)</f>
        <v>31.058900000000001</v>
      </c>
      <c r="J791" s="4">
        <f>CHOOSE( CONTROL!$C$32, 30.9466, 30.9419) * CHOOSE(CONTROL!$C$15, $D$11, 100%, $F$11)</f>
        <v>30.9466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29.5742, 29.5693) * CHOOSE(CONTROL!$C$15, $D$11, 100%, $F$11)</f>
        <v>29.574200000000001</v>
      </c>
      <c r="C792" s="8">
        <f>CHOOSE( CONTROL!$C$32, 29.5822, 29.5773) * CHOOSE(CONTROL!$C$15, $D$11, 100%, $F$11)</f>
        <v>29.5822</v>
      </c>
      <c r="D792" s="8">
        <f>CHOOSE( CONTROL!$C$32, 29.592, 29.5871) * CHOOSE( CONTROL!$C$15, $D$11, 100%, $F$11)</f>
        <v>29.591999999999999</v>
      </c>
      <c r="E792" s="12">
        <f>CHOOSE( CONTROL!$C$32, 29.5872, 29.5823) * CHOOSE( CONTROL!$C$15, $D$11, 100%, $F$11)</f>
        <v>29.587199999999999</v>
      </c>
      <c r="F792" s="4">
        <f>CHOOSE( CONTROL!$C$32, 30.2651, 30.2602) * CHOOSE(CONTROL!$C$15, $D$11, 100%, $F$11)</f>
        <v>30.2651</v>
      </c>
      <c r="G792" s="8">
        <f>CHOOSE( CONTROL!$C$32, 29.0555, 29.0506) * CHOOSE( CONTROL!$C$15, $D$11, 100%, $F$11)</f>
        <v>29.055499999999999</v>
      </c>
      <c r="H792" s="4">
        <f>CHOOSE( CONTROL!$C$32, 29.992, 29.9872) * CHOOSE(CONTROL!$C$15, $D$11, 100%, $F$11)</f>
        <v>29.992000000000001</v>
      </c>
      <c r="I792" s="8">
        <f>CHOOSE( CONTROL!$C$32, 28.6696, 28.6649) * CHOOSE(CONTROL!$C$15, $D$11, 100%, $F$11)</f>
        <v>28.669599999999999</v>
      </c>
      <c r="J792" s="4">
        <f>CHOOSE( CONTROL!$C$32, 28.5582, 28.5534) * CHOOSE(CONTROL!$C$15, $D$11, 100%, $F$11)</f>
        <v>28.558199999999999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28.9555, 28.9506) * CHOOSE(CONTROL!$C$15, $D$11, 100%, $F$11)</f>
        <v>28.955500000000001</v>
      </c>
      <c r="C793" s="8">
        <f>CHOOSE( CONTROL!$C$32, 28.9635, 28.9586) * CHOOSE(CONTROL!$C$15, $D$11, 100%, $F$11)</f>
        <v>28.9635</v>
      </c>
      <c r="D793" s="8">
        <f>CHOOSE( CONTROL!$C$32, 28.9733, 28.9684) * CHOOSE( CONTROL!$C$15, $D$11, 100%, $F$11)</f>
        <v>28.973299999999998</v>
      </c>
      <c r="E793" s="12">
        <f>CHOOSE( CONTROL!$C$32, 28.9685, 28.9636) * CHOOSE( CONTROL!$C$15, $D$11, 100%, $F$11)</f>
        <v>28.968499999999999</v>
      </c>
      <c r="F793" s="4">
        <f>CHOOSE( CONTROL!$C$32, 29.6464, 29.6415) * CHOOSE(CONTROL!$C$15, $D$11, 100%, $F$11)</f>
        <v>29.6464</v>
      </c>
      <c r="G793" s="8">
        <f>CHOOSE( CONTROL!$C$32, 28.447, 28.4421) * CHOOSE( CONTROL!$C$15, $D$11, 100%, $F$11)</f>
        <v>28.446999999999999</v>
      </c>
      <c r="H793" s="4">
        <f>CHOOSE( CONTROL!$C$32, 29.3835, 29.3787) * CHOOSE(CONTROL!$C$15, $D$11, 100%, $F$11)</f>
        <v>29.383500000000002</v>
      </c>
      <c r="I793" s="8">
        <f>CHOOSE( CONTROL!$C$32, 28.071, 28.0663) * CHOOSE(CONTROL!$C$15, $D$11, 100%, $F$11)</f>
        <v>28.071000000000002</v>
      </c>
      <c r="J793" s="4">
        <f>CHOOSE( CONTROL!$C$32, 27.96, 27.9553) * CHOOSE(CONTROL!$C$15, $D$11, 100%, $F$11)</f>
        <v>27.96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30.2335 * CHOOSE(CONTROL!$C$15, $D$11, 100%, $F$11)</f>
        <v>30.233499999999999</v>
      </c>
      <c r="C794" s="8">
        <f>30.2389 * CHOOSE(CONTROL!$C$15, $D$11, 100%, $F$11)</f>
        <v>30.238900000000001</v>
      </c>
      <c r="D794" s="8">
        <f>30.2535 * CHOOSE( CONTROL!$C$15, $D$11, 100%, $F$11)</f>
        <v>30.253499999999999</v>
      </c>
      <c r="E794" s="12">
        <f>30.2481 * CHOOSE( CONTROL!$C$15, $D$11, 100%, $F$11)</f>
        <v>30.248100000000001</v>
      </c>
      <c r="F794" s="4">
        <f>30.9261 * CHOOSE(CONTROL!$C$15, $D$11, 100%, $F$11)</f>
        <v>30.926100000000002</v>
      </c>
      <c r="G794" s="8">
        <f>29.7047 * CHOOSE( CONTROL!$C$15, $D$11, 100%, $F$11)</f>
        <v>29.704699999999999</v>
      </c>
      <c r="H794" s="4">
        <f>30.6421 * CHOOSE(CONTROL!$C$15, $D$11, 100%, $F$11)</f>
        <v>30.642099999999999</v>
      </c>
      <c r="I794" s="8">
        <f>29.3096 * CHOOSE(CONTROL!$C$15, $D$11, 100%, $F$11)</f>
        <v>29.3096</v>
      </c>
      <c r="J794" s="4">
        <f>29.1972 * CHOOSE(CONTROL!$C$15, $D$11, 100%, $F$11)</f>
        <v>29.197199999999999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32.6043 * CHOOSE(CONTROL!$C$15, $D$11, 100%, $F$11)</f>
        <v>32.604300000000002</v>
      </c>
      <c r="C795" s="8">
        <f>32.6095 * CHOOSE(CONTROL!$C$15, $D$11, 100%, $F$11)</f>
        <v>32.609499999999997</v>
      </c>
      <c r="D795" s="8">
        <f>32.5864 * CHOOSE( CONTROL!$C$15, $D$11, 100%, $F$11)</f>
        <v>32.586399999999998</v>
      </c>
      <c r="E795" s="12">
        <f>32.5943 * CHOOSE( CONTROL!$C$15, $D$11, 100%, $F$11)</f>
        <v>32.594299999999997</v>
      </c>
      <c r="F795" s="4">
        <f>33.2492 * CHOOSE(CONTROL!$C$15, $D$11, 100%, $F$11)</f>
        <v>33.249200000000002</v>
      </c>
      <c r="G795" s="8">
        <f>32.0446 * CHOOSE( CONTROL!$C$15, $D$11, 100%, $F$11)</f>
        <v>32.044600000000003</v>
      </c>
      <c r="H795" s="4">
        <f>32.9267 * CHOOSE(CONTROL!$C$15, $D$11, 100%, $F$11)</f>
        <v>32.926699999999997</v>
      </c>
      <c r="I795" s="8">
        <f>31.6277 * CHOOSE(CONTROL!$C$15, $D$11, 100%, $F$11)</f>
        <v>31.627700000000001</v>
      </c>
      <c r="J795" s="4">
        <f>31.4894 * CHOOSE(CONTROL!$C$15, $D$11, 100%, $F$11)</f>
        <v>31.4894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32.5451 * CHOOSE(CONTROL!$C$15, $D$11, 100%, $F$11)</f>
        <v>32.545099999999998</v>
      </c>
      <c r="C796" s="8">
        <f>32.5502 * CHOOSE(CONTROL!$C$15, $D$11, 100%, $F$11)</f>
        <v>32.550199999999997</v>
      </c>
      <c r="D796" s="8">
        <f>32.5287 * CHOOSE( CONTROL!$C$15, $D$11, 100%, $F$11)</f>
        <v>32.528700000000001</v>
      </c>
      <c r="E796" s="12">
        <f>32.536 * CHOOSE( CONTROL!$C$15, $D$11, 100%, $F$11)</f>
        <v>32.536000000000001</v>
      </c>
      <c r="F796" s="4">
        <f>33.19 * CHOOSE(CONTROL!$C$15, $D$11, 100%, $F$11)</f>
        <v>33.19</v>
      </c>
      <c r="G796" s="8">
        <f>31.9875 * CHOOSE( CONTROL!$C$15, $D$11, 100%, $F$11)</f>
        <v>31.987500000000001</v>
      </c>
      <c r="H796" s="4">
        <f>32.8684 * CHOOSE(CONTROL!$C$15, $D$11, 100%, $F$11)</f>
        <v>32.868400000000001</v>
      </c>
      <c r="I796" s="8">
        <f>31.5753 * CHOOSE(CONTROL!$C$15, $D$11, 100%, $F$11)</f>
        <v>31.575299999999999</v>
      </c>
      <c r="J796" s="4">
        <f>31.4322 * CHOOSE(CONTROL!$C$15, $D$11, 100%, $F$11)</f>
        <v>31.432200000000002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33.7878 * CHOOSE(CONTROL!$C$15, $D$11, 100%, $F$11)</f>
        <v>33.787799999999997</v>
      </c>
      <c r="C797" s="8">
        <f>33.7929 * CHOOSE(CONTROL!$C$15, $D$11, 100%, $F$11)</f>
        <v>33.792900000000003</v>
      </c>
      <c r="D797" s="8">
        <f>33.7675 * CHOOSE( CONTROL!$C$15, $D$11, 100%, $F$11)</f>
        <v>33.767499999999998</v>
      </c>
      <c r="E797" s="12">
        <f>33.7762 * CHOOSE( CONTROL!$C$15, $D$11, 100%, $F$11)</f>
        <v>33.776200000000003</v>
      </c>
      <c r="F797" s="4">
        <f>34.4301 * CHOOSE(CONTROL!$C$15, $D$11, 100%, $F$11)</f>
        <v>34.430100000000003</v>
      </c>
      <c r="G797" s="8">
        <f>33.2043 * CHOOSE( CONTROL!$C$15, $D$11, 100%, $F$11)</f>
        <v>33.204300000000003</v>
      </c>
      <c r="H797" s="4">
        <f>34.0879 * CHOOSE(CONTROL!$C$15, $D$11, 100%, $F$11)</f>
        <v>34.087899999999998</v>
      </c>
      <c r="I797" s="8">
        <f>32.7575 * CHOOSE(CONTROL!$C$15, $D$11, 100%, $F$11)</f>
        <v>32.7575</v>
      </c>
      <c r="J797" s="4">
        <f>32.6335 * CHOOSE(CONTROL!$C$15, $D$11, 100%, $F$11)</f>
        <v>32.633499999999998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31.6054 * CHOOSE(CONTROL!$C$15, $D$11, 100%, $F$11)</f>
        <v>31.605399999999999</v>
      </c>
      <c r="C798" s="8">
        <f>31.6105 * CHOOSE(CONTROL!$C$15, $D$11, 100%, $F$11)</f>
        <v>31.610499999999998</v>
      </c>
      <c r="D798" s="8">
        <f>31.5852 * CHOOSE( CONTROL!$C$15, $D$11, 100%, $F$11)</f>
        <v>31.5852</v>
      </c>
      <c r="E798" s="12">
        <f>31.5939 * CHOOSE( CONTROL!$C$15, $D$11, 100%, $F$11)</f>
        <v>31.593900000000001</v>
      </c>
      <c r="F798" s="4">
        <f>32.2477 * CHOOSE(CONTROL!$C$15, $D$11, 100%, $F$11)</f>
        <v>32.247700000000002</v>
      </c>
      <c r="G798" s="8">
        <f>31.0582 * CHOOSE( CONTROL!$C$15, $D$11, 100%, $F$11)</f>
        <v>31.058199999999999</v>
      </c>
      <c r="H798" s="4">
        <f>31.9418 * CHOOSE(CONTROL!$C$15, $D$11, 100%, $F$11)</f>
        <v>31.941800000000001</v>
      </c>
      <c r="I798" s="8">
        <f>30.6471 * CHOOSE(CONTROL!$C$15, $D$11, 100%, $F$11)</f>
        <v>30.647099999999998</v>
      </c>
      <c r="J798" s="4">
        <f>30.5238 * CHOOSE(CONTROL!$C$15, $D$11, 100%, $F$11)</f>
        <v>30.523800000000001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30.9333 * CHOOSE(CONTROL!$C$15, $D$11, 100%, $F$11)</f>
        <v>30.933299999999999</v>
      </c>
      <c r="C799" s="8">
        <f>30.9384 * CHOOSE(CONTROL!$C$15, $D$11, 100%, $F$11)</f>
        <v>30.938400000000001</v>
      </c>
      <c r="D799" s="8">
        <f>30.9128 * CHOOSE( CONTROL!$C$15, $D$11, 100%, $F$11)</f>
        <v>30.912800000000001</v>
      </c>
      <c r="E799" s="12">
        <f>30.9216 * CHOOSE( CONTROL!$C$15, $D$11, 100%, $F$11)</f>
        <v>30.921600000000002</v>
      </c>
      <c r="F799" s="4">
        <f>31.5756 * CHOOSE(CONTROL!$C$15, $D$11, 100%, $F$11)</f>
        <v>31.575600000000001</v>
      </c>
      <c r="G799" s="8">
        <f>30.3969 * CHOOSE( CONTROL!$C$15, $D$11, 100%, $F$11)</f>
        <v>30.396899999999999</v>
      </c>
      <c r="H799" s="4">
        <f>31.2807 * CHOOSE(CONTROL!$C$15, $D$11, 100%, $F$11)</f>
        <v>31.2807</v>
      </c>
      <c r="I799" s="8">
        <f>29.9961 * CHOOSE(CONTROL!$C$15, $D$11, 100%, $F$11)</f>
        <v>29.996099999999998</v>
      </c>
      <c r="J799" s="4">
        <f>29.874 * CHOOSE(CONTROL!$C$15, $D$11, 100%, $F$11)</f>
        <v>29.873999999999999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31.4037 * CHOOSE(CONTROL!$C$15, $D$11, 100%, $F$11)</f>
        <v>31.403700000000001</v>
      </c>
      <c r="C800" s="8">
        <f>31.4083 * CHOOSE(CONTROL!$C$15, $D$11, 100%, $F$11)</f>
        <v>31.408300000000001</v>
      </c>
      <c r="D800" s="8">
        <f>31.4226 * CHOOSE( CONTROL!$C$15, $D$11, 100%, $F$11)</f>
        <v>31.422599999999999</v>
      </c>
      <c r="E800" s="12">
        <f>31.4174 * CHOOSE( CONTROL!$C$15, $D$11, 100%, $F$11)</f>
        <v>31.417400000000001</v>
      </c>
      <c r="F800" s="4">
        <f>32.0959 * CHOOSE(CONTROL!$C$15, $D$11, 100%, $F$11)</f>
        <v>32.0959</v>
      </c>
      <c r="G800" s="8">
        <f>30.8541 * CHOOSE( CONTROL!$C$15, $D$11, 100%, $F$11)</f>
        <v>30.854099999999999</v>
      </c>
      <c r="H800" s="4">
        <f>31.7925 * CHOOSE(CONTROL!$C$15, $D$11, 100%, $F$11)</f>
        <v>31.7925</v>
      </c>
      <c r="I800" s="8">
        <f>30.4376 * CHOOSE(CONTROL!$C$15, $D$11, 100%, $F$11)</f>
        <v>30.4376</v>
      </c>
      <c r="J800" s="4">
        <f>30.3281 * CHOOSE(CONTROL!$C$15, $D$11, 100%, $F$11)</f>
        <v>30.328099999999999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32.2459, 32.241) * CHOOSE(CONTROL!$C$15, $D$11, 100%, $F$11)</f>
        <v>32.245899999999999</v>
      </c>
      <c r="C801" s="8">
        <f>CHOOSE( CONTROL!$C$32, 32.2539, 32.249) * CHOOSE(CONTROL!$C$15, $D$11, 100%, $F$11)</f>
        <v>32.253900000000002</v>
      </c>
      <c r="D801" s="8">
        <f>CHOOSE( CONTROL!$C$32, 32.2632, 32.2583) * CHOOSE( CONTROL!$C$15, $D$11, 100%, $F$11)</f>
        <v>32.263199999999998</v>
      </c>
      <c r="E801" s="12">
        <f>CHOOSE( CONTROL!$C$32, 32.2586, 32.2537) * CHOOSE( CONTROL!$C$15, $D$11, 100%, $F$11)</f>
        <v>32.258600000000001</v>
      </c>
      <c r="F801" s="4">
        <f>CHOOSE( CONTROL!$C$32, 32.9368, 32.9319) * CHOOSE(CONTROL!$C$15, $D$11, 100%, $F$11)</f>
        <v>32.936799999999998</v>
      </c>
      <c r="G801" s="8">
        <f>CHOOSE( CONTROL!$C$32, 31.6821, 31.6773) * CHOOSE( CONTROL!$C$15, $D$11, 100%, $F$11)</f>
        <v>31.682099999999998</v>
      </c>
      <c r="H801" s="4">
        <f>CHOOSE( CONTROL!$C$32, 32.6194, 32.6146) * CHOOSE(CONTROL!$C$15, $D$11, 100%, $F$11)</f>
        <v>32.619399999999999</v>
      </c>
      <c r="I801" s="8">
        <f>CHOOSE( CONTROL!$C$32, 31.2512, 31.2464) * CHOOSE(CONTROL!$C$15, $D$11, 100%, $F$11)</f>
        <v>31.251200000000001</v>
      </c>
      <c r="J801" s="4">
        <f>CHOOSE( CONTROL!$C$32, 31.1409, 31.1362) * CHOOSE(CONTROL!$C$15, $D$11, 100%, $F$11)</f>
        <v>31.140899999999998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31.7281, 31.7232) * CHOOSE(CONTROL!$C$15, $D$11, 100%, $F$11)</f>
        <v>31.728100000000001</v>
      </c>
      <c r="C802" s="8">
        <f>CHOOSE( CONTROL!$C$32, 31.7361, 31.7312) * CHOOSE(CONTROL!$C$15, $D$11, 100%, $F$11)</f>
        <v>31.7361</v>
      </c>
      <c r="D802" s="8">
        <f>CHOOSE( CONTROL!$C$32, 31.7456, 31.7407) * CHOOSE( CONTROL!$C$15, $D$11, 100%, $F$11)</f>
        <v>31.7456</v>
      </c>
      <c r="E802" s="12">
        <f>CHOOSE( CONTROL!$C$32, 31.7409, 31.736) * CHOOSE( CONTROL!$C$15, $D$11, 100%, $F$11)</f>
        <v>31.7409</v>
      </c>
      <c r="F802" s="4">
        <f>CHOOSE( CONTROL!$C$32, 32.4189, 32.414) * CHOOSE(CONTROL!$C$15, $D$11, 100%, $F$11)</f>
        <v>32.418900000000001</v>
      </c>
      <c r="G802" s="8">
        <f>CHOOSE( CONTROL!$C$32, 31.1732, 31.1684) * CHOOSE( CONTROL!$C$15, $D$11, 100%, $F$11)</f>
        <v>31.173200000000001</v>
      </c>
      <c r="H802" s="4">
        <f>CHOOSE( CONTROL!$C$32, 32.1101, 32.1053) * CHOOSE(CONTROL!$C$15, $D$11, 100%, $F$11)</f>
        <v>32.110100000000003</v>
      </c>
      <c r="I802" s="8">
        <f>CHOOSE( CONTROL!$C$32, 30.7514, 30.7466) * CHOOSE(CONTROL!$C$15, $D$11, 100%, $F$11)</f>
        <v>30.7514</v>
      </c>
      <c r="J802" s="4">
        <f>CHOOSE( CONTROL!$C$32, 30.6403, 30.6356) * CHOOSE(CONTROL!$C$15, $D$11, 100%, $F$11)</f>
        <v>30.6403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33.0917, 33.0869) * CHOOSE(CONTROL!$C$15, $D$11, 100%, $F$11)</f>
        <v>33.091700000000003</v>
      </c>
      <c r="C803" s="8">
        <f>CHOOSE( CONTROL!$C$32, 33.0998, 33.0949) * CHOOSE(CONTROL!$C$15, $D$11, 100%, $F$11)</f>
        <v>33.099800000000002</v>
      </c>
      <c r="D803" s="8">
        <f>CHOOSE( CONTROL!$C$32, 33.1095, 33.1046) * CHOOSE( CONTROL!$C$15, $D$11, 100%, $F$11)</f>
        <v>33.109499999999997</v>
      </c>
      <c r="E803" s="12">
        <f>CHOOSE( CONTROL!$C$32, 33.1048, 33.0999) * CHOOSE( CONTROL!$C$15, $D$11, 100%, $F$11)</f>
        <v>33.104799999999997</v>
      </c>
      <c r="F803" s="4">
        <f>CHOOSE( CONTROL!$C$32, 33.7826, 33.7777) * CHOOSE(CONTROL!$C$15, $D$11, 100%, $F$11)</f>
        <v>33.782600000000002</v>
      </c>
      <c r="G803" s="8">
        <f>CHOOSE( CONTROL!$C$32, 32.5146, 32.5097) * CHOOSE( CONTROL!$C$15, $D$11, 100%, $F$11)</f>
        <v>32.514600000000002</v>
      </c>
      <c r="H803" s="4">
        <f>CHOOSE( CONTROL!$C$32, 33.4512, 33.4464) * CHOOSE(CONTROL!$C$15, $D$11, 100%, $F$11)</f>
        <v>33.4512</v>
      </c>
      <c r="I803" s="8">
        <f>CHOOSE( CONTROL!$C$32, 32.0714, 32.0666) * CHOOSE(CONTROL!$C$15, $D$11, 100%, $F$11)</f>
        <v>32.071399999999997</v>
      </c>
      <c r="J803" s="4">
        <f>CHOOSE( CONTROL!$C$32, 31.9586, 31.9538) * CHOOSE(CONTROL!$C$15, $D$11, 100%, $F$11)</f>
        <v>31.958600000000001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30.5402, 30.5353) * CHOOSE(CONTROL!$C$15, $D$11, 100%, $F$11)</f>
        <v>30.540199999999999</v>
      </c>
      <c r="C804" s="8">
        <f>CHOOSE( CONTROL!$C$32, 30.5482, 30.5433) * CHOOSE(CONTROL!$C$15, $D$11, 100%, $F$11)</f>
        <v>30.548200000000001</v>
      </c>
      <c r="D804" s="8">
        <f>CHOOSE( CONTROL!$C$32, 30.558, 30.5531) * CHOOSE( CONTROL!$C$15, $D$11, 100%, $F$11)</f>
        <v>30.558</v>
      </c>
      <c r="E804" s="12">
        <f>CHOOSE( CONTROL!$C$32, 30.5532, 30.5483) * CHOOSE( CONTROL!$C$15, $D$11, 100%, $F$11)</f>
        <v>30.5532</v>
      </c>
      <c r="F804" s="4">
        <f>CHOOSE( CONTROL!$C$32, 31.231, 31.2261) * CHOOSE(CONTROL!$C$15, $D$11, 100%, $F$11)</f>
        <v>31.231000000000002</v>
      </c>
      <c r="G804" s="8">
        <f>CHOOSE( CONTROL!$C$32, 30.0054, 30.0006) * CHOOSE( CONTROL!$C$15, $D$11, 100%, $F$11)</f>
        <v>30.005400000000002</v>
      </c>
      <c r="H804" s="4">
        <f>CHOOSE( CONTROL!$C$32, 30.9419, 30.9371) * CHOOSE(CONTROL!$C$15, $D$11, 100%, $F$11)</f>
        <v>30.9419</v>
      </c>
      <c r="I804" s="8">
        <f>CHOOSE( CONTROL!$C$32, 29.6039, 29.5991) * CHOOSE(CONTROL!$C$15, $D$11, 100%, $F$11)</f>
        <v>29.603899999999999</v>
      </c>
      <c r="J804" s="4">
        <f>CHOOSE( CONTROL!$C$32, 29.492, 29.4872) * CHOOSE(CONTROL!$C$15, $D$11, 100%, $F$11)</f>
        <v>29.492000000000001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29.9012, 29.8963) * CHOOSE(CONTROL!$C$15, $D$11, 100%, $F$11)</f>
        <v>29.901199999999999</v>
      </c>
      <c r="C805" s="8">
        <f>CHOOSE( CONTROL!$C$32, 29.9093, 29.9044) * CHOOSE(CONTROL!$C$15, $D$11, 100%, $F$11)</f>
        <v>29.909300000000002</v>
      </c>
      <c r="D805" s="8">
        <f>CHOOSE( CONTROL!$C$32, 29.919, 29.9141) * CHOOSE( CONTROL!$C$15, $D$11, 100%, $F$11)</f>
        <v>29.919</v>
      </c>
      <c r="E805" s="12">
        <f>CHOOSE( CONTROL!$C$32, 29.9143, 29.9094) * CHOOSE( CONTROL!$C$15, $D$11, 100%, $F$11)</f>
        <v>29.914300000000001</v>
      </c>
      <c r="F805" s="4">
        <f>CHOOSE( CONTROL!$C$32, 30.5921, 30.5872) * CHOOSE(CONTROL!$C$15, $D$11, 100%, $F$11)</f>
        <v>30.592099999999999</v>
      </c>
      <c r="G805" s="8">
        <f>CHOOSE( CONTROL!$C$32, 29.377, 29.3722) * CHOOSE( CONTROL!$C$15, $D$11, 100%, $F$11)</f>
        <v>29.376999999999999</v>
      </c>
      <c r="H805" s="4">
        <f>CHOOSE( CONTROL!$C$32, 30.3136, 30.3088) * CHOOSE(CONTROL!$C$15, $D$11, 100%, $F$11)</f>
        <v>30.313600000000001</v>
      </c>
      <c r="I805" s="8">
        <f>CHOOSE( CONTROL!$C$32, 28.9857, 28.981) * CHOOSE(CONTROL!$C$15, $D$11, 100%, $F$11)</f>
        <v>28.985700000000001</v>
      </c>
      <c r="J805" s="4">
        <f>CHOOSE( CONTROL!$C$32, 28.8743, 28.8696) * CHOOSE(CONTROL!$C$15, $D$11, 100%, $F$11)</f>
        <v>28.874300000000002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31.2213 * CHOOSE(CONTROL!$C$15, $D$11, 100%, $F$11)</f>
        <v>31.221299999999999</v>
      </c>
      <c r="C806" s="8">
        <f>31.2267 * CHOOSE(CONTROL!$C$15, $D$11, 100%, $F$11)</f>
        <v>31.226700000000001</v>
      </c>
      <c r="D806" s="8">
        <f>31.2412 * CHOOSE( CONTROL!$C$15, $D$11, 100%, $F$11)</f>
        <v>31.241199999999999</v>
      </c>
      <c r="E806" s="12">
        <f>31.2358 * CHOOSE( CONTROL!$C$15, $D$11, 100%, $F$11)</f>
        <v>31.235800000000001</v>
      </c>
      <c r="F806" s="4">
        <f>31.9139 * CHOOSE(CONTROL!$C$15, $D$11, 100%, $F$11)</f>
        <v>31.913900000000002</v>
      </c>
      <c r="G806" s="8">
        <f>30.6761 * CHOOSE( CONTROL!$C$15, $D$11, 100%, $F$11)</f>
        <v>30.676100000000002</v>
      </c>
      <c r="H806" s="4">
        <f>31.6134 * CHOOSE(CONTROL!$C$15, $D$11, 100%, $F$11)</f>
        <v>31.613399999999999</v>
      </c>
      <c r="I806" s="8">
        <f>30.2649 * CHOOSE(CONTROL!$C$15, $D$11, 100%, $F$11)</f>
        <v>30.264900000000001</v>
      </c>
      <c r="J806" s="4">
        <f>30.1521 * CHOOSE(CONTROL!$C$15, $D$11, 100%, $F$11)</f>
        <v>30.152100000000001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33.6696 * CHOOSE(CONTROL!$C$15, $D$11, 100%, $F$11)</f>
        <v>33.669600000000003</v>
      </c>
      <c r="C807" s="8">
        <f>33.6748 * CHOOSE(CONTROL!$C$15, $D$11, 100%, $F$11)</f>
        <v>33.674799999999998</v>
      </c>
      <c r="D807" s="8">
        <f>33.6517 * CHOOSE( CONTROL!$C$15, $D$11, 100%, $F$11)</f>
        <v>33.651699999999998</v>
      </c>
      <c r="E807" s="12">
        <f>33.6596 * CHOOSE( CONTROL!$C$15, $D$11, 100%, $F$11)</f>
        <v>33.659599999999998</v>
      </c>
      <c r="F807" s="4">
        <f>34.3145 * CHOOSE(CONTROL!$C$15, $D$11, 100%, $F$11)</f>
        <v>34.314500000000002</v>
      </c>
      <c r="G807" s="8">
        <f>33.0923 * CHOOSE( CONTROL!$C$15, $D$11, 100%, $F$11)</f>
        <v>33.092300000000002</v>
      </c>
      <c r="H807" s="4">
        <f>33.9743 * CHOOSE(CONTROL!$C$15, $D$11, 100%, $F$11)</f>
        <v>33.974299999999999</v>
      </c>
      <c r="I807" s="8">
        <f>32.658 * CHOOSE(CONTROL!$C$15, $D$11, 100%, $F$11)</f>
        <v>32.658000000000001</v>
      </c>
      <c r="J807" s="4">
        <f>32.5193 * CHOOSE(CONTROL!$C$15, $D$11, 100%, $F$11)</f>
        <v>32.519300000000001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33.6085 * CHOOSE(CONTROL!$C$15, $D$11, 100%, $F$11)</f>
        <v>33.608499999999999</v>
      </c>
      <c r="C808" s="8">
        <f>33.6136 * CHOOSE(CONTROL!$C$15, $D$11, 100%, $F$11)</f>
        <v>33.613599999999998</v>
      </c>
      <c r="D808" s="8">
        <f>33.5921 * CHOOSE( CONTROL!$C$15, $D$11, 100%, $F$11)</f>
        <v>33.592100000000002</v>
      </c>
      <c r="E808" s="12">
        <f>33.5994 * CHOOSE( CONTROL!$C$15, $D$11, 100%, $F$11)</f>
        <v>33.599400000000003</v>
      </c>
      <c r="F808" s="4">
        <f>34.2533 * CHOOSE(CONTROL!$C$15, $D$11, 100%, $F$11)</f>
        <v>34.253300000000003</v>
      </c>
      <c r="G808" s="8">
        <f>33.0332 * CHOOSE( CONTROL!$C$15, $D$11, 100%, $F$11)</f>
        <v>33.033200000000001</v>
      </c>
      <c r="H808" s="4">
        <f>33.9141 * CHOOSE(CONTROL!$C$15, $D$11, 100%, $F$11)</f>
        <v>33.914099999999998</v>
      </c>
      <c r="I808" s="8">
        <f>32.6038 * CHOOSE(CONTROL!$C$15, $D$11, 100%, $F$11)</f>
        <v>32.6038</v>
      </c>
      <c r="J808" s="4">
        <f>32.4601 * CHOOSE(CONTROL!$C$15, $D$11, 100%, $F$11)</f>
        <v>32.460099999999997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34.8918 * CHOOSE(CONTROL!$C$15, $D$11, 100%, $F$11)</f>
        <v>34.891800000000003</v>
      </c>
      <c r="C809" s="8">
        <f>34.8969 * CHOOSE(CONTROL!$C$15, $D$11, 100%, $F$11)</f>
        <v>34.896900000000002</v>
      </c>
      <c r="D809" s="8">
        <f>34.8715 * CHOOSE( CONTROL!$C$15, $D$11, 100%, $F$11)</f>
        <v>34.871499999999997</v>
      </c>
      <c r="E809" s="12">
        <f>34.8802 * CHOOSE( CONTROL!$C$15, $D$11, 100%, $F$11)</f>
        <v>34.880200000000002</v>
      </c>
      <c r="F809" s="4">
        <f>35.5341 * CHOOSE(CONTROL!$C$15, $D$11, 100%, $F$11)</f>
        <v>35.534100000000002</v>
      </c>
      <c r="G809" s="8">
        <f>34.29 * CHOOSE( CONTROL!$C$15, $D$11, 100%, $F$11)</f>
        <v>34.29</v>
      </c>
      <c r="H809" s="4">
        <f>35.1736 * CHOOSE(CONTROL!$C$15, $D$11, 100%, $F$11)</f>
        <v>35.1736</v>
      </c>
      <c r="I809" s="8">
        <f>33.8253 * CHOOSE(CONTROL!$C$15, $D$11, 100%, $F$11)</f>
        <v>33.825299999999999</v>
      </c>
      <c r="J809" s="4">
        <f>33.7007 * CHOOSE(CONTROL!$C$15, $D$11, 100%, $F$11)</f>
        <v>33.700699999999998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32.6381 * CHOOSE(CONTROL!$C$15, $D$11, 100%, $F$11)</f>
        <v>32.638100000000001</v>
      </c>
      <c r="C810" s="8">
        <f>32.6432 * CHOOSE(CONTROL!$C$15, $D$11, 100%, $F$11)</f>
        <v>32.6432</v>
      </c>
      <c r="D810" s="8">
        <f>32.6178 * CHOOSE( CONTROL!$C$15, $D$11, 100%, $F$11)</f>
        <v>32.617800000000003</v>
      </c>
      <c r="E810" s="12">
        <f>32.6265 * CHOOSE( CONTROL!$C$15, $D$11, 100%, $F$11)</f>
        <v>32.6265</v>
      </c>
      <c r="F810" s="4">
        <f>33.2804 * CHOOSE(CONTROL!$C$15, $D$11, 100%, $F$11)</f>
        <v>33.2804</v>
      </c>
      <c r="G810" s="8">
        <f>32.0737 * CHOOSE( CONTROL!$C$15, $D$11, 100%, $F$11)</f>
        <v>32.073700000000002</v>
      </c>
      <c r="H810" s="4">
        <f>32.9573 * CHOOSE(CONTROL!$C$15, $D$11, 100%, $F$11)</f>
        <v>32.957299999999996</v>
      </c>
      <c r="I810" s="8">
        <f>31.6458 * CHOOSE(CONTROL!$C$15, $D$11, 100%, $F$11)</f>
        <v>31.645800000000001</v>
      </c>
      <c r="J810" s="4">
        <f>31.522 * CHOOSE(CONTROL!$C$15, $D$11, 100%, $F$11)</f>
        <v>31.521999999999998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31.9439 * CHOOSE(CONTROL!$C$15, $D$11, 100%, $F$11)</f>
        <v>31.943899999999999</v>
      </c>
      <c r="C811" s="8">
        <f>31.949 * CHOOSE(CONTROL!$C$15, $D$11, 100%, $F$11)</f>
        <v>31.949000000000002</v>
      </c>
      <c r="D811" s="8">
        <f>31.9234 * CHOOSE( CONTROL!$C$15, $D$11, 100%, $F$11)</f>
        <v>31.923400000000001</v>
      </c>
      <c r="E811" s="12">
        <f>31.9322 * CHOOSE( CONTROL!$C$15, $D$11, 100%, $F$11)</f>
        <v>31.932200000000002</v>
      </c>
      <c r="F811" s="4">
        <f>32.5862 * CHOOSE(CONTROL!$C$15, $D$11, 100%, $F$11)</f>
        <v>32.586199999999998</v>
      </c>
      <c r="G811" s="8">
        <f>31.3908 * CHOOSE( CONTROL!$C$15, $D$11, 100%, $F$11)</f>
        <v>31.390799999999999</v>
      </c>
      <c r="H811" s="4">
        <f>32.2746 * CHOOSE(CONTROL!$C$15, $D$11, 100%, $F$11)</f>
        <v>32.2746</v>
      </c>
      <c r="I811" s="8">
        <f>30.9736 * CHOOSE(CONTROL!$C$15, $D$11, 100%, $F$11)</f>
        <v>30.973600000000001</v>
      </c>
      <c r="J811" s="4">
        <f>30.851 * CHOOSE(CONTROL!$C$15, $D$11, 100%, $F$11)</f>
        <v>30.850999999999999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32.4297 * CHOOSE(CONTROL!$C$15, $D$11, 100%, $F$11)</f>
        <v>32.429699999999997</v>
      </c>
      <c r="C812" s="8">
        <f>32.4343 * CHOOSE(CONTROL!$C$15, $D$11, 100%, $F$11)</f>
        <v>32.4343</v>
      </c>
      <c r="D812" s="8">
        <f>32.4486 * CHOOSE( CONTROL!$C$15, $D$11, 100%, $F$11)</f>
        <v>32.448599999999999</v>
      </c>
      <c r="E812" s="12">
        <f>32.4434 * CHOOSE( CONTROL!$C$15, $D$11, 100%, $F$11)</f>
        <v>32.443399999999997</v>
      </c>
      <c r="F812" s="4">
        <f>33.1219 * CHOOSE(CONTROL!$C$15, $D$11, 100%, $F$11)</f>
        <v>33.121899999999997</v>
      </c>
      <c r="G812" s="8">
        <f>31.8631 * CHOOSE( CONTROL!$C$15, $D$11, 100%, $F$11)</f>
        <v>31.863099999999999</v>
      </c>
      <c r="H812" s="4">
        <f>32.8015 * CHOOSE(CONTROL!$C$15, $D$11, 100%, $F$11)</f>
        <v>32.801499999999997</v>
      </c>
      <c r="I812" s="8">
        <f>31.4299 * CHOOSE(CONTROL!$C$15, $D$11, 100%, $F$11)</f>
        <v>31.4299</v>
      </c>
      <c r="J812" s="4">
        <f>31.3199 * CHOOSE(CONTROL!$C$15, $D$11, 100%, $F$11)</f>
        <v>31.319900000000001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33.2993, 33.2944) * CHOOSE(CONTROL!$C$15, $D$11, 100%, $F$11)</f>
        <v>33.299300000000002</v>
      </c>
      <c r="C813" s="8">
        <f>CHOOSE( CONTROL!$C$32, 33.3073, 33.3024) * CHOOSE(CONTROL!$C$15, $D$11, 100%, $F$11)</f>
        <v>33.307299999999998</v>
      </c>
      <c r="D813" s="8">
        <f>CHOOSE( CONTROL!$C$32, 33.3166, 33.3117) * CHOOSE( CONTROL!$C$15, $D$11, 100%, $F$11)</f>
        <v>33.316600000000001</v>
      </c>
      <c r="E813" s="12">
        <f>CHOOSE( CONTROL!$C$32, 33.312, 33.3071) * CHOOSE( CONTROL!$C$15, $D$11, 100%, $F$11)</f>
        <v>33.311999999999998</v>
      </c>
      <c r="F813" s="4">
        <f>CHOOSE( CONTROL!$C$32, 33.9901, 33.9852) * CHOOSE(CONTROL!$C$15, $D$11, 100%, $F$11)</f>
        <v>33.990099999999998</v>
      </c>
      <c r="G813" s="8">
        <f>CHOOSE( CONTROL!$C$32, 32.718, 32.7132) * CHOOSE( CONTROL!$C$15, $D$11, 100%, $F$11)</f>
        <v>32.718000000000004</v>
      </c>
      <c r="H813" s="4">
        <f>CHOOSE( CONTROL!$C$32, 33.6553, 33.6505) * CHOOSE(CONTROL!$C$15, $D$11, 100%, $F$11)</f>
        <v>33.655299999999997</v>
      </c>
      <c r="I813" s="8">
        <f>CHOOSE( CONTROL!$C$32, 32.27, 32.2652) * CHOOSE(CONTROL!$C$15, $D$11, 100%, $F$11)</f>
        <v>32.270000000000003</v>
      </c>
      <c r="J813" s="4">
        <f>CHOOSE( CONTROL!$C$32, 32.1592, 32.1544) * CHOOSE(CONTROL!$C$15, $D$11, 100%, $F$11)</f>
        <v>32.159199999999998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32.7645, 32.7596) * CHOOSE(CONTROL!$C$15, $D$11, 100%, $F$11)</f>
        <v>32.764499999999998</v>
      </c>
      <c r="C814" s="8">
        <f>CHOOSE( CONTROL!$C$32, 32.7725, 32.7676) * CHOOSE(CONTROL!$C$15, $D$11, 100%, $F$11)</f>
        <v>32.772500000000001</v>
      </c>
      <c r="D814" s="8">
        <f>CHOOSE( CONTROL!$C$32, 32.782, 32.7771) * CHOOSE( CONTROL!$C$15, $D$11, 100%, $F$11)</f>
        <v>32.781999999999996</v>
      </c>
      <c r="E814" s="12">
        <f>CHOOSE( CONTROL!$C$32, 32.7773, 32.7724) * CHOOSE( CONTROL!$C$15, $D$11, 100%, $F$11)</f>
        <v>32.777299999999997</v>
      </c>
      <c r="F814" s="4">
        <f>CHOOSE( CONTROL!$C$32, 33.4553, 33.4505) * CHOOSE(CONTROL!$C$15, $D$11, 100%, $F$11)</f>
        <v>33.455300000000001</v>
      </c>
      <c r="G814" s="8">
        <f>CHOOSE( CONTROL!$C$32, 32.1924, 32.1876) * CHOOSE( CONTROL!$C$15, $D$11, 100%, $F$11)</f>
        <v>32.192399999999999</v>
      </c>
      <c r="H814" s="4">
        <f>CHOOSE( CONTROL!$C$32, 33.1294, 33.1245) * CHOOSE(CONTROL!$C$15, $D$11, 100%, $F$11)</f>
        <v>33.129399999999997</v>
      </c>
      <c r="I814" s="8">
        <f>CHOOSE( CONTROL!$C$32, 31.7538, 31.749) * CHOOSE(CONTROL!$C$15, $D$11, 100%, $F$11)</f>
        <v>31.753799999999998</v>
      </c>
      <c r="J814" s="4">
        <f>CHOOSE( CONTROL!$C$32, 31.6422, 31.6375) * CHOOSE(CONTROL!$C$15, $D$11, 100%, $F$11)</f>
        <v>31.642199999999999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34.1728, 34.1679) * CHOOSE(CONTROL!$C$15, $D$11, 100%, $F$11)</f>
        <v>34.172800000000002</v>
      </c>
      <c r="C815" s="8">
        <f>CHOOSE( CONTROL!$C$32, 34.1808, 34.1759) * CHOOSE(CONTROL!$C$15, $D$11, 100%, $F$11)</f>
        <v>34.180799999999998</v>
      </c>
      <c r="D815" s="8">
        <f>CHOOSE( CONTROL!$C$32, 34.1905, 34.1856) * CHOOSE( CONTROL!$C$15, $D$11, 100%, $F$11)</f>
        <v>34.1905</v>
      </c>
      <c r="E815" s="12">
        <f>CHOOSE( CONTROL!$C$32, 34.1858, 34.1809) * CHOOSE( CONTROL!$C$15, $D$11, 100%, $F$11)</f>
        <v>34.1858</v>
      </c>
      <c r="F815" s="4">
        <f>CHOOSE( CONTROL!$C$32, 34.8636, 34.8587) * CHOOSE(CONTROL!$C$15, $D$11, 100%, $F$11)</f>
        <v>34.863599999999998</v>
      </c>
      <c r="G815" s="8">
        <f>CHOOSE( CONTROL!$C$32, 33.5776, 33.5728) * CHOOSE( CONTROL!$C$15, $D$11, 100%, $F$11)</f>
        <v>33.577599999999997</v>
      </c>
      <c r="H815" s="4">
        <f>CHOOSE( CONTROL!$C$32, 34.5143, 34.5095) * CHOOSE(CONTROL!$C$15, $D$11, 100%, $F$11)</f>
        <v>34.514299999999999</v>
      </c>
      <c r="I815" s="8">
        <f>CHOOSE( CONTROL!$C$32, 33.1169, 33.1122) * CHOOSE(CONTROL!$C$15, $D$11, 100%, $F$11)</f>
        <v>33.116900000000001</v>
      </c>
      <c r="J815" s="4">
        <f>CHOOSE( CONTROL!$C$32, 33.0036, 32.9988) * CHOOSE(CONTROL!$C$15, $D$11, 100%, $F$11)</f>
        <v>33.003599999999999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31.5377, 31.5329) * CHOOSE(CONTROL!$C$15, $D$11, 100%, $F$11)</f>
        <v>31.537700000000001</v>
      </c>
      <c r="C816" s="8">
        <f>CHOOSE( CONTROL!$C$32, 31.5458, 31.5409) * CHOOSE(CONTROL!$C$15, $D$11, 100%, $F$11)</f>
        <v>31.5458</v>
      </c>
      <c r="D816" s="8">
        <f>CHOOSE( CONTROL!$C$32, 31.5556, 31.5507) * CHOOSE( CONTROL!$C$15, $D$11, 100%, $F$11)</f>
        <v>31.555599999999998</v>
      </c>
      <c r="E816" s="12">
        <f>CHOOSE( CONTROL!$C$32, 31.5508, 31.5459) * CHOOSE( CONTROL!$C$15, $D$11, 100%, $F$11)</f>
        <v>31.550799999999999</v>
      </c>
      <c r="F816" s="4">
        <f>CHOOSE( CONTROL!$C$32, 32.2286, 32.2237) * CHOOSE(CONTROL!$C$15, $D$11, 100%, $F$11)</f>
        <v>32.2286</v>
      </c>
      <c r="G816" s="8">
        <f>CHOOSE( CONTROL!$C$32, 30.9864, 30.9816) * CHOOSE( CONTROL!$C$15, $D$11, 100%, $F$11)</f>
        <v>30.9864</v>
      </c>
      <c r="H816" s="4">
        <f>CHOOSE( CONTROL!$C$32, 31.923, 31.9181) * CHOOSE(CONTROL!$C$15, $D$11, 100%, $F$11)</f>
        <v>31.922999999999998</v>
      </c>
      <c r="I816" s="8">
        <f>CHOOSE( CONTROL!$C$32, 30.5687, 30.564) * CHOOSE(CONTROL!$C$15, $D$11, 100%, $F$11)</f>
        <v>30.5687</v>
      </c>
      <c r="J816" s="4">
        <f>CHOOSE( CONTROL!$C$32, 30.4563, 30.4516) * CHOOSE(CONTROL!$C$15, $D$11, 100%, $F$11)</f>
        <v>30.456299999999999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30.8779, 30.873) * CHOOSE(CONTROL!$C$15, $D$11, 100%, $F$11)</f>
        <v>30.8779</v>
      </c>
      <c r="C817" s="8">
        <f>CHOOSE( CONTROL!$C$32, 30.8859, 30.881) * CHOOSE(CONTROL!$C$15, $D$11, 100%, $F$11)</f>
        <v>30.885899999999999</v>
      </c>
      <c r="D817" s="8">
        <f>CHOOSE( CONTROL!$C$32, 30.8957, 30.8908) * CHOOSE( CONTROL!$C$15, $D$11, 100%, $F$11)</f>
        <v>30.895700000000001</v>
      </c>
      <c r="E817" s="12">
        <f>CHOOSE( CONTROL!$C$32, 30.8909, 30.886) * CHOOSE( CONTROL!$C$15, $D$11, 100%, $F$11)</f>
        <v>30.890899999999998</v>
      </c>
      <c r="F817" s="4">
        <f>CHOOSE( CONTROL!$C$32, 31.5688, 31.5639) * CHOOSE(CONTROL!$C$15, $D$11, 100%, $F$11)</f>
        <v>31.5688</v>
      </c>
      <c r="G817" s="8">
        <f>CHOOSE( CONTROL!$C$32, 30.3375, 30.3327) * CHOOSE( CONTROL!$C$15, $D$11, 100%, $F$11)</f>
        <v>30.337499999999999</v>
      </c>
      <c r="H817" s="4">
        <f>CHOOSE( CONTROL!$C$32, 31.2741, 31.2692) * CHOOSE(CONTROL!$C$15, $D$11, 100%, $F$11)</f>
        <v>31.274100000000001</v>
      </c>
      <c r="I817" s="8">
        <f>CHOOSE( CONTROL!$C$32, 29.9303, 29.9256) * CHOOSE(CONTROL!$C$15, $D$11, 100%, $F$11)</f>
        <v>29.930299999999999</v>
      </c>
      <c r="J817" s="4">
        <f>CHOOSE( CONTROL!$C$32, 29.8184, 29.8137) * CHOOSE(CONTROL!$C$15, $D$11, 100%, $F$11)</f>
        <v>29.8184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32.2413 * CHOOSE(CONTROL!$C$15, $D$11, 100%, $F$11)</f>
        <v>32.241300000000003</v>
      </c>
      <c r="C818" s="8">
        <f>32.2467 * CHOOSE(CONTROL!$C$15, $D$11, 100%, $F$11)</f>
        <v>32.246699999999997</v>
      </c>
      <c r="D818" s="8">
        <f>32.2613 * CHOOSE( CONTROL!$C$15, $D$11, 100%, $F$11)</f>
        <v>32.261299999999999</v>
      </c>
      <c r="E818" s="12">
        <f>32.2559 * CHOOSE( CONTROL!$C$15, $D$11, 100%, $F$11)</f>
        <v>32.255899999999997</v>
      </c>
      <c r="F818" s="4">
        <f>32.9339 * CHOOSE(CONTROL!$C$15, $D$11, 100%, $F$11)</f>
        <v>32.933900000000001</v>
      </c>
      <c r="G818" s="8">
        <f>31.6793 * CHOOSE( CONTROL!$C$15, $D$11, 100%, $F$11)</f>
        <v>31.679300000000001</v>
      </c>
      <c r="H818" s="4">
        <f>32.6166 * CHOOSE(CONTROL!$C$15, $D$11, 100%, $F$11)</f>
        <v>32.616599999999998</v>
      </c>
      <c r="I818" s="8">
        <f>31.2515 * CHOOSE(CONTROL!$C$15, $D$11, 100%, $F$11)</f>
        <v>31.2515</v>
      </c>
      <c r="J818" s="4">
        <f>31.1381 * CHOOSE(CONTROL!$C$15, $D$11, 100%, $F$11)</f>
        <v>31.138100000000001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34.7698 * CHOOSE(CONTROL!$C$15, $D$11, 100%, $F$11)</f>
        <v>34.769799999999996</v>
      </c>
      <c r="C819" s="8">
        <f>34.7749 * CHOOSE(CONTROL!$C$15, $D$11, 100%, $F$11)</f>
        <v>34.774900000000002</v>
      </c>
      <c r="D819" s="8">
        <f>34.7519 * CHOOSE( CONTROL!$C$15, $D$11, 100%, $F$11)</f>
        <v>34.751899999999999</v>
      </c>
      <c r="E819" s="12">
        <f>34.7598 * CHOOSE( CONTROL!$C$15, $D$11, 100%, $F$11)</f>
        <v>34.759799999999998</v>
      </c>
      <c r="F819" s="4">
        <f>35.4147 * CHOOSE(CONTROL!$C$15, $D$11, 100%, $F$11)</f>
        <v>35.414700000000003</v>
      </c>
      <c r="G819" s="8">
        <f>34.1742 * CHOOSE( CONTROL!$C$15, $D$11, 100%, $F$11)</f>
        <v>34.174199999999999</v>
      </c>
      <c r="H819" s="4">
        <f>35.0562 * CHOOSE(CONTROL!$C$15, $D$11, 100%, $F$11)</f>
        <v>35.056199999999997</v>
      </c>
      <c r="I819" s="8">
        <f>33.722 * CHOOSE(CONTROL!$C$15, $D$11, 100%, $F$11)</f>
        <v>33.722000000000001</v>
      </c>
      <c r="J819" s="4">
        <f>33.5828 * CHOOSE(CONTROL!$C$15, $D$11, 100%, $F$11)</f>
        <v>33.582799999999999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34.7066 * CHOOSE(CONTROL!$C$15, $D$11, 100%, $F$11)</f>
        <v>34.706600000000002</v>
      </c>
      <c r="C820" s="8">
        <f>34.7117 * CHOOSE(CONTROL!$C$15, $D$11, 100%, $F$11)</f>
        <v>34.7117</v>
      </c>
      <c r="D820" s="8">
        <f>34.6902 * CHOOSE( CONTROL!$C$15, $D$11, 100%, $F$11)</f>
        <v>34.690199999999997</v>
      </c>
      <c r="E820" s="12">
        <f>34.6975 * CHOOSE( CONTROL!$C$15, $D$11, 100%, $F$11)</f>
        <v>34.697499999999998</v>
      </c>
      <c r="F820" s="4">
        <f>35.3515 * CHOOSE(CONTROL!$C$15, $D$11, 100%, $F$11)</f>
        <v>35.351500000000001</v>
      </c>
      <c r="G820" s="8">
        <f>34.1132 * CHOOSE( CONTROL!$C$15, $D$11, 100%, $F$11)</f>
        <v>34.113199999999999</v>
      </c>
      <c r="H820" s="4">
        <f>34.994 * CHOOSE(CONTROL!$C$15, $D$11, 100%, $F$11)</f>
        <v>34.994</v>
      </c>
      <c r="I820" s="8">
        <f>33.6659 * CHOOSE(CONTROL!$C$15, $D$11, 100%, $F$11)</f>
        <v>33.665900000000001</v>
      </c>
      <c r="J820" s="4">
        <f>33.5217 * CHOOSE(CONTROL!$C$15, $D$11, 100%, $F$11)</f>
        <v>33.521700000000003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36.0319 * CHOOSE(CONTROL!$C$15, $D$11, 100%, $F$11)</f>
        <v>36.0319</v>
      </c>
      <c r="C821" s="8">
        <f>36.037 * CHOOSE(CONTROL!$C$15, $D$11, 100%, $F$11)</f>
        <v>36.036999999999999</v>
      </c>
      <c r="D821" s="8">
        <f>36.0116 * CHOOSE( CONTROL!$C$15, $D$11, 100%, $F$11)</f>
        <v>36.011600000000001</v>
      </c>
      <c r="E821" s="12">
        <f>36.0203 * CHOOSE( CONTROL!$C$15, $D$11, 100%, $F$11)</f>
        <v>36.020299999999999</v>
      </c>
      <c r="F821" s="4">
        <f>36.6742 * CHOOSE(CONTROL!$C$15, $D$11, 100%, $F$11)</f>
        <v>36.674199999999999</v>
      </c>
      <c r="G821" s="8">
        <f>35.4112 * CHOOSE( CONTROL!$C$15, $D$11, 100%, $F$11)</f>
        <v>35.411200000000001</v>
      </c>
      <c r="H821" s="4">
        <f>36.2948 * CHOOSE(CONTROL!$C$15, $D$11, 100%, $F$11)</f>
        <v>36.294800000000002</v>
      </c>
      <c r="I821" s="8">
        <f>34.928 * CHOOSE(CONTROL!$C$15, $D$11, 100%, $F$11)</f>
        <v>34.927999999999997</v>
      </c>
      <c r="J821" s="4">
        <f>34.8029 * CHOOSE(CONTROL!$C$15, $D$11, 100%, $F$11)</f>
        <v>34.802900000000001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33.7044 * CHOOSE(CONTROL!$C$15, $D$11, 100%, $F$11)</f>
        <v>33.7044</v>
      </c>
      <c r="C822" s="8">
        <f>33.7096 * CHOOSE(CONTROL!$C$15, $D$11, 100%, $F$11)</f>
        <v>33.709600000000002</v>
      </c>
      <c r="D822" s="8">
        <f>33.6842 * CHOOSE( CONTROL!$C$15, $D$11, 100%, $F$11)</f>
        <v>33.684199999999997</v>
      </c>
      <c r="E822" s="12">
        <f>33.6929 * CHOOSE( CONTROL!$C$15, $D$11, 100%, $F$11)</f>
        <v>33.692900000000002</v>
      </c>
      <c r="F822" s="4">
        <f>34.3467 * CHOOSE(CONTROL!$C$15, $D$11, 100%, $F$11)</f>
        <v>34.346699999999998</v>
      </c>
      <c r="G822" s="8">
        <f>33.1224 * CHOOSE( CONTROL!$C$15, $D$11, 100%, $F$11)</f>
        <v>33.122399999999999</v>
      </c>
      <c r="H822" s="4">
        <f>34.006 * CHOOSE(CONTROL!$C$15, $D$11, 100%, $F$11)</f>
        <v>34.006</v>
      </c>
      <c r="I822" s="8">
        <f>32.6772 * CHOOSE(CONTROL!$C$15, $D$11, 100%, $F$11)</f>
        <v>32.677199999999999</v>
      </c>
      <c r="J822" s="4">
        <f>32.5529 * CHOOSE(CONTROL!$C$15, $D$11, 100%, $F$11)</f>
        <v>32.552900000000001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32.9876 * CHOOSE(CONTROL!$C$15, $D$11, 100%, $F$11)</f>
        <v>32.9876</v>
      </c>
      <c r="C823" s="8">
        <f>32.9927 * CHOOSE(CONTROL!$C$15, $D$11, 100%, $F$11)</f>
        <v>32.992699999999999</v>
      </c>
      <c r="D823" s="8">
        <f>32.9671 * CHOOSE( CONTROL!$C$15, $D$11, 100%, $F$11)</f>
        <v>32.967100000000002</v>
      </c>
      <c r="E823" s="12">
        <f>32.9759 * CHOOSE( CONTROL!$C$15, $D$11, 100%, $F$11)</f>
        <v>32.975900000000003</v>
      </c>
      <c r="F823" s="4">
        <f>33.6299 * CHOOSE(CONTROL!$C$15, $D$11, 100%, $F$11)</f>
        <v>33.629899999999999</v>
      </c>
      <c r="G823" s="8">
        <f>32.4172 * CHOOSE( CONTROL!$C$15, $D$11, 100%, $F$11)</f>
        <v>32.417200000000001</v>
      </c>
      <c r="H823" s="4">
        <f>33.301 * CHOOSE(CONTROL!$C$15, $D$11, 100%, $F$11)</f>
        <v>33.301000000000002</v>
      </c>
      <c r="I823" s="8">
        <f>31.983 * CHOOSE(CONTROL!$C$15, $D$11, 100%, $F$11)</f>
        <v>31.983000000000001</v>
      </c>
      <c r="J823" s="4">
        <f>31.8599 * CHOOSE(CONTROL!$C$15, $D$11, 100%, $F$11)</f>
        <v>31.8599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33.4893 * CHOOSE(CONTROL!$C$15, $D$11, 100%, $F$11)</f>
        <v>33.4893</v>
      </c>
      <c r="C824" s="8">
        <f>33.4938 * CHOOSE(CONTROL!$C$15, $D$11, 100%, $F$11)</f>
        <v>33.4938</v>
      </c>
      <c r="D824" s="8">
        <f>33.5081 * CHOOSE( CONTROL!$C$15, $D$11, 100%, $F$11)</f>
        <v>33.508099999999999</v>
      </c>
      <c r="E824" s="12">
        <f>33.5029 * CHOOSE( CONTROL!$C$15, $D$11, 100%, $F$11)</f>
        <v>33.502899999999997</v>
      </c>
      <c r="F824" s="4">
        <f>34.1815 * CHOOSE(CONTROL!$C$15, $D$11, 100%, $F$11)</f>
        <v>34.1815</v>
      </c>
      <c r="G824" s="8">
        <f>32.9051 * CHOOSE( CONTROL!$C$15, $D$11, 100%, $F$11)</f>
        <v>32.905099999999997</v>
      </c>
      <c r="H824" s="4">
        <f>33.8435 * CHOOSE(CONTROL!$C$15, $D$11, 100%, $F$11)</f>
        <v>33.843499999999999</v>
      </c>
      <c r="I824" s="8">
        <f>32.4547 * CHOOSE(CONTROL!$C$15, $D$11, 100%, $F$11)</f>
        <v>32.454700000000003</v>
      </c>
      <c r="J824" s="4">
        <f>32.3442 * CHOOSE(CONTROL!$C$15, $D$11, 100%, $F$11)</f>
        <v>32.344200000000001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34.3871, 34.3822) * CHOOSE(CONTROL!$C$15, $D$11, 100%, $F$11)</f>
        <v>34.387099999999997</v>
      </c>
      <c r="C825" s="8">
        <f>CHOOSE( CONTROL!$C$32, 34.3951, 34.3902) * CHOOSE(CONTROL!$C$15, $D$11, 100%, $F$11)</f>
        <v>34.395099999999999</v>
      </c>
      <c r="D825" s="8">
        <f>CHOOSE( CONTROL!$C$32, 34.4044, 34.3995) * CHOOSE( CONTROL!$C$15, $D$11, 100%, $F$11)</f>
        <v>34.404400000000003</v>
      </c>
      <c r="E825" s="12">
        <f>CHOOSE( CONTROL!$C$32, 34.3998, 34.3949) * CHOOSE( CONTROL!$C$15, $D$11, 100%, $F$11)</f>
        <v>34.399799999999999</v>
      </c>
      <c r="F825" s="4">
        <f>CHOOSE( CONTROL!$C$32, 35.0779, 35.073) * CHOOSE(CONTROL!$C$15, $D$11, 100%, $F$11)</f>
        <v>35.0779</v>
      </c>
      <c r="G825" s="8">
        <f>CHOOSE( CONTROL!$C$32, 33.7877, 33.7829) * CHOOSE( CONTROL!$C$15, $D$11, 100%, $F$11)</f>
        <v>33.787700000000001</v>
      </c>
      <c r="H825" s="4">
        <f>CHOOSE( CONTROL!$C$32, 34.725, 34.7202) * CHOOSE(CONTROL!$C$15, $D$11, 100%, $F$11)</f>
        <v>34.725000000000001</v>
      </c>
      <c r="I825" s="8">
        <f>CHOOSE( CONTROL!$C$32, 33.3221, 33.3173) * CHOOSE(CONTROL!$C$15, $D$11, 100%, $F$11)</f>
        <v>33.322099999999999</v>
      </c>
      <c r="J825" s="4">
        <f>CHOOSE( CONTROL!$C$32, 33.2107, 33.206) * CHOOSE(CONTROL!$C$15, $D$11, 100%, $F$11)</f>
        <v>33.210700000000003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33.8348, 33.8299) * CHOOSE(CONTROL!$C$15, $D$11, 100%, $F$11)</f>
        <v>33.834800000000001</v>
      </c>
      <c r="C826" s="8">
        <f>CHOOSE( CONTROL!$C$32, 33.8428, 33.8379) * CHOOSE(CONTROL!$C$15, $D$11, 100%, $F$11)</f>
        <v>33.842799999999997</v>
      </c>
      <c r="D826" s="8">
        <f>CHOOSE( CONTROL!$C$32, 33.8523, 33.8474) * CHOOSE( CONTROL!$C$15, $D$11, 100%, $F$11)</f>
        <v>33.8523</v>
      </c>
      <c r="E826" s="12">
        <f>CHOOSE( CONTROL!$C$32, 33.8476, 33.8427) * CHOOSE( CONTROL!$C$15, $D$11, 100%, $F$11)</f>
        <v>33.8476</v>
      </c>
      <c r="F826" s="4">
        <f>CHOOSE( CONTROL!$C$32, 34.5257, 34.5208) * CHOOSE(CONTROL!$C$15, $D$11, 100%, $F$11)</f>
        <v>34.525700000000001</v>
      </c>
      <c r="G826" s="8">
        <f>CHOOSE( CONTROL!$C$32, 33.245, 33.2401) * CHOOSE( CONTROL!$C$15, $D$11, 100%, $F$11)</f>
        <v>33.244999999999997</v>
      </c>
      <c r="H826" s="4">
        <f>CHOOSE( CONTROL!$C$32, 34.1819, 34.1771) * CHOOSE(CONTROL!$C$15, $D$11, 100%, $F$11)</f>
        <v>34.181899999999999</v>
      </c>
      <c r="I826" s="8">
        <f>CHOOSE( CONTROL!$C$32, 32.7889, 32.7842) * CHOOSE(CONTROL!$C$15, $D$11, 100%, $F$11)</f>
        <v>32.788899999999998</v>
      </c>
      <c r="J826" s="4">
        <f>CHOOSE( CONTROL!$C$32, 32.6769, 32.6721) * CHOOSE(CONTROL!$C$15, $D$11, 100%, $F$11)</f>
        <v>32.676900000000003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35.2891, 35.2842) * CHOOSE(CONTROL!$C$15, $D$11, 100%, $F$11)</f>
        <v>35.289099999999998</v>
      </c>
      <c r="C827" s="8">
        <f>CHOOSE( CONTROL!$C$32, 35.2971, 35.2922) * CHOOSE(CONTROL!$C$15, $D$11, 100%, $F$11)</f>
        <v>35.2971</v>
      </c>
      <c r="D827" s="8">
        <f>CHOOSE( CONTROL!$C$32, 35.3069, 35.302) * CHOOSE( CONTROL!$C$15, $D$11, 100%, $F$11)</f>
        <v>35.306899999999999</v>
      </c>
      <c r="E827" s="12">
        <f>CHOOSE( CONTROL!$C$32, 35.3021, 35.2972) * CHOOSE( CONTROL!$C$15, $D$11, 100%, $F$11)</f>
        <v>35.302100000000003</v>
      </c>
      <c r="F827" s="4">
        <f>CHOOSE( CONTROL!$C$32, 35.98, 35.9751) * CHOOSE(CONTROL!$C$15, $D$11, 100%, $F$11)</f>
        <v>35.979999999999997</v>
      </c>
      <c r="G827" s="8">
        <f>CHOOSE( CONTROL!$C$32, 34.6755, 34.6707) * CHOOSE( CONTROL!$C$15, $D$11, 100%, $F$11)</f>
        <v>34.6755</v>
      </c>
      <c r="H827" s="4">
        <f>CHOOSE( CONTROL!$C$32, 35.6121, 35.6073) * CHOOSE(CONTROL!$C$15, $D$11, 100%, $F$11)</f>
        <v>35.612099999999998</v>
      </c>
      <c r="I827" s="8">
        <f>CHOOSE( CONTROL!$C$32, 34.1966, 34.1919) * CHOOSE(CONTROL!$C$15, $D$11, 100%, $F$11)</f>
        <v>34.196599999999997</v>
      </c>
      <c r="J827" s="4">
        <f>CHOOSE( CONTROL!$C$32, 34.0828, 34.078) * CHOOSE(CONTROL!$C$15, $D$11, 100%, $F$11)</f>
        <v>34.082799999999999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32.5679, 32.563) * CHOOSE(CONTROL!$C$15, $D$11, 100%, $F$11)</f>
        <v>32.567900000000002</v>
      </c>
      <c r="C828" s="8">
        <f>CHOOSE( CONTROL!$C$32, 32.5759, 32.571) * CHOOSE(CONTROL!$C$15, $D$11, 100%, $F$11)</f>
        <v>32.575899999999997</v>
      </c>
      <c r="D828" s="8">
        <f>CHOOSE( CONTROL!$C$32, 32.5858, 32.5809) * CHOOSE( CONTROL!$C$15, $D$11, 100%, $F$11)</f>
        <v>32.585799999999999</v>
      </c>
      <c r="E828" s="12">
        <f>CHOOSE( CONTROL!$C$32, 32.581, 32.5761) * CHOOSE( CONTROL!$C$15, $D$11, 100%, $F$11)</f>
        <v>32.581000000000003</v>
      </c>
      <c r="F828" s="4">
        <f>CHOOSE( CONTROL!$C$32, 33.2588, 33.2539) * CHOOSE(CONTROL!$C$15, $D$11, 100%, $F$11)</f>
        <v>33.258800000000001</v>
      </c>
      <c r="G828" s="8">
        <f>CHOOSE( CONTROL!$C$32, 31.9995, 31.9947) * CHOOSE( CONTROL!$C$15, $D$11, 100%, $F$11)</f>
        <v>31.999500000000001</v>
      </c>
      <c r="H828" s="4">
        <f>CHOOSE( CONTROL!$C$32, 32.9361, 32.9312) * CHOOSE(CONTROL!$C$15, $D$11, 100%, $F$11)</f>
        <v>32.936100000000003</v>
      </c>
      <c r="I828" s="8">
        <f>CHOOSE( CONTROL!$C$32, 31.5651, 31.5603) * CHOOSE(CONTROL!$C$15, $D$11, 100%, $F$11)</f>
        <v>31.565100000000001</v>
      </c>
      <c r="J828" s="4">
        <f>CHOOSE( CONTROL!$C$32, 31.4522, 31.4475) * CHOOSE(CONTROL!$C$15, $D$11, 100%, $F$11)</f>
        <v>31.452200000000001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31.8865, 31.8816) * CHOOSE(CONTROL!$C$15, $D$11, 100%, $F$11)</f>
        <v>31.886500000000002</v>
      </c>
      <c r="C829" s="8">
        <f>CHOOSE( CONTROL!$C$32, 31.8945, 31.8896) * CHOOSE(CONTROL!$C$15, $D$11, 100%, $F$11)</f>
        <v>31.894500000000001</v>
      </c>
      <c r="D829" s="8">
        <f>CHOOSE( CONTROL!$C$32, 31.9043, 31.8994) * CHOOSE( CONTROL!$C$15, $D$11, 100%, $F$11)</f>
        <v>31.904299999999999</v>
      </c>
      <c r="E829" s="12">
        <f>CHOOSE( CONTROL!$C$32, 31.8995, 31.8946) * CHOOSE( CONTROL!$C$15, $D$11, 100%, $F$11)</f>
        <v>31.8995</v>
      </c>
      <c r="F829" s="4">
        <f>CHOOSE( CONTROL!$C$32, 32.5774, 32.5725) * CHOOSE(CONTROL!$C$15, $D$11, 100%, $F$11)</f>
        <v>32.577399999999997</v>
      </c>
      <c r="G829" s="8">
        <f>CHOOSE( CONTROL!$C$32, 31.3294, 31.3245) * CHOOSE( CONTROL!$C$15, $D$11, 100%, $F$11)</f>
        <v>31.3294</v>
      </c>
      <c r="H829" s="4">
        <f>CHOOSE( CONTROL!$C$32, 32.2659, 32.2611) * CHOOSE(CONTROL!$C$15, $D$11, 100%, $F$11)</f>
        <v>32.265900000000002</v>
      </c>
      <c r="I829" s="8">
        <f>CHOOSE( CONTROL!$C$32, 30.9058, 30.9011) * CHOOSE(CONTROL!$C$15, $D$11, 100%, $F$11)</f>
        <v>30.905799999999999</v>
      </c>
      <c r="J829" s="4">
        <f>CHOOSE( CONTROL!$C$32, 30.7935, 30.7887) * CHOOSE(CONTROL!$C$15, $D$11, 100%, $F$11)</f>
        <v>30.793500000000002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33.2948 * CHOOSE(CONTROL!$C$15, $D$11, 100%, $F$11)</f>
        <v>33.294800000000002</v>
      </c>
      <c r="C830" s="8">
        <f>33.3001 * CHOOSE(CONTROL!$C$15, $D$11, 100%, $F$11)</f>
        <v>33.3001</v>
      </c>
      <c r="D830" s="8">
        <f>33.3147 * CHOOSE( CONTROL!$C$15, $D$11, 100%, $F$11)</f>
        <v>33.314700000000002</v>
      </c>
      <c r="E830" s="12">
        <f>33.3093 * CHOOSE( CONTROL!$C$15, $D$11, 100%, $F$11)</f>
        <v>33.3093</v>
      </c>
      <c r="F830" s="4">
        <f>33.9873 * CHOOSE(CONTROL!$C$15, $D$11, 100%, $F$11)</f>
        <v>33.987299999999998</v>
      </c>
      <c r="G830" s="8">
        <f>32.7152 * CHOOSE( CONTROL!$C$15, $D$11, 100%, $F$11)</f>
        <v>32.715200000000003</v>
      </c>
      <c r="H830" s="4">
        <f>33.6525 * CHOOSE(CONTROL!$C$15, $D$11, 100%, $F$11)</f>
        <v>33.652500000000003</v>
      </c>
      <c r="I830" s="8">
        <f>32.2704 * CHOOSE(CONTROL!$C$15, $D$11, 100%, $F$11)</f>
        <v>32.270400000000002</v>
      </c>
      <c r="J830" s="4">
        <f>32.1565 * CHOOSE(CONTROL!$C$15, $D$11, 100%, $F$11)</f>
        <v>32.156500000000001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35.9059 * CHOOSE(CONTROL!$C$15, $D$11, 100%, $F$11)</f>
        <v>35.905900000000003</v>
      </c>
      <c r="C831" s="8">
        <f>35.911 * CHOOSE(CONTROL!$C$15, $D$11, 100%, $F$11)</f>
        <v>35.911000000000001</v>
      </c>
      <c r="D831" s="8">
        <f>35.888 * CHOOSE( CONTROL!$C$15, $D$11, 100%, $F$11)</f>
        <v>35.887999999999998</v>
      </c>
      <c r="E831" s="12">
        <f>35.8959 * CHOOSE( CONTROL!$C$15, $D$11, 100%, $F$11)</f>
        <v>35.895899999999997</v>
      </c>
      <c r="F831" s="4">
        <f>36.5508 * CHOOSE(CONTROL!$C$15, $D$11, 100%, $F$11)</f>
        <v>36.550800000000002</v>
      </c>
      <c r="G831" s="8">
        <f>35.2914 * CHOOSE( CONTROL!$C$15, $D$11, 100%, $F$11)</f>
        <v>35.291400000000003</v>
      </c>
      <c r="H831" s="4">
        <f>36.1735 * CHOOSE(CONTROL!$C$15, $D$11, 100%, $F$11)</f>
        <v>36.173499999999997</v>
      </c>
      <c r="I831" s="8">
        <f>34.8209 * CHOOSE(CONTROL!$C$15, $D$11, 100%, $F$11)</f>
        <v>34.820900000000002</v>
      </c>
      <c r="J831" s="4">
        <f>34.681 * CHOOSE(CONTROL!$C$15, $D$11, 100%, $F$11)</f>
        <v>34.680999999999997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35.8406 * CHOOSE(CONTROL!$C$15, $D$11, 100%, $F$11)</f>
        <v>35.840600000000002</v>
      </c>
      <c r="C832" s="8">
        <f>35.8458 * CHOOSE(CONTROL!$C$15, $D$11, 100%, $F$11)</f>
        <v>35.845799999999997</v>
      </c>
      <c r="D832" s="8">
        <f>35.8243 * CHOOSE( CONTROL!$C$15, $D$11, 100%, $F$11)</f>
        <v>35.824300000000001</v>
      </c>
      <c r="E832" s="12">
        <f>35.8316 * CHOOSE( CONTROL!$C$15, $D$11, 100%, $F$11)</f>
        <v>35.831600000000002</v>
      </c>
      <c r="F832" s="4">
        <f>36.4855 * CHOOSE(CONTROL!$C$15, $D$11, 100%, $F$11)</f>
        <v>36.485500000000002</v>
      </c>
      <c r="G832" s="8">
        <f>35.2284 * CHOOSE( CONTROL!$C$15, $D$11, 100%, $F$11)</f>
        <v>35.228400000000001</v>
      </c>
      <c r="H832" s="4">
        <f>36.1093 * CHOOSE(CONTROL!$C$15, $D$11, 100%, $F$11)</f>
        <v>36.109299999999998</v>
      </c>
      <c r="I832" s="8">
        <f>34.7627 * CHOOSE(CONTROL!$C$15, $D$11, 100%, $F$11)</f>
        <v>34.762700000000002</v>
      </c>
      <c r="J832" s="4">
        <f>34.618 * CHOOSE(CONTROL!$C$15, $D$11, 100%, $F$11)</f>
        <v>34.618000000000002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37.2093 * CHOOSE(CONTROL!$C$15, $D$11, 100%, $F$11)</f>
        <v>37.209299999999999</v>
      </c>
      <c r="C833" s="8">
        <f>37.2144 * CHOOSE(CONTROL!$C$15, $D$11, 100%, $F$11)</f>
        <v>37.214399999999998</v>
      </c>
      <c r="D833" s="8">
        <f>37.189 * CHOOSE( CONTROL!$C$15, $D$11, 100%, $F$11)</f>
        <v>37.189</v>
      </c>
      <c r="E833" s="12">
        <f>37.1977 * CHOOSE( CONTROL!$C$15, $D$11, 100%, $F$11)</f>
        <v>37.197699999999998</v>
      </c>
      <c r="F833" s="4">
        <f>37.8516 * CHOOSE(CONTROL!$C$15, $D$11, 100%, $F$11)</f>
        <v>37.851599999999998</v>
      </c>
      <c r="G833" s="8">
        <f>36.569 * CHOOSE( CONTROL!$C$15, $D$11, 100%, $F$11)</f>
        <v>36.569000000000003</v>
      </c>
      <c r="H833" s="4">
        <f>37.4527 * CHOOSE(CONTROL!$C$15, $D$11, 100%, $F$11)</f>
        <v>37.4527</v>
      </c>
      <c r="I833" s="8">
        <f>36.0667 * CHOOSE(CONTROL!$C$15, $D$11, 100%, $F$11)</f>
        <v>36.066699999999997</v>
      </c>
      <c r="J833" s="4">
        <f>35.941 * CHOOSE(CONTROL!$C$15, $D$11, 100%, $F$11)</f>
        <v>35.941000000000003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34.8057 * CHOOSE(CONTROL!$C$15, $D$11, 100%, $F$11)</f>
        <v>34.805700000000002</v>
      </c>
      <c r="C834" s="8">
        <f>34.8108 * CHOOSE(CONTROL!$C$15, $D$11, 100%, $F$11)</f>
        <v>34.8108</v>
      </c>
      <c r="D834" s="8">
        <f>34.7855 * CHOOSE( CONTROL!$C$15, $D$11, 100%, $F$11)</f>
        <v>34.785499999999999</v>
      </c>
      <c r="E834" s="12">
        <f>34.7942 * CHOOSE( CONTROL!$C$15, $D$11, 100%, $F$11)</f>
        <v>34.794199999999996</v>
      </c>
      <c r="F834" s="4">
        <f>35.448 * CHOOSE(CONTROL!$C$15, $D$11, 100%, $F$11)</f>
        <v>35.448</v>
      </c>
      <c r="G834" s="8">
        <f>34.2054 * CHOOSE( CONTROL!$C$15, $D$11, 100%, $F$11)</f>
        <v>34.205399999999997</v>
      </c>
      <c r="H834" s="4">
        <f>35.089 * CHOOSE(CONTROL!$C$15, $D$11, 100%, $F$11)</f>
        <v>35.088999999999999</v>
      </c>
      <c r="I834" s="8">
        <f>33.7423 * CHOOSE(CONTROL!$C$15, $D$11, 100%, $F$11)</f>
        <v>33.7423</v>
      </c>
      <c r="J834" s="4">
        <f>33.6175 * CHOOSE(CONTROL!$C$15, $D$11, 100%, $F$11)</f>
        <v>33.6175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34.0654 * CHOOSE(CONTROL!$C$15, $D$11, 100%, $F$11)</f>
        <v>34.065399999999997</v>
      </c>
      <c r="C835" s="8">
        <f>34.0705 * CHOOSE(CONTROL!$C$15, $D$11, 100%, $F$11)</f>
        <v>34.070500000000003</v>
      </c>
      <c r="D835" s="8">
        <f>34.045 * CHOOSE( CONTROL!$C$15, $D$11, 100%, $F$11)</f>
        <v>34.045000000000002</v>
      </c>
      <c r="E835" s="12">
        <f>34.0538 * CHOOSE( CONTROL!$C$15, $D$11, 100%, $F$11)</f>
        <v>34.053800000000003</v>
      </c>
      <c r="F835" s="4">
        <f>34.7077 * CHOOSE(CONTROL!$C$15, $D$11, 100%, $F$11)</f>
        <v>34.707700000000003</v>
      </c>
      <c r="G835" s="8">
        <f>33.4772 * CHOOSE( CONTROL!$C$15, $D$11, 100%, $F$11)</f>
        <v>33.477200000000003</v>
      </c>
      <c r="H835" s="4">
        <f>34.361 * CHOOSE(CONTROL!$C$15, $D$11, 100%, $F$11)</f>
        <v>34.360999999999997</v>
      </c>
      <c r="I835" s="8">
        <f>33.0255 * CHOOSE(CONTROL!$C$15, $D$11, 100%, $F$11)</f>
        <v>33.025500000000001</v>
      </c>
      <c r="J835" s="4">
        <f>32.9019 * CHOOSE(CONTROL!$C$15, $D$11, 100%, $F$11)</f>
        <v>32.901899999999998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34.5835 * CHOOSE(CONTROL!$C$15, $D$11, 100%, $F$11)</f>
        <v>34.583500000000001</v>
      </c>
      <c r="C836" s="8">
        <f>34.588 * CHOOSE(CONTROL!$C$15, $D$11, 100%, $F$11)</f>
        <v>34.588000000000001</v>
      </c>
      <c r="D836" s="8">
        <f>34.6024 * CHOOSE( CONTROL!$C$15, $D$11, 100%, $F$11)</f>
        <v>34.602400000000003</v>
      </c>
      <c r="E836" s="12">
        <f>34.5971 * CHOOSE( CONTROL!$C$15, $D$11, 100%, $F$11)</f>
        <v>34.597099999999998</v>
      </c>
      <c r="F836" s="4">
        <f>35.2757 * CHOOSE(CONTROL!$C$15, $D$11, 100%, $F$11)</f>
        <v>35.275700000000001</v>
      </c>
      <c r="G836" s="8">
        <f>33.9811 * CHOOSE( CONTROL!$C$15, $D$11, 100%, $F$11)</f>
        <v>33.981099999999998</v>
      </c>
      <c r="H836" s="4">
        <f>34.9195 * CHOOSE(CONTROL!$C$15, $D$11, 100%, $F$11)</f>
        <v>34.919499999999999</v>
      </c>
      <c r="I836" s="8">
        <f>33.513 * CHOOSE(CONTROL!$C$15, $D$11, 100%, $F$11)</f>
        <v>33.512999999999998</v>
      </c>
      <c r="J836" s="4">
        <f>33.402 * CHOOSE(CONTROL!$C$15, $D$11, 100%, $F$11)</f>
        <v>33.402000000000001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35.5104, 35.5055) * CHOOSE(CONTROL!$C$15, $D$11, 100%, $F$11)</f>
        <v>35.510399999999997</v>
      </c>
      <c r="C837" s="8">
        <f>CHOOSE( CONTROL!$C$32, 35.5184, 35.5136) * CHOOSE(CONTROL!$C$15, $D$11, 100%, $F$11)</f>
        <v>35.5184</v>
      </c>
      <c r="D837" s="8">
        <f>CHOOSE( CONTROL!$C$32, 35.5277, 35.5229) * CHOOSE( CONTROL!$C$15, $D$11, 100%, $F$11)</f>
        <v>35.527700000000003</v>
      </c>
      <c r="E837" s="12">
        <f>CHOOSE( CONTROL!$C$32, 35.5231, 35.5183) * CHOOSE( CONTROL!$C$15, $D$11, 100%, $F$11)</f>
        <v>35.523099999999999</v>
      </c>
      <c r="F837" s="4">
        <f>CHOOSE( CONTROL!$C$32, 36.2013, 36.1964) * CHOOSE(CONTROL!$C$15, $D$11, 100%, $F$11)</f>
        <v>36.201300000000003</v>
      </c>
      <c r="G837" s="8">
        <f>CHOOSE( CONTROL!$C$32, 34.8925, 34.8877) * CHOOSE( CONTROL!$C$15, $D$11, 100%, $F$11)</f>
        <v>34.892499999999998</v>
      </c>
      <c r="H837" s="4">
        <f>CHOOSE( CONTROL!$C$32, 35.8298, 35.825) * CHOOSE(CONTROL!$C$15, $D$11, 100%, $F$11)</f>
        <v>35.829799999999999</v>
      </c>
      <c r="I837" s="8">
        <f>CHOOSE( CONTROL!$C$32, 34.4086, 34.4038) * CHOOSE(CONTROL!$C$15, $D$11, 100%, $F$11)</f>
        <v>34.4086</v>
      </c>
      <c r="J837" s="4">
        <f>CHOOSE( CONTROL!$C$32, 34.2967, 34.292) * CHOOSE(CONTROL!$C$15, $D$11, 100%, $F$11)</f>
        <v>34.296700000000001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34.9401, 34.9352) * CHOOSE(CONTROL!$C$15, $D$11, 100%, $F$11)</f>
        <v>34.940100000000001</v>
      </c>
      <c r="C838" s="8">
        <f>CHOOSE( CONTROL!$C$32, 34.9481, 34.9432) * CHOOSE(CONTROL!$C$15, $D$11, 100%, $F$11)</f>
        <v>34.948099999999997</v>
      </c>
      <c r="D838" s="8">
        <f>CHOOSE( CONTROL!$C$32, 34.9576, 34.9527) * CHOOSE( CONTROL!$C$15, $D$11, 100%, $F$11)</f>
        <v>34.957599999999999</v>
      </c>
      <c r="E838" s="12">
        <f>CHOOSE( CONTROL!$C$32, 34.9529, 34.948) * CHOOSE( CONTROL!$C$15, $D$11, 100%, $F$11)</f>
        <v>34.9529</v>
      </c>
      <c r="F838" s="4">
        <f>CHOOSE( CONTROL!$C$32, 35.631, 35.6261) * CHOOSE(CONTROL!$C$15, $D$11, 100%, $F$11)</f>
        <v>35.631</v>
      </c>
      <c r="G838" s="8">
        <f>CHOOSE( CONTROL!$C$32, 34.3319, 34.3271) * CHOOSE( CONTROL!$C$15, $D$11, 100%, $F$11)</f>
        <v>34.331899999999997</v>
      </c>
      <c r="H838" s="4">
        <f>CHOOSE( CONTROL!$C$32, 35.2689, 35.2641) * CHOOSE(CONTROL!$C$15, $D$11, 100%, $F$11)</f>
        <v>35.268900000000002</v>
      </c>
      <c r="I838" s="8">
        <f>CHOOSE( CONTROL!$C$32, 33.858, 33.8533) * CHOOSE(CONTROL!$C$15, $D$11, 100%, $F$11)</f>
        <v>33.857999999999997</v>
      </c>
      <c r="J838" s="4">
        <f>CHOOSE( CONTROL!$C$32, 33.7454, 33.7406) * CHOOSE(CONTROL!$C$15, $D$11, 100%, $F$11)</f>
        <v>33.745399999999997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36.442, 36.4371) * CHOOSE(CONTROL!$C$15, $D$11, 100%, $F$11)</f>
        <v>36.442</v>
      </c>
      <c r="C839" s="8">
        <f>CHOOSE( CONTROL!$C$32, 36.45, 36.4451) * CHOOSE(CONTROL!$C$15, $D$11, 100%, $F$11)</f>
        <v>36.450000000000003</v>
      </c>
      <c r="D839" s="8">
        <f>CHOOSE( CONTROL!$C$32, 36.4597, 36.4548) * CHOOSE( CONTROL!$C$15, $D$11, 100%, $F$11)</f>
        <v>36.459699999999998</v>
      </c>
      <c r="E839" s="12">
        <f>CHOOSE( CONTROL!$C$32, 36.455, 36.4501) * CHOOSE( CONTROL!$C$15, $D$11, 100%, $F$11)</f>
        <v>36.454999999999998</v>
      </c>
      <c r="F839" s="4">
        <f>CHOOSE( CONTROL!$C$32, 37.1328, 37.1279) * CHOOSE(CONTROL!$C$15, $D$11, 100%, $F$11)</f>
        <v>37.132800000000003</v>
      </c>
      <c r="G839" s="8">
        <f>CHOOSE( CONTROL!$C$32, 35.8092, 35.8044) * CHOOSE( CONTROL!$C$15, $D$11, 100%, $F$11)</f>
        <v>35.809199999999997</v>
      </c>
      <c r="H839" s="4">
        <f>CHOOSE( CONTROL!$C$32, 36.7459, 36.7411) * CHOOSE(CONTROL!$C$15, $D$11, 100%, $F$11)</f>
        <v>36.745899999999999</v>
      </c>
      <c r="I839" s="8">
        <f>CHOOSE( CONTROL!$C$32, 35.3116, 35.3069) * CHOOSE(CONTROL!$C$15, $D$11, 100%, $F$11)</f>
        <v>35.311599999999999</v>
      </c>
      <c r="J839" s="4">
        <f>CHOOSE( CONTROL!$C$32, 35.1972, 35.1925) * CHOOSE(CONTROL!$C$15, $D$11, 100%, $F$11)</f>
        <v>35.197200000000002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33.6318, 33.6269) * CHOOSE(CONTROL!$C$15, $D$11, 100%, $F$11)</f>
        <v>33.631799999999998</v>
      </c>
      <c r="C840" s="8">
        <f>CHOOSE( CONTROL!$C$32, 33.6398, 33.6349) * CHOOSE(CONTROL!$C$15, $D$11, 100%, $F$11)</f>
        <v>33.639800000000001</v>
      </c>
      <c r="D840" s="8">
        <f>CHOOSE( CONTROL!$C$32, 33.6496, 33.6447) * CHOOSE( CONTROL!$C$15, $D$11, 100%, $F$11)</f>
        <v>33.6496</v>
      </c>
      <c r="E840" s="12">
        <f>CHOOSE( CONTROL!$C$32, 33.6448, 33.6399) * CHOOSE( CONTROL!$C$15, $D$11, 100%, $F$11)</f>
        <v>33.644799999999996</v>
      </c>
      <c r="F840" s="4">
        <f>CHOOSE( CONTROL!$C$32, 34.3227, 34.3178) * CHOOSE(CONTROL!$C$15, $D$11, 100%, $F$11)</f>
        <v>34.322699999999998</v>
      </c>
      <c r="G840" s="8">
        <f>CHOOSE( CONTROL!$C$32, 33.0458, 33.041) * CHOOSE( CONTROL!$C$15, $D$11, 100%, $F$11)</f>
        <v>33.0458</v>
      </c>
      <c r="H840" s="4">
        <f>CHOOSE( CONTROL!$C$32, 33.9823, 33.9775) * CHOOSE(CONTROL!$C$15, $D$11, 100%, $F$11)</f>
        <v>33.982300000000002</v>
      </c>
      <c r="I840" s="8">
        <f>CHOOSE( CONTROL!$C$32, 32.594, 32.5893) * CHOOSE(CONTROL!$C$15, $D$11, 100%, $F$11)</f>
        <v>32.594000000000001</v>
      </c>
      <c r="J840" s="4">
        <f>CHOOSE( CONTROL!$C$32, 32.4806, 32.4759) * CHOOSE(CONTROL!$C$15, $D$11, 100%, $F$11)</f>
        <v>32.480600000000003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32.9281, 32.9232) * CHOOSE(CONTROL!$C$15, $D$11, 100%, $F$11)</f>
        <v>32.928100000000001</v>
      </c>
      <c r="C841" s="8">
        <f>CHOOSE( CONTROL!$C$32, 32.9361, 32.9312) * CHOOSE(CONTROL!$C$15, $D$11, 100%, $F$11)</f>
        <v>32.936100000000003</v>
      </c>
      <c r="D841" s="8">
        <f>CHOOSE( CONTROL!$C$32, 32.9459, 32.941) * CHOOSE( CONTROL!$C$15, $D$11, 100%, $F$11)</f>
        <v>32.945900000000002</v>
      </c>
      <c r="E841" s="12">
        <f>CHOOSE( CONTROL!$C$32, 32.9411, 32.9362) * CHOOSE( CONTROL!$C$15, $D$11, 100%, $F$11)</f>
        <v>32.941099999999999</v>
      </c>
      <c r="F841" s="4">
        <f>CHOOSE( CONTROL!$C$32, 33.619, 33.6141) * CHOOSE(CONTROL!$C$15, $D$11, 100%, $F$11)</f>
        <v>33.619</v>
      </c>
      <c r="G841" s="8">
        <f>CHOOSE( CONTROL!$C$32, 32.3537, 32.3489) * CHOOSE( CONTROL!$C$15, $D$11, 100%, $F$11)</f>
        <v>32.353700000000003</v>
      </c>
      <c r="H841" s="4">
        <f>CHOOSE( CONTROL!$C$32, 33.2903, 33.2854) * CHOOSE(CONTROL!$C$15, $D$11, 100%, $F$11)</f>
        <v>33.290300000000002</v>
      </c>
      <c r="I841" s="8">
        <f>CHOOSE( CONTROL!$C$32, 31.9132, 31.9085) * CHOOSE(CONTROL!$C$15, $D$11, 100%, $F$11)</f>
        <v>31.9132</v>
      </c>
      <c r="J841" s="4">
        <f>CHOOSE( CONTROL!$C$32, 31.8004, 31.7956) * CHOOSE(CONTROL!$C$15, $D$11, 100%, $F$11)</f>
        <v>31.8004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34.3826 * CHOOSE(CONTROL!$C$15, $D$11, 100%, $F$11)</f>
        <v>34.382599999999996</v>
      </c>
      <c r="C842" s="8">
        <f>34.388 * CHOOSE(CONTROL!$C$15, $D$11, 100%, $F$11)</f>
        <v>34.387999999999998</v>
      </c>
      <c r="D842" s="8">
        <f>34.4025 * CHOOSE( CONTROL!$C$15, $D$11, 100%, $F$11)</f>
        <v>34.402500000000003</v>
      </c>
      <c r="E842" s="12">
        <f>34.3971 * CHOOSE( CONTROL!$C$15, $D$11, 100%, $F$11)</f>
        <v>34.397100000000002</v>
      </c>
      <c r="F842" s="4">
        <f>35.0752 * CHOOSE(CONTROL!$C$15, $D$11, 100%, $F$11)</f>
        <v>35.075200000000002</v>
      </c>
      <c r="G842" s="8">
        <f>33.785 * CHOOSE( CONTROL!$C$15, $D$11, 100%, $F$11)</f>
        <v>33.784999999999997</v>
      </c>
      <c r="H842" s="4">
        <f>34.7223 * CHOOSE(CONTROL!$C$15, $D$11, 100%, $F$11)</f>
        <v>34.722299999999997</v>
      </c>
      <c r="I842" s="8">
        <f>33.3225 * CHOOSE(CONTROL!$C$15, $D$11, 100%, $F$11)</f>
        <v>33.322499999999998</v>
      </c>
      <c r="J842" s="4">
        <f>33.2081 * CHOOSE(CONTROL!$C$15, $D$11, 100%, $F$11)</f>
        <v>33.208100000000002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37.0792 * CHOOSE(CONTROL!$C$15, $D$11, 100%, $F$11)</f>
        <v>37.0792</v>
      </c>
      <c r="C843" s="8">
        <f>37.0843 * CHOOSE(CONTROL!$C$15, $D$11, 100%, $F$11)</f>
        <v>37.084299999999999</v>
      </c>
      <c r="D843" s="8">
        <f>37.0612 * CHOOSE( CONTROL!$C$15, $D$11, 100%, $F$11)</f>
        <v>37.061199999999999</v>
      </c>
      <c r="E843" s="12">
        <f>37.0691 * CHOOSE( CONTROL!$C$15, $D$11, 100%, $F$11)</f>
        <v>37.069099999999999</v>
      </c>
      <c r="F843" s="4">
        <f>37.724 * CHOOSE(CONTROL!$C$15, $D$11, 100%, $F$11)</f>
        <v>37.723999999999997</v>
      </c>
      <c r="G843" s="8">
        <f>36.4452 * CHOOSE( CONTROL!$C$15, $D$11, 100%, $F$11)</f>
        <v>36.4452</v>
      </c>
      <c r="H843" s="4">
        <f>37.3273 * CHOOSE(CONTROL!$C$15, $D$11, 100%, $F$11)</f>
        <v>37.327300000000001</v>
      </c>
      <c r="I843" s="8">
        <f>35.9556 * CHOOSE(CONTROL!$C$15, $D$11, 100%, $F$11)</f>
        <v>35.955599999999997</v>
      </c>
      <c r="J843" s="4">
        <f>35.8152 * CHOOSE(CONTROL!$C$15, $D$11, 100%, $F$11)</f>
        <v>35.815199999999997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37.0118 * CHOOSE(CONTROL!$C$15, $D$11, 100%, $F$11)</f>
        <v>37.011800000000001</v>
      </c>
      <c r="C844" s="8">
        <f>37.0169 * CHOOSE(CONTROL!$C$15, $D$11, 100%, $F$11)</f>
        <v>37.0169</v>
      </c>
      <c r="D844" s="8">
        <f>36.9954 * CHOOSE( CONTROL!$C$15, $D$11, 100%, $F$11)</f>
        <v>36.995399999999997</v>
      </c>
      <c r="E844" s="12">
        <f>37.0027 * CHOOSE( CONTROL!$C$15, $D$11, 100%, $F$11)</f>
        <v>37.002699999999997</v>
      </c>
      <c r="F844" s="4">
        <f>37.6567 * CHOOSE(CONTROL!$C$15, $D$11, 100%, $F$11)</f>
        <v>37.656700000000001</v>
      </c>
      <c r="G844" s="8">
        <f>36.3801 * CHOOSE( CONTROL!$C$15, $D$11, 100%, $F$11)</f>
        <v>36.380099999999999</v>
      </c>
      <c r="H844" s="4">
        <f>37.261 * CHOOSE(CONTROL!$C$15, $D$11, 100%, $F$11)</f>
        <v>37.261000000000003</v>
      </c>
      <c r="I844" s="8">
        <f>35.8954 * CHOOSE(CONTROL!$C$15, $D$11, 100%, $F$11)</f>
        <v>35.895400000000002</v>
      </c>
      <c r="J844" s="4">
        <f>35.7501 * CHOOSE(CONTROL!$C$15, $D$11, 100%, $F$11)</f>
        <v>35.750100000000003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38.4252 * CHOOSE(CONTROL!$C$15, $D$11, 100%, $F$11)</f>
        <v>38.425199999999997</v>
      </c>
      <c r="C845" s="8">
        <f>38.4303 * CHOOSE(CONTROL!$C$15, $D$11, 100%, $F$11)</f>
        <v>38.430300000000003</v>
      </c>
      <c r="D845" s="8">
        <f>38.4049 * CHOOSE( CONTROL!$C$15, $D$11, 100%, $F$11)</f>
        <v>38.404899999999998</v>
      </c>
      <c r="E845" s="12">
        <f>38.4136 * CHOOSE( CONTROL!$C$15, $D$11, 100%, $F$11)</f>
        <v>38.413600000000002</v>
      </c>
      <c r="F845" s="4">
        <f>39.0675 * CHOOSE(CONTROL!$C$15, $D$11, 100%, $F$11)</f>
        <v>39.067500000000003</v>
      </c>
      <c r="G845" s="8">
        <f>37.7648 * CHOOSE( CONTROL!$C$15, $D$11, 100%, $F$11)</f>
        <v>37.764800000000001</v>
      </c>
      <c r="H845" s="4">
        <f>38.6484 * CHOOSE(CONTROL!$C$15, $D$11, 100%, $F$11)</f>
        <v>38.648400000000002</v>
      </c>
      <c r="I845" s="8">
        <f>37.2427 * CHOOSE(CONTROL!$C$15, $D$11, 100%, $F$11)</f>
        <v>37.242699999999999</v>
      </c>
      <c r="J845" s="4">
        <f>37.1165 * CHOOSE(CONTROL!$C$15, $D$11, 100%, $F$11)</f>
        <v>37.116500000000002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35.943 * CHOOSE(CONTROL!$C$15, $D$11, 100%, $F$11)</f>
        <v>35.942999999999998</v>
      </c>
      <c r="C846" s="8">
        <f>35.9481 * CHOOSE(CONTROL!$C$15, $D$11, 100%, $F$11)</f>
        <v>35.948099999999997</v>
      </c>
      <c r="D846" s="8">
        <f>35.9228 * CHOOSE( CONTROL!$C$15, $D$11, 100%, $F$11)</f>
        <v>35.922800000000002</v>
      </c>
      <c r="E846" s="12">
        <f>35.9315 * CHOOSE( CONTROL!$C$15, $D$11, 100%, $F$11)</f>
        <v>35.9315</v>
      </c>
      <c r="F846" s="4">
        <f>36.5853 * CHOOSE(CONTROL!$C$15, $D$11, 100%, $F$11)</f>
        <v>36.585299999999997</v>
      </c>
      <c r="G846" s="8">
        <f>35.3238 * CHOOSE( CONTROL!$C$15, $D$11, 100%, $F$11)</f>
        <v>35.323799999999999</v>
      </c>
      <c r="H846" s="4">
        <f>36.2074 * CHOOSE(CONTROL!$C$15, $D$11, 100%, $F$11)</f>
        <v>36.2074</v>
      </c>
      <c r="I846" s="8">
        <f>34.8423 * CHOOSE(CONTROL!$C$15, $D$11, 100%, $F$11)</f>
        <v>34.842300000000002</v>
      </c>
      <c r="J846" s="4">
        <f>34.7169 * CHOOSE(CONTROL!$C$15, $D$11, 100%, $F$11)</f>
        <v>34.716900000000003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35.1785 * CHOOSE(CONTROL!$C$15, $D$11, 100%, $F$11)</f>
        <v>35.1785</v>
      </c>
      <c r="C847" s="8">
        <f>35.1836 * CHOOSE(CONTROL!$C$15, $D$11, 100%, $F$11)</f>
        <v>35.183599999999998</v>
      </c>
      <c r="D847" s="8">
        <f>35.158 * CHOOSE( CONTROL!$C$15, $D$11, 100%, $F$11)</f>
        <v>35.158000000000001</v>
      </c>
      <c r="E847" s="12">
        <f>35.1668 * CHOOSE( CONTROL!$C$15, $D$11, 100%, $F$11)</f>
        <v>35.166800000000002</v>
      </c>
      <c r="F847" s="4">
        <f>35.8208 * CHOOSE(CONTROL!$C$15, $D$11, 100%, $F$11)</f>
        <v>35.820799999999998</v>
      </c>
      <c r="G847" s="8">
        <f>34.5718 * CHOOSE( CONTROL!$C$15, $D$11, 100%, $F$11)</f>
        <v>34.571800000000003</v>
      </c>
      <c r="H847" s="4">
        <f>35.4556 * CHOOSE(CONTROL!$C$15, $D$11, 100%, $F$11)</f>
        <v>35.455599999999997</v>
      </c>
      <c r="I847" s="8">
        <f>34.1021 * CHOOSE(CONTROL!$C$15, $D$11, 100%, $F$11)</f>
        <v>34.1021</v>
      </c>
      <c r="J847" s="4">
        <f>33.9779 * CHOOSE(CONTROL!$C$15, $D$11, 100%, $F$11)</f>
        <v>33.977899999999998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35.7135 * CHOOSE(CONTROL!$C$15, $D$11, 100%, $F$11)</f>
        <v>35.713500000000003</v>
      </c>
      <c r="C848" s="8">
        <f>35.718 * CHOOSE(CONTROL!$C$15, $D$11, 100%, $F$11)</f>
        <v>35.718000000000004</v>
      </c>
      <c r="D848" s="8">
        <f>35.7324 * CHOOSE( CONTROL!$C$15, $D$11, 100%, $F$11)</f>
        <v>35.732399999999998</v>
      </c>
      <c r="E848" s="12">
        <f>35.7271 * CHOOSE( CONTROL!$C$15, $D$11, 100%, $F$11)</f>
        <v>35.7271</v>
      </c>
      <c r="F848" s="4">
        <f>36.4057 * CHOOSE(CONTROL!$C$15, $D$11, 100%, $F$11)</f>
        <v>36.405700000000003</v>
      </c>
      <c r="G848" s="8">
        <f>35.0924 * CHOOSE( CONTROL!$C$15, $D$11, 100%, $F$11)</f>
        <v>35.092399999999998</v>
      </c>
      <c r="H848" s="4">
        <f>36.0308 * CHOOSE(CONTROL!$C$15, $D$11, 100%, $F$11)</f>
        <v>36.030799999999999</v>
      </c>
      <c r="I848" s="8">
        <f>34.6059 * CHOOSE(CONTROL!$C$15, $D$11, 100%, $F$11)</f>
        <v>34.605899999999998</v>
      </c>
      <c r="J848" s="4">
        <f>34.4943 * CHOOSE(CONTROL!$C$15, $D$11, 100%, $F$11)</f>
        <v>34.494300000000003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36.6705, 36.6656) * CHOOSE(CONTROL!$C$15, $D$11, 100%, $F$11)</f>
        <v>36.670499999999997</v>
      </c>
      <c r="C849" s="8">
        <f>CHOOSE( CONTROL!$C$32, 36.6785, 36.6737) * CHOOSE(CONTROL!$C$15, $D$11, 100%, $F$11)</f>
        <v>36.6785</v>
      </c>
      <c r="D849" s="8">
        <f>CHOOSE( CONTROL!$C$32, 36.6879, 36.683) * CHOOSE( CONTROL!$C$15, $D$11, 100%, $F$11)</f>
        <v>36.687899999999999</v>
      </c>
      <c r="E849" s="12">
        <f>CHOOSE( CONTROL!$C$32, 36.6833, 36.6784) * CHOOSE( CONTROL!$C$15, $D$11, 100%, $F$11)</f>
        <v>36.683300000000003</v>
      </c>
      <c r="F849" s="4">
        <f>CHOOSE( CONTROL!$C$32, 37.3614, 37.3565) * CHOOSE(CONTROL!$C$15, $D$11, 100%, $F$11)</f>
        <v>37.361400000000003</v>
      </c>
      <c r="G849" s="8">
        <f>CHOOSE( CONTROL!$C$32, 36.0333, 36.0285) * CHOOSE( CONTROL!$C$15, $D$11, 100%, $F$11)</f>
        <v>36.033299999999997</v>
      </c>
      <c r="H849" s="4">
        <f>CHOOSE( CONTROL!$C$32, 36.9706, 36.9658) * CHOOSE(CONTROL!$C$15, $D$11, 100%, $F$11)</f>
        <v>36.970599999999997</v>
      </c>
      <c r="I849" s="8">
        <f>CHOOSE( CONTROL!$C$32, 35.5306, 35.5259) * CHOOSE(CONTROL!$C$15, $D$11, 100%, $F$11)</f>
        <v>35.5306</v>
      </c>
      <c r="J849" s="4">
        <f>CHOOSE( CONTROL!$C$32, 35.4182, 35.4134) * CHOOSE(CONTROL!$C$15, $D$11, 100%, $F$11)</f>
        <v>35.418199999999999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36.0816, 36.0767) * CHOOSE(CONTROL!$C$15, $D$11, 100%, $F$11)</f>
        <v>36.081600000000002</v>
      </c>
      <c r="C850" s="8">
        <f>CHOOSE( CONTROL!$C$32, 36.0896, 36.0847) * CHOOSE(CONTROL!$C$15, $D$11, 100%, $F$11)</f>
        <v>36.089599999999997</v>
      </c>
      <c r="D850" s="8">
        <f>CHOOSE( CONTROL!$C$32, 36.0991, 36.0942) * CHOOSE( CONTROL!$C$15, $D$11, 100%, $F$11)</f>
        <v>36.0991</v>
      </c>
      <c r="E850" s="12">
        <f>CHOOSE( CONTROL!$C$32, 36.0944, 36.0895) * CHOOSE( CONTROL!$C$15, $D$11, 100%, $F$11)</f>
        <v>36.0944</v>
      </c>
      <c r="F850" s="4">
        <f>CHOOSE( CONTROL!$C$32, 36.7724, 36.7675) * CHOOSE(CONTROL!$C$15, $D$11, 100%, $F$11)</f>
        <v>36.772399999999998</v>
      </c>
      <c r="G850" s="8">
        <f>CHOOSE( CONTROL!$C$32, 35.4545, 35.4496) * CHOOSE( CONTROL!$C$15, $D$11, 100%, $F$11)</f>
        <v>35.454500000000003</v>
      </c>
      <c r="H850" s="4">
        <f>CHOOSE( CONTROL!$C$32, 36.3914, 36.3866) * CHOOSE(CONTROL!$C$15, $D$11, 100%, $F$11)</f>
        <v>36.391399999999997</v>
      </c>
      <c r="I850" s="8">
        <f>CHOOSE( CONTROL!$C$32, 34.962, 34.9572) * CHOOSE(CONTROL!$C$15, $D$11, 100%, $F$11)</f>
        <v>34.962000000000003</v>
      </c>
      <c r="J850" s="4">
        <f>CHOOSE( CONTROL!$C$32, 34.8488, 34.8441) * CHOOSE(CONTROL!$C$15, $D$11, 100%, $F$11)</f>
        <v>34.848799999999997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37.6326, 37.6277) * CHOOSE(CONTROL!$C$15, $D$11, 100%, $F$11)</f>
        <v>37.632599999999996</v>
      </c>
      <c r="C851" s="8">
        <f>CHOOSE( CONTROL!$C$32, 37.6406, 37.6357) * CHOOSE(CONTROL!$C$15, $D$11, 100%, $F$11)</f>
        <v>37.640599999999999</v>
      </c>
      <c r="D851" s="8">
        <f>CHOOSE( CONTROL!$C$32, 37.6503, 37.6454) * CHOOSE( CONTROL!$C$15, $D$11, 100%, $F$11)</f>
        <v>37.650300000000001</v>
      </c>
      <c r="E851" s="12">
        <f>CHOOSE( CONTROL!$C$32, 37.6456, 37.6407) * CHOOSE( CONTROL!$C$15, $D$11, 100%, $F$11)</f>
        <v>37.645600000000002</v>
      </c>
      <c r="F851" s="4">
        <f>CHOOSE( CONTROL!$C$32, 38.3234, 38.3185) * CHOOSE(CONTROL!$C$15, $D$11, 100%, $F$11)</f>
        <v>38.323399999999999</v>
      </c>
      <c r="G851" s="8">
        <f>CHOOSE( CONTROL!$C$32, 36.9801, 36.9753) * CHOOSE( CONTROL!$C$15, $D$11, 100%, $F$11)</f>
        <v>36.9801</v>
      </c>
      <c r="H851" s="4">
        <f>CHOOSE( CONTROL!$C$32, 37.9167, 37.9119) * CHOOSE(CONTROL!$C$15, $D$11, 100%, $F$11)</f>
        <v>37.916699999999999</v>
      </c>
      <c r="I851" s="8">
        <f>CHOOSE( CONTROL!$C$32, 36.4631, 36.4584) * CHOOSE(CONTROL!$C$15, $D$11, 100%, $F$11)</f>
        <v>36.463099999999997</v>
      </c>
      <c r="J851" s="4">
        <f>CHOOSE( CONTROL!$C$32, 36.3482, 36.3434) * CHOOSE(CONTROL!$C$15, $D$11, 100%, $F$11)</f>
        <v>36.348199999999999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34.7305, 34.7256) * CHOOSE(CONTROL!$C$15, $D$11, 100%, $F$11)</f>
        <v>34.730499999999999</v>
      </c>
      <c r="C852" s="8">
        <f>CHOOSE( CONTROL!$C$32, 34.7385, 34.7336) * CHOOSE(CONTROL!$C$15, $D$11, 100%, $F$11)</f>
        <v>34.738500000000002</v>
      </c>
      <c r="D852" s="8">
        <f>CHOOSE( CONTROL!$C$32, 34.7483, 34.7434) * CHOOSE( CONTROL!$C$15, $D$11, 100%, $F$11)</f>
        <v>34.7483</v>
      </c>
      <c r="E852" s="12">
        <f>CHOOSE( CONTROL!$C$32, 34.7435, 34.7386) * CHOOSE( CONTROL!$C$15, $D$11, 100%, $F$11)</f>
        <v>34.743499999999997</v>
      </c>
      <c r="F852" s="4">
        <f>CHOOSE( CONTROL!$C$32, 35.4213, 35.4164) * CHOOSE(CONTROL!$C$15, $D$11, 100%, $F$11)</f>
        <v>35.421300000000002</v>
      </c>
      <c r="G852" s="8">
        <f>CHOOSE( CONTROL!$C$32, 34.1262, 34.1214) * CHOOSE( CONTROL!$C$15, $D$11, 100%, $F$11)</f>
        <v>34.126199999999997</v>
      </c>
      <c r="H852" s="4">
        <f>CHOOSE( CONTROL!$C$32, 35.0627, 35.0579) * CHOOSE(CONTROL!$C$15, $D$11, 100%, $F$11)</f>
        <v>35.0627</v>
      </c>
      <c r="I852" s="8">
        <f>CHOOSE( CONTROL!$C$32, 33.6566, 33.6519) * CHOOSE(CONTROL!$C$15, $D$11, 100%, $F$11)</f>
        <v>33.656599999999997</v>
      </c>
      <c r="J852" s="4">
        <f>CHOOSE( CONTROL!$C$32, 33.5427, 33.538) * CHOOSE(CONTROL!$C$15, $D$11, 100%, $F$11)</f>
        <v>33.542700000000004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34.0038, 33.9989) * CHOOSE(CONTROL!$C$15, $D$11, 100%, $F$11)</f>
        <v>34.003799999999998</v>
      </c>
      <c r="C853" s="8">
        <f>CHOOSE( CONTROL!$C$32, 34.0118, 34.0069) * CHOOSE(CONTROL!$C$15, $D$11, 100%, $F$11)</f>
        <v>34.011800000000001</v>
      </c>
      <c r="D853" s="8">
        <f>CHOOSE( CONTROL!$C$32, 34.0215, 34.0167) * CHOOSE( CONTROL!$C$15, $D$11, 100%, $F$11)</f>
        <v>34.021500000000003</v>
      </c>
      <c r="E853" s="12">
        <f>CHOOSE( CONTROL!$C$32, 34.0168, 34.0119) * CHOOSE( CONTROL!$C$15, $D$11, 100%, $F$11)</f>
        <v>34.016800000000003</v>
      </c>
      <c r="F853" s="4">
        <f>CHOOSE( CONTROL!$C$32, 34.6946, 34.6897) * CHOOSE(CONTROL!$C$15, $D$11, 100%, $F$11)</f>
        <v>34.694600000000001</v>
      </c>
      <c r="G853" s="8">
        <f>CHOOSE( CONTROL!$C$32, 33.4115, 33.4067) * CHOOSE( CONTROL!$C$15, $D$11, 100%, $F$11)</f>
        <v>33.411499999999997</v>
      </c>
      <c r="H853" s="4">
        <f>CHOOSE( CONTROL!$C$32, 34.3481, 34.3433) * CHOOSE(CONTROL!$C$15, $D$11, 100%, $F$11)</f>
        <v>34.348100000000002</v>
      </c>
      <c r="I853" s="8">
        <f>CHOOSE( CONTROL!$C$32, 32.9536, 32.9489) * CHOOSE(CONTROL!$C$15, $D$11, 100%, $F$11)</f>
        <v>32.953600000000002</v>
      </c>
      <c r="J853" s="4">
        <f>CHOOSE( CONTROL!$C$32, 32.8402, 32.8355) * CHOOSE(CONTROL!$C$15, $D$11, 100%, $F$11)</f>
        <v>32.840200000000003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35.5061 * CHOOSE(CONTROL!$C$15, $D$11, 100%, $F$11)</f>
        <v>35.506100000000004</v>
      </c>
      <c r="C854" s="8">
        <f>35.5114 * CHOOSE(CONTROL!$C$15, $D$11, 100%, $F$11)</f>
        <v>35.511400000000002</v>
      </c>
      <c r="D854" s="8">
        <f>35.526 * CHOOSE( CONTROL!$C$15, $D$11, 100%, $F$11)</f>
        <v>35.526000000000003</v>
      </c>
      <c r="E854" s="12">
        <f>35.5206 * CHOOSE( CONTROL!$C$15, $D$11, 100%, $F$11)</f>
        <v>35.520600000000002</v>
      </c>
      <c r="F854" s="4">
        <f>36.1986 * CHOOSE(CONTROL!$C$15, $D$11, 100%, $F$11)</f>
        <v>36.198599999999999</v>
      </c>
      <c r="G854" s="8">
        <f>34.8898 * CHOOSE( CONTROL!$C$15, $D$11, 100%, $F$11)</f>
        <v>34.889800000000001</v>
      </c>
      <c r="H854" s="4">
        <f>35.8272 * CHOOSE(CONTROL!$C$15, $D$11, 100%, $F$11)</f>
        <v>35.827199999999998</v>
      </c>
      <c r="I854" s="8">
        <f>34.4091 * CHOOSE(CONTROL!$C$15, $D$11, 100%, $F$11)</f>
        <v>34.409100000000002</v>
      </c>
      <c r="J854" s="4">
        <f>34.2941 * CHOOSE(CONTROL!$C$15, $D$11, 100%, $F$11)</f>
        <v>34.2941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38.2908 * CHOOSE(CONTROL!$C$15, $D$11, 100%, $F$11)</f>
        <v>38.290799999999997</v>
      </c>
      <c r="C855" s="8">
        <f>38.2959 * CHOOSE(CONTROL!$C$15, $D$11, 100%, $F$11)</f>
        <v>38.295900000000003</v>
      </c>
      <c r="D855" s="8">
        <f>38.2729 * CHOOSE( CONTROL!$C$15, $D$11, 100%, $F$11)</f>
        <v>38.2729</v>
      </c>
      <c r="E855" s="12">
        <f>38.2808 * CHOOSE( CONTROL!$C$15, $D$11, 100%, $F$11)</f>
        <v>38.280799999999999</v>
      </c>
      <c r="F855" s="4">
        <f>38.9357 * CHOOSE(CONTROL!$C$15, $D$11, 100%, $F$11)</f>
        <v>38.935699999999997</v>
      </c>
      <c r="G855" s="8">
        <f>37.6368 * CHOOSE( CONTROL!$C$15, $D$11, 100%, $F$11)</f>
        <v>37.636800000000001</v>
      </c>
      <c r="H855" s="4">
        <f>38.5188 * CHOOSE(CONTROL!$C$15, $D$11, 100%, $F$11)</f>
        <v>38.518799999999999</v>
      </c>
      <c r="I855" s="8">
        <f>37.1275 * CHOOSE(CONTROL!$C$15, $D$11, 100%, $F$11)</f>
        <v>37.127499999999998</v>
      </c>
      <c r="J855" s="4">
        <f>36.9865 * CHOOSE(CONTROL!$C$15, $D$11, 100%, $F$11)</f>
        <v>36.986499999999999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38.2212 * CHOOSE(CONTROL!$C$15, $D$11, 100%, $F$11)</f>
        <v>38.221200000000003</v>
      </c>
      <c r="C856" s="8">
        <f>38.2263 * CHOOSE(CONTROL!$C$15, $D$11, 100%, $F$11)</f>
        <v>38.226300000000002</v>
      </c>
      <c r="D856" s="8">
        <f>38.2048 * CHOOSE( CONTROL!$C$15, $D$11, 100%, $F$11)</f>
        <v>38.204799999999999</v>
      </c>
      <c r="E856" s="12">
        <f>38.2121 * CHOOSE( CONTROL!$C$15, $D$11, 100%, $F$11)</f>
        <v>38.2121</v>
      </c>
      <c r="F856" s="4">
        <f>38.8661 * CHOOSE(CONTROL!$C$15, $D$11, 100%, $F$11)</f>
        <v>38.866100000000003</v>
      </c>
      <c r="G856" s="8">
        <f>37.5695 * CHOOSE( CONTROL!$C$15, $D$11, 100%, $F$11)</f>
        <v>37.569499999999998</v>
      </c>
      <c r="H856" s="4">
        <f>38.4504 * CHOOSE(CONTROL!$C$15, $D$11, 100%, $F$11)</f>
        <v>38.450400000000002</v>
      </c>
      <c r="I856" s="8">
        <f>37.0652 * CHOOSE(CONTROL!$C$15, $D$11, 100%, $F$11)</f>
        <v>37.065199999999997</v>
      </c>
      <c r="J856" s="4">
        <f>36.9193 * CHOOSE(CONTROL!$C$15, $D$11, 100%, $F$11)</f>
        <v>36.9193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39.6808 * CHOOSE(CONTROL!$C$15, $D$11, 100%, $F$11)</f>
        <v>39.680799999999998</v>
      </c>
      <c r="C857" s="8">
        <f>39.686 * CHOOSE(CONTROL!$C$15, $D$11, 100%, $F$11)</f>
        <v>39.686</v>
      </c>
      <c r="D857" s="8">
        <f>39.6605 * CHOOSE( CONTROL!$C$15, $D$11, 100%, $F$11)</f>
        <v>39.660499999999999</v>
      </c>
      <c r="E857" s="12">
        <f>39.6693 * CHOOSE( CONTROL!$C$15, $D$11, 100%, $F$11)</f>
        <v>39.6693</v>
      </c>
      <c r="F857" s="4">
        <f>40.3231 * CHOOSE(CONTROL!$C$15, $D$11, 100%, $F$11)</f>
        <v>40.323099999999997</v>
      </c>
      <c r="G857" s="8">
        <f>38.9996 * CHOOSE( CONTROL!$C$15, $D$11, 100%, $F$11)</f>
        <v>38.999600000000001</v>
      </c>
      <c r="H857" s="4">
        <f>39.8833 * CHOOSE(CONTROL!$C$15, $D$11, 100%, $F$11)</f>
        <v>39.883299999999998</v>
      </c>
      <c r="I857" s="8">
        <f>38.4572 * CHOOSE(CONTROL!$C$15, $D$11, 100%, $F$11)</f>
        <v>38.4572</v>
      </c>
      <c r="J857" s="4">
        <f>38.3303 * CHOOSE(CONTROL!$C$15, $D$11, 100%, $F$11)</f>
        <v>38.330300000000001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37.1175 * CHOOSE(CONTROL!$C$15, $D$11, 100%, $F$11)</f>
        <v>37.1175</v>
      </c>
      <c r="C858" s="8">
        <f>37.1226 * CHOOSE(CONTROL!$C$15, $D$11, 100%, $F$11)</f>
        <v>37.122599999999998</v>
      </c>
      <c r="D858" s="8">
        <f>37.0973 * CHOOSE( CONTROL!$C$15, $D$11, 100%, $F$11)</f>
        <v>37.097299999999997</v>
      </c>
      <c r="E858" s="12">
        <f>37.106 * CHOOSE( CONTROL!$C$15, $D$11, 100%, $F$11)</f>
        <v>37.106000000000002</v>
      </c>
      <c r="F858" s="4">
        <f>37.7598 * CHOOSE(CONTROL!$C$15, $D$11, 100%, $F$11)</f>
        <v>37.759799999999998</v>
      </c>
      <c r="G858" s="8">
        <f>36.4788 * CHOOSE( CONTROL!$C$15, $D$11, 100%, $F$11)</f>
        <v>36.4788</v>
      </c>
      <c r="H858" s="4">
        <f>37.3624 * CHOOSE(CONTROL!$C$15, $D$11, 100%, $F$11)</f>
        <v>37.362400000000001</v>
      </c>
      <c r="I858" s="8">
        <f>35.9782 * CHOOSE(CONTROL!$C$15, $D$11, 100%, $F$11)</f>
        <v>35.978200000000001</v>
      </c>
      <c r="J858" s="4">
        <f>35.8523 * CHOOSE(CONTROL!$C$15, $D$11, 100%, $F$11)</f>
        <v>35.8523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36.328 * CHOOSE(CONTROL!$C$15, $D$11, 100%, $F$11)</f>
        <v>36.328000000000003</v>
      </c>
      <c r="C859" s="8">
        <f>36.3331 * CHOOSE(CONTROL!$C$15, $D$11, 100%, $F$11)</f>
        <v>36.333100000000002</v>
      </c>
      <c r="D859" s="8">
        <f>36.3075 * CHOOSE( CONTROL!$C$15, $D$11, 100%, $F$11)</f>
        <v>36.307499999999997</v>
      </c>
      <c r="E859" s="12">
        <f>36.3163 * CHOOSE( CONTROL!$C$15, $D$11, 100%, $F$11)</f>
        <v>36.316299999999998</v>
      </c>
      <c r="F859" s="4">
        <f>36.9703 * CHOOSE(CONTROL!$C$15, $D$11, 100%, $F$11)</f>
        <v>36.970300000000002</v>
      </c>
      <c r="G859" s="8">
        <f>35.7022 * CHOOSE( CONTROL!$C$15, $D$11, 100%, $F$11)</f>
        <v>35.702199999999998</v>
      </c>
      <c r="H859" s="4">
        <f>36.586 * CHOOSE(CONTROL!$C$15, $D$11, 100%, $F$11)</f>
        <v>36.585999999999999</v>
      </c>
      <c r="I859" s="8">
        <f>35.2138 * CHOOSE(CONTROL!$C$15, $D$11, 100%, $F$11)</f>
        <v>35.213799999999999</v>
      </c>
      <c r="J859" s="4">
        <f>35.0891 * CHOOSE(CONTROL!$C$15, $D$11, 100%, $F$11)</f>
        <v>35.089100000000002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36.8804 * CHOOSE(CONTROL!$C$15, $D$11, 100%, $F$11)</f>
        <v>36.880400000000002</v>
      </c>
      <c r="C860" s="8">
        <f>36.885 * CHOOSE(CONTROL!$C$15, $D$11, 100%, $F$11)</f>
        <v>36.884999999999998</v>
      </c>
      <c r="D860" s="8">
        <f>36.8993 * CHOOSE( CONTROL!$C$15, $D$11, 100%, $F$11)</f>
        <v>36.899299999999997</v>
      </c>
      <c r="E860" s="12">
        <f>36.8941 * CHOOSE( CONTROL!$C$15, $D$11, 100%, $F$11)</f>
        <v>36.894100000000002</v>
      </c>
      <c r="F860" s="4">
        <f>37.5727 * CHOOSE(CONTROL!$C$15, $D$11, 100%, $F$11)</f>
        <v>37.572699999999998</v>
      </c>
      <c r="G860" s="8">
        <f>36.24 * CHOOSE( CONTROL!$C$15, $D$11, 100%, $F$11)</f>
        <v>36.24</v>
      </c>
      <c r="H860" s="4">
        <f>37.1784 * CHOOSE(CONTROL!$C$15, $D$11, 100%, $F$11)</f>
        <v>37.178400000000003</v>
      </c>
      <c r="I860" s="8">
        <f>35.7346 * CHOOSE(CONTROL!$C$15, $D$11, 100%, $F$11)</f>
        <v>35.7346</v>
      </c>
      <c r="J860" s="4">
        <f>35.6224 * CHOOSE(CONTROL!$C$15, $D$11, 100%, $F$11)</f>
        <v>35.622399999999999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37.8686, 37.8637) * CHOOSE(CONTROL!$C$15, $D$11, 100%, $F$11)</f>
        <v>37.868600000000001</v>
      </c>
      <c r="C861" s="8">
        <f>CHOOSE( CONTROL!$C$32, 37.8766, 37.8717) * CHOOSE(CONTROL!$C$15, $D$11, 100%, $F$11)</f>
        <v>37.876600000000003</v>
      </c>
      <c r="D861" s="8">
        <f>CHOOSE( CONTROL!$C$32, 37.8859, 37.881) * CHOOSE( CONTROL!$C$15, $D$11, 100%, $F$11)</f>
        <v>37.885899999999999</v>
      </c>
      <c r="E861" s="12">
        <f>CHOOSE( CONTROL!$C$32, 37.8813, 37.8764) * CHOOSE( CONTROL!$C$15, $D$11, 100%, $F$11)</f>
        <v>37.881300000000003</v>
      </c>
      <c r="F861" s="4">
        <f>CHOOSE( CONTROL!$C$32, 38.5594, 38.5545) * CHOOSE(CONTROL!$C$15, $D$11, 100%, $F$11)</f>
        <v>38.559399999999997</v>
      </c>
      <c r="G861" s="8">
        <f>CHOOSE( CONTROL!$C$32, 37.2115, 37.2067) * CHOOSE( CONTROL!$C$15, $D$11, 100%, $F$11)</f>
        <v>37.211500000000001</v>
      </c>
      <c r="H861" s="4">
        <f>CHOOSE( CONTROL!$C$32, 38.1488, 38.144) * CHOOSE(CONTROL!$C$15, $D$11, 100%, $F$11)</f>
        <v>38.148800000000001</v>
      </c>
      <c r="I861" s="8">
        <f>CHOOSE( CONTROL!$C$32, 36.6893, 36.6846) * CHOOSE(CONTROL!$C$15, $D$11, 100%, $F$11)</f>
        <v>36.689300000000003</v>
      </c>
      <c r="J861" s="4">
        <f>CHOOSE( CONTROL!$C$32, 36.5763, 36.5716) * CHOOSE(CONTROL!$C$15, $D$11, 100%, $F$11)</f>
        <v>36.576300000000003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37.2603, 37.2554) * CHOOSE(CONTROL!$C$15, $D$11, 100%, $F$11)</f>
        <v>37.260300000000001</v>
      </c>
      <c r="C862" s="8">
        <f>CHOOSE( CONTROL!$C$32, 37.2684, 37.2635) * CHOOSE(CONTROL!$C$15, $D$11, 100%, $F$11)</f>
        <v>37.2684</v>
      </c>
      <c r="D862" s="8">
        <f>CHOOSE( CONTROL!$C$32, 37.2779, 37.273) * CHOOSE( CONTROL!$C$15, $D$11, 100%, $F$11)</f>
        <v>37.277900000000002</v>
      </c>
      <c r="E862" s="12">
        <f>CHOOSE( CONTROL!$C$32, 37.2732, 37.2683) * CHOOSE( CONTROL!$C$15, $D$11, 100%, $F$11)</f>
        <v>37.273200000000003</v>
      </c>
      <c r="F862" s="4">
        <f>CHOOSE( CONTROL!$C$32, 37.9512, 37.9463) * CHOOSE(CONTROL!$C$15, $D$11, 100%, $F$11)</f>
        <v>37.9512</v>
      </c>
      <c r="G862" s="8">
        <f>CHOOSE( CONTROL!$C$32, 36.6137, 36.6089) * CHOOSE( CONTROL!$C$15, $D$11, 100%, $F$11)</f>
        <v>36.613700000000001</v>
      </c>
      <c r="H862" s="4">
        <f>CHOOSE( CONTROL!$C$32, 37.5507, 37.5458) * CHOOSE(CONTROL!$C$15, $D$11, 100%, $F$11)</f>
        <v>37.550699999999999</v>
      </c>
      <c r="I862" s="8">
        <f>CHOOSE( CONTROL!$C$32, 36.1021, 36.0973) * CHOOSE(CONTROL!$C$15, $D$11, 100%, $F$11)</f>
        <v>36.1021</v>
      </c>
      <c r="J862" s="4">
        <f>CHOOSE( CONTROL!$C$32, 35.9883, 35.9836) * CHOOSE(CONTROL!$C$15, $D$11, 100%, $F$11)</f>
        <v>35.988300000000002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38.8621, 38.8572) * CHOOSE(CONTROL!$C$15, $D$11, 100%, $F$11)</f>
        <v>38.862099999999998</v>
      </c>
      <c r="C863" s="8">
        <f>CHOOSE( CONTROL!$C$32, 38.8701, 38.8652) * CHOOSE(CONTROL!$C$15, $D$11, 100%, $F$11)</f>
        <v>38.870100000000001</v>
      </c>
      <c r="D863" s="8">
        <f>CHOOSE( CONTROL!$C$32, 38.8798, 38.8749) * CHOOSE( CONTROL!$C$15, $D$11, 100%, $F$11)</f>
        <v>38.879800000000003</v>
      </c>
      <c r="E863" s="12">
        <f>CHOOSE( CONTROL!$C$32, 38.8751, 38.8702) * CHOOSE( CONTROL!$C$15, $D$11, 100%, $F$11)</f>
        <v>38.875100000000003</v>
      </c>
      <c r="F863" s="4">
        <f>CHOOSE( CONTROL!$C$32, 39.5529, 39.548) * CHOOSE(CONTROL!$C$15, $D$11, 100%, $F$11)</f>
        <v>39.552900000000001</v>
      </c>
      <c r="G863" s="8">
        <f>CHOOSE( CONTROL!$C$32, 38.1892, 38.1844) * CHOOSE( CONTROL!$C$15, $D$11, 100%, $F$11)</f>
        <v>38.1892</v>
      </c>
      <c r="H863" s="4">
        <f>CHOOSE( CONTROL!$C$32, 39.1258, 39.121) * CHOOSE(CONTROL!$C$15, $D$11, 100%, $F$11)</f>
        <v>39.125799999999998</v>
      </c>
      <c r="I863" s="8">
        <f>CHOOSE( CONTROL!$C$32, 37.6523, 37.6476) * CHOOSE(CONTROL!$C$15, $D$11, 100%, $F$11)</f>
        <v>37.652299999999997</v>
      </c>
      <c r="J863" s="4">
        <f>CHOOSE( CONTROL!$C$32, 37.5367, 37.532) * CHOOSE(CONTROL!$C$15, $D$11, 100%, $F$11)</f>
        <v>37.536700000000003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35.8651, 35.8602) * CHOOSE(CONTROL!$C$15, $D$11, 100%, $F$11)</f>
        <v>35.865099999999998</v>
      </c>
      <c r="C864" s="8">
        <f>CHOOSE( CONTROL!$C$32, 35.8731, 35.8682) * CHOOSE(CONTROL!$C$15, $D$11, 100%, $F$11)</f>
        <v>35.873100000000001</v>
      </c>
      <c r="D864" s="8">
        <f>CHOOSE( CONTROL!$C$32, 35.8829, 35.878) * CHOOSE( CONTROL!$C$15, $D$11, 100%, $F$11)</f>
        <v>35.882899999999999</v>
      </c>
      <c r="E864" s="12">
        <f>CHOOSE( CONTROL!$C$32, 35.8781, 35.8732) * CHOOSE( CONTROL!$C$15, $D$11, 100%, $F$11)</f>
        <v>35.878100000000003</v>
      </c>
      <c r="F864" s="4">
        <f>CHOOSE( CONTROL!$C$32, 36.5559, 36.551) * CHOOSE(CONTROL!$C$15, $D$11, 100%, $F$11)</f>
        <v>36.555900000000001</v>
      </c>
      <c r="G864" s="8">
        <f>CHOOSE( CONTROL!$C$32, 35.242, 35.2372) * CHOOSE( CONTROL!$C$15, $D$11, 100%, $F$11)</f>
        <v>35.241999999999997</v>
      </c>
      <c r="H864" s="4">
        <f>CHOOSE( CONTROL!$C$32, 36.1785, 36.1737) * CHOOSE(CONTROL!$C$15, $D$11, 100%, $F$11)</f>
        <v>36.1785</v>
      </c>
      <c r="I864" s="8">
        <f>CHOOSE( CONTROL!$C$32, 34.754, 34.7493) * CHOOSE(CONTROL!$C$15, $D$11, 100%, $F$11)</f>
        <v>34.753999999999998</v>
      </c>
      <c r="J864" s="4">
        <f>CHOOSE( CONTROL!$C$32, 34.6395, 34.6348) * CHOOSE(CONTROL!$C$15, $D$11, 100%, $F$11)</f>
        <v>34.639499999999998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35.1146, 35.1097) * CHOOSE(CONTROL!$C$15, $D$11, 100%, $F$11)</f>
        <v>35.114600000000003</v>
      </c>
      <c r="C865" s="8">
        <f>CHOOSE( CONTROL!$C$32, 35.1226, 35.1177) * CHOOSE(CONTROL!$C$15, $D$11, 100%, $F$11)</f>
        <v>35.122599999999998</v>
      </c>
      <c r="D865" s="8">
        <f>CHOOSE( CONTROL!$C$32, 35.1324, 35.1275) * CHOOSE( CONTROL!$C$15, $D$11, 100%, $F$11)</f>
        <v>35.132399999999997</v>
      </c>
      <c r="E865" s="12">
        <f>CHOOSE( CONTROL!$C$32, 35.1276, 35.1227) * CHOOSE( CONTROL!$C$15, $D$11, 100%, $F$11)</f>
        <v>35.127600000000001</v>
      </c>
      <c r="F865" s="4">
        <f>CHOOSE( CONTROL!$C$32, 35.8054, 35.8006) * CHOOSE(CONTROL!$C$15, $D$11, 100%, $F$11)</f>
        <v>35.805399999999999</v>
      </c>
      <c r="G865" s="8">
        <f>CHOOSE( CONTROL!$C$32, 34.5039, 34.4991) * CHOOSE( CONTROL!$C$15, $D$11, 100%, $F$11)</f>
        <v>34.503900000000002</v>
      </c>
      <c r="H865" s="4">
        <f>CHOOSE( CONTROL!$C$32, 35.4405, 35.4357) * CHOOSE(CONTROL!$C$15, $D$11, 100%, $F$11)</f>
        <v>35.4405</v>
      </c>
      <c r="I865" s="8">
        <f>CHOOSE( CONTROL!$C$32, 34.028, 34.0232) * CHOOSE(CONTROL!$C$15, $D$11, 100%, $F$11)</f>
        <v>34.027999999999999</v>
      </c>
      <c r="J865" s="4">
        <f>CHOOSE( CONTROL!$C$32, 33.914, 33.9093) * CHOOSE(CONTROL!$C$15, $D$11, 100%, $F$11)</f>
        <v>33.914000000000001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36.6662 * CHOOSE(CONTROL!$C$15, $D$11, 100%, $F$11)</f>
        <v>36.666200000000003</v>
      </c>
      <c r="C866" s="8">
        <f>36.6716 * CHOOSE(CONTROL!$C$15, $D$11, 100%, $F$11)</f>
        <v>36.671599999999998</v>
      </c>
      <c r="D866" s="8">
        <f>36.6861 * CHOOSE( CONTROL!$C$15, $D$11, 100%, $F$11)</f>
        <v>36.686100000000003</v>
      </c>
      <c r="E866" s="12">
        <f>36.6807 * CHOOSE( CONTROL!$C$15, $D$11, 100%, $F$11)</f>
        <v>36.680700000000002</v>
      </c>
      <c r="F866" s="4">
        <f>37.3588 * CHOOSE(CONTROL!$C$15, $D$11, 100%, $F$11)</f>
        <v>37.358800000000002</v>
      </c>
      <c r="G866" s="8">
        <f>36.0308 * CHOOSE( CONTROL!$C$15, $D$11, 100%, $F$11)</f>
        <v>36.030799999999999</v>
      </c>
      <c r="H866" s="4">
        <f>36.9681 * CHOOSE(CONTROL!$C$15, $D$11, 100%, $F$11)</f>
        <v>36.9681</v>
      </c>
      <c r="I866" s="8">
        <f>35.5312 * CHOOSE(CONTROL!$C$15, $D$11, 100%, $F$11)</f>
        <v>35.531199999999998</v>
      </c>
      <c r="J866" s="4">
        <f>35.4157 * CHOOSE(CONTROL!$C$15, $D$11, 100%, $F$11)</f>
        <v>35.415700000000001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39.5421 * CHOOSE(CONTROL!$C$15, $D$11, 100%, $F$11)</f>
        <v>39.542099999999998</v>
      </c>
      <c r="C867" s="8">
        <f>39.5472 * CHOOSE(CONTROL!$C$15, $D$11, 100%, $F$11)</f>
        <v>39.547199999999997</v>
      </c>
      <c r="D867" s="8">
        <f>39.5241 * CHOOSE( CONTROL!$C$15, $D$11, 100%, $F$11)</f>
        <v>39.524099999999997</v>
      </c>
      <c r="E867" s="12">
        <f>39.532 * CHOOSE( CONTROL!$C$15, $D$11, 100%, $F$11)</f>
        <v>39.531999999999996</v>
      </c>
      <c r="F867" s="4">
        <f>40.1869 * CHOOSE(CONTROL!$C$15, $D$11, 100%, $F$11)</f>
        <v>40.186900000000001</v>
      </c>
      <c r="G867" s="8">
        <f>38.8673 * CHOOSE( CONTROL!$C$15, $D$11, 100%, $F$11)</f>
        <v>38.8673</v>
      </c>
      <c r="H867" s="4">
        <f>39.7493 * CHOOSE(CONTROL!$C$15, $D$11, 100%, $F$11)</f>
        <v>39.749299999999998</v>
      </c>
      <c r="I867" s="8">
        <f>38.3377 * CHOOSE(CONTROL!$C$15, $D$11, 100%, $F$11)</f>
        <v>38.337699999999998</v>
      </c>
      <c r="J867" s="4">
        <f>38.1961 * CHOOSE(CONTROL!$C$15, $D$11, 100%, $F$11)</f>
        <v>38.196100000000001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39.4702 * CHOOSE(CONTROL!$C$15, $D$11, 100%, $F$11)</f>
        <v>39.470199999999998</v>
      </c>
      <c r="C868" s="8">
        <f>39.4753 * CHOOSE(CONTROL!$C$15, $D$11, 100%, $F$11)</f>
        <v>39.475299999999997</v>
      </c>
      <c r="D868" s="8">
        <f>39.4538 * CHOOSE( CONTROL!$C$15, $D$11, 100%, $F$11)</f>
        <v>39.453800000000001</v>
      </c>
      <c r="E868" s="12">
        <f>39.4611 * CHOOSE( CONTROL!$C$15, $D$11, 100%, $F$11)</f>
        <v>39.461100000000002</v>
      </c>
      <c r="F868" s="4">
        <f>40.1151 * CHOOSE(CONTROL!$C$15, $D$11, 100%, $F$11)</f>
        <v>40.115099999999998</v>
      </c>
      <c r="G868" s="8">
        <f>38.7978 * CHOOSE( CONTROL!$C$15, $D$11, 100%, $F$11)</f>
        <v>38.797800000000002</v>
      </c>
      <c r="H868" s="4">
        <f>39.6787 * CHOOSE(CONTROL!$C$15, $D$11, 100%, $F$11)</f>
        <v>39.678699999999999</v>
      </c>
      <c r="I868" s="8">
        <f>38.2732 * CHOOSE(CONTROL!$C$15, $D$11, 100%, $F$11)</f>
        <v>38.273200000000003</v>
      </c>
      <c r="J868" s="4">
        <f>38.1267 * CHOOSE(CONTROL!$C$15, $D$11, 100%, $F$11)</f>
        <v>38.1267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40.9776 * CHOOSE(CONTROL!$C$15, $D$11, 100%, $F$11)</f>
        <v>40.977600000000002</v>
      </c>
      <c r="C869" s="8">
        <f>40.9827 * CHOOSE(CONTROL!$C$15, $D$11, 100%, $F$11)</f>
        <v>40.982700000000001</v>
      </c>
      <c r="D869" s="8">
        <f>40.9573 * CHOOSE( CONTROL!$C$15, $D$11, 100%, $F$11)</f>
        <v>40.957299999999996</v>
      </c>
      <c r="E869" s="12">
        <f>40.966 * CHOOSE( CONTROL!$C$15, $D$11, 100%, $F$11)</f>
        <v>40.966000000000001</v>
      </c>
      <c r="F869" s="4">
        <f>41.6199 * CHOOSE(CONTROL!$C$15, $D$11, 100%, $F$11)</f>
        <v>41.619900000000001</v>
      </c>
      <c r="G869" s="8">
        <f>40.2748 * CHOOSE( CONTROL!$C$15, $D$11, 100%, $F$11)</f>
        <v>40.274799999999999</v>
      </c>
      <c r="H869" s="4">
        <f>41.1585 * CHOOSE(CONTROL!$C$15, $D$11, 100%, $F$11)</f>
        <v>41.158499999999997</v>
      </c>
      <c r="I869" s="8">
        <f>39.7114 * CHOOSE(CONTROL!$C$15, $D$11, 100%, $F$11)</f>
        <v>39.711399999999998</v>
      </c>
      <c r="J869" s="4">
        <f>39.5838 * CHOOSE(CONTROL!$C$15, $D$11, 100%, $F$11)</f>
        <v>39.583799999999997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38.3304 * CHOOSE(CONTROL!$C$15, $D$11, 100%, $F$11)</f>
        <v>38.330399999999997</v>
      </c>
      <c r="C870" s="8">
        <f>38.3355 * CHOOSE(CONTROL!$C$15, $D$11, 100%, $F$11)</f>
        <v>38.335500000000003</v>
      </c>
      <c r="D870" s="8">
        <f>38.3102 * CHOOSE( CONTROL!$C$15, $D$11, 100%, $F$11)</f>
        <v>38.310200000000002</v>
      </c>
      <c r="E870" s="12">
        <f>38.3189 * CHOOSE( CONTROL!$C$15, $D$11, 100%, $F$11)</f>
        <v>38.318899999999999</v>
      </c>
      <c r="F870" s="4">
        <f>38.9727 * CHOOSE(CONTROL!$C$15, $D$11, 100%, $F$11)</f>
        <v>38.972700000000003</v>
      </c>
      <c r="G870" s="8">
        <f>37.6716 * CHOOSE( CONTROL!$C$15, $D$11, 100%, $F$11)</f>
        <v>37.671599999999998</v>
      </c>
      <c r="H870" s="4">
        <f>38.5552 * CHOOSE(CONTROL!$C$15, $D$11, 100%, $F$11)</f>
        <v>38.555199999999999</v>
      </c>
      <c r="I870" s="8">
        <f>37.1513 * CHOOSE(CONTROL!$C$15, $D$11, 100%, $F$11)</f>
        <v>37.151299999999999</v>
      </c>
      <c r="J870" s="4">
        <f>37.0248 * CHOOSE(CONTROL!$C$15, $D$11, 100%, $F$11)</f>
        <v>37.024799999999999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37.5151 * CHOOSE(CONTROL!$C$15, $D$11, 100%, $F$11)</f>
        <v>37.515099999999997</v>
      </c>
      <c r="C871" s="8">
        <f>37.5202 * CHOOSE(CONTROL!$C$15, $D$11, 100%, $F$11)</f>
        <v>37.520200000000003</v>
      </c>
      <c r="D871" s="8">
        <f>37.4946 * CHOOSE( CONTROL!$C$15, $D$11, 100%, $F$11)</f>
        <v>37.494599999999998</v>
      </c>
      <c r="E871" s="12">
        <f>37.5034 * CHOOSE( CONTROL!$C$15, $D$11, 100%, $F$11)</f>
        <v>37.503399999999999</v>
      </c>
      <c r="F871" s="4">
        <f>38.1574 * CHOOSE(CONTROL!$C$15, $D$11, 100%, $F$11)</f>
        <v>38.157400000000003</v>
      </c>
      <c r="G871" s="8">
        <f>36.8696 * CHOOSE( CONTROL!$C$15, $D$11, 100%, $F$11)</f>
        <v>36.869599999999998</v>
      </c>
      <c r="H871" s="4">
        <f>37.7534 * CHOOSE(CONTROL!$C$15, $D$11, 100%, $F$11)</f>
        <v>37.753399999999999</v>
      </c>
      <c r="I871" s="8">
        <f>36.3619 * CHOOSE(CONTROL!$C$15, $D$11, 100%, $F$11)</f>
        <v>36.361899999999999</v>
      </c>
      <c r="J871" s="4">
        <f>36.2366 * CHOOSE(CONTROL!$C$15, $D$11, 100%, $F$11)</f>
        <v>36.236600000000003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38.0856 * CHOOSE(CONTROL!$C$15, $D$11, 100%, $F$11)</f>
        <v>38.085599999999999</v>
      </c>
      <c r="C872" s="8">
        <f>38.0901 * CHOOSE(CONTROL!$C$15, $D$11, 100%, $F$11)</f>
        <v>38.0901</v>
      </c>
      <c r="D872" s="8">
        <f>38.1044 * CHOOSE( CONTROL!$C$15, $D$11, 100%, $F$11)</f>
        <v>38.104399999999998</v>
      </c>
      <c r="E872" s="12">
        <f>38.0992 * CHOOSE( CONTROL!$C$15, $D$11, 100%, $F$11)</f>
        <v>38.099200000000003</v>
      </c>
      <c r="F872" s="4">
        <f>38.7778 * CHOOSE(CONTROL!$C$15, $D$11, 100%, $F$11)</f>
        <v>38.777799999999999</v>
      </c>
      <c r="G872" s="8">
        <f>37.4251 * CHOOSE( CONTROL!$C$15, $D$11, 100%, $F$11)</f>
        <v>37.4251</v>
      </c>
      <c r="H872" s="4">
        <f>38.3635 * CHOOSE(CONTROL!$C$15, $D$11, 100%, $F$11)</f>
        <v>38.363500000000002</v>
      </c>
      <c r="I872" s="8">
        <f>36.9001 * CHOOSE(CONTROL!$C$15, $D$11, 100%, $F$11)</f>
        <v>36.900100000000002</v>
      </c>
      <c r="J872" s="4">
        <f>36.7874 * CHOOSE(CONTROL!$C$15, $D$11, 100%, $F$11)</f>
        <v>36.787399999999998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39.1058, 39.1009) * CHOOSE(CONTROL!$C$15, $D$11, 100%, $F$11)</f>
        <v>39.105800000000002</v>
      </c>
      <c r="C873" s="8">
        <f>CHOOSE( CONTROL!$C$32, 39.1138, 39.1089) * CHOOSE(CONTROL!$C$15, $D$11, 100%, $F$11)</f>
        <v>39.113799999999998</v>
      </c>
      <c r="D873" s="8">
        <f>CHOOSE( CONTROL!$C$32, 39.1231, 39.1182) * CHOOSE( CONTROL!$C$15, $D$11, 100%, $F$11)</f>
        <v>39.123100000000001</v>
      </c>
      <c r="E873" s="12">
        <f>CHOOSE( CONTROL!$C$32, 39.1185, 39.1136) * CHOOSE( CONTROL!$C$15, $D$11, 100%, $F$11)</f>
        <v>39.118499999999997</v>
      </c>
      <c r="F873" s="4">
        <f>CHOOSE( CONTROL!$C$32, 39.7967, 39.7918) * CHOOSE(CONTROL!$C$15, $D$11, 100%, $F$11)</f>
        <v>39.796700000000001</v>
      </c>
      <c r="G873" s="8">
        <f>CHOOSE( CONTROL!$C$32, 38.4282, 38.4234) * CHOOSE( CONTROL!$C$15, $D$11, 100%, $F$11)</f>
        <v>38.428199999999997</v>
      </c>
      <c r="H873" s="4">
        <f>CHOOSE( CONTROL!$C$32, 39.3655, 39.3607) * CHOOSE(CONTROL!$C$15, $D$11, 100%, $F$11)</f>
        <v>39.365499999999997</v>
      </c>
      <c r="I873" s="8">
        <f>CHOOSE( CONTROL!$C$32, 37.8859, 37.8812) * CHOOSE(CONTROL!$C$15, $D$11, 100%, $F$11)</f>
        <v>37.885899999999999</v>
      </c>
      <c r="J873" s="4">
        <f>CHOOSE( CONTROL!$C$32, 37.7723, 37.7676) * CHOOSE(CONTROL!$C$15, $D$11, 100%, $F$11)</f>
        <v>37.772300000000001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38.4777, 38.4728) * CHOOSE(CONTROL!$C$15, $D$11, 100%, $F$11)</f>
        <v>38.477699999999999</v>
      </c>
      <c r="C874" s="8">
        <f>CHOOSE( CONTROL!$C$32, 38.4857, 38.4808) * CHOOSE(CONTROL!$C$15, $D$11, 100%, $F$11)</f>
        <v>38.485700000000001</v>
      </c>
      <c r="D874" s="8">
        <f>CHOOSE( CONTROL!$C$32, 38.4952, 38.4903) * CHOOSE( CONTROL!$C$15, $D$11, 100%, $F$11)</f>
        <v>38.495199999999997</v>
      </c>
      <c r="E874" s="12">
        <f>CHOOSE( CONTROL!$C$32, 38.4905, 38.4856) * CHOOSE( CONTROL!$C$15, $D$11, 100%, $F$11)</f>
        <v>38.490499999999997</v>
      </c>
      <c r="F874" s="4">
        <f>CHOOSE( CONTROL!$C$32, 39.1685, 39.1636) * CHOOSE(CONTROL!$C$15, $D$11, 100%, $F$11)</f>
        <v>39.168500000000002</v>
      </c>
      <c r="G874" s="8">
        <f>CHOOSE( CONTROL!$C$32, 37.8108, 37.806) * CHOOSE( CONTROL!$C$15, $D$11, 100%, $F$11)</f>
        <v>37.8108</v>
      </c>
      <c r="H874" s="4">
        <f>CHOOSE( CONTROL!$C$32, 38.7478, 38.743) * CHOOSE(CONTROL!$C$15, $D$11, 100%, $F$11)</f>
        <v>38.747799999999998</v>
      </c>
      <c r="I874" s="8">
        <f>CHOOSE( CONTROL!$C$32, 37.2795, 37.2747) * CHOOSE(CONTROL!$C$15, $D$11, 100%, $F$11)</f>
        <v>37.279499999999999</v>
      </c>
      <c r="J874" s="4">
        <f>CHOOSE( CONTROL!$C$32, 37.1651, 37.1604) * CHOOSE(CONTROL!$C$15, $D$11, 100%, $F$11)</f>
        <v>37.165100000000002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40.1318, 40.1269) * CHOOSE(CONTROL!$C$15, $D$11, 100%, $F$11)</f>
        <v>40.131799999999998</v>
      </c>
      <c r="C875" s="8">
        <f>CHOOSE( CONTROL!$C$32, 40.1398, 40.1349) * CHOOSE(CONTROL!$C$15, $D$11, 100%, $F$11)</f>
        <v>40.139800000000001</v>
      </c>
      <c r="D875" s="8">
        <f>CHOOSE( CONTROL!$C$32, 40.1495, 40.1446) * CHOOSE( CONTROL!$C$15, $D$11, 100%, $F$11)</f>
        <v>40.149500000000003</v>
      </c>
      <c r="E875" s="12">
        <f>CHOOSE( CONTROL!$C$32, 40.1448, 40.1399) * CHOOSE( CONTROL!$C$15, $D$11, 100%, $F$11)</f>
        <v>40.144799999999996</v>
      </c>
      <c r="F875" s="4">
        <f>CHOOSE( CONTROL!$C$32, 40.8226, 40.8177) * CHOOSE(CONTROL!$C$15, $D$11, 100%, $F$11)</f>
        <v>40.822600000000001</v>
      </c>
      <c r="G875" s="8">
        <f>CHOOSE( CONTROL!$C$32, 39.4379, 39.433) * CHOOSE( CONTROL!$C$15, $D$11, 100%, $F$11)</f>
        <v>39.437899999999999</v>
      </c>
      <c r="H875" s="4">
        <f>CHOOSE( CONTROL!$C$32, 40.3745, 40.3697) * CHOOSE(CONTROL!$C$15, $D$11, 100%, $F$11)</f>
        <v>40.374499999999998</v>
      </c>
      <c r="I875" s="8">
        <f>CHOOSE( CONTROL!$C$32, 38.8804, 38.8756) * CHOOSE(CONTROL!$C$15, $D$11, 100%, $F$11)</f>
        <v>38.880400000000002</v>
      </c>
      <c r="J875" s="4">
        <f>CHOOSE( CONTROL!$C$32, 38.7642, 38.7594) * CHOOSE(CONTROL!$C$15, $D$11, 100%, $F$11)</f>
        <v>38.764200000000002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37.0368, 37.0319) * CHOOSE(CONTROL!$C$15, $D$11, 100%, $F$11)</f>
        <v>37.036799999999999</v>
      </c>
      <c r="C876" s="8">
        <f>CHOOSE( CONTROL!$C$32, 37.0448, 37.0399) * CHOOSE(CONTROL!$C$15, $D$11, 100%, $F$11)</f>
        <v>37.044800000000002</v>
      </c>
      <c r="D876" s="8">
        <f>CHOOSE( CONTROL!$C$32, 37.0546, 37.0497) * CHOOSE( CONTROL!$C$15, $D$11, 100%, $F$11)</f>
        <v>37.054600000000001</v>
      </c>
      <c r="E876" s="12">
        <f>CHOOSE( CONTROL!$C$32, 37.0498, 37.0449) * CHOOSE( CONTROL!$C$15, $D$11, 100%, $F$11)</f>
        <v>37.049799999999998</v>
      </c>
      <c r="F876" s="4">
        <f>CHOOSE( CONTROL!$C$32, 37.7276, 37.7227) * CHOOSE(CONTROL!$C$15, $D$11, 100%, $F$11)</f>
        <v>37.727600000000002</v>
      </c>
      <c r="G876" s="8">
        <f>CHOOSE( CONTROL!$C$32, 36.3943, 36.3895) * CHOOSE( CONTROL!$C$15, $D$11, 100%, $F$11)</f>
        <v>36.394300000000001</v>
      </c>
      <c r="H876" s="4">
        <f>CHOOSE( CONTROL!$C$32, 37.3308, 37.326) * CHOOSE(CONTROL!$C$15, $D$11, 100%, $F$11)</f>
        <v>37.330800000000004</v>
      </c>
      <c r="I876" s="8">
        <f>CHOOSE( CONTROL!$C$32, 35.8873, 35.8825) * CHOOSE(CONTROL!$C$15, $D$11, 100%, $F$11)</f>
        <v>35.887300000000003</v>
      </c>
      <c r="J876" s="4">
        <f>CHOOSE( CONTROL!$C$32, 35.7722, 35.7675) * CHOOSE(CONTROL!$C$15, $D$11, 100%, $F$11)</f>
        <v>35.772199999999998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36.2617, 36.2569) * CHOOSE(CONTROL!$C$15, $D$11, 100%, $F$11)</f>
        <v>36.261699999999998</v>
      </c>
      <c r="C877" s="8">
        <f>CHOOSE( CONTROL!$C$32, 36.2698, 36.2649) * CHOOSE(CONTROL!$C$15, $D$11, 100%, $F$11)</f>
        <v>36.269799999999996</v>
      </c>
      <c r="D877" s="8">
        <f>CHOOSE( CONTROL!$C$32, 36.2795, 36.2746) * CHOOSE( CONTROL!$C$15, $D$11, 100%, $F$11)</f>
        <v>36.279499999999999</v>
      </c>
      <c r="E877" s="12">
        <f>CHOOSE( CONTROL!$C$32, 36.2748, 36.2699) * CHOOSE( CONTROL!$C$15, $D$11, 100%, $F$11)</f>
        <v>36.274799999999999</v>
      </c>
      <c r="F877" s="4">
        <f>CHOOSE( CONTROL!$C$32, 36.9526, 36.9477) * CHOOSE(CONTROL!$C$15, $D$11, 100%, $F$11)</f>
        <v>36.952599999999997</v>
      </c>
      <c r="G877" s="8">
        <f>CHOOSE( CONTROL!$C$32, 35.632, 35.6272) * CHOOSE( CONTROL!$C$15, $D$11, 100%, $F$11)</f>
        <v>35.631999999999998</v>
      </c>
      <c r="H877" s="4">
        <f>CHOOSE( CONTROL!$C$32, 36.5686, 36.5638) * CHOOSE(CONTROL!$C$15, $D$11, 100%, $F$11)</f>
        <v>36.568600000000004</v>
      </c>
      <c r="I877" s="8">
        <f>CHOOSE( CONTROL!$C$32, 35.1375, 35.1328) * CHOOSE(CONTROL!$C$15, $D$11, 100%, $F$11)</f>
        <v>35.137500000000003</v>
      </c>
      <c r="J877" s="4">
        <f>CHOOSE( CONTROL!$C$32, 35.023, 35.0183) * CHOOSE(CONTROL!$C$15, $D$11, 100%, $F$11)</f>
        <v>35.023000000000003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37.8644 * CHOOSE(CONTROL!$C$15, $D$11, 100%, $F$11)</f>
        <v>37.864400000000003</v>
      </c>
      <c r="C878" s="8">
        <f>37.8697 * CHOOSE(CONTROL!$C$15, $D$11, 100%, $F$11)</f>
        <v>37.869700000000002</v>
      </c>
      <c r="D878" s="8">
        <f>37.8843 * CHOOSE( CONTROL!$C$15, $D$11, 100%, $F$11)</f>
        <v>37.884300000000003</v>
      </c>
      <c r="E878" s="12">
        <f>37.8789 * CHOOSE( CONTROL!$C$15, $D$11, 100%, $F$11)</f>
        <v>37.878900000000002</v>
      </c>
      <c r="F878" s="4">
        <f>38.5569 * CHOOSE(CONTROL!$C$15, $D$11, 100%, $F$11)</f>
        <v>38.556899999999999</v>
      </c>
      <c r="G878" s="8">
        <f>37.209 * CHOOSE( CONTROL!$C$15, $D$11, 100%, $F$11)</f>
        <v>37.209000000000003</v>
      </c>
      <c r="H878" s="4">
        <f>38.1463 * CHOOSE(CONTROL!$C$15, $D$11, 100%, $F$11)</f>
        <v>38.146299999999997</v>
      </c>
      <c r="I878" s="8">
        <f>36.69 * CHOOSE(CONTROL!$C$15, $D$11, 100%, $F$11)</f>
        <v>36.69</v>
      </c>
      <c r="J878" s="4">
        <f>36.5739 * CHOOSE(CONTROL!$C$15, $D$11, 100%, $F$11)</f>
        <v>36.573900000000002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40.8342 * CHOOSE(CONTROL!$C$15, $D$11, 100%, $F$11)</f>
        <v>40.834200000000003</v>
      </c>
      <c r="C879" s="8">
        <f>40.8394 * CHOOSE(CONTROL!$C$15, $D$11, 100%, $F$11)</f>
        <v>40.839399999999998</v>
      </c>
      <c r="D879" s="8">
        <f>40.8163 * CHOOSE( CONTROL!$C$15, $D$11, 100%, $F$11)</f>
        <v>40.816299999999998</v>
      </c>
      <c r="E879" s="12">
        <f>40.8242 * CHOOSE( CONTROL!$C$15, $D$11, 100%, $F$11)</f>
        <v>40.824199999999998</v>
      </c>
      <c r="F879" s="4">
        <f>41.4791 * CHOOSE(CONTROL!$C$15, $D$11, 100%, $F$11)</f>
        <v>41.479100000000003</v>
      </c>
      <c r="G879" s="8">
        <f>40.1381 * CHOOSE( CONTROL!$C$15, $D$11, 100%, $F$11)</f>
        <v>40.138100000000001</v>
      </c>
      <c r="H879" s="4">
        <f>41.0201 * CHOOSE(CONTROL!$C$15, $D$11, 100%, $F$11)</f>
        <v>41.020099999999999</v>
      </c>
      <c r="I879" s="8">
        <f>39.5875 * CHOOSE(CONTROL!$C$15, $D$11, 100%, $F$11)</f>
        <v>39.587499999999999</v>
      </c>
      <c r="J879" s="4">
        <f>39.4453 * CHOOSE(CONTROL!$C$15, $D$11, 100%, $F$11)</f>
        <v>39.445300000000003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40.76 * CHOOSE(CONTROL!$C$15, $D$11, 100%, $F$11)</f>
        <v>40.76</v>
      </c>
      <c r="C880" s="8">
        <f>40.7651 * CHOOSE(CONTROL!$C$15, $D$11, 100%, $F$11)</f>
        <v>40.765099999999997</v>
      </c>
      <c r="D880" s="8">
        <f>40.7437 * CHOOSE( CONTROL!$C$15, $D$11, 100%, $F$11)</f>
        <v>40.743699999999997</v>
      </c>
      <c r="E880" s="12">
        <f>40.751 * CHOOSE( CONTROL!$C$15, $D$11, 100%, $F$11)</f>
        <v>40.750999999999998</v>
      </c>
      <c r="F880" s="4">
        <f>41.4049 * CHOOSE(CONTROL!$C$15, $D$11, 100%, $F$11)</f>
        <v>41.404899999999998</v>
      </c>
      <c r="G880" s="8">
        <f>40.0662 * CHOOSE( CONTROL!$C$15, $D$11, 100%, $F$11)</f>
        <v>40.066200000000002</v>
      </c>
      <c r="H880" s="4">
        <f>40.9471 * CHOOSE(CONTROL!$C$15, $D$11, 100%, $F$11)</f>
        <v>40.947099999999999</v>
      </c>
      <c r="I880" s="8">
        <f>39.5207 * CHOOSE(CONTROL!$C$15, $D$11, 100%, $F$11)</f>
        <v>39.520699999999998</v>
      </c>
      <c r="J880" s="4">
        <f>39.3735 * CHOOSE(CONTROL!$C$15, $D$11, 100%, $F$11)</f>
        <v>39.3735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42.3167 * CHOOSE(CONTROL!$C$15, $D$11, 100%, $F$11)</f>
        <v>42.316699999999997</v>
      </c>
      <c r="C881" s="8">
        <f>42.3218 * CHOOSE(CONTROL!$C$15, $D$11, 100%, $F$11)</f>
        <v>42.321800000000003</v>
      </c>
      <c r="D881" s="8">
        <f>42.2964 * CHOOSE( CONTROL!$C$15, $D$11, 100%, $F$11)</f>
        <v>42.296399999999998</v>
      </c>
      <c r="E881" s="12">
        <f>42.3051 * CHOOSE( CONTROL!$C$15, $D$11, 100%, $F$11)</f>
        <v>42.305100000000003</v>
      </c>
      <c r="F881" s="4">
        <f>42.959 * CHOOSE(CONTROL!$C$15, $D$11, 100%, $F$11)</f>
        <v>42.959000000000003</v>
      </c>
      <c r="G881" s="8">
        <f>41.5918 * CHOOSE( CONTROL!$C$15, $D$11, 100%, $F$11)</f>
        <v>41.591799999999999</v>
      </c>
      <c r="H881" s="4">
        <f>42.4754 * CHOOSE(CONTROL!$C$15, $D$11, 100%, $F$11)</f>
        <v>42.4754</v>
      </c>
      <c r="I881" s="8">
        <f>41.0065 * CHOOSE(CONTROL!$C$15, $D$11, 100%, $F$11)</f>
        <v>41.006500000000003</v>
      </c>
      <c r="J881" s="4">
        <f>40.8784 * CHOOSE(CONTROL!$C$15, $D$11, 100%, $F$11)</f>
        <v>40.878399999999999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39.5829 * CHOOSE(CONTROL!$C$15, $D$11, 100%, $F$11)</f>
        <v>39.582900000000002</v>
      </c>
      <c r="C882" s="8">
        <f>39.5881 * CHOOSE(CONTROL!$C$15, $D$11, 100%, $F$11)</f>
        <v>39.588099999999997</v>
      </c>
      <c r="D882" s="8">
        <f>39.5627 * CHOOSE( CONTROL!$C$15, $D$11, 100%, $F$11)</f>
        <v>39.5627</v>
      </c>
      <c r="E882" s="12">
        <f>39.5714 * CHOOSE( CONTROL!$C$15, $D$11, 100%, $F$11)</f>
        <v>39.571399999999997</v>
      </c>
      <c r="F882" s="4">
        <f>40.2252 * CHOOSE(CONTROL!$C$15, $D$11, 100%, $F$11)</f>
        <v>40.225200000000001</v>
      </c>
      <c r="G882" s="8">
        <f>38.9034 * CHOOSE( CONTROL!$C$15, $D$11, 100%, $F$11)</f>
        <v>38.903399999999998</v>
      </c>
      <c r="H882" s="4">
        <f>39.787 * CHOOSE(CONTROL!$C$15, $D$11, 100%, $F$11)</f>
        <v>39.786999999999999</v>
      </c>
      <c r="I882" s="8">
        <f>38.3628 * CHOOSE(CONTROL!$C$15, $D$11, 100%, $F$11)</f>
        <v>38.3628</v>
      </c>
      <c r="J882" s="4">
        <f>38.2357 * CHOOSE(CONTROL!$C$15, $D$11, 100%, $F$11)</f>
        <v>38.235700000000001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38.741 * CHOOSE(CONTROL!$C$15, $D$11, 100%, $F$11)</f>
        <v>38.741</v>
      </c>
      <c r="C883" s="8">
        <f>38.7461 * CHOOSE(CONTROL!$C$15, $D$11, 100%, $F$11)</f>
        <v>38.746099999999998</v>
      </c>
      <c r="D883" s="8">
        <f>38.7205 * CHOOSE( CONTROL!$C$15, $D$11, 100%, $F$11)</f>
        <v>38.720500000000001</v>
      </c>
      <c r="E883" s="12">
        <f>38.7293 * CHOOSE( CONTROL!$C$15, $D$11, 100%, $F$11)</f>
        <v>38.729300000000002</v>
      </c>
      <c r="F883" s="4">
        <f>39.3833 * CHOOSE(CONTROL!$C$15, $D$11, 100%, $F$11)</f>
        <v>39.383299999999998</v>
      </c>
      <c r="G883" s="8">
        <f>38.0752 * CHOOSE( CONTROL!$C$15, $D$11, 100%, $F$11)</f>
        <v>38.075200000000002</v>
      </c>
      <c r="H883" s="4">
        <f>38.959 * CHOOSE(CONTROL!$C$15, $D$11, 100%, $F$11)</f>
        <v>38.959000000000003</v>
      </c>
      <c r="I883" s="8">
        <f>37.5476 * CHOOSE(CONTROL!$C$15, $D$11, 100%, $F$11)</f>
        <v>37.547600000000003</v>
      </c>
      <c r="J883" s="4">
        <f>37.4217 * CHOOSE(CONTROL!$C$15, $D$11, 100%, $F$11)</f>
        <v>37.421700000000001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39.3301 * CHOOSE(CONTROL!$C$15, $D$11, 100%, $F$11)</f>
        <v>39.330100000000002</v>
      </c>
      <c r="C884" s="8">
        <f>39.3346 * CHOOSE(CONTROL!$C$15, $D$11, 100%, $F$11)</f>
        <v>39.334600000000002</v>
      </c>
      <c r="D884" s="8">
        <f>39.349 * CHOOSE( CONTROL!$C$15, $D$11, 100%, $F$11)</f>
        <v>39.348999999999997</v>
      </c>
      <c r="E884" s="12">
        <f>39.3437 * CHOOSE( CONTROL!$C$15, $D$11, 100%, $F$11)</f>
        <v>39.343699999999998</v>
      </c>
      <c r="F884" s="4">
        <f>40.0223 * CHOOSE(CONTROL!$C$15, $D$11, 100%, $F$11)</f>
        <v>40.022300000000001</v>
      </c>
      <c r="G884" s="8">
        <f>38.649 * CHOOSE( CONTROL!$C$15, $D$11, 100%, $F$11)</f>
        <v>38.649000000000001</v>
      </c>
      <c r="H884" s="4">
        <f>39.5874 * CHOOSE(CONTROL!$C$15, $D$11, 100%, $F$11)</f>
        <v>39.587400000000002</v>
      </c>
      <c r="I884" s="8">
        <f>38.1038 * CHOOSE(CONTROL!$C$15, $D$11, 100%, $F$11)</f>
        <v>38.1038</v>
      </c>
      <c r="J884" s="4">
        <f>37.9905 * CHOOSE(CONTROL!$C$15, $D$11, 100%, $F$11)</f>
        <v>37.990499999999997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40.3835, 40.3786) * CHOOSE(CONTROL!$C$15, $D$11, 100%, $F$11)</f>
        <v>40.383499999999998</v>
      </c>
      <c r="C885" s="8">
        <f>CHOOSE( CONTROL!$C$32, 40.3915, 40.3866) * CHOOSE(CONTROL!$C$15, $D$11, 100%, $F$11)</f>
        <v>40.391500000000001</v>
      </c>
      <c r="D885" s="8">
        <f>CHOOSE( CONTROL!$C$32, 40.4008, 40.3959) * CHOOSE( CONTROL!$C$15, $D$11, 100%, $F$11)</f>
        <v>40.400799999999997</v>
      </c>
      <c r="E885" s="12">
        <f>CHOOSE( CONTROL!$C$32, 40.3962, 40.3913) * CHOOSE( CONTROL!$C$15, $D$11, 100%, $F$11)</f>
        <v>40.3962</v>
      </c>
      <c r="F885" s="4">
        <f>CHOOSE( CONTROL!$C$32, 41.0744, 41.0695) * CHOOSE(CONTROL!$C$15, $D$11, 100%, $F$11)</f>
        <v>41.074399999999997</v>
      </c>
      <c r="G885" s="8">
        <f>CHOOSE( CONTROL!$C$32, 39.6847, 39.6799) * CHOOSE( CONTROL!$C$15, $D$11, 100%, $F$11)</f>
        <v>39.684699999999999</v>
      </c>
      <c r="H885" s="4">
        <f>CHOOSE( CONTROL!$C$32, 40.622, 40.6172) * CHOOSE(CONTROL!$C$15, $D$11, 100%, $F$11)</f>
        <v>40.622</v>
      </c>
      <c r="I885" s="8">
        <f>CHOOSE( CONTROL!$C$32, 39.1217, 39.117) * CHOOSE(CONTROL!$C$15, $D$11, 100%, $F$11)</f>
        <v>39.121699999999997</v>
      </c>
      <c r="J885" s="4">
        <f>CHOOSE( CONTROL!$C$32, 39.0075, 39.0028) * CHOOSE(CONTROL!$C$15, $D$11, 100%, $F$11)</f>
        <v>39.0075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39.7348, 39.7299) * CHOOSE(CONTROL!$C$15, $D$11, 100%, $F$11)</f>
        <v>39.7348</v>
      </c>
      <c r="C886" s="8">
        <f>CHOOSE( CONTROL!$C$32, 39.7428, 39.7379) * CHOOSE(CONTROL!$C$15, $D$11, 100%, $F$11)</f>
        <v>39.742800000000003</v>
      </c>
      <c r="D886" s="8">
        <f>CHOOSE( CONTROL!$C$32, 39.7524, 39.7475) * CHOOSE( CONTROL!$C$15, $D$11, 100%, $F$11)</f>
        <v>39.752400000000002</v>
      </c>
      <c r="E886" s="12">
        <f>CHOOSE( CONTROL!$C$32, 39.7477, 39.7428) * CHOOSE( CONTROL!$C$15, $D$11, 100%, $F$11)</f>
        <v>39.747700000000002</v>
      </c>
      <c r="F886" s="4">
        <f>CHOOSE( CONTROL!$C$32, 40.4257, 40.4208) * CHOOSE(CONTROL!$C$15, $D$11, 100%, $F$11)</f>
        <v>40.425699999999999</v>
      </c>
      <c r="G886" s="8">
        <f>CHOOSE( CONTROL!$C$32, 39.0471, 39.0423) * CHOOSE( CONTROL!$C$15, $D$11, 100%, $F$11)</f>
        <v>39.0471</v>
      </c>
      <c r="H886" s="4">
        <f>CHOOSE( CONTROL!$C$32, 39.9841, 39.9793) * CHOOSE(CONTROL!$C$15, $D$11, 100%, $F$11)</f>
        <v>39.984099999999998</v>
      </c>
      <c r="I886" s="8">
        <f>CHOOSE( CONTROL!$C$32, 38.4954, 38.4906) * CHOOSE(CONTROL!$C$15, $D$11, 100%, $F$11)</f>
        <v>38.495399999999997</v>
      </c>
      <c r="J886" s="4">
        <f>CHOOSE( CONTROL!$C$32, 38.3804, 38.3757) * CHOOSE(CONTROL!$C$15, $D$11, 100%, $F$11)</f>
        <v>38.380400000000002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41.443, 41.4381) * CHOOSE(CONTROL!$C$15, $D$11, 100%, $F$11)</f>
        <v>41.442999999999998</v>
      </c>
      <c r="C887" s="8">
        <f>CHOOSE( CONTROL!$C$32, 41.451, 41.4461) * CHOOSE(CONTROL!$C$15, $D$11, 100%, $F$11)</f>
        <v>41.451000000000001</v>
      </c>
      <c r="D887" s="8">
        <f>CHOOSE( CONTROL!$C$32, 41.4608, 41.4559) * CHOOSE( CONTROL!$C$15, $D$11, 100%, $F$11)</f>
        <v>41.460799999999999</v>
      </c>
      <c r="E887" s="12">
        <f>CHOOSE( CONTROL!$C$32, 41.456, 41.4511) * CHOOSE( CONTROL!$C$15, $D$11, 100%, $F$11)</f>
        <v>41.456000000000003</v>
      </c>
      <c r="F887" s="4">
        <f>CHOOSE( CONTROL!$C$32, 42.1339, 42.129) * CHOOSE(CONTROL!$C$15, $D$11, 100%, $F$11)</f>
        <v>42.133899999999997</v>
      </c>
      <c r="G887" s="8">
        <f>CHOOSE( CONTROL!$C$32, 40.7274, 40.7225) * CHOOSE( CONTROL!$C$15, $D$11, 100%, $F$11)</f>
        <v>40.727400000000003</v>
      </c>
      <c r="H887" s="4">
        <f>CHOOSE( CONTROL!$C$32, 41.664, 41.6592) * CHOOSE(CONTROL!$C$15, $D$11, 100%, $F$11)</f>
        <v>41.664000000000001</v>
      </c>
      <c r="I887" s="8">
        <f>CHOOSE( CONTROL!$C$32, 40.1486, 40.1438) * CHOOSE(CONTROL!$C$15, $D$11, 100%, $F$11)</f>
        <v>40.148600000000002</v>
      </c>
      <c r="J887" s="4">
        <f>CHOOSE( CONTROL!$C$32, 40.0317, 40.027) * CHOOSE(CONTROL!$C$15, $D$11, 100%, $F$11)</f>
        <v>40.031700000000001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38.2468, 38.2419) * CHOOSE(CONTROL!$C$15, $D$11, 100%, $F$11)</f>
        <v>38.2468</v>
      </c>
      <c r="C888" s="8">
        <f>CHOOSE( CONTROL!$C$32, 38.2548, 38.2499) * CHOOSE(CONTROL!$C$15, $D$11, 100%, $F$11)</f>
        <v>38.254800000000003</v>
      </c>
      <c r="D888" s="8">
        <f>CHOOSE( CONTROL!$C$32, 38.2646, 38.2597) * CHOOSE( CONTROL!$C$15, $D$11, 100%, $F$11)</f>
        <v>38.264600000000002</v>
      </c>
      <c r="E888" s="12">
        <f>CHOOSE( CONTROL!$C$32, 38.2598, 38.2549) * CHOOSE( CONTROL!$C$15, $D$11, 100%, $F$11)</f>
        <v>38.259799999999998</v>
      </c>
      <c r="F888" s="4">
        <f>CHOOSE( CONTROL!$C$32, 38.9377, 38.9328) * CHOOSE(CONTROL!$C$15, $D$11, 100%, $F$11)</f>
        <v>38.9377</v>
      </c>
      <c r="G888" s="8">
        <f>CHOOSE( CONTROL!$C$32, 37.5842, 37.5794) * CHOOSE( CONTROL!$C$15, $D$11, 100%, $F$11)</f>
        <v>37.584200000000003</v>
      </c>
      <c r="H888" s="4">
        <f>CHOOSE( CONTROL!$C$32, 38.5208, 38.5159) * CHOOSE(CONTROL!$C$15, $D$11, 100%, $F$11)</f>
        <v>38.520800000000001</v>
      </c>
      <c r="I888" s="8">
        <f>CHOOSE( CONTROL!$C$32, 37.0576, 37.0528) * CHOOSE(CONTROL!$C$15, $D$11, 100%, $F$11)</f>
        <v>37.057600000000001</v>
      </c>
      <c r="J888" s="4">
        <f>CHOOSE( CONTROL!$C$32, 36.9419, 36.9372) * CHOOSE(CONTROL!$C$15, $D$11, 100%, $F$11)</f>
        <v>36.941899999999997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37.4464, 37.4415) * CHOOSE(CONTROL!$C$15, $D$11, 100%, $F$11)</f>
        <v>37.446399999999997</v>
      </c>
      <c r="C889" s="8">
        <f>CHOOSE( CONTROL!$C$32, 37.4544, 37.4495) * CHOOSE(CONTROL!$C$15, $D$11, 100%, $F$11)</f>
        <v>37.4544</v>
      </c>
      <c r="D889" s="8">
        <f>CHOOSE( CONTROL!$C$32, 37.4642, 37.4593) * CHOOSE( CONTROL!$C$15, $D$11, 100%, $F$11)</f>
        <v>37.464199999999998</v>
      </c>
      <c r="E889" s="12">
        <f>CHOOSE( CONTROL!$C$32, 37.4594, 37.4545) * CHOOSE( CONTROL!$C$15, $D$11, 100%, $F$11)</f>
        <v>37.459400000000002</v>
      </c>
      <c r="F889" s="4">
        <f>CHOOSE( CONTROL!$C$32, 38.1373, 38.1324) * CHOOSE(CONTROL!$C$15, $D$11, 100%, $F$11)</f>
        <v>38.137300000000003</v>
      </c>
      <c r="G889" s="8">
        <f>CHOOSE( CONTROL!$C$32, 36.7971, 36.7923) * CHOOSE( CONTROL!$C$15, $D$11, 100%, $F$11)</f>
        <v>36.7971</v>
      </c>
      <c r="H889" s="4">
        <f>CHOOSE( CONTROL!$C$32, 37.7337, 37.7288) * CHOOSE(CONTROL!$C$15, $D$11, 100%, $F$11)</f>
        <v>37.733699999999999</v>
      </c>
      <c r="I889" s="8">
        <f>CHOOSE( CONTROL!$C$32, 36.2833, 36.2786) * CHOOSE(CONTROL!$C$15, $D$11, 100%, $F$11)</f>
        <v>36.283299999999997</v>
      </c>
      <c r="J889" s="4">
        <f>CHOOSE( CONTROL!$C$32, 36.1682, 36.1635) * CHOOSE(CONTROL!$C$15, $D$11, 100%, $F$11)</f>
        <v>36.168199999999999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39.1017 * CHOOSE(CONTROL!$C$15, $D$11, 100%, $F$11)</f>
        <v>39.101700000000001</v>
      </c>
      <c r="C890" s="8">
        <f>39.107 * CHOOSE(CONTROL!$C$15, $D$11, 100%, $F$11)</f>
        <v>39.106999999999999</v>
      </c>
      <c r="D890" s="8">
        <f>39.1216 * CHOOSE( CONTROL!$C$15, $D$11, 100%, $F$11)</f>
        <v>39.121600000000001</v>
      </c>
      <c r="E890" s="12">
        <f>39.1162 * CHOOSE( CONTROL!$C$15, $D$11, 100%, $F$11)</f>
        <v>39.116199999999999</v>
      </c>
      <c r="F890" s="4">
        <f>39.7942 * CHOOSE(CONTROL!$C$15, $D$11, 100%, $F$11)</f>
        <v>39.794199999999996</v>
      </c>
      <c r="G890" s="8">
        <f>38.4258 * CHOOSE( CONTROL!$C$15, $D$11, 100%, $F$11)</f>
        <v>38.425800000000002</v>
      </c>
      <c r="H890" s="4">
        <f>39.3631 * CHOOSE(CONTROL!$C$15, $D$11, 100%, $F$11)</f>
        <v>39.363100000000003</v>
      </c>
      <c r="I890" s="8">
        <f>37.8867 * CHOOSE(CONTROL!$C$15, $D$11, 100%, $F$11)</f>
        <v>37.886699999999998</v>
      </c>
      <c r="J890" s="4">
        <f>37.77 * CHOOSE(CONTROL!$C$15, $D$11, 100%, $F$11)</f>
        <v>37.770000000000003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42.1687 * CHOOSE(CONTROL!$C$15, $D$11, 100%, $F$11)</f>
        <v>42.168700000000001</v>
      </c>
      <c r="C891" s="8">
        <f>42.1738 * CHOOSE(CONTROL!$C$15, $D$11, 100%, $F$11)</f>
        <v>42.1738</v>
      </c>
      <c r="D891" s="8">
        <f>42.1508 * CHOOSE( CONTROL!$C$15, $D$11, 100%, $F$11)</f>
        <v>42.150799999999997</v>
      </c>
      <c r="E891" s="12">
        <f>42.1587 * CHOOSE( CONTROL!$C$15, $D$11, 100%, $F$11)</f>
        <v>42.158700000000003</v>
      </c>
      <c r="F891" s="4">
        <f>42.8136 * CHOOSE(CONTROL!$C$15, $D$11, 100%, $F$11)</f>
        <v>42.813600000000001</v>
      </c>
      <c r="G891" s="8">
        <f>41.4504 * CHOOSE( CONTROL!$C$15, $D$11, 100%, $F$11)</f>
        <v>41.450400000000002</v>
      </c>
      <c r="H891" s="4">
        <f>42.3324 * CHOOSE(CONTROL!$C$15, $D$11, 100%, $F$11)</f>
        <v>42.3324</v>
      </c>
      <c r="I891" s="8">
        <f>40.8782 * CHOOSE(CONTROL!$C$15, $D$11, 100%, $F$11)</f>
        <v>40.8782</v>
      </c>
      <c r="J891" s="4">
        <f>40.7353 * CHOOSE(CONTROL!$C$15, $D$11, 100%, $F$11)</f>
        <v>40.735300000000002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42.092 * CHOOSE(CONTROL!$C$15, $D$11, 100%, $F$11)</f>
        <v>42.091999999999999</v>
      </c>
      <c r="C892" s="8">
        <f>42.0972 * CHOOSE(CONTROL!$C$15, $D$11, 100%, $F$11)</f>
        <v>42.097200000000001</v>
      </c>
      <c r="D892" s="8">
        <f>42.0757 * CHOOSE( CONTROL!$C$15, $D$11, 100%, $F$11)</f>
        <v>42.075699999999998</v>
      </c>
      <c r="E892" s="12">
        <f>42.083 * CHOOSE( CONTROL!$C$15, $D$11, 100%, $F$11)</f>
        <v>42.082999999999998</v>
      </c>
      <c r="F892" s="4">
        <f>42.7369 * CHOOSE(CONTROL!$C$15, $D$11, 100%, $F$11)</f>
        <v>42.736899999999999</v>
      </c>
      <c r="G892" s="8">
        <f>41.3762 * CHOOSE( CONTROL!$C$15, $D$11, 100%, $F$11)</f>
        <v>41.376199999999997</v>
      </c>
      <c r="H892" s="4">
        <f>42.257 * CHOOSE(CONTROL!$C$15, $D$11, 100%, $F$11)</f>
        <v>42.256999999999998</v>
      </c>
      <c r="I892" s="8">
        <f>40.809 * CHOOSE(CONTROL!$C$15, $D$11, 100%, $F$11)</f>
        <v>40.808999999999997</v>
      </c>
      <c r="J892" s="4">
        <f>40.6612 * CHOOSE(CONTROL!$C$15, $D$11, 100%, $F$11)</f>
        <v>40.661200000000001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43.6996 * CHOOSE(CONTROL!$C$15, $D$11, 100%, $F$11)</f>
        <v>43.699599999999997</v>
      </c>
      <c r="C893" s="8">
        <f>43.7047 * CHOOSE(CONTROL!$C$15, $D$11, 100%, $F$11)</f>
        <v>43.704700000000003</v>
      </c>
      <c r="D893" s="8">
        <f>43.6793 * CHOOSE( CONTROL!$C$15, $D$11, 100%, $F$11)</f>
        <v>43.679299999999998</v>
      </c>
      <c r="E893" s="12">
        <f>43.688 * CHOOSE( CONTROL!$C$15, $D$11, 100%, $F$11)</f>
        <v>43.688000000000002</v>
      </c>
      <c r="F893" s="4">
        <f>44.3419 * CHOOSE(CONTROL!$C$15, $D$11, 100%, $F$11)</f>
        <v>44.341900000000003</v>
      </c>
      <c r="G893" s="8">
        <f>42.9517 * CHOOSE( CONTROL!$C$15, $D$11, 100%, $F$11)</f>
        <v>42.951700000000002</v>
      </c>
      <c r="H893" s="4">
        <f>43.8354 * CHOOSE(CONTROL!$C$15, $D$11, 100%, $F$11)</f>
        <v>43.8354</v>
      </c>
      <c r="I893" s="8">
        <f>42.3441 * CHOOSE(CONTROL!$C$15, $D$11, 100%, $F$11)</f>
        <v>42.344099999999997</v>
      </c>
      <c r="J893" s="4">
        <f>42.2153 * CHOOSE(CONTROL!$C$15, $D$11, 100%, $F$11)</f>
        <v>42.215299999999999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40.8765 * CHOOSE(CONTROL!$C$15, $D$11, 100%, $F$11)</f>
        <v>40.8765</v>
      </c>
      <c r="C894" s="8">
        <f>40.8816 * CHOOSE(CONTROL!$C$15, $D$11, 100%, $F$11)</f>
        <v>40.881599999999999</v>
      </c>
      <c r="D894" s="8">
        <f>40.8563 * CHOOSE( CONTROL!$C$15, $D$11, 100%, $F$11)</f>
        <v>40.856299999999997</v>
      </c>
      <c r="E894" s="12">
        <f>40.865 * CHOOSE( CONTROL!$C$15, $D$11, 100%, $F$11)</f>
        <v>40.865000000000002</v>
      </c>
      <c r="F894" s="4">
        <f>41.5188 * CHOOSE(CONTROL!$C$15, $D$11, 100%, $F$11)</f>
        <v>41.518799999999999</v>
      </c>
      <c r="G894" s="8">
        <f>40.1755 * CHOOSE( CONTROL!$C$15, $D$11, 100%, $F$11)</f>
        <v>40.1755</v>
      </c>
      <c r="H894" s="4">
        <f>41.0591 * CHOOSE(CONTROL!$C$15, $D$11, 100%, $F$11)</f>
        <v>41.059100000000001</v>
      </c>
      <c r="I894" s="8">
        <f>39.6139 * CHOOSE(CONTROL!$C$15, $D$11, 100%, $F$11)</f>
        <v>39.613900000000001</v>
      </c>
      <c r="J894" s="4">
        <f>39.4861 * CHOOSE(CONTROL!$C$15, $D$11, 100%, $F$11)</f>
        <v>39.4861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40.0069 * CHOOSE(CONTROL!$C$15, $D$11, 100%, $F$11)</f>
        <v>40.006900000000002</v>
      </c>
      <c r="C895" s="8">
        <f>40.0121 * CHOOSE(CONTROL!$C$15, $D$11, 100%, $F$11)</f>
        <v>40.012099999999997</v>
      </c>
      <c r="D895" s="8">
        <f>39.9865 * CHOOSE( CONTROL!$C$15, $D$11, 100%, $F$11)</f>
        <v>39.986499999999999</v>
      </c>
      <c r="E895" s="12">
        <f>39.9953 * CHOOSE( CONTROL!$C$15, $D$11, 100%, $F$11)</f>
        <v>39.9953</v>
      </c>
      <c r="F895" s="4">
        <f>40.6492 * CHOOSE(CONTROL!$C$15, $D$11, 100%, $F$11)</f>
        <v>40.6492</v>
      </c>
      <c r="G895" s="8">
        <f>39.3202 * CHOOSE( CONTROL!$C$15, $D$11, 100%, $F$11)</f>
        <v>39.3202</v>
      </c>
      <c r="H895" s="4">
        <f>40.204 * CHOOSE(CONTROL!$C$15, $D$11, 100%, $F$11)</f>
        <v>40.204000000000001</v>
      </c>
      <c r="I895" s="8">
        <f>38.772 * CHOOSE(CONTROL!$C$15, $D$11, 100%, $F$11)</f>
        <v>38.771999999999998</v>
      </c>
      <c r="J895" s="4">
        <f>38.6455 * CHOOSE(CONTROL!$C$15, $D$11, 100%, $F$11)</f>
        <v>38.645499999999998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40.6153 * CHOOSE(CONTROL!$C$15, $D$11, 100%, $F$11)</f>
        <v>40.615299999999998</v>
      </c>
      <c r="C896" s="8">
        <f>40.6199 * CHOOSE(CONTROL!$C$15, $D$11, 100%, $F$11)</f>
        <v>40.619900000000001</v>
      </c>
      <c r="D896" s="8">
        <f>40.6342 * CHOOSE( CONTROL!$C$15, $D$11, 100%, $F$11)</f>
        <v>40.6342</v>
      </c>
      <c r="E896" s="12">
        <f>40.629 * CHOOSE( CONTROL!$C$15, $D$11, 100%, $F$11)</f>
        <v>40.628999999999998</v>
      </c>
      <c r="F896" s="4">
        <f>41.3075 * CHOOSE(CONTROL!$C$15, $D$11, 100%, $F$11)</f>
        <v>41.307499999999997</v>
      </c>
      <c r="G896" s="8">
        <f>39.9129 * CHOOSE( CONTROL!$C$15, $D$11, 100%, $F$11)</f>
        <v>39.9129</v>
      </c>
      <c r="H896" s="4">
        <f>40.8513 * CHOOSE(CONTROL!$C$15, $D$11, 100%, $F$11)</f>
        <v>40.851300000000002</v>
      </c>
      <c r="I896" s="8">
        <f>39.3469 * CHOOSE(CONTROL!$C$15, $D$11, 100%, $F$11)</f>
        <v>39.346899999999998</v>
      </c>
      <c r="J896" s="4">
        <f>39.2329 * CHOOSE(CONTROL!$C$15, $D$11, 100%, $F$11)</f>
        <v>39.232900000000001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41.703, 41.6981) * CHOOSE(CONTROL!$C$15, $D$11, 100%, $F$11)</f>
        <v>41.703000000000003</v>
      </c>
      <c r="C897" s="8">
        <f>CHOOSE( CONTROL!$C$32, 41.711, 41.7061) * CHOOSE(CONTROL!$C$15, $D$11, 100%, $F$11)</f>
        <v>41.710999999999999</v>
      </c>
      <c r="D897" s="8">
        <f>CHOOSE( CONTROL!$C$32, 41.7203, 41.7154) * CHOOSE( CONTROL!$C$15, $D$11, 100%, $F$11)</f>
        <v>41.720300000000002</v>
      </c>
      <c r="E897" s="12">
        <f>CHOOSE( CONTROL!$C$32, 41.7157, 41.7108) * CHOOSE( CONTROL!$C$15, $D$11, 100%, $F$11)</f>
        <v>41.715699999999998</v>
      </c>
      <c r="F897" s="4">
        <f>CHOOSE( CONTROL!$C$32, 42.3938, 42.3889) * CHOOSE(CONTROL!$C$15, $D$11, 100%, $F$11)</f>
        <v>42.393799999999999</v>
      </c>
      <c r="G897" s="8">
        <f>CHOOSE( CONTROL!$C$32, 40.9823, 40.9775) * CHOOSE( CONTROL!$C$15, $D$11, 100%, $F$11)</f>
        <v>40.982300000000002</v>
      </c>
      <c r="H897" s="4">
        <f>CHOOSE( CONTROL!$C$32, 41.9196, 41.9148) * CHOOSE(CONTROL!$C$15, $D$11, 100%, $F$11)</f>
        <v>41.919600000000003</v>
      </c>
      <c r="I897" s="8">
        <f>CHOOSE( CONTROL!$C$32, 40.3979, 40.3931) * CHOOSE(CONTROL!$C$15, $D$11, 100%, $F$11)</f>
        <v>40.3979</v>
      </c>
      <c r="J897" s="4">
        <f>CHOOSE( CONTROL!$C$32, 40.283, 40.2783) * CHOOSE(CONTROL!$C$15, $D$11, 100%, $F$11)</f>
        <v>40.283000000000001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41.0331, 41.0282) * CHOOSE(CONTROL!$C$15, $D$11, 100%, $F$11)</f>
        <v>41.033099999999997</v>
      </c>
      <c r="C898" s="8">
        <f>CHOOSE( CONTROL!$C$32, 41.0411, 41.0362) * CHOOSE(CONTROL!$C$15, $D$11, 100%, $F$11)</f>
        <v>41.0411</v>
      </c>
      <c r="D898" s="8">
        <f>CHOOSE( CONTROL!$C$32, 41.0506, 41.0457) * CHOOSE( CONTROL!$C$15, $D$11, 100%, $F$11)</f>
        <v>41.050600000000003</v>
      </c>
      <c r="E898" s="12">
        <f>CHOOSE( CONTROL!$C$32, 41.0459, 41.041) * CHOOSE( CONTROL!$C$15, $D$11, 100%, $F$11)</f>
        <v>41.045900000000003</v>
      </c>
      <c r="F898" s="4">
        <f>CHOOSE( CONTROL!$C$32, 41.7239, 41.719) * CHOOSE(CONTROL!$C$15, $D$11, 100%, $F$11)</f>
        <v>41.7239</v>
      </c>
      <c r="G898" s="8">
        <f>CHOOSE( CONTROL!$C$32, 40.3239, 40.3191) * CHOOSE( CONTROL!$C$15, $D$11, 100%, $F$11)</f>
        <v>40.323900000000002</v>
      </c>
      <c r="H898" s="4">
        <f>CHOOSE( CONTROL!$C$32, 41.2608, 41.256) * CHOOSE(CONTROL!$C$15, $D$11, 100%, $F$11)</f>
        <v>41.260800000000003</v>
      </c>
      <c r="I898" s="8">
        <f>CHOOSE( CONTROL!$C$32, 39.751, 39.7463) * CHOOSE(CONTROL!$C$15, $D$11, 100%, $F$11)</f>
        <v>39.750999999999998</v>
      </c>
      <c r="J898" s="4">
        <f>CHOOSE( CONTROL!$C$32, 39.6354, 39.6307) * CHOOSE(CONTROL!$C$15, $D$11, 100%, $F$11)</f>
        <v>39.635399999999997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42.7971, 42.7923) * CHOOSE(CONTROL!$C$15, $D$11, 100%, $F$11)</f>
        <v>42.7971</v>
      </c>
      <c r="C899" s="8">
        <f>CHOOSE( CONTROL!$C$32, 42.8052, 42.8003) * CHOOSE(CONTROL!$C$15, $D$11, 100%, $F$11)</f>
        <v>42.805199999999999</v>
      </c>
      <c r="D899" s="8">
        <f>CHOOSE( CONTROL!$C$32, 42.8149, 42.81) * CHOOSE( CONTROL!$C$15, $D$11, 100%, $F$11)</f>
        <v>42.814900000000002</v>
      </c>
      <c r="E899" s="12">
        <f>CHOOSE( CONTROL!$C$32, 42.8102, 42.8053) * CHOOSE( CONTROL!$C$15, $D$11, 100%, $F$11)</f>
        <v>42.810200000000002</v>
      </c>
      <c r="F899" s="4">
        <f>CHOOSE( CONTROL!$C$32, 43.488, 43.4831) * CHOOSE(CONTROL!$C$15, $D$11, 100%, $F$11)</f>
        <v>43.488</v>
      </c>
      <c r="G899" s="8">
        <f>CHOOSE( CONTROL!$C$32, 42.059, 42.0542) * CHOOSE( CONTROL!$C$15, $D$11, 100%, $F$11)</f>
        <v>42.058999999999997</v>
      </c>
      <c r="H899" s="4">
        <f>CHOOSE( CONTROL!$C$32, 42.9957, 42.9908) * CHOOSE(CONTROL!$C$15, $D$11, 100%, $F$11)</f>
        <v>42.995699999999999</v>
      </c>
      <c r="I899" s="8">
        <f>CHOOSE( CONTROL!$C$32, 41.4583, 41.4535) * CHOOSE(CONTROL!$C$15, $D$11, 100%, $F$11)</f>
        <v>41.458300000000001</v>
      </c>
      <c r="J899" s="4">
        <f>CHOOSE( CONTROL!$C$32, 41.3408, 41.336) * CHOOSE(CONTROL!$C$15, $D$11, 100%, $F$11)</f>
        <v>41.340800000000002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39.4964, 39.4915) * CHOOSE(CONTROL!$C$15, $D$11, 100%, $F$11)</f>
        <v>39.496400000000001</v>
      </c>
      <c r="C900" s="8">
        <f>CHOOSE( CONTROL!$C$32, 39.5044, 39.4995) * CHOOSE(CONTROL!$C$15, $D$11, 100%, $F$11)</f>
        <v>39.504399999999997</v>
      </c>
      <c r="D900" s="8">
        <f>CHOOSE( CONTROL!$C$32, 39.5142, 39.5093) * CHOOSE( CONTROL!$C$15, $D$11, 100%, $F$11)</f>
        <v>39.514200000000002</v>
      </c>
      <c r="E900" s="12">
        <f>CHOOSE( CONTROL!$C$32, 39.5094, 39.5045) * CHOOSE( CONTROL!$C$15, $D$11, 100%, $F$11)</f>
        <v>39.509399999999999</v>
      </c>
      <c r="F900" s="4">
        <f>CHOOSE( CONTROL!$C$32, 40.1872, 40.1824) * CHOOSE(CONTROL!$C$15, $D$11, 100%, $F$11)</f>
        <v>40.187199999999997</v>
      </c>
      <c r="G900" s="8">
        <f>CHOOSE( CONTROL!$C$32, 38.8131, 38.8083) * CHOOSE( CONTROL!$C$15, $D$11, 100%, $F$11)</f>
        <v>38.813099999999999</v>
      </c>
      <c r="H900" s="4">
        <f>CHOOSE( CONTROL!$C$32, 39.7496, 39.7448) * CHOOSE(CONTROL!$C$15, $D$11, 100%, $F$11)</f>
        <v>39.749600000000001</v>
      </c>
      <c r="I900" s="8">
        <f>CHOOSE( CONTROL!$C$32, 38.2662, 38.2614) * CHOOSE(CONTROL!$C$15, $D$11, 100%, $F$11)</f>
        <v>38.266199999999998</v>
      </c>
      <c r="J900" s="4">
        <f>CHOOSE( CONTROL!$C$32, 38.1499, 38.1452) * CHOOSE(CONTROL!$C$15, $D$11, 100%, $F$11)</f>
        <v>38.149900000000002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38.6698, 38.665) * CHOOSE(CONTROL!$C$15, $D$11, 100%, $F$11)</f>
        <v>38.669800000000002</v>
      </c>
      <c r="C901" s="8">
        <f>CHOOSE( CONTROL!$C$32, 38.6779, 38.673) * CHOOSE(CONTROL!$C$15, $D$11, 100%, $F$11)</f>
        <v>38.677900000000001</v>
      </c>
      <c r="D901" s="8">
        <f>CHOOSE( CONTROL!$C$32, 38.6876, 38.6827) * CHOOSE( CONTROL!$C$15, $D$11, 100%, $F$11)</f>
        <v>38.687600000000003</v>
      </c>
      <c r="E901" s="12">
        <f>CHOOSE( CONTROL!$C$32, 38.6829, 38.678) * CHOOSE( CONTROL!$C$15, $D$11, 100%, $F$11)</f>
        <v>38.682899999999997</v>
      </c>
      <c r="F901" s="4">
        <f>CHOOSE( CONTROL!$C$32, 39.3607, 39.3558) * CHOOSE(CONTROL!$C$15, $D$11, 100%, $F$11)</f>
        <v>39.360700000000001</v>
      </c>
      <c r="G901" s="8">
        <f>CHOOSE( CONTROL!$C$32, 38.0002, 37.9954) * CHOOSE( CONTROL!$C$15, $D$11, 100%, $F$11)</f>
        <v>38.0002</v>
      </c>
      <c r="H901" s="4">
        <f>CHOOSE( CONTROL!$C$32, 38.9368, 38.932) * CHOOSE(CONTROL!$C$15, $D$11, 100%, $F$11)</f>
        <v>38.936799999999998</v>
      </c>
      <c r="I901" s="8">
        <f>CHOOSE( CONTROL!$C$32, 37.4666, 37.4618) * CHOOSE(CONTROL!$C$15, $D$11, 100%, $F$11)</f>
        <v>37.4666</v>
      </c>
      <c r="J901" s="4">
        <f>CHOOSE( CONTROL!$C$32, 37.3509, 37.3462) * CHOOSE(CONTROL!$C$15, $D$11, 100%, $F$11)</f>
        <v>37.350900000000003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40.3794 * CHOOSE(CONTROL!$C$15, $D$11, 100%, $F$11)</f>
        <v>40.379399999999997</v>
      </c>
      <c r="C902" s="8">
        <f>40.3848 * CHOOSE(CONTROL!$C$15, $D$11, 100%, $F$11)</f>
        <v>40.384799999999998</v>
      </c>
      <c r="D902" s="8">
        <f>40.3993 * CHOOSE( CONTROL!$C$15, $D$11, 100%, $F$11)</f>
        <v>40.399299999999997</v>
      </c>
      <c r="E902" s="12">
        <f>40.3939 * CHOOSE( CONTROL!$C$15, $D$11, 100%, $F$11)</f>
        <v>40.393900000000002</v>
      </c>
      <c r="F902" s="4">
        <f>41.072 * CHOOSE(CONTROL!$C$15, $D$11, 100%, $F$11)</f>
        <v>41.072000000000003</v>
      </c>
      <c r="G902" s="8">
        <f>39.6824 * CHOOSE( CONTROL!$C$15, $D$11, 100%, $F$11)</f>
        <v>39.682400000000001</v>
      </c>
      <c r="H902" s="4">
        <f>40.6197 * CHOOSE(CONTROL!$C$15, $D$11, 100%, $F$11)</f>
        <v>40.619700000000002</v>
      </c>
      <c r="I902" s="8">
        <f>39.1226 * CHOOSE(CONTROL!$C$15, $D$11, 100%, $F$11)</f>
        <v>39.122599999999998</v>
      </c>
      <c r="J902" s="4">
        <f>39.0052 * CHOOSE(CONTROL!$C$15, $D$11, 100%, $F$11)</f>
        <v>39.005200000000002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43.5468 * CHOOSE(CONTROL!$C$15, $D$11, 100%, $F$11)</f>
        <v>43.546799999999998</v>
      </c>
      <c r="C903" s="8">
        <f>43.5519 * CHOOSE(CONTROL!$C$15, $D$11, 100%, $F$11)</f>
        <v>43.551900000000003</v>
      </c>
      <c r="D903" s="8">
        <f>43.5289 * CHOOSE( CONTROL!$C$15, $D$11, 100%, $F$11)</f>
        <v>43.5289</v>
      </c>
      <c r="E903" s="12">
        <f>43.5368 * CHOOSE( CONTROL!$C$15, $D$11, 100%, $F$11)</f>
        <v>43.536799999999999</v>
      </c>
      <c r="F903" s="4">
        <f>44.1917 * CHOOSE(CONTROL!$C$15, $D$11, 100%, $F$11)</f>
        <v>44.191699999999997</v>
      </c>
      <c r="G903" s="8">
        <f>42.8056 * CHOOSE( CONTROL!$C$15, $D$11, 100%, $F$11)</f>
        <v>42.805599999999998</v>
      </c>
      <c r="H903" s="4">
        <f>43.6876 * CHOOSE(CONTROL!$C$15, $D$11, 100%, $F$11)</f>
        <v>43.687600000000003</v>
      </c>
      <c r="I903" s="8">
        <f>42.211 * CHOOSE(CONTROL!$C$15, $D$11, 100%, $F$11)</f>
        <v>42.210999999999999</v>
      </c>
      <c r="J903" s="4">
        <f>42.0675 * CHOOSE(CONTROL!$C$15, $D$11, 100%, $F$11)</f>
        <v>42.067500000000003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43.4676 * CHOOSE(CONTROL!$C$15, $D$11, 100%, $F$11)</f>
        <v>43.467599999999997</v>
      </c>
      <c r="C904" s="8">
        <f>43.4727 * CHOOSE(CONTROL!$C$15, $D$11, 100%, $F$11)</f>
        <v>43.472700000000003</v>
      </c>
      <c r="D904" s="8">
        <f>43.4512 * CHOOSE( CONTROL!$C$15, $D$11, 100%, $F$11)</f>
        <v>43.4512</v>
      </c>
      <c r="E904" s="12">
        <f>43.4585 * CHOOSE( CONTROL!$C$15, $D$11, 100%, $F$11)</f>
        <v>43.458500000000001</v>
      </c>
      <c r="F904" s="4">
        <f>44.1125 * CHOOSE(CONTROL!$C$15, $D$11, 100%, $F$11)</f>
        <v>44.112499999999997</v>
      </c>
      <c r="G904" s="8">
        <f>42.7289 * CHOOSE( CONTROL!$C$15, $D$11, 100%, $F$11)</f>
        <v>42.728900000000003</v>
      </c>
      <c r="H904" s="4">
        <f>43.6098 * CHOOSE(CONTROL!$C$15, $D$11, 100%, $F$11)</f>
        <v>43.6098</v>
      </c>
      <c r="I904" s="8">
        <f>42.1394 * CHOOSE(CONTROL!$C$15, $D$11, 100%, $F$11)</f>
        <v>42.139400000000002</v>
      </c>
      <c r="J904" s="4">
        <f>41.991 * CHOOSE(CONTROL!$C$15, $D$11, 100%, $F$11)</f>
        <v>41.991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45.1278 * CHOOSE(CONTROL!$C$15, $D$11, 100%, $F$11)</f>
        <v>45.127800000000001</v>
      </c>
      <c r="C905" s="8">
        <f>45.1329 * CHOOSE(CONTROL!$C$15, $D$11, 100%, $F$11)</f>
        <v>45.132899999999999</v>
      </c>
      <c r="D905" s="8">
        <f>45.1075 * CHOOSE( CONTROL!$C$15, $D$11, 100%, $F$11)</f>
        <v>45.107500000000002</v>
      </c>
      <c r="E905" s="12">
        <f>45.1162 * CHOOSE( CONTROL!$C$15, $D$11, 100%, $F$11)</f>
        <v>45.116199999999999</v>
      </c>
      <c r="F905" s="4">
        <f>45.7701 * CHOOSE(CONTROL!$C$15, $D$11, 100%, $F$11)</f>
        <v>45.770099999999999</v>
      </c>
      <c r="G905" s="8">
        <f>44.3562 * CHOOSE( CONTROL!$C$15, $D$11, 100%, $F$11)</f>
        <v>44.356200000000001</v>
      </c>
      <c r="H905" s="4">
        <f>45.2399 * CHOOSE(CONTROL!$C$15, $D$11, 100%, $F$11)</f>
        <v>45.239899999999999</v>
      </c>
      <c r="I905" s="8">
        <f>43.7254 * CHOOSE(CONTROL!$C$15, $D$11, 100%, $F$11)</f>
        <v>43.7254</v>
      </c>
      <c r="J905" s="4">
        <f>43.5959 * CHOOSE(CONTROL!$C$15, $D$11, 100%, $F$11)</f>
        <v>43.5959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42.2123 * CHOOSE(CONTROL!$C$15, $D$11, 100%, $F$11)</f>
        <v>42.212299999999999</v>
      </c>
      <c r="C906" s="8">
        <f>42.2174 * CHOOSE(CONTROL!$C$15, $D$11, 100%, $F$11)</f>
        <v>42.217399999999998</v>
      </c>
      <c r="D906" s="8">
        <f>42.1921 * CHOOSE( CONTROL!$C$15, $D$11, 100%, $F$11)</f>
        <v>42.192100000000003</v>
      </c>
      <c r="E906" s="12">
        <f>42.2008 * CHOOSE( CONTROL!$C$15, $D$11, 100%, $F$11)</f>
        <v>42.200800000000001</v>
      </c>
      <c r="F906" s="4">
        <f>42.8546 * CHOOSE(CONTROL!$C$15, $D$11, 100%, $F$11)</f>
        <v>42.854599999999998</v>
      </c>
      <c r="G906" s="8">
        <f>41.4891 * CHOOSE( CONTROL!$C$15, $D$11, 100%, $F$11)</f>
        <v>41.489100000000001</v>
      </c>
      <c r="H906" s="4">
        <f>42.3727 * CHOOSE(CONTROL!$C$15, $D$11, 100%, $F$11)</f>
        <v>42.372700000000002</v>
      </c>
      <c r="I906" s="8">
        <f>40.9059 * CHOOSE(CONTROL!$C$15, $D$11, 100%, $F$11)</f>
        <v>40.905900000000003</v>
      </c>
      <c r="J906" s="4">
        <f>40.7775 * CHOOSE(CONTROL!$C$15, $D$11, 100%, $F$11)</f>
        <v>40.777500000000003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41.3143 * CHOOSE(CONTROL!$C$15, $D$11, 100%, $F$11)</f>
        <v>41.314300000000003</v>
      </c>
      <c r="C907" s="8">
        <f>41.3195 * CHOOSE(CONTROL!$C$15, $D$11, 100%, $F$11)</f>
        <v>41.319499999999998</v>
      </c>
      <c r="D907" s="8">
        <f>41.2939 * CHOOSE( CONTROL!$C$15, $D$11, 100%, $F$11)</f>
        <v>41.293900000000001</v>
      </c>
      <c r="E907" s="12">
        <f>41.3027 * CHOOSE( CONTROL!$C$15, $D$11, 100%, $F$11)</f>
        <v>41.302700000000002</v>
      </c>
      <c r="F907" s="4">
        <f>41.9566 * CHOOSE(CONTROL!$C$15, $D$11, 100%, $F$11)</f>
        <v>41.956600000000002</v>
      </c>
      <c r="G907" s="8">
        <f>40.6059 * CHOOSE( CONTROL!$C$15, $D$11, 100%, $F$11)</f>
        <v>40.605899999999998</v>
      </c>
      <c r="H907" s="4">
        <f>41.4897 * CHOOSE(CONTROL!$C$15, $D$11, 100%, $F$11)</f>
        <v>41.489699999999999</v>
      </c>
      <c r="I907" s="8">
        <f>40.0365 * CHOOSE(CONTROL!$C$15, $D$11, 100%, $F$11)</f>
        <v>40.036499999999997</v>
      </c>
      <c r="J907" s="4">
        <f>39.9094 * CHOOSE(CONTROL!$C$15, $D$11, 100%, $F$11)</f>
        <v>39.909399999999998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41.9426 * CHOOSE(CONTROL!$C$15, $D$11, 100%, $F$11)</f>
        <v>41.942599999999999</v>
      </c>
      <c r="C908" s="8">
        <f>41.9471 * CHOOSE(CONTROL!$C$15, $D$11, 100%, $F$11)</f>
        <v>41.947099999999999</v>
      </c>
      <c r="D908" s="8">
        <f>41.9614 * CHOOSE( CONTROL!$C$15, $D$11, 100%, $F$11)</f>
        <v>41.961399999999998</v>
      </c>
      <c r="E908" s="12">
        <f>41.9562 * CHOOSE( CONTROL!$C$15, $D$11, 100%, $F$11)</f>
        <v>41.956200000000003</v>
      </c>
      <c r="F908" s="4">
        <f>42.6348 * CHOOSE(CONTROL!$C$15, $D$11, 100%, $F$11)</f>
        <v>42.634799999999998</v>
      </c>
      <c r="G908" s="8">
        <f>41.2182 * CHOOSE( CONTROL!$C$15, $D$11, 100%, $F$11)</f>
        <v>41.218200000000003</v>
      </c>
      <c r="H908" s="4">
        <f>42.1566 * CHOOSE(CONTROL!$C$15, $D$11, 100%, $F$11)</f>
        <v>42.156599999999997</v>
      </c>
      <c r="I908" s="8">
        <f>40.6306 * CHOOSE(CONTROL!$C$15, $D$11, 100%, $F$11)</f>
        <v>40.630600000000001</v>
      </c>
      <c r="J908" s="4">
        <f>40.516 * CHOOSE(CONTROL!$C$15, $D$11, 100%, $F$11)</f>
        <v>40.515999999999998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43.0656, 43.0607) * CHOOSE(CONTROL!$C$15, $D$11, 100%, $F$11)</f>
        <v>43.065600000000003</v>
      </c>
      <c r="C909" s="8">
        <f>CHOOSE( CONTROL!$C$32, 43.0736, 43.0687) * CHOOSE(CONTROL!$C$15, $D$11, 100%, $F$11)</f>
        <v>43.073599999999999</v>
      </c>
      <c r="D909" s="8">
        <f>CHOOSE( CONTROL!$C$32, 43.0829, 43.078) * CHOOSE( CONTROL!$C$15, $D$11, 100%, $F$11)</f>
        <v>43.082900000000002</v>
      </c>
      <c r="E909" s="12">
        <f>CHOOSE( CONTROL!$C$32, 43.0783, 43.0734) * CHOOSE( CONTROL!$C$15, $D$11, 100%, $F$11)</f>
        <v>43.078299999999999</v>
      </c>
      <c r="F909" s="4">
        <f>CHOOSE( CONTROL!$C$32, 43.7565, 43.7516) * CHOOSE(CONTROL!$C$15, $D$11, 100%, $F$11)</f>
        <v>43.756500000000003</v>
      </c>
      <c r="G909" s="8">
        <f>CHOOSE( CONTROL!$C$32, 42.3224, 42.3176) * CHOOSE( CONTROL!$C$15, $D$11, 100%, $F$11)</f>
        <v>42.322400000000002</v>
      </c>
      <c r="H909" s="4">
        <f>CHOOSE( CONTROL!$C$32, 43.2597, 43.2548) * CHOOSE(CONTROL!$C$15, $D$11, 100%, $F$11)</f>
        <v>43.259700000000002</v>
      </c>
      <c r="I909" s="8">
        <f>CHOOSE( CONTROL!$C$32, 41.7158, 41.7111) * CHOOSE(CONTROL!$C$15, $D$11, 100%, $F$11)</f>
        <v>41.715800000000002</v>
      </c>
      <c r="J909" s="4">
        <f>CHOOSE( CONTROL!$C$32, 41.6003, 41.5955) * CHOOSE(CONTROL!$C$15, $D$11, 100%, $F$11)</f>
        <v>41.600299999999997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42.3738, 42.3689) * CHOOSE(CONTROL!$C$15, $D$11, 100%, $F$11)</f>
        <v>42.373800000000003</v>
      </c>
      <c r="C910" s="8">
        <f>CHOOSE( CONTROL!$C$32, 42.3818, 42.3769) * CHOOSE(CONTROL!$C$15, $D$11, 100%, $F$11)</f>
        <v>42.381799999999998</v>
      </c>
      <c r="D910" s="8">
        <f>CHOOSE( CONTROL!$C$32, 42.3913, 42.3864) * CHOOSE( CONTROL!$C$15, $D$11, 100%, $F$11)</f>
        <v>42.391300000000001</v>
      </c>
      <c r="E910" s="12">
        <f>CHOOSE( CONTROL!$C$32, 42.3866, 42.3817) * CHOOSE( CONTROL!$C$15, $D$11, 100%, $F$11)</f>
        <v>42.386600000000001</v>
      </c>
      <c r="F910" s="4">
        <f>CHOOSE( CONTROL!$C$32, 43.0647, 43.0598) * CHOOSE(CONTROL!$C$15, $D$11, 100%, $F$11)</f>
        <v>43.064700000000002</v>
      </c>
      <c r="G910" s="8">
        <f>CHOOSE( CONTROL!$C$32, 41.6424, 41.6376) * CHOOSE( CONTROL!$C$15, $D$11, 100%, $F$11)</f>
        <v>41.642400000000002</v>
      </c>
      <c r="H910" s="4">
        <f>CHOOSE( CONTROL!$C$32, 42.5793, 42.5745) * CHOOSE(CONTROL!$C$15, $D$11, 100%, $F$11)</f>
        <v>42.579300000000003</v>
      </c>
      <c r="I910" s="8">
        <f>CHOOSE( CONTROL!$C$32, 41.0477, 41.043) * CHOOSE(CONTROL!$C$15, $D$11, 100%, $F$11)</f>
        <v>41.047699999999999</v>
      </c>
      <c r="J910" s="4">
        <f>CHOOSE( CONTROL!$C$32, 40.9315, 40.9268) * CHOOSE(CONTROL!$C$15, $D$11, 100%, $F$11)</f>
        <v>40.9315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44.1956, 44.1907) * CHOOSE(CONTROL!$C$15, $D$11, 100%, $F$11)</f>
        <v>44.195599999999999</v>
      </c>
      <c r="C911" s="8">
        <f>CHOOSE( CONTROL!$C$32, 44.2036, 44.1987) * CHOOSE(CONTROL!$C$15, $D$11, 100%, $F$11)</f>
        <v>44.203600000000002</v>
      </c>
      <c r="D911" s="8">
        <f>CHOOSE( CONTROL!$C$32, 44.2133, 44.2084) * CHOOSE( CONTROL!$C$15, $D$11, 100%, $F$11)</f>
        <v>44.213299999999997</v>
      </c>
      <c r="E911" s="12">
        <f>CHOOSE( CONTROL!$C$32, 44.2086, 44.2037) * CHOOSE( CONTROL!$C$15, $D$11, 100%, $F$11)</f>
        <v>44.208599999999997</v>
      </c>
      <c r="F911" s="4">
        <f>CHOOSE( CONTROL!$C$32, 44.8864, 44.8815) * CHOOSE(CONTROL!$C$15, $D$11, 100%, $F$11)</f>
        <v>44.886400000000002</v>
      </c>
      <c r="G911" s="8">
        <f>CHOOSE( CONTROL!$C$32, 43.4342, 43.4294) * CHOOSE( CONTROL!$C$15, $D$11, 100%, $F$11)</f>
        <v>43.434199999999997</v>
      </c>
      <c r="H911" s="4">
        <f>CHOOSE( CONTROL!$C$32, 44.3709, 44.3661) * CHOOSE(CONTROL!$C$15, $D$11, 100%, $F$11)</f>
        <v>44.370899999999999</v>
      </c>
      <c r="I911" s="8">
        <f>CHOOSE( CONTROL!$C$32, 42.8108, 42.806) * CHOOSE(CONTROL!$C$15, $D$11, 100%, $F$11)</f>
        <v>42.8108</v>
      </c>
      <c r="J911" s="4">
        <f>CHOOSE( CONTROL!$C$32, 42.6926, 42.6879) * CHOOSE(CONTROL!$C$15, $D$11, 100%, $F$11)</f>
        <v>42.692599999999999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40.7869, 40.782) * CHOOSE(CONTROL!$C$15, $D$11, 100%, $F$11)</f>
        <v>40.786900000000003</v>
      </c>
      <c r="C912" s="8">
        <f>CHOOSE( CONTROL!$C$32, 40.7949, 40.79) * CHOOSE(CONTROL!$C$15, $D$11, 100%, $F$11)</f>
        <v>40.794899999999998</v>
      </c>
      <c r="D912" s="8">
        <f>CHOOSE( CONTROL!$C$32, 40.8047, 40.7998) * CHOOSE( CONTROL!$C$15, $D$11, 100%, $F$11)</f>
        <v>40.804699999999997</v>
      </c>
      <c r="E912" s="12">
        <f>CHOOSE( CONTROL!$C$32, 40.7999, 40.795) * CHOOSE( CONTROL!$C$15, $D$11, 100%, $F$11)</f>
        <v>40.799900000000001</v>
      </c>
      <c r="F912" s="4">
        <f>CHOOSE( CONTROL!$C$32, 41.4777, 41.4728) * CHOOSE(CONTROL!$C$15, $D$11, 100%, $F$11)</f>
        <v>41.477699999999999</v>
      </c>
      <c r="G912" s="8">
        <f>CHOOSE( CONTROL!$C$32, 40.0822, 40.0774) * CHOOSE( CONTROL!$C$15, $D$11, 100%, $F$11)</f>
        <v>40.0822</v>
      </c>
      <c r="H912" s="4">
        <f>CHOOSE( CONTROL!$C$32, 41.0187, 41.0139) * CHOOSE(CONTROL!$C$15, $D$11, 100%, $F$11)</f>
        <v>41.018700000000003</v>
      </c>
      <c r="I912" s="8">
        <f>CHOOSE( CONTROL!$C$32, 39.5143, 39.5095) * CHOOSE(CONTROL!$C$15, $D$11, 100%, $F$11)</f>
        <v>39.514299999999999</v>
      </c>
      <c r="J912" s="4">
        <f>CHOOSE( CONTROL!$C$32, 39.3974, 39.3927) * CHOOSE(CONTROL!$C$15, $D$11, 100%, $F$11)</f>
        <v>39.397399999999998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39.9333, 39.9284) * CHOOSE(CONTROL!$C$15, $D$11, 100%, $F$11)</f>
        <v>39.933300000000003</v>
      </c>
      <c r="C913" s="8">
        <f>CHOOSE( CONTROL!$C$32, 39.9413, 39.9364) * CHOOSE(CONTROL!$C$15, $D$11, 100%, $F$11)</f>
        <v>39.941299999999998</v>
      </c>
      <c r="D913" s="8">
        <f>CHOOSE( CONTROL!$C$32, 39.9511, 39.9462) * CHOOSE( CONTROL!$C$15, $D$11, 100%, $F$11)</f>
        <v>39.951099999999997</v>
      </c>
      <c r="E913" s="12">
        <f>CHOOSE( CONTROL!$C$32, 39.9463, 39.9414) * CHOOSE( CONTROL!$C$15, $D$11, 100%, $F$11)</f>
        <v>39.946300000000001</v>
      </c>
      <c r="F913" s="4">
        <f>CHOOSE( CONTROL!$C$32, 40.6241, 40.6192) * CHOOSE(CONTROL!$C$15, $D$11, 100%, $F$11)</f>
        <v>40.624099999999999</v>
      </c>
      <c r="G913" s="8">
        <f>CHOOSE( CONTROL!$C$32, 39.2427, 39.2379) * CHOOSE( CONTROL!$C$15, $D$11, 100%, $F$11)</f>
        <v>39.242699999999999</v>
      </c>
      <c r="H913" s="4">
        <f>CHOOSE( CONTROL!$C$32, 40.1793, 40.1745) * CHOOSE(CONTROL!$C$15, $D$11, 100%, $F$11)</f>
        <v>40.179299999999998</v>
      </c>
      <c r="I913" s="8">
        <f>CHOOSE( CONTROL!$C$32, 38.6885, 38.6838) * CHOOSE(CONTROL!$C$15, $D$11, 100%, $F$11)</f>
        <v>38.688499999999998</v>
      </c>
      <c r="J913" s="4">
        <f>CHOOSE( CONTROL!$C$32, 38.5723, 38.5675) * CHOOSE(CONTROL!$C$15, $D$11, 100%, $F$11)</f>
        <v>38.572299999999998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41.699 * CHOOSE(CONTROL!$C$15, $D$11, 100%, $F$11)</f>
        <v>41.698999999999998</v>
      </c>
      <c r="C914" s="8">
        <f>41.7044 * CHOOSE(CONTROL!$C$15, $D$11, 100%, $F$11)</f>
        <v>41.7044</v>
      </c>
      <c r="D914" s="8">
        <f>41.7189 * CHOOSE( CONTROL!$C$15, $D$11, 100%, $F$11)</f>
        <v>41.718899999999998</v>
      </c>
      <c r="E914" s="12">
        <f>41.7135 * CHOOSE( CONTROL!$C$15, $D$11, 100%, $F$11)</f>
        <v>41.713500000000003</v>
      </c>
      <c r="F914" s="4">
        <f>42.3916 * CHOOSE(CONTROL!$C$15, $D$11, 100%, $F$11)</f>
        <v>42.391599999999997</v>
      </c>
      <c r="G914" s="8">
        <f>40.9801 * CHOOSE( CONTROL!$C$15, $D$11, 100%, $F$11)</f>
        <v>40.9801</v>
      </c>
      <c r="H914" s="4">
        <f>41.9174 * CHOOSE(CONTROL!$C$15, $D$11, 100%, $F$11)</f>
        <v>41.917400000000001</v>
      </c>
      <c r="I914" s="8">
        <f>40.3988 * CHOOSE(CONTROL!$C$15, $D$11, 100%, $F$11)</f>
        <v>40.398800000000001</v>
      </c>
      <c r="J914" s="4">
        <f>40.2808 * CHOOSE(CONTROL!$C$15, $D$11, 100%, $F$11)</f>
        <v>40.280799999999999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44.9699 * CHOOSE(CONTROL!$C$15, $D$11, 100%, $F$11)</f>
        <v>44.969900000000003</v>
      </c>
      <c r="C915" s="8">
        <f>44.975 * CHOOSE(CONTROL!$C$15, $D$11, 100%, $F$11)</f>
        <v>44.975000000000001</v>
      </c>
      <c r="D915" s="8">
        <f>44.952 * CHOOSE( CONTROL!$C$15, $D$11, 100%, $F$11)</f>
        <v>44.951999999999998</v>
      </c>
      <c r="E915" s="12">
        <f>44.9599 * CHOOSE( CONTROL!$C$15, $D$11, 100%, $F$11)</f>
        <v>44.959899999999998</v>
      </c>
      <c r="F915" s="4">
        <f>45.6148 * CHOOSE(CONTROL!$C$15, $D$11, 100%, $F$11)</f>
        <v>45.614800000000002</v>
      </c>
      <c r="G915" s="8">
        <f>44.2052 * CHOOSE( CONTROL!$C$15, $D$11, 100%, $F$11)</f>
        <v>44.205199999999998</v>
      </c>
      <c r="H915" s="4">
        <f>45.0872 * CHOOSE(CONTROL!$C$15, $D$11, 100%, $F$11)</f>
        <v>45.087200000000003</v>
      </c>
      <c r="I915" s="8">
        <f>43.5875 * CHOOSE(CONTROL!$C$15, $D$11, 100%, $F$11)</f>
        <v>43.587499999999999</v>
      </c>
      <c r="J915" s="4">
        <f>43.4433 * CHOOSE(CONTROL!$C$15, $D$11, 100%, $F$11)</f>
        <v>43.443300000000001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44.8882 * CHOOSE(CONTROL!$C$15, $D$11, 100%, $F$11)</f>
        <v>44.888199999999998</v>
      </c>
      <c r="C916" s="8">
        <f>44.8933 * CHOOSE(CONTROL!$C$15, $D$11, 100%, $F$11)</f>
        <v>44.893300000000004</v>
      </c>
      <c r="D916" s="8">
        <f>44.8718 * CHOOSE( CONTROL!$C$15, $D$11, 100%, $F$11)</f>
        <v>44.8718</v>
      </c>
      <c r="E916" s="12">
        <f>44.8791 * CHOOSE( CONTROL!$C$15, $D$11, 100%, $F$11)</f>
        <v>44.879100000000001</v>
      </c>
      <c r="F916" s="4">
        <f>45.5331 * CHOOSE(CONTROL!$C$15, $D$11, 100%, $F$11)</f>
        <v>45.533099999999997</v>
      </c>
      <c r="G916" s="8">
        <f>44.1259 * CHOOSE( CONTROL!$C$15, $D$11, 100%, $F$11)</f>
        <v>44.125900000000001</v>
      </c>
      <c r="H916" s="4">
        <f>45.0068 * CHOOSE(CONTROL!$C$15, $D$11, 100%, $F$11)</f>
        <v>45.006799999999998</v>
      </c>
      <c r="I916" s="8">
        <f>43.5134 * CHOOSE(CONTROL!$C$15, $D$11, 100%, $F$11)</f>
        <v>43.513399999999997</v>
      </c>
      <c r="J916" s="4">
        <f>43.3642 * CHOOSE(CONTROL!$C$15, $D$11, 100%, $F$11)</f>
        <v>43.364199999999997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46.6026 * CHOOSE(CONTROL!$C$15, $D$11, 100%, $F$11)</f>
        <v>46.602600000000002</v>
      </c>
      <c r="C917" s="8">
        <f>46.6078 * CHOOSE(CONTROL!$C$15, $D$11, 100%, $F$11)</f>
        <v>46.607799999999997</v>
      </c>
      <c r="D917" s="8">
        <f>46.5823 * CHOOSE( CONTROL!$C$15, $D$11, 100%, $F$11)</f>
        <v>46.582299999999996</v>
      </c>
      <c r="E917" s="12">
        <f>46.5911 * CHOOSE( CONTROL!$C$15, $D$11, 100%, $F$11)</f>
        <v>46.591099999999997</v>
      </c>
      <c r="F917" s="4">
        <f>47.2449 * CHOOSE(CONTROL!$C$15, $D$11, 100%, $F$11)</f>
        <v>47.244900000000001</v>
      </c>
      <c r="G917" s="8">
        <f>45.8066 * CHOOSE( CONTROL!$C$15, $D$11, 100%, $F$11)</f>
        <v>45.806600000000003</v>
      </c>
      <c r="H917" s="4">
        <f>46.6903 * CHOOSE(CONTROL!$C$15, $D$11, 100%, $F$11)</f>
        <v>46.690300000000001</v>
      </c>
      <c r="I917" s="8">
        <f>45.1518 * CHOOSE(CONTROL!$C$15, $D$11, 100%, $F$11)</f>
        <v>45.151800000000001</v>
      </c>
      <c r="J917" s="4">
        <f>45.0216 * CHOOSE(CONTROL!$C$15, $D$11, 100%, $F$11)</f>
        <v>45.021599999999999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43.5918 * CHOOSE(CONTROL!$C$15, $D$11, 100%, $F$11)</f>
        <v>43.591799999999999</v>
      </c>
      <c r="C918" s="8">
        <f>43.5969 * CHOOSE(CONTROL!$C$15, $D$11, 100%, $F$11)</f>
        <v>43.596899999999998</v>
      </c>
      <c r="D918" s="8">
        <f>43.5716 * CHOOSE( CONTROL!$C$15, $D$11, 100%, $F$11)</f>
        <v>43.571599999999997</v>
      </c>
      <c r="E918" s="12">
        <f>43.5803 * CHOOSE( CONTROL!$C$15, $D$11, 100%, $F$11)</f>
        <v>43.580300000000001</v>
      </c>
      <c r="F918" s="4">
        <f>44.2341 * CHOOSE(CONTROL!$C$15, $D$11, 100%, $F$11)</f>
        <v>44.234099999999998</v>
      </c>
      <c r="G918" s="8">
        <f>42.8458 * CHOOSE( CONTROL!$C$15, $D$11, 100%, $F$11)</f>
        <v>42.845799999999997</v>
      </c>
      <c r="H918" s="4">
        <f>43.7294 * CHOOSE(CONTROL!$C$15, $D$11, 100%, $F$11)</f>
        <v>43.729399999999998</v>
      </c>
      <c r="I918" s="8">
        <f>42.2401 * CHOOSE(CONTROL!$C$15, $D$11, 100%, $F$11)</f>
        <v>42.240099999999998</v>
      </c>
      <c r="J918" s="4">
        <f>42.111 * CHOOSE(CONTROL!$C$15, $D$11, 100%, $F$11)</f>
        <v>42.110999999999997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42.6645 * CHOOSE(CONTROL!$C$15, $D$11, 100%, $F$11)</f>
        <v>42.664499999999997</v>
      </c>
      <c r="C919" s="8">
        <f>42.6696 * CHOOSE(CONTROL!$C$15, $D$11, 100%, $F$11)</f>
        <v>42.669600000000003</v>
      </c>
      <c r="D919" s="8">
        <f>42.644 * CHOOSE( CONTROL!$C$15, $D$11, 100%, $F$11)</f>
        <v>42.643999999999998</v>
      </c>
      <c r="E919" s="12">
        <f>42.6528 * CHOOSE( CONTROL!$C$15, $D$11, 100%, $F$11)</f>
        <v>42.652799999999999</v>
      </c>
      <c r="F919" s="4">
        <f>43.3068 * CHOOSE(CONTROL!$C$15, $D$11, 100%, $F$11)</f>
        <v>43.306800000000003</v>
      </c>
      <c r="G919" s="8">
        <f>41.9336 * CHOOSE( CONTROL!$C$15, $D$11, 100%, $F$11)</f>
        <v>41.933599999999998</v>
      </c>
      <c r="H919" s="4">
        <f>42.8174 * CHOOSE(CONTROL!$C$15, $D$11, 100%, $F$11)</f>
        <v>42.817399999999999</v>
      </c>
      <c r="I919" s="8">
        <f>41.3424 * CHOOSE(CONTROL!$C$15, $D$11, 100%, $F$11)</f>
        <v>41.342399999999998</v>
      </c>
      <c r="J919" s="4">
        <f>41.2146 * CHOOSE(CONTROL!$C$15, $D$11, 100%, $F$11)</f>
        <v>41.214599999999997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43.3132 * CHOOSE(CONTROL!$C$15, $D$11, 100%, $F$11)</f>
        <v>43.313200000000002</v>
      </c>
      <c r="C920" s="8">
        <f>43.3178 * CHOOSE(CONTROL!$C$15, $D$11, 100%, $F$11)</f>
        <v>43.317799999999998</v>
      </c>
      <c r="D920" s="8">
        <f>43.3321 * CHOOSE( CONTROL!$C$15, $D$11, 100%, $F$11)</f>
        <v>43.332099999999997</v>
      </c>
      <c r="E920" s="12">
        <f>43.3269 * CHOOSE( CONTROL!$C$15, $D$11, 100%, $F$11)</f>
        <v>43.326900000000002</v>
      </c>
      <c r="F920" s="4">
        <f>44.0055 * CHOOSE(CONTROL!$C$15, $D$11, 100%, $F$11)</f>
        <v>44.005499999999998</v>
      </c>
      <c r="G920" s="8">
        <f>42.5661 * CHOOSE( CONTROL!$C$15, $D$11, 100%, $F$11)</f>
        <v>42.566099999999999</v>
      </c>
      <c r="H920" s="4">
        <f>43.5045 * CHOOSE(CONTROL!$C$15, $D$11, 100%, $F$11)</f>
        <v>43.5045</v>
      </c>
      <c r="I920" s="8">
        <f>41.9563 * CHOOSE(CONTROL!$C$15, $D$11, 100%, $F$11)</f>
        <v>41.956299999999999</v>
      </c>
      <c r="J920" s="4">
        <f>41.841 * CHOOSE(CONTROL!$C$15, $D$11, 100%, $F$11)</f>
        <v>41.841000000000001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44.4728, 44.4679) * CHOOSE(CONTROL!$C$15, $D$11, 100%, $F$11)</f>
        <v>44.472799999999999</v>
      </c>
      <c r="C921" s="8">
        <f>CHOOSE( CONTROL!$C$32, 44.4808, 44.4759) * CHOOSE(CONTROL!$C$15, $D$11, 100%, $F$11)</f>
        <v>44.480800000000002</v>
      </c>
      <c r="D921" s="8">
        <f>CHOOSE( CONTROL!$C$32, 44.4901, 44.4852) * CHOOSE( CONTROL!$C$15, $D$11, 100%, $F$11)</f>
        <v>44.490099999999998</v>
      </c>
      <c r="E921" s="12">
        <f>CHOOSE( CONTROL!$C$32, 44.4855, 44.4806) * CHOOSE( CONTROL!$C$15, $D$11, 100%, $F$11)</f>
        <v>44.485500000000002</v>
      </c>
      <c r="F921" s="4">
        <f>CHOOSE( CONTROL!$C$32, 45.1636, 45.1587) * CHOOSE(CONTROL!$C$15, $D$11, 100%, $F$11)</f>
        <v>45.163600000000002</v>
      </c>
      <c r="G921" s="8">
        <f>CHOOSE( CONTROL!$C$32, 43.7062, 43.7014) * CHOOSE( CONTROL!$C$15, $D$11, 100%, $F$11)</f>
        <v>43.706200000000003</v>
      </c>
      <c r="H921" s="4">
        <f>CHOOSE( CONTROL!$C$32, 44.6435, 44.6387) * CHOOSE(CONTROL!$C$15, $D$11, 100%, $F$11)</f>
        <v>44.643500000000003</v>
      </c>
      <c r="I921" s="8">
        <f>CHOOSE( CONTROL!$C$32, 43.0768, 43.0721) * CHOOSE(CONTROL!$C$15, $D$11, 100%, $F$11)</f>
        <v>43.076799999999999</v>
      </c>
      <c r="J921" s="4">
        <f>CHOOSE( CONTROL!$C$32, 42.9606, 42.9559) * CHOOSE(CONTROL!$C$15, $D$11, 100%, $F$11)</f>
        <v>42.960599999999999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43.7584, 43.7535) * CHOOSE(CONTROL!$C$15, $D$11, 100%, $F$11)</f>
        <v>43.758400000000002</v>
      </c>
      <c r="C922" s="8">
        <f>CHOOSE( CONTROL!$C$32, 43.7664, 43.7615) * CHOOSE(CONTROL!$C$15, $D$11, 100%, $F$11)</f>
        <v>43.766399999999997</v>
      </c>
      <c r="D922" s="8">
        <f>CHOOSE( CONTROL!$C$32, 43.7759, 43.771) * CHOOSE( CONTROL!$C$15, $D$11, 100%, $F$11)</f>
        <v>43.7759</v>
      </c>
      <c r="E922" s="12">
        <f>CHOOSE( CONTROL!$C$32, 43.7712, 43.7663) * CHOOSE( CONTROL!$C$15, $D$11, 100%, $F$11)</f>
        <v>43.7712</v>
      </c>
      <c r="F922" s="4">
        <f>CHOOSE( CONTROL!$C$32, 44.4492, 44.4443) * CHOOSE(CONTROL!$C$15, $D$11, 100%, $F$11)</f>
        <v>44.449199999999998</v>
      </c>
      <c r="G922" s="8">
        <f>CHOOSE( CONTROL!$C$32, 43.004, 42.9992) * CHOOSE( CONTROL!$C$15, $D$11, 100%, $F$11)</f>
        <v>43.003999999999998</v>
      </c>
      <c r="H922" s="4">
        <f>CHOOSE( CONTROL!$C$32, 43.9409, 43.9361) * CHOOSE(CONTROL!$C$15, $D$11, 100%, $F$11)</f>
        <v>43.940899999999999</v>
      </c>
      <c r="I922" s="8">
        <f>CHOOSE( CONTROL!$C$32, 42.3869, 42.3821) * CHOOSE(CONTROL!$C$15, $D$11, 100%, $F$11)</f>
        <v>42.386899999999997</v>
      </c>
      <c r="J922" s="4">
        <f>CHOOSE( CONTROL!$C$32, 42.27, 42.2652) * CHOOSE(CONTROL!$C$15, $D$11, 100%, $F$11)</f>
        <v>42.27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45.6397, 45.6348) * CHOOSE(CONTROL!$C$15, $D$11, 100%, $F$11)</f>
        <v>45.639699999999998</v>
      </c>
      <c r="C923" s="8">
        <f>CHOOSE( CONTROL!$C$32, 45.6477, 45.6428) * CHOOSE(CONTROL!$C$15, $D$11, 100%, $F$11)</f>
        <v>45.6477</v>
      </c>
      <c r="D923" s="8">
        <f>CHOOSE( CONTROL!$C$32, 45.6575, 45.6526) * CHOOSE( CONTROL!$C$15, $D$11, 100%, $F$11)</f>
        <v>45.657499999999999</v>
      </c>
      <c r="E923" s="12">
        <f>CHOOSE( CONTROL!$C$32, 45.6527, 45.6478) * CHOOSE( CONTROL!$C$15, $D$11, 100%, $F$11)</f>
        <v>45.652700000000003</v>
      </c>
      <c r="F923" s="4">
        <f>CHOOSE( CONTROL!$C$32, 46.3306, 46.3257) * CHOOSE(CONTROL!$C$15, $D$11, 100%, $F$11)</f>
        <v>46.330599999999997</v>
      </c>
      <c r="G923" s="8">
        <f>CHOOSE( CONTROL!$C$32, 44.8544, 44.8496) * CHOOSE( CONTROL!$C$15, $D$11, 100%, $F$11)</f>
        <v>44.854399999999998</v>
      </c>
      <c r="H923" s="4">
        <f>CHOOSE( CONTROL!$C$32, 45.7911, 45.7863) * CHOOSE(CONTROL!$C$15, $D$11, 100%, $F$11)</f>
        <v>45.7911</v>
      </c>
      <c r="I923" s="8">
        <f>CHOOSE( CONTROL!$C$32, 44.2075, 44.2028) * CHOOSE(CONTROL!$C$15, $D$11, 100%, $F$11)</f>
        <v>44.207500000000003</v>
      </c>
      <c r="J923" s="4">
        <f>CHOOSE( CONTROL!$C$32, 44.0887, 44.0839) * CHOOSE(CONTROL!$C$15, $D$11, 100%, $F$11)</f>
        <v>44.088700000000003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42.1195, 42.1146) * CHOOSE(CONTROL!$C$15, $D$11, 100%, $F$11)</f>
        <v>42.119500000000002</v>
      </c>
      <c r="C924" s="8">
        <f>CHOOSE( CONTROL!$C$32, 42.1275, 42.1226) * CHOOSE(CONTROL!$C$15, $D$11, 100%, $F$11)</f>
        <v>42.127499999999998</v>
      </c>
      <c r="D924" s="8">
        <f>CHOOSE( CONTROL!$C$32, 42.1373, 42.1325) * CHOOSE( CONTROL!$C$15, $D$11, 100%, $F$11)</f>
        <v>42.137300000000003</v>
      </c>
      <c r="E924" s="12">
        <f>CHOOSE( CONTROL!$C$32, 42.1325, 42.1277) * CHOOSE( CONTROL!$C$15, $D$11, 100%, $F$11)</f>
        <v>42.1325</v>
      </c>
      <c r="F924" s="4">
        <f>CHOOSE( CONTROL!$C$32, 42.8104, 42.8055) * CHOOSE(CONTROL!$C$15, $D$11, 100%, $F$11)</f>
        <v>42.810400000000001</v>
      </c>
      <c r="G924" s="8">
        <f>CHOOSE( CONTROL!$C$32, 41.3927, 41.3879) * CHOOSE( CONTROL!$C$15, $D$11, 100%, $F$11)</f>
        <v>41.392699999999998</v>
      </c>
      <c r="H924" s="4">
        <f>CHOOSE( CONTROL!$C$32, 42.3293, 42.3245) * CHOOSE(CONTROL!$C$15, $D$11, 100%, $F$11)</f>
        <v>42.329300000000003</v>
      </c>
      <c r="I924" s="8">
        <f>CHOOSE( CONTROL!$C$32, 40.8032, 40.7985) * CHOOSE(CONTROL!$C$15, $D$11, 100%, $F$11)</f>
        <v>40.803199999999997</v>
      </c>
      <c r="J924" s="4">
        <f>CHOOSE( CONTROL!$C$32, 40.6857, 40.681) * CHOOSE(CONTROL!$C$15, $D$11, 100%, $F$11)</f>
        <v>40.685699999999997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41.238, 41.2331) * CHOOSE(CONTROL!$C$15, $D$11, 100%, $F$11)</f>
        <v>41.238</v>
      </c>
      <c r="C925" s="8">
        <f>CHOOSE( CONTROL!$C$32, 41.246, 41.2411) * CHOOSE(CONTROL!$C$15, $D$11, 100%, $F$11)</f>
        <v>41.246000000000002</v>
      </c>
      <c r="D925" s="8">
        <f>CHOOSE( CONTROL!$C$32, 41.2558, 41.2509) * CHOOSE( CONTROL!$C$15, $D$11, 100%, $F$11)</f>
        <v>41.255800000000001</v>
      </c>
      <c r="E925" s="12">
        <f>CHOOSE( CONTROL!$C$32, 41.251, 41.2461) * CHOOSE( CONTROL!$C$15, $D$11, 100%, $F$11)</f>
        <v>41.250999999999998</v>
      </c>
      <c r="F925" s="4">
        <f>CHOOSE( CONTROL!$C$32, 41.9289, 41.924) * CHOOSE(CONTROL!$C$15, $D$11, 100%, $F$11)</f>
        <v>41.928899999999999</v>
      </c>
      <c r="G925" s="8">
        <f>CHOOSE( CONTROL!$C$32, 40.5258, 40.521) * CHOOSE( CONTROL!$C$15, $D$11, 100%, $F$11)</f>
        <v>40.525799999999997</v>
      </c>
      <c r="H925" s="4">
        <f>CHOOSE( CONTROL!$C$32, 41.4624, 41.4576) * CHOOSE(CONTROL!$C$15, $D$11, 100%, $F$11)</f>
        <v>41.462400000000002</v>
      </c>
      <c r="I925" s="8">
        <f>CHOOSE( CONTROL!$C$32, 39.9505, 39.9457) * CHOOSE(CONTROL!$C$15, $D$11, 100%, $F$11)</f>
        <v>39.950499999999998</v>
      </c>
      <c r="J925" s="4">
        <f>CHOOSE( CONTROL!$C$32, 39.8336, 39.8288) * CHOOSE(CONTROL!$C$15, $D$11, 100%, $F$11)</f>
        <v>39.833599999999997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43.0617 * CHOOSE(CONTROL!$C$15, $D$11, 100%, $F$11)</f>
        <v>43.061700000000002</v>
      </c>
      <c r="C926" s="8">
        <f>43.0671 * CHOOSE(CONTROL!$C$15, $D$11, 100%, $F$11)</f>
        <v>43.067100000000003</v>
      </c>
      <c r="D926" s="8">
        <f>43.0816 * CHOOSE( CONTROL!$C$15, $D$11, 100%, $F$11)</f>
        <v>43.081600000000002</v>
      </c>
      <c r="E926" s="12">
        <f>43.0762 * CHOOSE( CONTROL!$C$15, $D$11, 100%, $F$11)</f>
        <v>43.0762</v>
      </c>
      <c r="F926" s="4">
        <f>43.7543 * CHOOSE(CONTROL!$C$15, $D$11, 100%, $F$11)</f>
        <v>43.754300000000001</v>
      </c>
      <c r="G926" s="8">
        <f>42.3202 * CHOOSE( CONTROL!$C$15, $D$11, 100%, $F$11)</f>
        <v>42.3202</v>
      </c>
      <c r="H926" s="4">
        <f>43.2575 * CHOOSE(CONTROL!$C$15, $D$11, 100%, $F$11)</f>
        <v>43.2575</v>
      </c>
      <c r="I926" s="8">
        <f>41.7168 * CHOOSE(CONTROL!$C$15, $D$11, 100%, $F$11)</f>
        <v>41.716799999999999</v>
      </c>
      <c r="J926" s="4">
        <f>41.5982 * CHOOSE(CONTROL!$C$15, $D$11, 100%, $F$11)</f>
        <v>41.598199999999999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46.4396 * CHOOSE(CONTROL!$C$15, $D$11, 100%, $F$11)</f>
        <v>46.439599999999999</v>
      </c>
      <c r="C927" s="8">
        <f>46.4447 * CHOOSE(CONTROL!$C$15, $D$11, 100%, $F$11)</f>
        <v>46.444699999999997</v>
      </c>
      <c r="D927" s="8">
        <f>46.4217 * CHOOSE( CONTROL!$C$15, $D$11, 100%, $F$11)</f>
        <v>46.421700000000001</v>
      </c>
      <c r="E927" s="12">
        <f>46.4296 * CHOOSE( CONTROL!$C$15, $D$11, 100%, $F$11)</f>
        <v>46.429600000000001</v>
      </c>
      <c r="F927" s="4">
        <f>47.0845 * CHOOSE(CONTROL!$C$15, $D$11, 100%, $F$11)</f>
        <v>47.084499999999998</v>
      </c>
      <c r="G927" s="8">
        <f>45.6505 * CHOOSE( CONTROL!$C$15, $D$11, 100%, $F$11)</f>
        <v>45.650500000000001</v>
      </c>
      <c r="H927" s="4">
        <f>46.5325 * CHOOSE(CONTROL!$C$15, $D$11, 100%, $F$11)</f>
        <v>46.532499999999999</v>
      </c>
      <c r="I927" s="8">
        <f>45.0089 * CHOOSE(CONTROL!$C$15, $D$11, 100%, $F$11)</f>
        <v>45.008899999999997</v>
      </c>
      <c r="J927" s="4">
        <f>44.864 * CHOOSE(CONTROL!$C$15, $D$11, 100%, $F$11)</f>
        <v>44.863999999999997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46.3552 * CHOOSE(CONTROL!$C$15, $D$11, 100%, $F$11)</f>
        <v>46.355200000000004</v>
      </c>
      <c r="C928" s="8">
        <f>46.3603 * CHOOSE(CONTROL!$C$15, $D$11, 100%, $F$11)</f>
        <v>46.360300000000002</v>
      </c>
      <c r="D928" s="8">
        <f>46.3388 * CHOOSE( CONTROL!$C$15, $D$11, 100%, $F$11)</f>
        <v>46.338799999999999</v>
      </c>
      <c r="E928" s="12">
        <f>46.3461 * CHOOSE( CONTROL!$C$15, $D$11, 100%, $F$11)</f>
        <v>46.3461</v>
      </c>
      <c r="F928" s="4">
        <f>47.0001 * CHOOSE(CONTROL!$C$15, $D$11, 100%, $F$11)</f>
        <v>47.000100000000003</v>
      </c>
      <c r="G928" s="8">
        <f>45.5686 * CHOOSE( CONTROL!$C$15, $D$11, 100%, $F$11)</f>
        <v>45.568600000000004</v>
      </c>
      <c r="H928" s="4">
        <f>46.4495 * CHOOSE(CONTROL!$C$15, $D$11, 100%, $F$11)</f>
        <v>46.4495</v>
      </c>
      <c r="I928" s="8">
        <f>44.9323 * CHOOSE(CONTROL!$C$15, $D$11, 100%, $F$11)</f>
        <v>44.932299999999998</v>
      </c>
      <c r="J928" s="4">
        <f>44.7824 * CHOOSE(CONTROL!$C$15, $D$11, 100%, $F$11)</f>
        <v>44.782400000000003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48.1257 * CHOOSE(CONTROL!$C$15, $D$11, 100%, $F$11)</f>
        <v>48.125700000000002</v>
      </c>
      <c r="C929" s="8">
        <f>48.1308 * CHOOSE(CONTROL!$C$15, $D$11, 100%, $F$11)</f>
        <v>48.130800000000001</v>
      </c>
      <c r="D929" s="8">
        <f>48.1054 * CHOOSE( CONTROL!$C$15, $D$11, 100%, $F$11)</f>
        <v>48.105400000000003</v>
      </c>
      <c r="E929" s="12">
        <f>48.1141 * CHOOSE( CONTROL!$C$15, $D$11, 100%, $F$11)</f>
        <v>48.114100000000001</v>
      </c>
      <c r="F929" s="4">
        <f>48.768 * CHOOSE(CONTROL!$C$15, $D$11, 100%, $F$11)</f>
        <v>48.768000000000001</v>
      </c>
      <c r="G929" s="8">
        <f>47.3045 * CHOOSE( CONTROL!$C$15, $D$11, 100%, $F$11)</f>
        <v>47.304499999999997</v>
      </c>
      <c r="H929" s="4">
        <f>48.1881 * CHOOSE(CONTROL!$C$15, $D$11, 100%, $F$11)</f>
        <v>48.188099999999999</v>
      </c>
      <c r="I929" s="8">
        <f>46.6249 * CHOOSE(CONTROL!$C$15, $D$11, 100%, $F$11)</f>
        <v>46.624899999999997</v>
      </c>
      <c r="J929" s="4">
        <f>46.494 * CHOOSE(CONTROL!$C$15, $D$11, 100%, $F$11)</f>
        <v>46.494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45.0164 * CHOOSE(CONTROL!$C$15, $D$11, 100%, $F$11)</f>
        <v>45.016399999999997</v>
      </c>
      <c r="C930" s="8">
        <f>45.0216 * CHOOSE(CONTROL!$C$15, $D$11, 100%, $F$11)</f>
        <v>45.021599999999999</v>
      </c>
      <c r="D930" s="8">
        <f>44.9962 * CHOOSE( CONTROL!$C$15, $D$11, 100%, $F$11)</f>
        <v>44.996200000000002</v>
      </c>
      <c r="E930" s="12">
        <f>45.0049 * CHOOSE( CONTROL!$C$15, $D$11, 100%, $F$11)</f>
        <v>45.004899999999999</v>
      </c>
      <c r="F930" s="4">
        <f>45.6587 * CHOOSE(CONTROL!$C$15, $D$11, 100%, $F$11)</f>
        <v>45.658700000000003</v>
      </c>
      <c r="G930" s="8">
        <f>44.2468 * CHOOSE( CONTROL!$C$15, $D$11, 100%, $F$11)</f>
        <v>44.2468</v>
      </c>
      <c r="H930" s="4">
        <f>45.1304 * CHOOSE(CONTROL!$C$15, $D$11, 100%, $F$11)</f>
        <v>45.130400000000002</v>
      </c>
      <c r="I930" s="8">
        <f>43.618 * CHOOSE(CONTROL!$C$15, $D$11, 100%, $F$11)</f>
        <v>43.618000000000002</v>
      </c>
      <c r="J930" s="4">
        <f>43.4882 * CHOOSE(CONTROL!$C$15, $D$11, 100%, $F$11)</f>
        <v>43.488199999999999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44.0588 * CHOOSE(CONTROL!$C$15, $D$11, 100%, $F$11)</f>
        <v>44.058799999999998</v>
      </c>
      <c r="C931" s="8">
        <f>44.0639 * CHOOSE(CONTROL!$C$15, $D$11, 100%, $F$11)</f>
        <v>44.063899999999997</v>
      </c>
      <c r="D931" s="8">
        <f>44.0383 * CHOOSE( CONTROL!$C$15, $D$11, 100%, $F$11)</f>
        <v>44.0383</v>
      </c>
      <c r="E931" s="12">
        <f>44.0471 * CHOOSE( CONTROL!$C$15, $D$11, 100%, $F$11)</f>
        <v>44.0471</v>
      </c>
      <c r="F931" s="4">
        <f>44.7011 * CHOOSE(CONTROL!$C$15, $D$11, 100%, $F$11)</f>
        <v>44.701099999999997</v>
      </c>
      <c r="G931" s="8">
        <f>43.3048 * CHOOSE( CONTROL!$C$15, $D$11, 100%, $F$11)</f>
        <v>43.3048</v>
      </c>
      <c r="H931" s="4">
        <f>44.1886 * CHOOSE(CONTROL!$C$15, $D$11, 100%, $F$11)</f>
        <v>44.188600000000001</v>
      </c>
      <c r="I931" s="8">
        <f>42.6909 * CHOOSE(CONTROL!$C$15, $D$11, 100%, $F$11)</f>
        <v>42.690899999999999</v>
      </c>
      <c r="J931" s="4">
        <f>42.5625 * CHOOSE(CONTROL!$C$15, $D$11, 100%, $F$11)</f>
        <v>42.5625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44.7287 * CHOOSE(CONTROL!$C$15, $D$11, 100%, $F$11)</f>
        <v>44.728700000000003</v>
      </c>
      <c r="C932" s="8">
        <f>44.7333 * CHOOSE(CONTROL!$C$15, $D$11, 100%, $F$11)</f>
        <v>44.7333</v>
      </c>
      <c r="D932" s="8">
        <f>44.7476 * CHOOSE( CONTROL!$C$15, $D$11, 100%, $F$11)</f>
        <v>44.747599999999998</v>
      </c>
      <c r="E932" s="12">
        <f>44.7424 * CHOOSE( CONTROL!$C$15, $D$11, 100%, $F$11)</f>
        <v>44.742400000000004</v>
      </c>
      <c r="F932" s="4">
        <f>45.421 * CHOOSE(CONTROL!$C$15, $D$11, 100%, $F$11)</f>
        <v>45.420999999999999</v>
      </c>
      <c r="G932" s="8">
        <f>43.9581 * CHOOSE( CONTROL!$C$15, $D$11, 100%, $F$11)</f>
        <v>43.958100000000002</v>
      </c>
      <c r="H932" s="4">
        <f>44.8966 * CHOOSE(CONTROL!$C$15, $D$11, 100%, $F$11)</f>
        <v>44.896599999999999</v>
      </c>
      <c r="I932" s="8">
        <f>43.3253 * CHOOSE(CONTROL!$C$15, $D$11, 100%, $F$11)</f>
        <v>43.325299999999999</v>
      </c>
      <c r="J932" s="4">
        <f>43.2094 * CHOOSE(CONTROL!$C$15, $D$11, 100%, $F$11)</f>
        <v>43.209400000000002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45.926, 45.9211) * CHOOSE(CONTROL!$C$15, $D$11, 100%, $F$11)</f>
        <v>45.926000000000002</v>
      </c>
      <c r="C933" s="8">
        <f>CHOOSE( CONTROL!$C$32, 45.934, 45.9291) * CHOOSE(CONTROL!$C$15, $D$11, 100%, $F$11)</f>
        <v>45.933999999999997</v>
      </c>
      <c r="D933" s="8">
        <f>CHOOSE( CONTROL!$C$32, 45.9433, 45.9384) * CHOOSE( CONTROL!$C$15, $D$11, 100%, $F$11)</f>
        <v>45.943300000000001</v>
      </c>
      <c r="E933" s="12">
        <f>CHOOSE( CONTROL!$C$32, 45.9387, 45.9338) * CHOOSE( CONTROL!$C$15, $D$11, 100%, $F$11)</f>
        <v>45.938699999999997</v>
      </c>
      <c r="F933" s="4">
        <f>CHOOSE( CONTROL!$C$32, 46.6168, 46.612) * CHOOSE(CONTROL!$C$15, $D$11, 100%, $F$11)</f>
        <v>46.616799999999998</v>
      </c>
      <c r="G933" s="8">
        <f>CHOOSE( CONTROL!$C$32, 45.1353, 45.1305) * CHOOSE( CONTROL!$C$15, $D$11, 100%, $F$11)</f>
        <v>45.135300000000001</v>
      </c>
      <c r="H933" s="4">
        <f>CHOOSE( CONTROL!$C$32, 46.0726, 46.0678) * CHOOSE(CONTROL!$C$15, $D$11, 100%, $F$11)</f>
        <v>46.072600000000001</v>
      </c>
      <c r="I933" s="8">
        <f>CHOOSE( CONTROL!$C$32, 44.4823, 44.4776) * CHOOSE(CONTROL!$C$15, $D$11, 100%, $F$11)</f>
        <v>44.482300000000002</v>
      </c>
      <c r="J933" s="4">
        <f>CHOOSE( CONTROL!$C$32, 44.3654, 44.3607) * CHOOSE(CONTROL!$C$15, $D$11, 100%, $F$11)</f>
        <v>44.365400000000001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45.1882, 45.1833) * CHOOSE(CONTROL!$C$15, $D$11, 100%, $F$11)</f>
        <v>45.188200000000002</v>
      </c>
      <c r="C934" s="8">
        <f>CHOOSE( CONTROL!$C$32, 45.1962, 45.1913) * CHOOSE(CONTROL!$C$15, $D$11, 100%, $F$11)</f>
        <v>45.196199999999997</v>
      </c>
      <c r="D934" s="8">
        <f>CHOOSE( CONTROL!$C$32, 45.2057, 45.2009) * CHOOSE( CONTROL!$C$15, $D$11, 100%, $F$11)</f>
        <v>45.2057</v>
      </c>
      <c r="E934" s="12">
        <f>CHOOSE( CONTROL!$C$32, 45.201, 45.1962) * CHOOSE( CONTROL!$C$15, $D$11, 100%, $F$11)</f>
        <v>45.201000000000001</v>
      </c>
      <c r="F934" s="4">
        <f>CHOOSE( CONTROL!$C$32, 45.8791, 45.8742) * CHOOSE(CONTROL!$C$15, $D$11, 100%, $F$11)</f>
        <v>45.879100000000001</v>
      </c>
      <c r="G934" s="8">
        <f>CHOOSE( CONTROL!$C$32, 44.4101, 44.4053) * CHOOSE( CONTROL!$C$15, $D$11, 100%, $F$11)</f>
        <v>44.4101</v>
      </c>
      <c r="H934" s="4">
        <f>CHOOSE( CONTROL!$C$32, 45.3471, 45.3423) * CHOOSE(CONTROL!$C$15, $D$11, 100%, $F$11)</f>
        <v>45.347099999999998</v>
      </c>
      <c r="I934" s="8">
        <f>CHOOSE( CONTROL!$C$32, 43.7698, 43.7651) * CHOOSE(CONTROL!$C$15, $D$11, 100%, $F$11)</f>
        <v>43.769799999999996</v>
      </c>
      <c r="J934" s="4">
        <f>CHOOSE( CONTROL!$C$32, 43.6522, 43.6475) * CHOOSE(CONTROL!$C$15, $D$11, 100%, $F$11)</f>
        <v>43.652200000000001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47.1311, 47.1262) * CHOOSE(CONTROL!$C$15, $D$11, 100%, $F$11)</f>
        <v>47.131100000000004</v>
      </c>
      <c r="C935" s="8">
        <f>CHOOSE( CONTROL!$C$32, 47.1391, 47.1342) * CHOOSE(CONTROL!$C$15, $D$11, 100%, $F$11)</f>
        <v>47.139099999999999</v>
      </c>
      <c r="D935" s="8">
        <f>CHOOSE( CONTROL!$C$32, 47.1488, 47.1439) * CHOOSE( CONTROL!$C$15, $D$11, 100%, $F$11)</f>
        <v>47.148800000000001</v>
      </c>
      <c r="E935" s="12">
        <f>CHOOSE( CONTROL!$C$32, 47.1441, 47.1392) * CHOOSE( CONTROL!$C$15, $D$11, 100%, $F$11)</f>
        <v>47.144100000000002</v>
      </c>
      <c r="F935" s="4">
        <f>CHOOSE( CONTROL!$C$32, 47.8219, 47.817) * CHOOSE(CONTROL!$C$15, $D$11, 100%, $F$11)</f>
        <v>47.821899999999999</v>
      </c>
      <c r="G935" s="8">
        <f>CHOOSE( CONTROL!$C$32, 46.3211, 46.3163) * CHOOSE( CONTROL!$C$15, $D$11, 100%, $F$11)</f>
        <v>46.321100000000001</v>
      </c>
      <c r="H935" s="4">
        <f>CHOOSE( CONTROL!$C$32, 47.2577, 47.2529) * CHOOSE(CONTROL!$C$15, $D$11, 100%, $F$11)</f>
        <v>47.2577</v>
      </c>
      <c r="I935" s="8">
        <f>CHOOSE( CONTROL!$C$32, 45.65, 45.6452) * CHOOSE(CONTROL!$C$15, $D$11, 100%, $F$11)</f>
        <v>45.65</v>
      </c>
      <c r="J935" s="4">
        <f>CHOOSE( CONTROL!$C$32, 45.5304, 45.5256) * CHOOSE(CONTROL!$C$15, $D$11, 100%, $F$11)</f>
        <v>45.5304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43.4958, 43.4909) * CHOOSE(CONTROL!$C$15, $D$11, 100%, $F$11)</f>
        <v>43.495800000000003</v>
      </c>
      <c r="C936" s="8">
        <f>CHOOSE( CONTROL!$C$32, 43.5038, 43.4989) * CHOOSE(CONTROL!$C$15, $D$11, 100%, $F$11)</f>
        <v>43.503799999999998</v>
      </c>
      <c r="D936" s="8">
        <f>CHOOSE( CONTROL!$C$32, 43.5136, 43.5087) * CHOOSE( CONTROL!$C$15, $D$11, 100%, $F$11)</f>
        <v>43.513599999999997</v>
      </c>
      <c r="E936" s="12">
        <f>CHOOSE( CONTROL!$C$32, 43.5088, 43.5039) * CHOOSE( CONTROL!$C$15, $D$11, 100%, $F$11)</f>
        <v>43.508800000000001</v>
      </c>
      <c r="F936" s="4">
        <f>CHOOSE( CONTROL!$C$32, 44.1866, 44.1817) * CHOOSE(CONTROL!$C$15, $D$11, 100%, $F$11)</f>
        <v>44.186599999999999</v>
      </c>
      <c r="G936" s="8">
        <f>CHOOSE( CONTROL!$C$32, 42.7462, 42.7414) * CHOOSE( CONTROL!$C$15, $D$11, 100%, $F$11)</f>
        <v>42.746200000000002</v>
      </c>
      <c r="H936" s="4">
        <f>CHOOSE( CONTROL!$C$32, 43.6827, 43.6779) * CHOOSE(CONTROL!$C$15, $D$11, 100%, $F$11)</f>
        <v>43.682699999999997</v>
      </c>
      <c r="I936" s="8">
        <f>CHOOSE( CONTROL!$C$32, 42.1343, 42.1296) * CHOOSE(CONTROL!$C$15, $D$11, 100%, $F$11)</f>
        <v>42.134300000000003</v>
      </c>
      <c r="J936" s="4">
        <f>CHOOSE( CONTROL!$C$32, 42.0161, 42.0114) * CHOOSE(CONTROL!$C$15, $D$11, 100%, $F$11)</f>
        <v>42.016100000000002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42.5854, 42.5806) * CHOOSE(CONTROL!$C$15, $D$11, 100%, $F$11)</f>
        <v>42.5854</v>
      </c>
      <c r="C937" s="8">
        <f>CHOOSE( CONTROL!$C$32, 42.5935, 42.5886) * CHOOSE(CONTROL!$C$15, $D$11, 100%, $F$11)</f>
        <v>42.593499999999999</v>
      </c>
      <c r="D937" s="8">
        <f>CHOOSE( CONTROL!$C$32, 42.6032, 42.5983) * CHOOSE( CONTROL!$C$15, $D$11, 100%, $F$11)</f>
        <v>42.603200000000001</v>
      </c>
      <c r="E937" s="12">
        <f>CHOOSE( CONTROL!$C$32, 42.5985, 42.5936) * CHOOSE( CONTROL!$C$15, $D$11, 100%, $F$11)</f>
        <v>42.598500000000001</v>
      </c>
      <c r="F937" s="4">
        <f>CHOOSE( CONTROL!$C$32, 43.2763, 43.2714) * CHOOSE(CONTROL!$C$15, $D$11, 100%, $F$11)</f>
        <v>43.276299999999999</v>
      </c>
      <c r="G937" s="8">
        <f>CHOOSE( CONTROL!$C$32, 41.8509, 41.8461) * CHOOSE( CONTROL!$C$15, $D$11, 100%, $F$11)</f>
        <v>41.850900000000003</v>
      </c>
      <c r="H937" s="4">
        <f>CHOOSE( CONTROL!$C$32, 42.7875, 42.7827) * CHOOSE(CONTROL!$C$15, $D$11, 100%, $F$11)</f>
        <v>42.787500000000001</v>
      </c>
      <c r="I937" s="8">
        <f>CHOOSE( CONTROL!$C$32, 41.2537, 41.2489) * CHOOSE(CONTROL!$C$15, $D$11, 100%, $F$11)</f>
        <v>41.253700000000002</v>
      </c>
      <c r="J937" s="4">
        <f>CHOOSE( CONTROL!$C$32, 41.1361, 41.1314) * CHOOSE(CONTROL!$C$15, $D$11, 100%, $F$11)</f>
        <v>41.136099999999999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44.469 * CHOOSE(CONTROL!$C$15, $D$11, 100%, $F$11)</f>
        <v>44.469000000000001</v>
      </c>
      <c r="C938" s="8">
        <f>44.4743 * CHOOSE(CONTROL!$C$15, $D$11, 100%, $F$11)</f>
        <v>44.474299999999999</v>
      </c>
      <c r="D938" s="8">
        <f>44.4889 * CHOOSE( CONTROL!$C$15, $D$11, 100%, $F$11)</f>
        <v>44.488900000000001</v>
      </c>
      <c r="E938" s="12">
        <f>44.4835 * CHOOSE( CONTROL!$C$15, $D$11, 100%, $F$11)</f>
        <v>44.483499999999999</v>
      </c>
      <c r="F938" s="4">
        <f>45.1616 * CHOOSE(CONTROL!$C$15, $D$11, 100%, $F$11)</f>
        <v>45.1616</v>
      </c>
      <c r="G938" s="8">
        <f>43.7041 * CHOOSE( CONTROL!$C$15, $D$11, 100%, $F$11)</f>
        <v>43.704099999999997</v>
      </c>
      <c r="H938" s="4">
        <f>44.6415 * CHOOSE(CONTROL!$C$15, $D$11, 100%, $F$11)</f>
        <v>44.641500000000001</v>
      </c>
      <c r="I938" s="8">
        <f>43.0779 * CHOOSE(CONTROL!$C$15, $D$11, 100%, $F$11)</f>
        <v>43.0779</v>
      </c>
      <c r="J938" s="4">
        <f>42.9586 * CHOOSE(CONTROL!$C$15, $D$11, 100%, $F$11)</f>
        <v>42.958599999999997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47.9574 * CHOOSE(CONTROL!$C$15, $D$11, 100%, $F$11)</f>
        <v>47.9574</v>
      </c>
      <c r="C939" s="8">
        <f>47.9625 * CHOOSE(CONTROL!$C$15, $D$11, 100%, $F$11)</f>
        <v>47.962499999999999</v>
      </c>
      <c r="D939" s="8">
        <f>47.9395 * CHOOSE( CONTROL!$C$15, $D$11, 100%, $F$11)</f>
        <v>47.939500000000002</v>
      </c>
      <c r="E939" s="12">
        <f>47.9474 * CHOOSE( CONTROL!$C$15, $D$11, 100%, $F$11)</f>
        <v>47.947400000000002</v>
      </c>
      <c r="F939" s="4">
        <f>48.6023 * CHOOSE(CONTROL!$C$15, $D$11, 100%, $F$11)</f>
        <v>48.6023</v>
      </c>
      <c r="G939" s="8">
        <f>47.1431 * CHOOSE( CONTROL!$C$15, $D$11, 100%, $F$11)</f>
        <v>47.143099999999997</v>
      </c>
      <c r="H939" s="4">
        <f>48.0251 * CHOOSE(CONTROL!$C$15, $D$11, 100%, $F$11)</f>
        <v>48.025100000000002</v>
      </c>
      <c r="I939" s="8">
        <f>46.4769 * CHOOSE(CONTROL!$C$15, $D$11, 100%, $F$11)</f>
        <v>46.476900000000001</v>
      </c>
      <c r="J939" s="4">
        <f>46.3312 * CHOOSE(CONTROL!$C$15, $D$11, 100%, $F$11)</f>
        <v>46.331200000000003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47.8702 * CHOOSE(CONTROL!$C$15, $D$11, 100%, $F$11)</f>
        <v>47.870199999999997</v>
      </c>
      <c r="C940" s="8">
        <f>47.8753 * CHOOSE(CONTROL!$C$15, $D$11, 100%, $F$11)</f>
        <v>47.875300000000003</v>
      </c>
      <c r="D940" s="8">
        <f>47.8538 * CHOOSE( CONTROL!$C$15, $D$11, 100%, $F$11)</f>
        <v>47.8538</v>
      </c>
      <c r="E940" s="12">
        <f>47.8611 * CHOOSE( CONTROL!$C$15, $D$11, 100%, $F$11)</f>
        <v>47.8611</v>
      </c>
      <c r="F940" s="4">
        <f>48.5151 * CHOOSE(CONTROL!$C$15, $D$11, 100%, $F$11)</f>
        <v>48.515099999999997</v>
      </c>
      <c r="G940" s="8">
        <f>47.0585 * CHOOSE( CONTROL!$C$15, $D$11, 100%, $F$11)</f>
        <v>47.058500000000002</v>
      </c>
      <c r="H940" s="4">
        <f>47.9394 * CHOOSE(CONTROL!$C$15, $D$11, 100%, $F$11)</f>
        <v>47.939399999999999</v>
      </c>
      <c r="I940" s="8">
        <f>46.3975 * CHOOSE(CONTROL!$C$15, $D$11, 100%, $F$11)</f>
        <v>46.397500000000001</v>
      </c>
      <c r="J940" s="4">
        <f>46.247 * CHOOSE(CONTROL!$C$15, $D$11, 100%, $F$11)</f>
        <v>46.247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49.6986 * CHOOSE(CONTROL!$C$15, $D$11, 100%, $F$11)</f>
        <v>49.698599999999999</v>
      </c>
      <c r="C941" s="8">
        <f>49.7038 * CHOOSE(CONTROL!$C$15, $D$11, 100%, $F$11)</f>
        <v>49.703800000000001</v>
      </c>
      <c r="D941" s="8">
        <f>49.6783 * CHOOSE( CONTROL!$C$15, $D$11, 100%, $F$11)</f>
        <v>49.6783</v>
      </c>
      <c r="E941" s="12">
        <f>49.6871 * CHOOSE( CONTROL!$C$15, $D$11, 100%, $F$11)</f>
        <v>49.687100000000001</v>
      </c>
      <c r="F941" s="4">
        <f>50.3409 * CHOOSE(CONTROL!$C$15, $D$11, 100%, $F$11)</f>
        <v>50.340899999999998</v>
      </c>
      <c r="G941" s="8">
        <f>48.8513 * CHOOSE( CONTROL!$C$15, $D$11, 100%, $F$11)</f>
        <v>48.851300000000002</v>
      </c>
      <c r="H941" s="4">
        <f>49.735 * CHOOSE(CONTROL!$C$15, $D$11, 100%, $F$11)</f>
        <v>49.734999999999999</v>
      </c>
      <c r="I941" s="8">
        <f>48.1462 * CHOOSE(CONTROL!$C$15, $D$11, 100%, $F$11)</f>
        <v>48.1462</v>
      </c>
      <c r="J941" s="4">
        <f>48.0145 * CHOOSE(CONTROL!$C$15, $D$11, 100%, $F$11)</f>
        <v>48.014499999999998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46.4877 * CHOOSE(CONTROL!$C$15, $D$11, 100%, $F$11)</f>
        <v>46.487699999999997</v>
      </c>
      <c r="C942" s="8">
        <f>46.4928 * CHOOSE(CONTROL!$C$15, $D$11, 100%, $F$11)</f>
        <v>46.492800000000003</v>
      </c>
      <c r="D942" s="8">
        <f>46.4674 * CHOOSE( CONTROL!$C$15, $D$11, 100%, $F$11)</f>
        <v>46.467399999999998</v>
      </c>
      <c r="E942" s="12">
        <f>46.4761 * CHOOSE( CONTROL!$C$15, $D$11, 100%, $F$11)</f>
        <v>46.476100000000002</v>
      </c>
      <c r="F942" s="4">
        <f>47.13 * CHOOSE(CONTROL!$C$15, $D$11, 100%, $F$11)</f>
        <v>47.13</v>
      </c>
      <c r="G942" s="8">
        <f>45.6936 * CHOOSE( CONTROL!$C$15, $D$11, 100%, $F$11)</f>
        <v>45.693600000000004</v>
      </c>
      <c r="H942" s="4">
        <f>46.5772 * CHOOSE(CONTROL!$C$15, $D$11, 100%, $F$11)</f>
        <v>46.577199999999998</v>
      </c>
      <c r="I942" s="8">
        <f>45.0409 * CHOOSE(CONTROL!$C$15, $D$11, 100%, $F$11)</f>
        <v>45.040900000000001</v>
      </c>
      <c r="J942" s="4">
        <f>44.9104 * CHOOSE(CONTROL!$C$15, $D$11, 100%, $F$11)</f>
        <v>44.910400000000003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45.4987 * CHOOSE(CONTROL!$C$15, $D$11, 100%, $F$11)</f>
        <v>45.498699999999999</v>
      </c>
      <c r="C943" s="8">
        <f>45.5038 * CHOOSE(CONTROL!$C$15, $D$11, 100%, $F$11)</f>
        <v>45.503799999999998</v>
      </c>
      <c r="D943" s="8">
        <f>45.4782 * CHOOSE( CONTROL!$C$15, $D$11, 100%, $F$11)</f>
        <v>45.478200000000001</v>
      </c>
      <c r="E943" s="12">
        <f>45.487 * CHOOSE( CONTROL!$C$15, $D$11, 100%, $F$11)</f>
        <v>45.487000000000002</v>
      </c>
      <c r="F943" s="4">
        <f>46.141 * CHOOSE(CONTROL!$C$15, $D$11, 100%, $F$11)</f>
        <v>46.140999999999998</v>
      </c>
      <c r="G943" s="8">
        <f>44.7208 * CHOOSE( CONTROL!$C$15, $D$11, 100%, $F$11)</f>
        <v>44.720799999999997</v>
      </c>
      <c r="H943" s="4">
        <f>45.6046 * CHOOSE(CONTROL!$C$15, $D$11, 100%, $F$11)</f>
        <v>45.604599999999998</v>
      </c>
      <c r="I943" s="8">
        <f>44.0836 * CHOOSE(CONTROL!$C$15, $D$11, 100%, $F$11)</f>
        <v>44.083599999999997</v>
      </c>
      <c r="J943" s="4">
        <f>43.9544 * CHOOSE(CONTROL!$C$15, $D$11, 100%, $F$11)</f>
        <v>43.9544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46.1905 * CHOOSE(CONTROL!$C$15, $D$11, 100%, $F$11)</f>
        <v>46.1905</v>
      </c>
      <c r="C944" s="8">
        <f>46.1951 * CHOOSE(CONTROL!$C$15, $D$11, 100%, $F$11)</f>
        <v>46.195099999999996</v>
      </c>
      <c r="D944" s="8">
        <f>46.2094 * CHOOSE( CONTROL!$C$15, $D$11, 100%, $F$11)</f>
        <v>46.209400000000002</v>
      </c>
      <c r="E944" s="12">
        <f>46.2042 * CHOOSE( CONTROL!$C$15, $D$11, 100%, $F$11)</f>
        <v>46.2042</v>
      </c>
      <c r="F944" s="4">
        <f>46.8827 * CHOOSE(CONTROL!$C$15, $D$11, 100%, $F$11)</f>
        <v>46.8827</v>
      </c>
      <c r="G944" s="8">
        <f>45.3957 * CHOOSE( CONTROL!$C$15, $D$11, 100%, $F$11)</f>
        <v>45.395699999999998</v>
      </c>
      <c r="H944" s="4">
        <f>46.3341 * CHOOSE(CONTROL!$C$15, $D$11, 100%, $F$11)</f>
        <v>46.334099999999999</v>
      </c>
      <c r="I944" s="8">
        <f>44.7391 * CHOOSE(CONTROL!$C$15, $D$11, 100%, $F$11)</f>
        <v>44.739100000000001</v>
      </c>
      <c r="J944" s="4">
        <f>44.6225 * CHOOSE(CONTROL!$C$15, $D$11, 100%, $F$11)</f>
        <v>44.622500000000002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47.4267, 47.4218) * CHOOSE(CONTROL!$C$15, $D$11, 100%, $F$11)</f>
        <v>47.426699999999997</v>
      </c>
      <c r="C945" s="8">
        <f>CHOOSE( CONTROL!$C$32, 47.4347, 47.4298) * CHOOSE(CONTROL!$C$15, $D$11, 100%, $F$11)</f>
        <v>47.434699999999999</v>
      </c>
      <c r="D945" s="8">
        <f>CHOOSE( CONTROL!$C$32, 47.444, 47.4392) * CHOOSE( CONTROL!$C$15, $D$11, 100%, $F$11)</f>
        <v>47.444000000000003</v>
      </c>
      <c r="E945" s="12">
        <f>CHOOSE( CONTROL!$C$32, 47.4394, 47.4346) * CHOOSE( CONTROL!$C$15, $D$11, 100%, $F$11)</f>
        <v>47.439399999999999</v>
      </c>
      <c r="F945" s="4">
        <f>CHOOSE( CONTROL!$C$32, 48.1176, 48.1127) * CHOOSE(CONTROL!$C$15, $D$11, 100%, $F$11)</f>
        <v>48.117600000000003</v>
      </c>
      <c r="G945" s="8">
        <f>CHOOSE( CONTROL!$C$32, 46.6112, 46.6064) * CHOOSE( CONTROL!$C$15, $D$11, 100%, $F$11)</f>
        <v>46.611199999999997</v>
      </c>
      <c r="H945" s="4">
        <f>CHOOSE( CONTROL!$C$32, 47.5485, 47.5437) * CHOOSE(CONTROL!$C$15, $D$11, 100%, $F$11)</f>
        <v>47.548499999999997</v>
      </c>
      <c r="I945" s="8">
        <f>CHOOSE( CONTROL!$C$32, 45.9338, 45.9291) * CHOOSE(CONTROL!$C$15, $D$11, 100%, $F$11)</f>
        <v>45.933799999999998</v>
      </c>
      <c r="J945" s="4">
        <f>CHOOSE( CONTROL!$C$32, 45.8162, 45.8115) * CHOOSE(CONTROL!$C$15, $D$11, 100%, $F$11)</f>
        <v>45.816200000000002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46.6648, 46.6599) * CHOOSE(CONTROL!$C$15, $D$11, 100%, $F$11)</f>
        <v>46.6648</v>
      </c>
      <c r="C946" s="8">
        <f>CHOOSE( CONTROL!$C$32, 46.6728, 46.6679) * CHOOSE(CONTROL!$C$15, $D$11, 100%, $F$11)</f>
        <v>46.672800000000002</v>
      </c>
      <c r="D946" s="8">
        <f>CHOOSE( CONTROL!$C$32, 46.6823, 46.6775) * CHOOSE( CONTROL!$C$15, $D$11, 100%, $F$11)</f>
        <v>46.682299999999998</v>
      </c>
      <c r="E946" s="12">
        <f>CHOOSE( CONTROL!$C$32, 46.6776, 46.6728) * CHOOSE( CONTROL!$C$15, $D$11, 100%, $F$11)</f>
        <v>46.677599999999998</v>
      </c>
      <c r="F946" s="4">
        <f>CHOOSE( CONTROL!$C$32, 47.3557, 47.3508) * CHOOSE(CONTROL!$C$15, $D$11, 100%, $F$11)</f>
        <v>47.355699999999999</v>
      </c>
      <c r="G946" s="8">
        <f>CHOOSE( CONTROL!$C$32, 45.8622, 45.8574) * CHOOSE( CONTROL!$C$15, $D$11, 100%, $F$11)</f>
        <v>45.862200000000001</v>
      </c>
      <c r="H946" s="4">
        <f>CHOOSE( CONTROL!$C$32, 46.7992, 46.7944) * CHOOSE(CONTROL!$C$15, $D$11, 100%, $F$11)</f>
        <v>46.799199999999999</v>
      </c>
      <c r="I946" s="8">
        <f>CHOOSE( CONTROL!$C$32, 45.1979, 45.1932) * CHOOSE(CONTROL!$C$15, $D$11, 100%, $F$11)</f>
        <v>45.197899999999997</v>
      </c>
      <c r="J946" s="4">
        <f>CHOOSE( CONTROL!$C$32, 45.0796, 45.0749) * CHOOSE(CONTROL!$C$15, $D$11, 100%, $F$11)</f>
        <v>45.079599999999999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48.6712, 48.6663) * CHOOSE(CONTROL!$C$15, $D$11, 100%, $F$11)</f>
        <v>48.671199999999999</v>
      </c>
      <c r="C947" s="8">
        <f>CHOOSE( CONTROL!$C$32, 48.6792, 48.6743) * CHOOSE(CONTROL!$C$15, $D$11, 100%, $F$11)</f>
        <v>48.679200000000002</v>
      </c>
      <c r="D947" s="8">
        <f>CHOOSE( CONTROL!$C$32, 48.689, 48.6841) * CHOOSE( CONTROL!$C$15, $D$11, 100%, $F$11)</f>
        <v>48.689</v>
      </c>
      <c r="E947" s="12">
        <f>CHOOSE( CONTROL!$C$32, 48.6842, 48.6793) * CHOOSE( CONTROL!$C$15, $D$11, 100%, $F$11)</f>
        <v>48.684199999999997</v>
      </c>
      <c r="F947" s="4">
        <f>CHOOSE( CONTROL!$C$32, 49.3621, 49.3572) * CHOOSE(CONTROL!$C$15, $D$11, 100%, $F$11)</f>
        <v>49.362099999999998</v>
      </c>
      <c r="G947" s="8">
        <f>CHOOSE( CONTROL!$C$32, 47.8357, 47.8309) * CHOOSE( CONTROL!$C$15, $D$11, 100%, $F$11)</f>
        <v>47.835700000000003</v>
      </c>
      <c r="H947" s="4">
        <f>CHOOSE( CONTROL!$C$32, 48.7723, 48.7675) * CHOOSE(CONTROL!$C$15, $D$11, 100%, $F$11)</f>
        <v>48.772300000000001</v>
      </c>
      <c r="I947" s="8">
        <f>CHOOSE( CONTROL!$C$32, 47.1396, 47.1348) * CHOOSE(CONTROL!$C$15, $D$11, 100%, $F$11)</f>
        <v>47.139600000000002</v>
      </c>
      <c r="J947" s="4">
        <f>CHOOSE( CONTROL!$C$32, 47.0192, 47.0145) * CHOOSE(CONTROL!$C$15, $D$11, 100%, $F$11)</f>
        <v>47.019199999999998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44.917, 44.9121) * CHOOSE(CONTROL!$C$15, $D$11, 100%, $F$11)</f>
        <v>44.917000000000002</v>
      </c>
      <c r="C948" s="8">
        <f>CHOOSE( CONTROL!$C$32, 44.925, 44.9201) * CHOOSE(CONTROL!$C$15, $D$11, 100%, $F$11)</f>
        <v>44.924999999999997</v>
      </c>
      <c r="D948" s="8">
        <f>CHOOSE( CONTROL!$C$32, 44.9349, 44.93) * CHOOSE( CONTROL!$C$15, $D$11, 100%, $F$11)</f>
        <v>44.934899999999999</v>
      </c>
      <c r="E948" s="12">
        <f>CHOOSE( CONTROL!$C$32, 44.9301, 44.9252) * CHOOSE( CONTROL!$C$15, $D$11, 100%, $F$11)</f>
        <v>44.930100000000003</v>
      </c>
      <c r="F948" s="4">
        <f>CHOOSE( CONTROL!$C$32, 45.6079, 45.603) * CHOOSE(CONTROL!$C$15, $D$11, 100%, $F$11)</f>
        <v>45.607900000000001</v>
      </c>
      <c r="G948" s="8">
        <f>CHOOSE( CONTROL!$C$32, 44.1439, 44.139) * CHOOSE( CONTROL!$C$15, $D$11, 100%, $F$11)</f>
        <v>44.143900000000002</v>
      </c>
      <c r="H948" s="4">
        <f>CHOOSE( CONTROL!$C$32, 45.0804, 45.0756) * CHOOSE(CONTROL!$C$15, $D$11, 100%, $F$11)</f>
        <v>45.080399999999997</v>
      </c>
      <c r="I948" s="8">
        <f>CHOOSE( CONTROL!$C$32, 43.5089, 43.5042) * CHOOSE(CONTROL!$C$15, $D$11, 100%, $F$11)</f>
        <v>43.508899999999997</v>
      </c>
      <c r="J948" s="4">
        <f>CHOOSE( CONTROL!$C$32, 43.3901, 43.3853) * CHOOSE(CONTROL!$C$15, $D$11, 100%, $F$11)</f>
        <v>43.390099999999997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43.9769, 43.972) * CHOOSE(CONTROL!$C$15, $D$11, 100%, $F$11)</f>
        <v>43.976900000000001</v>
      </c>
      <c r="C949" s="8">
        <f>CHOOSE( CONTROL!$C$32, 43.9849, 43.9801) * CHOOSE(CONTROL!$C$15, $D$11, 100%, $F$11)</f>
        <v>43.984900000000003</v>
      </c>
      <c r="D949" s="8">
        <f>CHOOSE( CONTROL!$C$32, 43.9947, 43.9898) * CHOOSE( CONTROL!$C$15, $D$11, 100%, $F$11)</f>
        <v>43.994700000000002</v>
      </c>
      <c r="E949" s="12">
        <f>CHOOSE( CONTROL!$C$32, 43.9899, 43.9851) * CHOOSE( CONTROL!$C$15, $D$11, 100%, $F$11)</f>
        <v>43.989899999999999</v>
      </c>
      <c r="F949" s="4">
        <f>CHOOSE( CONTROL!$C$32, 44.6678, 44.6629) * CHOOSE(CONTROL!$C$15, $D$11, 100%, $F$11)</f>
        <v>44.6678</v>
      </c>
      <c r="G949" s="8">
        <f>CHOOSE( CONTROL!$C$32, 43.2193, 43.2145) * CHOOSE( CONTROL!$C$15, $D$11, 100%, $F$11)</f>
        <v>43.219299999999997</v>
      </c>
      <c r="H949" s="4">
        <f>CHOOSE( CONTROL!$C$32, 44.1559, 44.1511) * CHOOSE(CONTROL!$C$15, $D$11, 100%, $F$11)</f>
        <v>44.155900000000003</v>
      </c>
      <c r="I949" s="8">
        <f>CHOOSE( CONTROL!$C$32, 42.5995, 42.5948) * CHOOSE(CONTROL!$C$15, $D$11, 100%, $F$11)</f>
        <v>42.599499999999999</v>
      </c>
      <c r="J949" s="4">
        <f>CHOOSE( CONTROL!$C$32, 42.4813, 42.4765) * CHOOSE(CONTROL!$C$15, $D$11, 100%, $F$11)</f>
        <v>42.481299999999997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45.9223 * CHOOSE(CONTROL!$C$15, $D$11, 100%, $F$11)</f>
        <v>45.9223</v>
      </c>
      <c r="C950" s="8">
        <f>45.9276 * CHOOSE(CONTROL!$C$15, $D$11, 100%, $F$11)</f>
        <v>45.927599999999998</v>
      </c>
      <c r="D950" s="8">
        <f>45.9422 * CHOOSE( CONTROL!$C$15, $D$11, 100%, $F$11)</f>
        <v>45.9422</v>
      </c>
      <c r="E950" s="12">
        <f>45.9368 * CHOOSE( CONTROL!$C$15, $D$11, 100%, $F$11)</f>
        <v>45.936799999999998</v>
      </c>
      <c r="F950" s="4">
        <f>46.6149 * CHOOSE(CONTROL!$C$15, $D$11, 100%, $F$11)</f>
        <v>46.614899999999999</v>
      </c>
      <c r="G950" s="8">
        <f>45.1333 * CHOOSE( CONTROL!$C$15, $D$11, 100%, $F$11)</f>
        <v>45.133299999999998</v>
      </c>
      <c r="H950" s="4">
        <f>46.0707 * CHOOSE(CONTROL!$C$15, $D$11, 100%, $F$11)</f>
        <v>46.070700000000002</v>
      </c>
      <c r="I950" s="8">
        <f>44.4835 * CHOOSE(CONTROL!$C$15, $D$11, 100%, $F$11)</f>
        <v>44.483499999999999</v>
      </c>
      <c r="J950" s="4">
        <f>44.3635 * CHOOSE(CONTROL!$C$15, $D$11, 100%, $F$11)</f>
        <v>44.363500000000002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49.5248 * CHOOSE(CONTROL!$C$15, $D$11, 100%, $F$11)</f>
        <v>49.524799999999999</v>
      </c>
      <c r="C951" s="8">
        <f>49.5299 * CHOOSE(CONTROL!$C$15, $D$11, 100%, $F$11)</f>
        <v>49.529899999999998</v>
      </c>
      <c r="D951" s="8">
        <f>49.5069 * CHOOSE( CONTROL!$C$15, $D$11, 100%, $F$11)</f>
        <v>49.506900000000002</v>
      </c>
      <c r="E951" s="12">
        <f>49.5148 * CHOOSE( CONTROL!$C$15, $D$11, 100%, $F$11)</f>
        <v>49.514800000000001</v>
      </c>
      <c r="F951" s="4">
        <f>50.1697 * CHOOSE(CONTROL!$C$15, $D$11, 100%, $F$11)</f>
        <v>50.169699999999999</v>
      </c>
      <c r="G951" s="8">
        <f>48.6845 * CHOOSE( CONTROL!$C$15, $D$11, 100%, $F$11)</f>
        <v>48.6845</v>
      </c>
      <c r="H951" s="4">
        <f>49.5665 * CHOOSE(CONTROL!$C$15, $D$11, 100%, $F$11)</f>
        <v>49.566499999999998</v>
      </c>
      <c r="I951" s="8">
        <f>47.9929 * CHOOSE(CONTROL!$C$15, $D$11, 100%, $F$11)</f>
        <v>47.992899999999999</v>
      </c>
      <c r="J951" s="4">
        <f>47.8464 * CHOOSE(CONTROL!$C$15, $D$11, 100%, $F$11)</f>
        <v>47.846400000000003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49.4348 * CHOOSE(CONTROL!$C$15, $D$11, 100%, $F$11)</f>
        <v>49.434800000000003</v>
      </c>
      <c r="C952" s="8">
        <f>49.4399 * CHOOSE(CONTROL!$C$15, $D$11, 100%, $F$11)</f>
        <v>49.439900000000002</v>
      </c>
      <c r="D952" s="8">
        <f>49.4184 * CHOOSE( CONTROL!$C$15, $D$11, 100%, $F$11)</f>
        <v>49.418399999999998</v>
      </c>
      <c r="E952" s="12">
        <f>49.4257 * CHOOSE( CONTROL!$C$15, $D$11, 100%, $F$11)</f>
        <v>49.425699999999999</v>
      </c>
      <c r="F952" s="4">
        <f>50.0797 * CHOOSE(CONTROL!$C$15, $D$11, 100%, $F$11)</f>
        <v>50.079700000000003</v>
      </c>
      <c r="G952" s="8">
        <f>48.5971 * CHOOSE( CONTROL!$C$15, $D$11, 100%, $F$11)</f>
        <v>48.597099999999998</v>
      </c>
      <c r="H952" s="4">
        <f>49.478 * CHOOSE(CONTROL!$C$15, $D$11, 100%, $F$11)</f>
        <v>49.478000000000002</v>
      </c>
      <c r="I952" s="8">
        <f>47.9107 * CHOOSE(CONTROL!$C$15, $D$11, 100%, $F$11)</f>
        <v>47.910699999999999</v>
      </c>
      <c r="J952" s="4">
        <f>47.7594 * CHOOSE(CONTROL!$C$15, $D$11, 100%, $F$11)</f>
        <v>47.759399999999999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51.323 * CHOOSE(CONTROL!$C$15, $D$11, 100%, $F$11)</f>
        <v>51.323</v>
      </c>
      <c r="C953" s="8">
        <f>51.3281 * CHOOSE(CONTROL!$C$15, $D$11, 100%, $F$11)</f>
        <v>51.328099999999999</v>
      </c>
      <c r="D953" s="8">
        <f>51.3027 * CHOOSE( CONTROL!$C$15, $D$11, 100%, $F$11)</f>
        <v>51.302700000000002</v>
      </c>
      <c r="E953" s="12">
        <f>51.3114 * CHOOSE( CONTROL!$C$15, $D$11, 100%, $F$11)</f>
        <v>51.311399999999999</v>
      </c>
      <c r="F953" s="4">
        <f>51.9653 * CHOOSE(CONTROL!$C$15, $D$11, 100%, $F$11)</f>
        <v>51.965299999999999</v>
      </c>
      <c r="G953" s="8">
        <f>50.4487 * CHOOSE( CONTROL!$C$15, $D$11, 100%, $F$11)</f>
        <v>50.448700000000002</v>
      </c>
      <c r="H953" s="4">
        <f>51.3324 * CHOOSE(CONTROL!$C$15, $D$11, 100%, $F$11)</f>
        <v>51.3324</v>
      </c>
      <c r="I953" s="8">
        <f>49.7173 * CHOOSE(CONTROL!$C$15, $D$11, 100%, $F$11)</f>
        <v>49.717300000000002</v>
      </c>
      <c r="J953" s="4">
        <f>49.5847 * CHOOSE(CONTROL!$C$15, $D$11, 100%, $F$11)</f>
        <v>49.584699999999998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48.007 * CHOOSE(CONTROL!$C$15, $D$11, 100%, $F$11)</f>
        <v>48.006999999999998</v>
      </c>
      <c r="C954" s="8">
        <f>48.0121 * CHOOSE(CONTROL!$C$15, $D$11, 100%, $F$11)</f>
        <v>48.012099999999997</v>
      </c>
      <c r="D954" s="8">
        <f>47.9868 * CHOOSE( CONTROL!$C$15, $D$11, 100%, $F$11)</f>
        <v>47.986800000000002</v>
      </c>
      <c r="E954" s="12">
        <f>47.9955 * CHOOSE( CONTROL!$C$15, $D$11, 100%, $F$11)</f>
        <v>47.9955</v>
      </c>
      <c r="F954" s="4">
        <f>48.6493 * CHOOSE(CONTROL!$C$15, $D$11, 100%, $F$11)</f>
        <v>48.649299999999997</v>
      </c>
      <c r="G954" s="8">
        <f>47.1877 * CHOOSE( CONTROL!$C$15, $D$11, 100%, $F$11)</f>
        <v>47.1877</v>
      </c>
      <c r="H954" s="4">
        <f>48.0714 * CHOOSE(CONTROL!$C$15, $D$11, 100%, $F$11)</f>
        <v>48.071399999999997</v>
      </c>
      <c r="I954" s="8">
        <f>46.5104 * CHOOSE(CONTROL!$C$15, $D$11, 100%, $F$11)</f>
        <v>46.510399999999997</v>
      </c>
      <c r="J954" s="4">
        <f>46.3792 * CHOOSE(CONTROL!$C$15, $D$11, 100%, $F$11)</f>
        <v>46.379199999999997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46.9857 * CHOOSE(CONTROL!$C$15, $D$11, 100%, $F$11)</f>
        <v>46.985700000000001</v>
      </c>
      <c r="C955" s="8">
        <f>46.9908 * CHOOSE(CONTROL!$C$15, $D$11, 100%, $F$11)</f>
        <v>46.9908</v>
      </c>
      <c r="D955" s="8">
        <f>46.9652 * CHOOSE( CONTROL!$C$15, $D$11, 100%, $F$11)</f>
        <v>46.965200000000003</v>
      </c>
      <c r="E955" s="12">
        <f>46.974 * CHOOSE( CONTROL!$C$15, $D$11, 100%, $F$11)</f>
        <v>46.973999999999997</v>
      </c>
      <c r="F955" s="4">
        <f>47.628 * CHOOSE(CONTROL!$C$15, $D$11, 100%, $F$11)</f>
        <v>47.628</v>
      </c>
      <c r="G955" s="8">
        <f>46.1832 * CHOOSE( CONTROL!$C$15, $D$11, 100%, $F$11)</f>
        <v>46.183199999999999</v>
      </c>
      <c r="H955" s="4">
        <f>47.067 * CHOOSE(CONTROL!$C$15, $D$11, 100%, $F$11)</f>
        <v>47.067</v>
      </c>
      <c r="I955" s="8">
        <f>45.5217 * CHOOSE(CONTROL!$C$15, $D$11, 100%, $F$11)</f>
        <v>45.521700000000003</v>
      </c>
      <c r="J955" s="4">
        <f>45.3919 * CHOOSE(CONTROL!$C$15, $D$11, 100%, $F$11)</f>
        <v>45.3919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47.7001 * CHOOSE(CONTROL!$C$15, $D$11, 100%, $F$11)</f>
        <v>47.700099999999999</v>
      </c>
      <c r="C956" s="8">
        <f>47.7047 * CHOOSE(CONTROL!$C$15, $D$11, 100%, $F$11)</f>
        <v>47.704700000000003</v>
      </c>
      <c r="D956" s="8">
        <f>47.719 * CHOOSE( CONTROL!$C$15, $D$11, 100%, $F$11)</f>
        <v>47.719000000000001</v>
      </c>
      <c r="E956" s="12">
        <f>47.7138 * CHOOSE( CONTROL!$C$15, $D$11, 100%, $F$11)</f>
        <v>47.713799999999999</v>
      </c>
      <c r="F956" s="4">
        <f>48.3923 * CHOOSE(CONTROL!$C$15, $D$11, 100%, $F$11)</f>
        <v>48.392299999999999</v>
      </c>
      <c r="G956" s="8">
        <f>46.8803 * CHOOSE( CONTROL!$C$15, $D$11, 100%, $F$11)</f>
        <v>46.880299999999998</v>
      </c>
      <c r="H956" s="4">
        <f>47.8187 * CHOOSE(CONTROL!$C$15, $D$11, 100%, $F$11)</f>
        <v>47.8187</v>
      </c>
      <c r="I956" s="8">
        <f>46.1992 * CHOOSE(CONTROL!$C$15, $D$11, 100%, $F$11)</f>
        <v>46.199199999999998</v>
      </c>
      <c r="J956" s="4">
        <f>46.0818 * CHOOSE(CONTROL!$C$15, $D$11, 100%, $F$11)</f>
        <v>46.081800000000001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48.9765, 48.9716) * CHOOSE(CONTROL!$C$15, $D$11, 100%, $F$11)</f>
        <v>48.976500000000001</v>
      </c>
      <c r="C957" s="8">
        <f>CHOOSE( CONTROL!$C$32, 48.9846, 48.9797) * CHOOSE(CONTROL!$C$15, $D$11, 100%, $F$11)</f>
        <v>48.9846</v>
      </c>
      <c r="D957" s="8">
        <f>CHOOSE( CONTROL!$C$32, 48.9939, 48.989) * CHOOSE( CONTROL!$C$15, $D$11, 100%, $F$11)</f>
        <v>48.993899999999996</v>
      </c>
      <c r="E957" s="12">
        <f>CHOOSE( CONTROL!$C$32, 48.9893, 48.9844) * CHOOSE( CONTROL!$C$15, $D$11, 100%, $F$11)</f>
        <v>48.9893</v>
      </c>
      <c r="F957" s="4">
        <f>CHOOSE( CONTROL!$C$32, 49.6674, 49.6625) * CHOOSE(CONTROL!$C$15, $D$11, 100%, $F$11)</f>
        <v>49.667400000000001</v>
      </c>
      <c r="G957" s="8">
        <f>CHOOSE( CONTROL!$C$32, 48.1353, 48.1305) * CHOOSE( CONTROL!$C$15, $D$11, 100%, $F$11)</f>
        <v>48.135300000000001</v>
      </c>
      <c r="H957" s="4">
        <f>CHOOSE( CONTROL!$C$32, 49.0726, 49.0678) * CHOOSE(CONTROL!$C$15, $D$11, 100%, $F$11)</f>
        <v>49.072600000000001</v>
      </c>
      <c r="I957" s="8">
        <f>CHOOSE( CONTROL!$C$32, 47.4328, 47.428) * CHOOSE(CONTROL!$C$15, $D$11, 100%, $F$11)</f>
        <v>47.4328</v>
      </c>
      <c r="J957" s="4">
        <f>CHOOSE( CONTROL!$C$32, 47.3144, 47.3097) * CHOOSE(CONTROL!$C$15, $D$11, 100%, $F$11)</f>
        <v>47.314399999999999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48.1897, 48.1848) * CHOOSE(CONTROL!$C$15, $D$11, 100%, $F$11)</f>
        <v>48.189700000000002</v>
      </c>
      <c r="C958" s="8">
        <f>CHOOSE( CONTROL!$C$32, 48.1977, 48.1928) * CHOOSE(CONTROL!$C$15, $D$11, 100%, $F$11)</f>
        <v>48.197699999999998</v>
      </c>
      <c r="D958" s="8">
        <f>CHOOSE( CONTROL!$C$32, 48.2072, 48.2024) * CHOOSE( CONTROL!$C$15, $D$11, 100%, $F$11)</f>
        <v>48.2072</v>
      </c>
      <c r="E958" s="12">
        <f>CHOOSE( CONTROL!$C$32, 48.2025, 48.1977) * CHOOSE( CONTROL!$C$15, $D$11, 100%, $F$11)</f>
        <v>48.202500000000001</v>
      </c>
      <c r="F958" s="4">
        <f>CHOOSE( CONTROL!$C$32, 48.8806, 48.8757) * CHOOSE(CONTROL!$C$15, $D$11, 100%, $F$11)</f>
        <v>48.880600000000001</v>
      </c>
      <c r="G958" s="8">
        <f>CHOOSE( CONTROL!$C$32, 47.3618, 47.357) * CHOOSE( CONTROL!$C$15, $D$11, 100%, $F$11)</f>
        <v>47.361800000000002</v>
      </c>
      <c r="H958" s="4">
        <f>CHOOSE( CONTROL!$C$32, 48.2988, 48.294) * CHOOSE(CONTROL!$C$15, $D$11, 100%, $F$11)</f>
        <v>48.2988</v>
      </c>
      <c r="I958" s="8">
        <f>CHOOSE( CONTROL!$C$32, 46.6728, 46.6681) * CHOOSE(CONTROL!$C$15, $D$11, 100%, $F$11)</f>
        <v>46.672800000000002</v>
      </c>
      <c r="J958" s="4">
        <f>CHOOSE( CONTROL!$C$32, 46.5538, 46.549) * CHOOSE(CONTROL!$C$15, $D$11, 100%, $F$11)</f>
        <v>46.553800000000003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50.2617, 50.2568) * CHOOSE(CONTROL!$C$15, $D$11, 100%, $F$11)</f>
        <v>50.261699999999998</v>
      </c>
      <c r="C959" s="8">
        <f>CHOOSE( CONTROL!$C$32, 50.2697, 50.2648) * CHOOSE(CONTROL!$C$15, $D$11, 100%, $F$11)</f>
        <v>50.2697</v>
      </c>
      <c r="D959" s="8">
        <f>CHOOSE( CONTROL!$C$32, 50.2795, 50.2746) * CHOOSE( CONTROL!$C$15, $D$11, 100%, $F$11)</f>
        <v>50.279499999999999</v>
      </c>
      <c r="E959" s="12">
        <f>CHOOSE( CONTROL!$C$32, 50.2747, 50.2698) * CHOOSE( CONTROL!$C$15, $D$11, 100%, $F$11)</f>
        <v>50.274700000000003</v>
      </c>
      <c r="F959" s="4">
        <f>CHOOSE( CONTROL!$C$32, 50.9526, 50.9477) * CHOOSE(CONTROL!$C$15, $D$11, 100%, $F$11)</f>
        <v>50.952599999999997</v>
      </c>
      <c r="G959" s="8">
        <f>CHOOSE( CONTROL!$C$32, 49.3998, 49.395) * CHOOSE( CONTROL!$C$15, $D$11, 100%, $F$11)</f>
        <v>49.399799999999999</v>
      </c>
      <c r="H959" s="4">
        <f>CHOOSE( CONTROL!$C$32, 50.3365, 50.3316) * CHOOSE(CONTROL!$C$15, $D$11, 100%, $F$11)</f>
        <v>50.336500000000001</v>
      </c>
      <c r="I959" s="8">
        <f>CHOOSE( CONTROL!$C$32, 48.6779, 48.6731) * CHOOSE(CONTROL!$C$15, $D$11, 100%, $F$11)</f>
        <v>48.677900000000001</v>
      </c>
      <c r="J959" s="4">
        <f>CHOOSE( CONTROL!$C$32, 48.5568, 48.552) * CHOOSE(CONTROL!$C$15, $D$11, 100%, $F$11)</f>
        <v>48.556800000000003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46.3848, 46.3799) * CHOOSE(CONTROL!$C$15, $D$11, 100%, $F$11)</f>
        <v>46.384799999999998</v>
      </c>
      <c r="C960" s="8">
        <f>CHOOSE( CONTROL!$C$32, 46.3928, 46.3879) * CHOOSE(CONTROL!$C$15, $D$11, 100%, $F$11)</f>
        <v>46.392800000000001</v>
      </c>
      <c r="D960" s="8">
        <f>CHOOSE( CONTROL!$C$32, 46.4026, 46.3977) * CHOOSE( CONTROL!$C$15, $D$11, 100%, $F$11)</f>
        <v>46.4026</v>
      </c>
      <c r="E960" s="12">
        <f>CHOOSE( CONTROL!$C$32, 46.3978, 46.3929) * CHOOSE( CONTROL!$C$15, $D$11, 100%, $F$11)</f>
        <v>46.397799999999997</v>
      </c>
      <c r="F960" s="4">
        <f>CHOOSE( CONTROL!$C$32, 47.0756, 47.0707) * CHOOSE(CONTROL!$C$15, $D$11, 100%, $F$11)</f>
        <v>47.075600000000001</v>
      </c>
      <c r="G960" s="8">
        <f>CHOOSE( CONTROL!$C$32, 45.5873, 45.5824) * CHOOSE( CONTROL!$C$15, $D$11, 100%, $F$11)</f>
        <v>45.587299999999999</v>
      </c>
      <c r="H960" s="4">
        <f>CHOOSE( CONTROL!$C$32, 46.5238, 46.519) * CHOOSE(CONTROL!$C$15, $D$11, 100%, $F$11)</f>
        <v>46.523800000000001</v>
      </c>
      <c r="I960" s="8">
        <f>CHOOSE( CONTROL!$C$32, 44.9285, 44.9238) * CHOOSE(CONTROL!$C$15, $D$11, 100%, $F$11)</f>
        <v>44.9285</v>
      </c>
      <c r="J960" s="4">
        <f>CHOOSE( CONTROL!$C$32, 44.8089, 44.8042) * CHOOSE(CONTROL!$C$15, $D$11, 100%, $F$11)</f>
        <v>44.808900000000001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45.4139, 45.409) * CHOOSE(CONTROL!$C$15, $D$11, 100%, $F$11)</f>
        <v>45.413899999999998</v>
      </c>
      <c r="C961" s="8">
        <f>CHOOSE( CONTROL!$C$32, 45.4219, 45.417) * CHOOSE(CONTROL!$C$15, $D$11, 100%, $F$11)</f>
        <v>45.421900000000001</v>
      </c>
      <c r="D961" s="8">
        <f>CHOOSE( CONTROL!$C$32, 45.4317, 45.4268) * CHOOSE( CONTROL!$C$15, $D$11, 100%, $F$11)</f>
        <v>45.431699999999999</v>
      </c>
      <c r="E961" s="12">
        <f>CHOOSE( CONTROL!$C$32, 45.4269, 45.422) * CHOOSE( CONTROL!$C$15, $D$11, 100%, $F$11)</f>
        <v>45.426900000000003</v>
      </c>
      <c r="F961" s="4">
        <f>CHOOSE( CONTROL!$C$32, 46.1048, 46.0999) * CHOOSE(CONTROL!$C$15, $D$11, 100%, $F$11)</f>
        <v>46.104799999999997</v>
      </c>
      <c r="G961" s="8">
        <f>CHOOSE( CONTROL!$C$32, 44.6325, 44.6277) * CHOOSE( CONTROL!$C$15, $D$11, 100%, $F$11)</f>
        <v>44.6325</v>
      </c>
      <c r="H961" s="4">
        <f>CHOOSE( CONTROL!$C$32, 45.569, 45.5642) * CHOOSE(CONTROL!$C$15, $D$11, 100%, $F$11)</f>
        <v>45.569000000000003</v>
      </c>
      <c r="I961" s="8">
        <f>CHOOSE( CONTROL!$C$32, 43.9893, 43.9846) * CHOOSE(CONTROL!$C$15, $D$11, 100%, $F$11)</f>
        <v>43.9893</v>
      </c>
      <c r="J961" s="4">
        <f>CHOOSE( CONTROL!$C$32, 43.8704, 43.8657) * CHOOSE(CONTROL!$C$15, $D$11, 100%, $F$11)</f>
        <v>43.870399999999997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47.4231 * CHOOSE(CONTROL!$C$15, $D$11, 100%, $F$11)</f>
        <v>47.423099999999998</v>
      </c>
      <c r="C962" s="8">
        <f>47.4285 * CHOOSE(CONTROL!$C$15, $D$11, 100%, $F$11)</f>
        <v>47.4285</v>
      </c>
      <c r="D962" s="8">
        <f>47.443 * CHOOSE( CONTROL!$C$15, $D$11, 100%, $F$11)</f>
        <v>47.442999999999998</v>
      </c>
      <c r="E962" s="12">
        <f>47.4376 * CHOOSE( CONTROL!$C$15, $D$11, 100%, $F$11)</f>
        <v>47.437600000000003</v>
      </c>
      <c r="F962" s="4">
        <f>48.1157 * CHOOSE(CONTROL!$C$15, $D$11, 100%, $F$11)</f>
        <v>48.115699999999997</v>
      </c>
      <c r="G962" s="8">
        <f>46.6093 * CHOOSE( CONTROL!$C$15, $D$11, 100%, $F$11)</f>
        <v>46.609299999999998</v>
      </c>
      <c r="H962" s="4">
        <f>47.5466 * CHOOSE(CONTROL!$C$15, $D$11, 100%, $F$11)</f>
        <v>47.546599999999998</v>
      </c>
      <c r="I962" s="8">
        <f>45.9351 * CHOOSE(CONTROL!$C$15, $D$11, 100%, $F$11)</f>
        <v>45.935099999999998</v>
      </c>
      <c r="J962" s="4">
        <f>45.8143 * CHOOSE(CONTROL!$C$15, $D$11, 100%, $F$11)</f>
        <v>45.814300000000003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51.1434 * CHOOSE(CONTROL!$C$15, $D$11, 100%, $F$11)</f>
        <v>51.1434</v>
      </c>
      <c r="C963" s="8">
        <f>51.1486 * CHOOSE(CONTROL!$C$15, $D$11, 100%, $F$11)</f>
        <v>51.148600000000002</v>
      </c>
      <c r="D963" s="8">
        <f>51.1255 * CHOOSE( CONTROL!$C$15, $D$11, 100%, $F$11)</f>
        <v>51.125500000000002</v>
      </c>
      <c r="E963" s="12">
        <f>51.1334 * CHOOSE( CONTROL!$C$15, $D$11, 100%, $F$11)</f>
        <v>51.133400000000002</v>
      </c>
      <c r="F963" s="4">
        <f>51.7883 * CHOOSE(CONTROL!$C$15, $D$11, 100%, $F$11)</f>
        <v>51.7883</v>
      </c>
      <c r="G963" s="8">
        <f>50.2763 * CHOOSE( CONTROL!$C$15, $D$11, 100%, $F$11)</f>
        <v>50.276299999999999</v>
      </c>
      <c r="H963" s="4">
        <f>51.1583 * CHOOSE(CONTROL!$C$15, $D$11, 100%, $F$11)</f>
        <v>51.158299999999997</v>
      </c>
      <c r="I963" s="8">
        <f>49.5584 * CHOOSE(CONTROL!$C$15, $D$11, 100%, $F$11)</f>
        <v>49.558399999999999</v>
      </c>
      <c r="J963" s="4">
        <f>49.4112 * CHOOSE(CONTROL!$C$15, $D$11, 100%, $F$11)</f>
        <v>49.411200000000001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51.0505 * CHOOSE(CONTROL!$C$15, $D$11, 100%, $F$11)</f>
        <v>51.0505</v>
      </c>
      <c r="C964" s="8">
        <f>51.0556 * CHOOSE(CONTROL!$C$15, $D$11, 100%, $F$11)</f>
        <v>51.055599999999998</v>
      </c>
      <c r="D964" s="8">
        <f>51.0341 * CHOOSE( CONTROL!$C$15, $D$11, 100%, $F$11)</f>
        <v>51.034100000000002</v>
      </c>
      <c r="E964" s="12">
        <f>51.0414 * CHOOSE( CONTROL!$C$15, $D$11, 100%, $F$11)</f>
        <v>51.041400000000003</v>
      </c>
      <c r="F964" s="4">
        <f>51.6954 * CHOOSE(CONTROL!$C$15, $D$11, 100%, $F$11)</f>
        <v>51.695399999999999</v>
      </c>
      <c r="G964" s="8">
        <f>50.186 * CHOOSE( CONTROL!$C$15, $D$11, 100%, $F$11)</f>
        <v>50.186</v>
      </c>
      <c r="H964" s="4">
        <f>51.0669 * CHOOSE(CONTROL!$C$15, $D$11, 100%, $F$11)</f>
        <v>51.066899999999997</v>
      </c>
      <c r="I964" s="8">
        <f>49.4734 * CHOOSE(CONTROL!$C$15, $D$11, 100%, $F$11)</f>
        <v>49.473399999999998</v>
      </c>
      <c r="J964" s="4">
        <f>49.3213 * CHOOSE(CONTROL!$C$15, $D$11, 100%, $F$11)</f>
        <v>49.321300000000001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53.0004 * CHOOSE(CONTROL!$C$15, $D$11, 100%, $F$11)</f>
        <v>53.000399999999999</v>
      </c>
      <c r="C965" s="8">
        <f>53.0056 * CHOOSE(CONTROL!$C$15, $D$11, 100%, $F$11)</f>
        <v>53.005600000000001</v>
      </c>
      <c r="D965" s="8">
        <f>52.9801 * CHOOSE( CONTROL!$C$15, $D$11, 100%, $F$11)</f>
        <v>52.9801</v>
      </c>
      <c r="E965" s="12">
        <f>52.9889 * CHOOSE( CONTROL!$C$15, $D$11, 100%, $F$11)</f>
        <v>52.988900000000001</v>
      </c>
      <c r="F965" s="4">
        <f>53.6427 * CHOOSE(CONTROL!$C$15, $D$11, 100%, $F$11)</f>
        <v>53.642699999999998</v>
      </c>
      <c r="G965" s="8">
        <f>52.0983 * CHOOSE( CONTROL!$C$15, $D$11, 100%, $F$11)</f>
        <v>52.098300000000002</v>
      </c>
      <c r="H965" s="4">
        <f>52.982 * CHOOSE(CONTROL!$C$15, $D$11, 100%, $F$11)</f>
        <v>52.981999999999999</v>
      </c>
      <c r="I965" s="8">
        <f>51.3397 * CHOOSE(CONTROL!$C$15, $D$11, 100%, $F$11)</f>
        <v>51.339700000000001</v>
      </c>
      <c r="J965" s="4">
        <f>51.2064 * CHOOSE(CONTROL!$C$15, $D$11, 100%, $F$11)</f>
        <v>51.206400000000002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49.576 * CHOOSE(CONTROL!$C$15, $D$11, 100%, $F$11)</f>
        <v>49.576000000000001</v>
      </c>
      <c r="C966" s="8">
        <f>49.5811 * CHOOSE(CONTROL!$C$15, $D$11, 100%, $F$11)</f>
        <v>49.581099999999999</v>
      </c>
      <c r="D966" s="8">
        <f>49.5558 * CHOOSE( CONTROL!$C$15, $D$11, 100%, $F$11)</f>
        <v>49.555799999999998</v>
      </c>
      <c r="E966" s="12">
        <f>49.5645 * CHOOSE( CONTROL!$C$15, $D$11, 100%, $F$11)</f>
        <v>49.564500000000002</v>
      </c>
      <c r="F966" s="4">
        <f>50.2183 * CHOOSE(CONTROL!$C$15, $D$11, 100%, $F$11)</f>
        <v>50.218299999999999</v>
      </c>
      <c r="G966" s="8">
        <f>48.7308 * CHOOSE( CONTROL!$C$15, $D$11, 100%, $F$11)</f>
        <v>48.730800000000002</v>
      </c>
      <c r="H966" s="4">
        <f>49.6144 * CHOOSE(CONTROL!$C$15, $D$11, 100%, $F$11)</f>
        <v>49.614400000000003</v>
      </c>
      <c r="I966" s="8">
        <f>48.0279 * CHOOSE(CONTROL!$C$15, $D$11, 100%, $F$11)</f>
        <v>48.027900000000002</v>
      </c>
      <c r="J966" s="4">
        <f>47.8959 * CHOOSE(CONTROL!$C$15, $D$11, 100%, $F$11)</f>
        <v>47.895899999999997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48.5213 * CHOOSE(CONTROL!$C$15, $D$11, 100%, $F$11)</f>
        <v>48.521299999999997</v>
      </c>
      <c r="C967" s="8">
        <f>48.5264 * CHOOSE(CONTROL!$C$15, $D$11, 100%, $F$11)</f>
        <v>48.526400000000002</v>
      </c>
      <c r="D967" s="8">
        <f>48.5008 * CHOOSE( CONTROL!$C$15, $D$11, 100%, $F$11)</f>
        <v>48.500799999999998</v>
      </c>
      <c r="E967" s="12">
        <f>48.5096 * CHOOSE( CONTROL!$C$15, $D$11, 100%, $F$11)</f>
        <v>48.509599999999999</v>
      </c>
      <c r="F967" s="4">
        <f>49.1636 * CHOOSE(CONTROL!$C$15, $D$11, 100%, $F$11)</f>
        <v>49.163600000000002</v>
      </c>
      <c r="G967" s="8">
        <f>47.6933 * CHOOSE( CONTROL!$C$15, $D$11, 100%, $F$11)</f>
        <v>47.693300000000001</v>
      </c>
      <c r="H967" s="4">
        <f>48.5771 * CHOOSE(CONTROL!$C$15, $D$11, 100%, $F$11)</f>
        <v>48.577100000000002</v>
      </c>
      <c r="I967" s="8">
        <f>47.007 * CHOOSE(CONTROL!$C$15, $D$11, 100%, $F$11)</f>
        <v>47.006999999999998</v>
      </c>
      <c r="J967" s="4">
        <f>46.8764 * CHOOSE(CONTROL!$C$15, $D$11, 100%, $F$11)</f>
        <v>46.876399999999997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49.2591 * CHOOSE(CONTROL!$C$15, $D$11, 100%, $F$11)</f>
        <v>49.259099999999997</v>
      </c>
      <c r="C968" s="8">
        <f>49.2636 * CHOOSE(CONTROL!$C$15, $D$11, 100%, $F$11)</f>
        <v>49.263599999999997</v>
      </c>
      <c r="D968" s="8">
        <f>49.2779 * CHOOSE( CONTROL!$C$15, $D$11, 100%, $F$11)</f>
        <v>49.277900000000002</v>
      </c>
      <c r="E968" s="12">
        <f>49.2727 * CHOOSE( CONTROL!$C$15, $D$11, 100%, $F$11)</f>
        <v>49.2727</v>
      </c>
      <c r="F968" s="4">
        <f>49.9513 * CHOOSE(CONTROL!$C$15, $D$11, 100%, $F$11)</f>
        <v>49.951300000000003</v>
      </c>
      <c r="G968" s="8">
        <f>48.4134 * CHOOSE( CONTROL!$C$15, $D$11, 100%, $F$11)</f>
        <v>48.413400000000003</v>
      </c>
      <c r="H968" s="4">
        <f>49.3518 * CHOOSE(CONTROL!$C$15, $D$11, 100%, $F$11)</f>
        <v>49.351799999999997</v>
      </c>
      <c r="I968" s="8">
        <f>47.707 * CHOOSE(CONTROL!$C$15, $D$11, 100%, $F$11)</f>
        <v>47.707000000000001</v>
      </c>
      <c r="J968" s="4">
        <f>47.5888 * CHOOSE(CONTROL!$C$15, $D$11, 100%, $F$11)</f>
        <v>47.588799999999999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50.577, 50.5721) * CHOOSE(CONTROL!$C$15, $D$11, 100%, $F$11)</f>
        <v>50.576999999999998</v>
      </c>
      <c r="C969" s="8">
        <f>CHOOSE( CONTROL!$C$32, 50.5851, 50.5802) * CHOOSE(CONTROL!$C$15, $D$11, 100%, $F$11)</f>
        <v>50.585099999999997</v>
      </c>
      <c r="D969" s="8">
        <f>CHOOSE( CONTROL!$C$32, 50.5944, 50.5895) * CHOOSE( CONTROL!$C$15, $D$11, 100%, $F$11)</f>
        <v>50.5944</v>
      </c>
      <c r="E969" s="12">
        <f>CHOOSE( CONTROL!$C$32, 50.5898, 50.5849) * CHOOSE( CONTROL!$C$15, $D$11, 100%, $F$11)</f>
        <v>50.589799999999997</v>
      </c>
      <c r="F969" s="4">
        <f>CHOOSE( CONTROL!$C$32, 51.2679, 51.263) * CHOOSE(CONTROL!$C$15, $D$11, 100%, $F$11)</f>
        <v>51.267899999999997</v>
      </c>
      <c r="G969" s="8">
        <f>CHOOSE( CONTROL!$C$32, 49.7093, 49.7044) * CHOOSE( CONTROL!$C$15, $D$11, 100%, $F$11)</f>
        <v>49.709299999999999</v>
      </c>
      <c r="H969" s="4">
        <f>CHOOSE( CONTROL!$C$32, 50.6465, 50.6417) * CHOOSE(CONTROL!$C$15, $D$11, 100%, $F$11)</f>
        <v>50.646500000000003</v>
      </c>
      <c r="I969" s="8">
        <f>CHOOSE( CONTROL!$C$32, 48.9807, 48.976) * CHOOSE(CONTROL!$C$15, $D$11, 100%, $F$11)</f>
        <v>48.980699999999999</v>
      </c>
      <c r="J969" s="4">
        <f>CHOOSE( CONTROL!$C$32, 48.8616, 48.8569) * CHOOSE(CONTROL!$C$15, $D$11, 100%, $F$11)</f>
        <v>48.861600000000003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49.7645, 49.7596) * CHOOSE(CONTROL!$C$15, $D$11, 100%, $F$11)</f>
        <v>49.764499999999998</v>
      </c>
      <c r="C970" s="8">
        <f>CHOOSE( CONTROL!$C$32, 49.7725, 49.7676) * CHOOSE(CONTROL!$C$15, $D$11, 100%, $F$11)</f>
        <v>49.772500000000001</v>
      </c>
      <c r="D970" s="8">
        <f>CHOOSE( CONTROL!$C$32, 49.782, 49.7771) * CHOOSE( CONTROL!$C$15, $D$11, 100%, $F$11)</f>
        <v>49.781999999999996</v>
      </c>
      <c r="E970" s="12">
        <f>CHOOSE( CONTROL!$C$32, 49.7773, 49.7724) * CHOOSE( CONTROL!$C$15, $D$11, 100%, $F$11)</f>
        <v>49.777299999999997</v>
      </c>
      <c r="F970" s="4">
        <f>CHOOSE( CONTROL!$C$32, 50.4553, 50.4504) * CHOOSE(CONTROL!$C$15, $D$11, 100%, $F$11)</f>
        <v>50.455300000000001</v>
      </c>
      <c r="G970" s="8">
        <f>CHOOSE( CONTROL!$C$32, 48.9105, 48.9057) * CHOOSE( CONTROL!$C$15, $D$11, 100%, $F$11)</f>
        <v>48.910499999999999</v>
      </c>
      <c r="H970" s="4">
        <f>CHOOSE( CONTROL!$C$32, 49.8475, 49.8426) * CHOOSE(CONTROL!$C$15, $D$11, 100%, $F$11)</f>
        <v>49.847499999999997</v>
      </c>
      <c r="I970" s="8">
        <f>CHOOSE( CONTROL!$C$32, 48.1959, 48.1911) * CHOOSE(CONTROL!$C$15, $D$11, 100%, $F$11)</f>
        <v>48.195900000000002</v>
      </c>
      <c r="J970" s="4">
        <f>CHOOSE( CONTROL!$C$32, 48.0761, 48.0714) * CHOOSE(CONTROL!$C$15, $D$11, 100%, $F$11)</f>
        <v>48.076099999999997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51.9043, 51.8994) * CHOOSE(CONTROL!$C$15, $D$11, 100%, $F$11)</f>
        <v>51.904299999999999</v>
      </c>
      <c r="C971" s="8">
        <f>CHOOSE( CONTROL!$C$32, 51.9123, 51.9074) * CHOOSE(CONTROL!$C$15, $D$11, 100%, $F$11)</f>
        <v>51.912300000000002</v>
      </c>
      <c r="D971" s="8">
        <f>CHOOSE( CONTROL!$C$32, 51.922, 51.9171) * CHOOSE( CONTROL!$C$15, $D$11, 100%, $F$11)</f>
        <v>51.921999999999997</v>
      </c>
      <c r="E971" s="12">
        <f>CHOOSE( CONTROL!$C$32, 51.9173, 51.9124) * CHOOSE( CONTROL!$C$15, $D$11, 100%, $F$11)</f>
        <v>51.917299999999997</v>
      </c>
      <c r="F971" s="4">
        <f>CHOOSE( CONTROL!$C$32, 52.5951, 52.5902) * CHOOSE(CONTROL!$C$15, $D$11, 100%, $F$11)</f>
        <v>52.595100000000002</v>
      </c>
      <c r="G971" s="8">
        <f>CHOOSE( CONTROL!$C$32, 51.0151, 51.0103) * CHOOSE( CONTROL!$C$15, $D$11, 100%, $F$11)</f>
        <v>51.015099999999997</v>
      </c>
      <c r="H971" s="4">
        <f>CHOOSE( CONTROL!$C$32, 51.9517, 51.9469) * CHOOSE(CONTROL!$C$15, $D$11, 100%, $F$11)</f>
        <v>51.951700000000002</v>
      </c>
      <c r="I971" s="8">
        <f>CHOOSE( CONTROL!$C$32, 50.2665, 50.2618) * CHOOSE(CONTROL!$C$15, $D$11, 100%, $F$11)</f>
        <v>50.266500000000001</v>
      </c>
      <c r="J971" s="4">
        <f>CHOOSE( CONTROL!$C$32, 50.1446, 50.1399) * CHOOSE(CONTROL!$C$15, $D$11, 100%, $F$11)</f>
        <v>50.144599999999997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47.9005, 47.8956) * CHOOSE(CONTROL!$C$15, $D$11, 100%, $F$11)</f>
        <v>47.900500000000001</v>
      </c>
      <c r="C972" s="8">
        <f>CHOOSE( CONTROL!$C$32, 47.9085, 47.9036) * CHOOSE(CONTROL!$C$15, $D$11, 100%, $F$11)</f>
        <v>47.908499999999997</v>
      </c>
      <c r="D972" s="8">
        <f>CHOOSE( CONTROL!$C$32, 47.9183, 47.9134) * CHOOSE( CONTROL!$C$15, $D$11, 100%, $F$11)</f>
        <v>47.918300000000002</v>
      </c>
      <c r="E972" s="12">
        <f>CHOOSE( CONTROL!$C$32, 47.9135, 47.9086) * CHOOSE( CONTROL!$C$15, $D$11, 100%, $F$11)</f>
        <v>47.913499999999999</v>
      </c>
      <c r="F972" s="4">
        <f>CHOOSE( CONTROL!$C$32, 48.5914, 48.5865) * CHOOSE(CONTROL!$C$15, $D$11, 100%, $F$11)</f>
        <v>48.5914</v>
      </c>
      <c r="G972" s="8">
        <f>CHOOSE( CONTROL!$C$32, 47.0779, 47.073) * CHOOSE( CONTROL!$C$15, $D$11, 100%, $F$11)</f>
        <v>47.0779</v>
      </c>
      <c r="H972" s="4">
        <f>CHOOSE( CONTROL!$C$32, 48.0144, 48.0096) * CHOOSE(CONTROL!$C$15, $D$11, 100%, $F$11)</f>
        <v>48.014400000000002</v>
      </c>
      <c r="I972" s="8">
        <f>CHOOSE( CONTROL!$C$32, 46.3945, 46.3897) * CHOOSE(CONTROL!$C$15, $D$11, 100%, $F$11)</f>
        <v>46.394500000000001</v>
      </c>
      <c r="J972" s="4">
        <f>CHOOSE( CONTROL!$C$32, 46.2742, 46.2695) * CHOOSE(CONTROL!$C$15, $D$11, 100%, $F$11)</f>
        <v>46.2742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46.8979, 46.893) * CHOOSE(CONTROL!$C$15, $D$11, 100%, $F$11)</f>
        <v>46.8979</v>
      </c>
      <c r="C973" s="8">
        <f>CHOOSE( CONTROL!$C$32, 46.9059, 46.901) * CHOOSE(CONTROL!$C$15, $D$11, 100%, $F$11)</f>
        <v>46.905900000000003</v>
      </c>
      <c r="D973" s="8">
        <f>CHOOSE( CONTROL!$C$32, 46.9157, 46.9108) * CHOOSE( CONTROL!$C$15, $D$11, 100%, $F$11)</f>
        <v>46.915700000000001</v>
      </c>
      <c r="E973" s="12">
        <f>CHOOSE( CONTROL!$C$32, 46.9109, 46.906) * CHOOSE( CONTROL!$C$15, $D$11, 100%, $F$11)</f>
        <v>46.910899999999998</v>
      </c>
      <c r="F973" s="4">
        <f>CHOOSE( CONTROL!$C$32, 47.5888, 47.5839) * CHOOSE(CONTROL!$C$15, $D$11, 100%, $F$11)</f>
        <v>47.588799999999999</v>
      </c>
      <c r="G973" s="8">
        <f>CHOOSE( CONTROL!$C$32, 46.0918, 46.087) * CHOOSE( CONTROL!$C$15, $D$11, 100%, $F$11)</f>
        <v>46.091799999999999</v>
      </c>
      <c r="H973" s="4">
        <f>CHOOSE( CONTROL!$C$32, 47.0284, 47.0236) * CHOOSE(CONTROL!$C$15, $D$11, 100%, $F$11)</f>
        <v>47.028399999999998</v>
      </c>
      <c r="I973" s="8">
        <f>CHOOSE( CONTROL!$C$32, 45.4246, 45.4199) * CHOOSE(CONTROL!$C$15, $D$11, 100%, $F$11)</f>
        <v>45.424599999999998</v>
      </c>
      <c r="J973" s="4">
        <f>CHOOSE( CONTROL!$C$32, 45.305, 45.3002) * CHOOSE(CONTROL!$C$15, $D$11, 100%, $F$11)</f>
        <v>45.305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48.973 * CHOOSE(CONTROL!$C$15, $D$11, 100%, $F$11)</f>
        <v>48.972999999999999</v>
      </c>
      <c r="C974" s="8">
        <f>48.9784 * CHOOSE(CONTROL!$C$15, $D$11, 100%, $F$11)</f>
        <v>48.978400000000001</v>
      </c>
      <c r="D974" s="8">
        <f>48.9929 * CHOOSE( CONTROL!$C$15, $D$11, 100%, $F$11)</f>
        <v>48.992899999999999</v>
      </c>
      <c r="E974" s="12">
        <f>48.9875 * CHOOSE( CONTROL!$C$15, $D$11, 100%, $F$11)</f>
        <v>48.987499999999997</v>
      </c>
      <c r="F974" s="4">
        <f>49.6656 * CHOOSE(CONTROL!$C$15, $D$11, 100%, $F$11)</f>
        <v>49.665599999999998</v>
      </c>
      <c r="G974" s="8">
        <f>48.1335 * CHOOSE( CONTROL!$C$15, $D$11, 100%, $F$11)</f>
        <v>48.133499999999998</v>
      </c>
      <c r="H974" s="4">
        <f>49.0708 * CHOOSE(CONTROL!$C$15, $D$11, 100%, $F$11)</f>
        <v>49.070799999999998</v>
      </c>
      <c r="I974" s="8">
        <f>47.4341 * CHOOSE(CONTROL!$C$15, $D$11, 100%, $F$11)</f>
        <v>47.434100000000001</v>
      </c>
      <c r="J974" s="4">
        <f>47.3126 * CHOOSE(CONTROL!$C$15, $D$11, 100%, $F$11)</f>
        <v>47.312600000000003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52.815 * CHOOSE(CONTROL!$C$15, $D$11, 100%, $F$11)</f>
        <v>52.814999999999998</v>
      </c>
      <c r="C975" s="8">
        <f>52.8202 * CHOOSE(CONTROL!$C$15, $D$11, 100%, $F$11)</f>
        <v>52.8202</v>
      </c>
      <c r="D975" s="8">
        <f>52.7971 * CHOOSE( CONTROL!$C$15, $D$11, 100%, $F$11)</f>
        <v>52.7971</v>
      </c>
      <c r="E975" s="12">
        <f>52.805 * CHOOSE( CONTROL!$C$15, $D$11, 100%, $F$11)</f>
        <v>52.805</v>
      </c>
      <c r="F975" s="4">
        <f>53.4599 * CHOOSE(CONTROL!$C$15, $D$11, 100%, $F$11)</f>
        <v>53.459899999999998</v>
      </c>
      <c r="G975" s="8">
        <f>51.9202 * CHOOSE( CONTROL!$C$15, $D$11, 100%, $F$11)</f>
        <v>51.920200000000001</v>
      </c>
      <c r="H975" s="4">
        <f>52.8022 * CHOOSE(CONTROL!$C$15, $D$11, 100%, $F$11)</f>
        <v>52.802199999999999</v>
      </c>
      <c r="I975" s="8">
        <f>51.1751 * CHOOSE(CONTROL!$C$15, $D$11, 100%, $F$11)</f>
        <v>51.1751</v>
      </c>
      <c r="J975" s="4">
        <f>51.0271 * CHOOSE(CONTROL!$C$15, $D$11, 100%, $F$11)</f>
        <v>51.027099999999997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52.719 * CHOOSE(CONTROL!$C$15, $D$11, 100%, $F$11)</f>
        <v>52.719000000000001</v>
      </c>
      <c r="C976" s="8">
        <f>52.7241 * CHOOSE(CONTROL!$C$15, $D$11, 100%, $F$11)</f>
        <v>52.7241</v>
      </c>
      <c r="D976" s="8">
        <f>52.7027 * CHOOSE( CONTROL!$C$15, $D$11, 100%, $F$11)</f>
        <v>52.7027</v>
      </c>
      <c r="E976" s="12">
        <f>52.71 * CHOOSE( CONTROL!$C$15, $D$11, 100%, $F$11)</f>
        <v>52.71</v>
      </c>
      <c r="F976" s="4">
        <f>53.3639 * CHOOSE(CONTROL!$C$15, $D$11, 100%, $F$11)</f>
        <v>53.363900000000001</v>
      </c>
      <c r="G976" s="8">
        <f>51.8269 * CHOOSE( CONTROL!$C$15, $D$11, 100%, $F$11)</f>
        <v>51.826900000000002</v>
      </c>
      <c r="H976" s="4">
        <f>52.7078 * CHOOSE(CONTROL!$C$15, $D$11, 100%, $F$11)</f>
        <v>52.707799999999999</v>
      </c>
      <c r="I976" s="8">
        <f>51.0872 * CHOOSE(CONTROL!$C$15, $D$11, 100%, $F$11)</f>
        <v>51.087200000000003</v>
      </c>
      <c r="J976" s="4">
        <f>50.9343 * CHOOSE(CONTROL!$C$15, $D$11, 100%, $F$11)</f>
        <v>50.9343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54.7328 * CHOOSE(CONTROL!$C$15, $D$11, 100%, $F$11)</f>
        <v>54.732799999999997</v>
      </c>
      <c r="C977" s="8">
        <f>54.7379 * CHOOSE(CONTROL!$C$15, $D$11, 100%, $F$11)</f>
        <v>54.737900000000003</v>
      </c>
      <c r="D977" s="8">
        <f>54.7125 * CHOOSE( CONTROL!$C$15, $D$11, 100%, $F$11)</f>
        <v>54.712499999999999</v>
      </c>
      <c r="E977" s="12">
        <f>54.7212 * CHOOSE( CONTROL!$C$15, $D$11, 100%, $F$11)</f>
        <v>54.721200000000003</v>
      </c>
      <c r="F977" s="4">
        <f>55.3751 * CHOOSE(CONTROL!$C$15, $D$11, 100%, $F$11)</f>
        <v>55.375100000000003</v>
      </c>
      <c r="G977" s="8">
        <f>53.8019 * CHOOSE( CONTROL!$C$15, $D$11, 100%, $F$11)</f>
        <v>53.801900000000003</v>
      </c>
      <c r="H977" s="4">
        <f>54.6856 * CHOOSE(CONTROL!$C$15, $D$11, 100%, $F$11)</f>
        <v>54.685600000000001</v>
      </c>
      <c r="I977" s="8">
        <f>53.0152 * CHOOSE(CONTROL!$C$15, $D$11, 100%, $F$11)</f>
        <v>53.0152</v>
      </c>
      <c r="J977" s="4">
        <f>52.881 * CHOOSE(CONTROL!$C$15, $D$11, 100%, $F$11)</f>
        <v>52.881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51.1963 * CHOOSE(CONTROL!$C$15, $D$11, 100%, $F$11)</f>
        <v>51.196300000000001</v>
      </c>
      <c r="C978" s="8">
        <f>51.2015 * CHOOSE(CONTROL!$C$15, $D$11, 100%, $F$11)</f>
        <v>51.201500000000003</v>
      </c>
      <c r="D978" s="8">
        <f>51.1761 * CHOOSE( CONTROL!$C$15, $D$11, 100%, $F$11)</f>
        <v>51.176099999999998</v>
      </c>
      <c r="E978" s="12">
        <f>51.1848 * CHOOSE( CONTROL!$C$15, $D$11, 100%, $F$11)</f>
        <v>51.184800000000003</v>
      </c>
      <c r="F978" s="4">
        <f>51.8386 * CHOOSE(CONTROL!$C$15, $D$11, 100%, $F$11)</f>
        <v>51.8386</v>
      </c>
      <c r="G978" s="8">
        <f>50.3242 * CHOOSE( CONTROL!$C$15, $D$11, 100%, $F$11)</f>
        <v>50.324199999999998</v>
      </c>
      <c r="H978" s="4">
        <f>51.2078 * CHOOSE(CONTROL!$C$15, $D$11, 100%, $F$11)</f>
        <v>51.207799999999999</v>
      </c>
      <c r="I978" s="8">
        <f>49.5951 * CHOOSE(CONTROL!$C$15, $D$11, 100%, $F$11)</f>
        <v>49.595100000000002</v>
      </c>
      <c r="J978" s="4">
        <f>49.4623 * CHOOSE(CONTROL!$C$15, $D$11, 100%, $F$11)</f>
        <v>49.462299999999999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50.1071 * CHOOSE(CONTROL!$C$15, $D$11, 100%, $F$11)</f>
        <v>50.107100000000003</v>
      </c>
      <c r="C979" s="8">
        <f>50.1122 * CHOOSE(CONTROL!$C$15, $D$11, 100%, $F$11)</f>
        <v>50.112200000000001</v>
      </c>
      <c r="D979" s="8">
        <f>50.0867 * CHOOSE( CONTROL!$C$15, $D$11, 100%, $F$11)</f>
        <v>50.0867</v>
      </c>
      <c r="E979" s="12">
        <f>50.0955 * CHOOSE( CONTROL!$C$15, $D$11, 100%, $F$11)</f>
        <v>50.095500000000001</v>
      </c>
      <c r="F979" s="4">
        <f>50.7494 * CHOOSE(CONTROL!$C$15, $D$11, 100%, $F$11)</f>
        <v>50.749400000000001</v>
      </c>
      <c r="G979" s="8">
        <f>49.2529 * CHOOSE( CONTROL!$C$15, $D$11, 100%, $F$11)</f>
        <v>49.252899999999997</v>
      </c>
      <c r="H979" s="4">
        <f>50.1367 * CHOOSE(CONTROL!$C$15, $D$11, 100%, $F$11)</f>
        <v>50.136699999999998</v>
      </c>
      <c r="I979" s="8">
        <f>48.5408 * CHOOSE(CONTROL!$C$15, $D$11, 100%, $F$11)</f>
        <v>48.540799999999997</v>
      </c>
      <c r="J979" s="4">
        <f>48.4094 * CHOOSE(CONTROL!$C$15, $D$11, 100%, $F$11)</f>
        <v>48.409399999999998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50.869 * CHOOSE(CONTROL!$C$15, $D$11, 100%, $F$11)</f>
        <v>50.869</v>
      </c>
      <c r="C980" s="8">
        <f>50.8736 * CHOOSE(CONTROL!$C$15, $D$11, 100%, $F$11)</f>
        <v>50.873600000000003</v>
      </c>
      <c r="D980" s="8">
        <f>50.8879 * CHOOSE( CONTROL!$C$15, $D$11, 100%, $F$11)</f>
        <v>50.887900000000002</v>
      </c>
      <c r="E980" s="12">
        <f>50.8827 * CHOOSE( CONTROL!$C$15, $D$11, 100%, $F$11)</f>
        <v>50.8827</v>
      </c>
      <c r="F980" s="4">
        <f>51.5612 * CHOOSE(CONTROL!$C$15, $D$11, 100%, $F$11)</f>
        <v>51.561199999999999</v>
      </c>
      <c r="G980" s="8">
        <f>49.9966 * CHOOSE( CONTROL!$C$15, $D$11, 100%, $F$11)</f>
        <v>49.996600000000001</v>
      </c>
      <c r="H980" s="4">
        <f>50.935 * CHOOSE(CONTROL!$C$15, $D$11, 100%, $F$11)</f>
        <v>50.935000000000002</v>
      </c>
      <c r="I980" s="8">
        <f>49.2641 * CHOOSE(CONTROL!$C$15, $D$11, 100%, $F$11)</f>
        <v>49.264099999999999</v>
      </c>
      <c r="J980" s="4">
        <f>49.1452 * CHOOSE(CONTROL!$C$15, $D$11, 100%, $F$11)</f>
        <v>49.145200000000003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52.2299, 52.225) * CHOOSE(CONTROL!$C$15, $D$11, 100%, $F$11)</f>
        <v>52.229900000000001</v>
      </c>
      <c r="C981" s="8">
        <f>CHOOSE( CONTROL!$C$32, 52.2379, 52.233) * CHOOSE(CONTROL!$C$15, $D$11, 100%, $F$11)</f>
        <v>52.237900000000003</v>
      </c>
      <c r="D981" s="8">
        <f>CHOOSE( CONTROL!$C$32, 52.2472, 52.2423) * CHOOSE( CONTROL!$C$15, $D$11, 100%, $F$11)</f>
        <v>52.247199999999999</v>
      </c>
      <c r="E981" s="12">
        <f>CHOOSE( CONTROL!$C$32, 52.2426, 52.2377) * CHOOSE( CONTROL!$C$15, $D$11, 100%, $F$11)</f>
        <v>52.242600000000003</v>
      </c>
      <c r="F981" s="4">
        <f>CHOOSE( CONTROL!$C$32, 52.9207, 52.9158) * CHOOSE(CONTROL!$C$15, $D$11, 100%, $F$11)</f>
        <v>52.920699999999997</v>
      </c>
      <c r="G981" s="8">
        <f>CHOOSE( CONTROL!$C$32, 51.3347, 51.3299) * CHOOSE( CONTROL!$C$15, $D$11, 100%, $F$11)</f>
        <v>51.334699999999998</v>
      </c>
      <c r="H981" s="4">
        <f>CHOOSE( CONTROL!$C$32, 52.272, 52.2672) * CHOOSE(CONTROL!$C$15, $D$11, 100%, $F$11)</f>
        <v>52.271999999999998</v>
      </c>
      <c r="I981" s="8">
        <f>CHOOSE( CONTROL!$C$32, 50.5793, 50.5746) * CHOOSE(CONTROL!$C$15, $D$11, 100%, $F$11)</f>
        <v>50.579300000000003</v>
      </c>
      <c r="J981" s="4">
        <f>CHOOSE( CONTROL!$C$32, 50.4594, 50.4547) * CHOOSE(CONTROL!$C$15, $D$11, 100%, $F$11)</f>
        <v>50.459400000000002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51.3907, 51.3859) * CHOOSE(CONTROL!$C$15, $D$11, 100%, $F$11)</f>
        <v>51.390700000000002</v>
      </c>
      <c r="C982" s="8">
        <f>CHOOSE( CONTROL!$C$32, 51.3988, 51.3939) * CHOOSE(CONTROL!$C$15, $D$11, 100%, $F$11)</f>
        <v>51.398800000000001</v>
      </c>
      <c r="D982" s="8">
        <f>CHOOSE( CONTROL!$C$32, 51.4083, 51.4034) * CHOOSE( CONTROL!$C$15, $D$11, 100%, $F$11)</f>
        <v>51.408299999999997</v>
      </c>
      <c r="E982" s="12">
        <f>CHOOSE( CONTROL!$C$32, 51.4036, 51.3987) * CHOOSE( CONTROL!$C$15, $D$11, 100%, $F$11)</f>
        <v>51.403599999999997</v>
      </c>
      <c r="F982" s="4">
        <f>CHOOSE( CONTROL!$C$32, 52.0816, 52.0767) * CHOOSE(CONTROL!$C$15, $D$11, 100%, $F$11)</f>
        <v>52.081600000000002</v>
      </c>
      <c r="G982" s="8">
        <f>CHOOSE( CONTROL!$C$32, 50.5098, 50.505) * CHOOSE( CONTROL!$C$15, $D$11, 100%, $F$11)</f>
        <v>50.509799999999998</v>
      </c>
      <c r="H982" s="4">
        <f>CHOOSE( CONTROL!$C$32, 51.4468, 51.4419) * CHOOSE(CONTROL!$C$15, $D$11, 100%, $F$11)</f>
        <v>51.446800000000003</v>
      </c>
      <c r="I982" s="8">
        <f>CHOOSE( CONTROL!$C$32, 49.7688, 49.764) * CHOOSE(CONTROL!$C$15, $D$11, 100%, $F$11)</f>
        <v>49.768799999999999</v>
      </c>
      <c r="J982" s="4">
        <f>CHOOSE( CONTROL!$C$32, 49.6482, 49.6435) * CHOOSE(CONTROL!$C$15, $D$11, 100%, $F$11)</f>
        <v>49.648200000000003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53.6005, 53.5956) * CHOOSE(CONTROL!$C$15, $D$11, 100%, $F$11)</f>
        <v>53.600499999999997</v>
      </c>
      <c r="C983" s="8">
        <f>CHOOSE( CONTROL!$C$32, 53.6085, 53.6036) * CHOOSE(CONTROL!$C$15, $D$11, 100%, $F$11)</f>
        <v>53.608499999999999</v>
      </c>
      <c r="D983" s="8">
        <f>CHOOSE( CONTROL!$C$32, 53.6183, 53.6134) * CHOOSE( CONTROL!$C$15, $D$11, 100%, $F$11)</f>
        <v>53.618299999999998</v>
      </c>
      <c r="E983" s="12">
        <f>CHOOSE( CONTROL!$C$32, 53.6135, 53.6086) * CHOOSE( CONTROL!$C$15, $D$11, 100%, $F$11)</f>
        <v>53.613500000000002</v>
      </c>
      <c r="F983" s="4">
        <f>CHOOSE( CONTROL!$C$32, 54.2914, 54.2865) * CHOOSE(CONTROL!$C$15, $D$11, 100%, $F$11)</f>
        <v>54.291400000000003</v>
      </c>
      <c r="G983" s="8">
        <f>CHOOSE( CONTROL!$C$32, 52.6832, 52.6784) * CHOOSE( CONTROL!$C$15, $D$11, 100%, $F$11)</f>
        <v>52.683199999999999</v>
      </c>
      <c r="H983" s="4">
        <f>CHOOSE( CONTROL!$C$32, 53.6199, 53.6151) * CHOOSE(CONTROL!$C$15, $D$11, 100%, $F$11)</f>
        <v>53.619900000000001</v>
      </c>
      <c r="I983" s="8">
        <f>CHOOSE( CONTROL!$C$32, 51.9071, 51.9024) * CHOOSE(CONTROL!$C$15, $D$11, 100%, $F$11)</f>
        <v>51.9071</v>
      </c>
      <c r="J983" s="4">
        <f>CHOOSE( CONTROL!$C$32, 51.7844, 51.7796) * CHOOSE(CONTROL!$C$15, $D$11, 100%, $F$11)</f>
        <v>51.784399999999998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49.4658, 49.4609) * CHOOSE(CONTROL!$C$15, $D$11, 100%, $F$11)</f>
        <v>49.465800000000002</v>
      </c>
      <c r="C984" s="8">
        <f>CHOOSE( CONTROL!$C$32, 49.4738, 49.4689) * CHOOSE(CONTROL!$C$15, $D$11, 100%, $F$11)</f>
        <v>49.473799999999997</v>
      </c>
      <c r="D984" s="8">
        <f>CHOOSE( CONTROL!$C$32, 49.4836, 49.4787) * CHOOSE( CONTROL!$C$15, $D$11, 100%, $F$11)</f>
        <v>49.483600000000003</v>
      </c>
      <c r="E984" s="12">
        <f>CHOOSE( CONTROL!$C$32, 49.4788, 49.4739) * CHOOSE( CONTROL!$C$15, $D$11, 100%, $F$11)</f>
        <v>49.4788</v>
      </c>
      <c r="F984" s="4">
        <f>CHOOSE( CONTROL!$C$32, 50.1567, 50.1518) * CHOOSE(CONTROL!$C$15, $D$11, 100%, $F$11)</f>
        <v>50.156700000000001</v>
      </c>
      <c r="G984" s="8">
        <f>CHOOSE( CONTROL!$C$32, 48.6172, 48.6124) * CHOOSE( CONTROL!$C$15, $D$11, 100%, $F$11)</f>
        <v>48.617199999999997</v>
      </c>
      <c r="H984" s="4">
        <f>CHOOSE( CONTROL!$C$32, 49.5537, 49.5489) * CHOOSE(CONTROL!$C$15, $D$11, 100%, $F$11)</f>
        <v>49.553699999999999</v>
      </c>
      <c r="I984" s="8">
        <f>CHOOSE( CONTROL!$C$32, 47.9084, 47.9037) * CHOOSE(CONTROL!$C$15, $D$11, 100%, $F$11)</f>
        <v>47.9084</v>
      </c>
      <c r="J984" s="4">
        <f>CHOOSE( CONTROL!$C$32, 47.7874, 47.7826) * CHOOSE(CONTROL!$C$15, $D$11, 100%, $F$11)</f>
        <v>47.787399999999998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48.4304, 48.4255) * CHOOSE(CONTROL!$C$15, $D$11, 100%, $F$11)</f>
        <v>48.430399999999999</v>
      </c>
      <c r="C985" s="8">
        <f>CHOOSE( CONTROL!$C$32, 48.4384, 48.4336) * CHOOSE(CONTROL!$C$15, $D$11, 100%, $F$11)</f>
        <v>48.438400000000001</v>
      </c>
      <c r="D985" s="8">
        <f>CHOOSE( CONTROL!$C$32, 48.4482, 48.4433) * CHOOSE( CONTROL!$C$15, $D$11, 100%, $F$11)</f>
        <v>48.4482</v>
      </c>
      <c r="E985" s="12">
        <f>CHOOSE( CONTROL!$C$32, 48.4434, 48.4386) * CHOOSE( CONTROL!$C$15, $D$11, 100%, $F$11)</f>
        <v>48.443399999999997</v>
      </c>
      <c r="F985" s="4">
        <f>CHOOSE( CONTROL!$C$32, 49.1213, 49.1164) * CHOOSE(CONTROL!$C$15, $D$11, 100%, $F$11)</f>
        <v>49.121299999999998</v>
      </c>
      <c r="G985" s="8">
        <f>CHOOSE( CONTROL!$C$32, 47.5989, 47.5941) * CHOOSE( CONTROL!$C$15, $D$11, 100%, $F$11)</f>
        <v>47.5989</v>
      </c>
      <c r="H985" s="4">
        <f>CHOOSE( CONTROL!$C$32, 48.5355, 48.5307) * CHOOSE(CONTROL!$C$15, $D$11, 100%, $F$11)</f>
        <v>48.535499999999999</v>
      </c>
      <c r="I985" s="8">
        <f>CHOOSE( CONTROL!$C$32, 46.9068, 46.9021) * CHOOSE(CONTROL!$C$15, $D$11, 100%, $F$11)</f>
        <v>46.906799999999997</v>
      </c>
      <c r="J985" s="4">
        <f>CHOOSE( CONTROL!$C$32, 46.7865, 46.7817) * CHOOSE(CONTROL!$C$15, $D$11, 100%, $F$11)</f>
        <v>46.786499999999997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50.5736 * CHOOSE(CONTROL!$C$15, $D$11, 100%, $F$11)</f>
        <v>50.573599999999999</v>
      </c>
      <c r="C986" s="8">
        <f>50.579 * CHOOSE(CONTROL!$C$15, $D$11, 100%, $F$11)</f>
        <v>50.579000000000001</v>
      </c>
      <c r="D986" s="8">
        <f>50.5935 * CHOOSE( CONTROL!$C$15, $D$11, 100%, $F$11)</f>
        <v>50.593499999999999</v>
      </c>
      <c r="E986" s="12">
        <f>50.5881 * CHOOSE( CONTROL!$C$15, $D$11, 100%, $F$11)</f>
        <v>50.588099999999997</v>
      </c>
      <c r="F986" s="4">
        <f>51.2662 * CHOOSE(CONTROL!$C$15, $D$11, 100%, $F$11)</f>
        <v>51.266199999999998</v>
      </c>
      <c r="G986" s="8">
        <f>49.7075 * CHOOSE( CONTROL!$C$15, $D$11, 100%, $F$11)</f>
        <v>49.707500000000003</v>
      </c>
      <c r="H986" s="4">
        <f>50.6449 * CHOOSE(CONTROL!$C$15, $D$11, 100%, $F$11)</f>
        <v>50.6449</v>
      </c>
      <c r="I986" s="8">
        <f>48.9822 * CHOOSE(CONTROL!$C$15, $D$11, 100%, $F$11)</f>
        <v>48.982199999999999</v>
      </c>
      <c r="J986" s="4">
        <f>48.8599 * CHOOSE(CONTROL!$C$15, $D$11, 100%, $F$11)</f>
        <v>48.859900000000003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54.5413 * CHOOSE(CONTROL!$C$15, $D$11, 100%, $F$11)</f>
        <v>54.5413</v>
      </c>
      <c r="C987" s="8">
        <f>54.5464 * CHOOSE(CONTROL!$C$15, $D$11, 100%, $F$11)</f>
        <v>54.546399999999998</v>
      </c>
      <c r="D987" s="8">
        <f>54.5234 * CHOOSE( CONTROL!$C$15, $D$11, 100%, $F$11)</f>
        <v>54.523400000000002</v>
      </c>
      <c r="E987" s="12">
        <f>54.5313 * CHOOSE( CONTROL!$C$15, $D$11, 100%, $F$11)</f>
        <v>54.531300000000002</v>
      </c>
      <c r="F987" s="4">
        <f>55.1862 * CHOOSE(CONTROL!$C$15, $D$11, 100%, $F$11)</f>
        <v>55.186199999999999</v>
      </c>
      <c r="G987" s="8">
        <f>53.6178 * CHOOSE( CONTROL!$C$15, $D$11, 100%, $F$11)</f>
        <v>53.617800000000003</v>
      </c>
      <c r="H987" s="4">
        <f>54.4999 * CHOOSE(CONTROL!$C$15, $D$11, 100%, $F$11)</f>
        <v>54.499899999999997</v>
      </c>
      <c r="I987" s="8">
        <f>52.8447 * CHOOSE(CONTROL!$C$15, $D$11, 100%, $F$11)</f>
        <v>52.844700000000003</v>
      </c>
      <c r="J987" s="4">
        <f>52.6959 * CHOOSE(CONTROL!$C$15, $D$11, 100%, $F$11)</f>
        <v>52.695900000000002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54.4422 * CHOOSE(CONTROL!$C$15, $D$11, 100%, $F$11)</f>
        <v>54.4422</v>
      </c>
      <c r="C988" s="8">
        <f>54.4473 * CHOOSE(CONTROL!$C$15, $D$11, 100%, $F$11)</f>
        <v>54.447299999999998</v>
      </c>
      <c r="D988" s="8">
        <f>54.4258 * CHOOSE( CONTROL!$C$15, $D$11, 100%, $F$11)</f>
        <v>54.425800000000002</v>
      </c>
      <c r="E988" s="12">
        <f>54.4331 * CHOOSE( CONTROL!$C$15, $D$11, 100%, $F$11)</f>
        <v>54.433100000000003</v>
      </c>
      <c r="F988" s="4">
        <f>55.087 * CHOOSE(CONTROL!$C$15, $D$11, 100%, $F$11)</f>
        <v>55.087000000000003</v>
      </c>
      <c r="G988" s="8">
        <f>53.5215 * CHOOSE( CONTROL!$C$15, $D$11, 100%, $F$11)</f>
        <v>53.521500000000003</v>
      </c>
      <c r="H988" s="4">
        <f>54.4024 * CHOOSE(CONTROL!$C$15, $D$11, 100%, $F$11)</f>
        <v>54.4024</v>
      </c>
      <c r="I988" s="8">
        <f>52.7538 * CHOOSE(CONTROL!$C$15, $D$11, 100%, $F$11)</f>
        <v>52.753799999999998</v>
      </c>
      <c r="J988" s="4">
        <f>52.6001 * CHOOSE(CONTROL!$C$15, $D$11, 100%, $F$11)</f>
        <v>52.600099999999998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56.5217 * CHOOSE(CONTROL!$C$15, $D$11, 100%, $F$11)</f>
        <v>56.521700000000003</v>
      </c>
      <c r="C989" s="8">
        <f>56.5269 * CHOOSE(CONTROL!$C$15, $D$11, 100%, $F$11)</f>
        <v>56.526899999999998</v>
      </c>
      <c r="D989" s="8">
        <f>56.5014 * CHOOSE( CONTROL!$C$15, $D$11, 100%, $F$11)</f>
        <v>56.501399999999997</v>
      </c>
      <c r="E989" s="12">
        <f>56.5102 * CHOOSE( CONTROL!$C$15, $D$11, 100%, $F$11)</f>
        <v>56.510199999999998</v>
      </c>
      <c r="F989" s="4">
        <f>57.164 * CHOOSE(CONTROL!$C$15, $D$11, 100%, $F$11)</f>
        <v>57.164000000000001</v>
      </c>
      <c r="G989" s="8">
        <f>55.5613 * CHOOSE( CONTROL!$C$15, $D$11, 100%, $F$11)</f>
        <v>55.561300000000003</v>
      </c>
      <c r="H989" s="4">
        <f>56.4449 * CHOOSE(CONTROL!$C$15, $D$11, 100%, $F$11)</f>
        <v>56.444899999999997</v>
      </c>
      <c r="I989" s="8">
        <f>54.7454 * CHOOSE(CONTROL!$C$15, $D$11, 100%, $F$11)</f>
        <v>54.745399999999997</v>
      </c>
      <c r="J989" s="4">
        <f>54.6104 * CHOOSE(CONTROL!$C$15, $D$11, 100%, $F$11)</f>
        <v>54.610399999999998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52.8697 * CHOOSE(CONTROL!$C$15, $D$11, 100%, $F$11)</f>
        <v>52.869700000000002</v>
      </c>
      <c r="C990" s="8">
        <f>52.8748 * CHOOSE(CONTROL!$C$15, $D$11, 100%, $F$11)</f>
        <v>52.8748</v>
      </c>
      <c r="D990" s="8">
        <f>52.8495 * CHOOSE( CONTROL!$C$15, $D$11, 100%, $F$11)</f>
        <v>52.849499999999999</v>
      </c>
      <c r="E990" s="12">
        <f>52.8582 * CHOOSE( CONTROL!$C$15, $D$11, 100%, $F$11)</f>
        <v>52.858199999999997</v>
      </c>
      <c r="F990" s="4">
        <f>53.512 * CHOOSE(CONTROL!$C$15, $D$11, 100%, $F$11)</f>
        <v>53.512</v>
      </c>
      <c r="G990" s="8">
        <f>51.9698 * CHOOSE( CONTROL!$C$15, $D$11, 100%, $F$11)</f>
        <v>51.969799999999999</v>
      </c>
      <c r="H990" s="4">
        <f>52.8534 * CHOOSE(CONTROL!$C$15, $D$11, 100%, $F$11)</f>
        <v>52.853400000000001</v>
      </c>
      <c r="I990" s="8">
        <f>51.2135 * CHOOSE(CONTROL!$C$15, $D$11, 100%, $F$11)</f>
        <v>51.213500000000003</v>
      </c>
      <c r="J990" s="4">
        <f>51.0799 * CHOOSE(CONTROL!$C$15, $D$11, 100%, $F$11)</f>
        <v>51.079900000000002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51.7448 * CHOOSE(CONTROL!$C$15, $D$11, 100%, $F$11)</f>
        <v>51.744799999999998</v>
      </c>
      <c r="C991" s="8">
        <f>51.7499 * CHOOSE(CONTROL!$C$15, $D$11, 100%, $F$11)</f>
        <v>51.749899999999997</v>
      </c>
      <c r="D991" s="8">
        <f>51.7244 * CHOOSE( CONTROL!$C$15, $D$11, 100%, $F$11)</f>
        <v>51.724400000000003</v>
      </c>
      <c r="E991" s="12">
        <f>51.7332 * CHOOSE( CONTROL!$C$15, $D$11, 100%, $F$11)</f>
        <v>51.733199999999997</v>
      </c>
      <c r="F991" s="4">
        <f>52.3871 * CHOOSE(CONTROL!$C$15, $D$11, 100%, $F$11)</f>
        <v>52.387099999999997</v>
      </c>
      <c r="G991" s="8">
        <f>50.8634 * CHOOSE( CONTROL!$C$15, $D$11, 100%, $F$11)</f>
        <v>50.863399999999999</v>
      </c>
      <c r="H991" s="4">
        <f>51.7472 * CHOOSE(CONTROL!$C$15, $D$11, 100%, $F$11)</f>
        <v>51.747199999999999</v>
      </c>
      <c r="I991" s="8">
        <f>50.1247 * CHOOSE(CONTROL!$C$15, $D$11, 100%, $F$11)</f>
        <v>50.124699999999997</v>
      </c>
      <c r="J991" s="4">
        <f>49.9926 * CHOOSE(CONTROL!$C$15, $D$11, 100%, $F$11)</f>
        <v>49.992600000000003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52.5316 * CHOOSE(CONTROL!$C$15, $D$11, 100%, $F$11)</f>
        <v>52.531599999999997</v>
      </c>
      <c r="C992" s="8">
        <f>52.5362 * CHOOSE(CONTROL!$C$15, $D$11, 100%, $F$11)</f>
        <v>52.536200000000001</v>
      </c>
      <c r="D992" s="8">
        <f>52.5505 * CHOOSE( CONTROL!$C$15, $D$11, 100%, $F$11)</f>
        <v>52.5505</v>
      </c>
      <c r="E992" s="12">
        <f>52.5453 * CHOOSE( CONTROL!$C$15, $D$11, 100%, $F$11)</f>
        <v>52.545299999999997</v>
      </c>
      <c r="F992" s="4">
        <f>53.2238 * CHOOSE(CONTROL!$C$15, $D$11, 100%, $F$11)</f>
        <v>53.223799999999997</v>
      </c>
      <c r="G992" s="8">
        <f>51.6316 * CHOOSE( CONTROL!$C$15, $D$11, 100%, $F$11)</f>
        <v>51.631599999999999</v>
      </c>
      <c r="H992" s="4">
        <f>52.57 * CHOOSE(CONTROL!$C$15, $D$11, 100%, $F$11)</f>
        <v>52.57</v>
      </c>
      <c r="I992" s="8">
        <f>50.8721 * CHOOSE(CONTROL!$C$15, $D$11, 100%, $F$11)</f>
        <v>50.872100000000003</v>
      </c>
      <c r="J992" s="4">
        <f>50.7524 * CHOOSE(CONTROL!$C$15, $D$11, 100%, $F$11)</f>
        <v>50.752400000000002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53.9368, 53.9319) * CHOOSE(CONTROL!$C$15, $D$11, 100%, $F$11)</f>
        <v>53.936799999999998</v>
      </c>
      <c r="C993" s="8">
        <f>CHOOSE( CONTROL!$C$32, 53.9448, 53.9399) * CHOOSE(CONTROL!$C$15, $D$11, 100%, $F$11)</f>
        <v>53.944800000000001</v>
      </c>
      <c r="D993" s="8">
        <f>CHOOSE( CONTROL!$C$32, 53.9541, 53.9492) * CHOOSE( CONTROL!$C$15, $D$11, 100%, $F$11)</f>
        <v>53.954099999999997</v>
      </c>
      <c r="E993" s="12">
        <f>CHOOSE( CONTROL!$C$32, 53.9495, 53.9446) * CHOOSE( CONTROL!$C$15, $D$11, 100%, $F$11)</f>
        <v>53.9495</v>
      </c>
      <c r="F993" s="4">
        <f>CHOOSE( CONTROL!$C$32, 54.6276, 54.6227) * CHOOSE(CONTROL!$C$15, $D$11, 100%, $F$11)</f>
        <v>54.627600000000001</v>
      </c>
      <c r="G993" s="8">
        <f>CHOOSE( CONTROL!$C$32, 53.0133, 53.0085) * CHOOSE( CONTROL!$C$15, $D$11, 100%, $F$11)</f>
        <v>53.013300000000001</v>
      </c>
      <c r="H993" s="4">
        <f>CHOOSE( CONTROL!$C$32, 53.9506, 53.9458) * CHOOSE(CONTROL!$C$15, $D$11, 100%, $F$11)</f>
        <v>53.950600000000001</v>
      </c>
      <c r="I993" s="8">
        <f>CHOOSE( CONTROL!$C$32, 52.2302, 52.2255) * CHOOSE(CONTROL!$C$15, $D$11, 100%, $F$11)</f>
        <v>52.230200000000004</v>
      </c>
      <c r="J993" s="4">
        <f>CHOOSE( CONTROL!$C$32, 52.1094, 52.1047) * CHOOSE(CONTROL!$C$15, $D$11, 100%, $F$11)</f>
        <v>52.109400000000001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53.0702, 53.0653) * CHOOSE(CONTROL!$C$15, $D$11, 100%, $F$11)</f>
        <v>53.0702</v>
      </c>
      <c r="C994" s="8">
        <f>CHOOSE( CONTROL!$C$32, 53.0782, 53.0733) * CHOOSE(CONTROL!$C$15, $D$11, 100%, $F$11)</f>
        <v>53.078200000000002</v>
      </c>
      <c r="D994" s="8">
        <f>CHOOSE( CONTROL!$C$32, 53.0877, 53.0828) * CHOOSE( CONTROL!$C$15, $D$11, 100%, $F$11)</f>
        <v>53.087699999999998</v>
      </c>
      <c r="E994" s="12">
        <f>CHOOSE( CONTROL!$C$32, 53.083, 53.0781) * CHOOSE( CONTROL!$C$15, $D$11, 100%, $F$11)</f>
        <v>53.082999999999998</v>
      </c>
      <c r="F994" s="4">
        <f>CHOOSE( CONTROL!$C$32, 53.761, 53.7562) * CHOOSE(CONTROL!$C$15, $D$11, 100%, $F$11)</f>
        <v>53.761000000000003</v>
      </c>
      <c r="G994" s="8">
        <f>CHOOSE( CONTROL!$C$32, 52.1614, 52.1566) * CHOOSE( CONTROL!$C$15, $D$11, 100%, $F$11)</f>
        <v>52.1614</v>
      </c>
      <c r="H994" s="4">
        <f>CHOOSE( CONTROL!$C$32, 53.0984, 53.0935) * CHOOSE(CONTROL!$C$15, $D$11, 100%, $F$11)</f>
        <v>53.098399999999998</v>
      </c>
      <c r="I994" s="8">
        <f>CHOOSE( CONTROL!$C$32, 51.3931, 51.3884) * CHOOSE(CONTROL!$C$15, $D$11, 100%, $F$11)</f>
        <v>51.393099999999997</v>
      </c>
      <c r="J994" s="4">
        <f>CHOOSE( CONTROL!$C$32, 51.2717, 51.267) * CHOOSE(CONTROL!$C$15, $D$11, 100%, $F$11)</f>
        <v>51.271700000000003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55.3522, 55.3473) * CHOOSE(CONTROL!$C$15, $D$11, 100%, $F$11)</f>
        <v>55.352200000000003</v>
      </c>
      <c r="C995" s="8">
        <f>CHOOSE( CONTROL!$C$32, 55.3602, 55.3553) * CHOOSE(CONTROL!$C$15, $D$11, 100%, $F$11)</f>
        <v>55.360199999999999</v>
      </c>
      <c r="D995" s="8">
        <f>CHOOSE( CONTROL!$C$32, 55.37, 55.3651) * CHOOSE( CONTROL!$C$15, $D$11, 100%, $F$11)</f>
        <v>55.37</v>
      </c>
      <c r="E995" s="12">
        <f>CHOOSE( CONTROL!$C$32, 55.3652, 55.3603) * CHOOSE( CONTROL!$C$15, $D$11, 100%, $F$11)</f>
        <v>55.365200000000002</v>
      </c>
      <c r="F995" s="4">
        <f>CHOOSE( CONTROL!$C$32, 56.0431, 56.0382) * CHOOSE(CONTROL!$C$15, $D$11, 100%, $F$11)</f>
        <v>56.043100000000003</v>
      </c>
      <c r="G995" s="8">
        <f>CHOOSE( CONTROL!$C$32, 54.4059, 54.4011) * CHOOSE( CONTROL!$C$15, $D$11, 100%, $F$11)</f>
        <v>54.405900000000003</v>
      </c>
      <c r="H995" s="4">
        <f>CHOOSE( CONTROL!$C$32, 55.3425, 55.3377) * CHOOSE(CONTROL!$C$15, $D$11, 100%, $F$11)</f>
        <v>55.342500000000001</v>
      </c>
      <c r="I995" s="8">
        <f>CHOOSE( CONTROL!$C$32, 53.6013, 53.5966) * CHOOSE(CONTROL!$C$15, $D$11, 100%, $F$11)</f>
        <v>53.601300000000002</v>
      </c>
      <c r="J995" s="4">
        <f>CHOOSE( CONTROL!$C$32, 53.4778, 53.473) * CHOOSE(CONTROL!$C$15, $D$11, 100%, $F$11)</f>
        <v>53.477800000000002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51.0823, 51.0774) * CHOOSE(CONTROL!$C$15, $D$11, 100%, $F$11)</f>
        <v>51.082299999999996</v>
      </c>
      <c r="C996" s="8">
        <f>CHOOSE( CONTROL!$C$32, 51.0903, 51.0854) * CHOOSE(CONTROL!$C$15, $D$11, 100%, $F$11)</f>
        <v>51.090299999999999</v>
      </c>
      <c r="D996" s="8">
        <f>CHOOSE( CONTROL!$C$32, 51.1001, 51.0952) * CHOOSE( CONTROL!$C$15, $D$11, 100%, $F$11)</f>
        <v>51.100099999999998</v>
      </c>
      <c r="E996" s="12">
        <f>CHOOSE( CONTROL!$C$32, 51.0953, 51.0904) * CHOOSE( CONTROL!$C$15, $D$11, 100%, $F$11)</f>
        <v>51.095300000000002</v>
      </c>
      <c r="F996" s="4">
        <f>CHOOSE( CONTROL!$C$32, 51.7732, 51.7683) * CHOOSE(CONTROL!$C$15, $D$11, 100%, $F$11)</f>
        <v>51.773200000000003</v>
      </c>
      <c r="G996" s="8">
        <f>CHOOSE( CONTROL!$C$32, 50.2069, 50.2021) * CHOOSE( CONTROL!$C$15, $D$11, 100%, $F$11)</f>
        <v>50.206899999999997</v>
      </c>
      <c r="H996" s="4">
        <f>CHOOSE( CONTROL!$C$32, 51.1434, 51.1386) * CHOOSE(CONTROL!$C$15, $D$11, 100%, $F$11)</f>
        <v>51.1434</v>
      </c>
      <c r="I996" s="8">
        <f>CHOOSE( CONTROL!$C$32, 49.4719, 49.4671) * CHOOSE(CONTROL!$C$15, $D$11, 100%, $F$11)</f>
        <v>49.471899999999998</v>
      </c>
      <c r="J996" s="4">
        <f>CHOOSE( CONTROL!$C$32, 49.35, 49.3453) * CHOOSE(CONTROL!$C$15, $D$11, 100%, $F$11)</f>
        <v>49.35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50.0131, 50.0082) * CHOOSE(CONTROL!$C$15, $D$11, 100%, $F$11)</f>
        <v>50.013100000000001</v>
      </c>
      <c r="C997" s="8">
        <f>CHOOSE( CONTROL!$C$32, 50.0211, 50.0162) * CHOOSE(CONTROL!$C$15, $D$11, 100%, $F$11)</f>
        <v>50.021099999999997</v>
      </c>
      <c r="D997" s="8">
        <f>CHOOSE( CONTROL!$C$32, 50.0309, 50.026) * CHOOSE( CONTROL!$C$15, $D$11, 100%, $F$11)</f>
        <v>50.030900000000003</v>
      </c>
      <c r="E997" s="12">
        <f>CHOOSE( CONTROL!$C$32, 50.0261, 50.0212) * CHOOSE( CONTROL!$C$15, $D$11, 100%, $F$11)</f>
        <v>50.0261</v>
      </c>
      <c r="F997" s="4">
        <f>CHOOSE( CONTROL!$C$32, 50.7039, 50.699) * CHOOSE(CONTROL!$C$15, $D$11, 100%, $F$11)</f>
        <v>50.703899999999997</v>
      </c>
      <c r="G997" s="8">
        <f>CHOOSE( CONTROL!$C$32, 49.1553, 49.1505) * CHOOSE( CONTROL!$C$15, $D$11, 100%, $F$11)</f>
        <v>49.155299999999997</v>
      </c>
      <c r="H997" s="4">
        <f>CHOOSE( CONTROL!$C$32, 50.0919, 50.0871) * CHOOSE(CONTROL!$C$15, $D$11, 100%, $F$11)</f>
        <v>50.091900000000003</v>
      </c>
      <c r="I997" s="8">
        <f>CHOOSE( CONTROL!$C$32, 48.4375, 48.4328) * CHOOSE(CONTROL!$C$15, $D$11, 100%, $F$11)</f>
        <v>48.4375</v>
      </c>
      <c r="J997" s="4">
        <f>CHOOSE( CONTROL!$C$32, 48.3164, 48.3117) * CHOOSE(CONTROL!$C$15, $D$11, 100%, $F$11)</f>
        <v>48.316400000000002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52.2266 * CHOOSE(CONTROL!$C$15, $D$11, 100%, $F$11)</f>
        <v>52.226599999999998</v>
      </c>
      <c r="C998" s="8">
        <f>52.2319 * CHOOSE(CONTROL!$C$15, $D$11, 100%, $F$11)</f>
        <v>52.231900000000003</v>
      </c>
      <c r="D998" s="8">
        <f>52.2465 * CHOOSE( CONTROL!$C$15, $D$11, 100%, $F$11)</f>
        <v>52.246499999999997</v>
      </c>
      <c r="E998" s="12">
        <f>52.2411 * CHOOSE( CONTROL!$C$15, $D$11, 100%, $F$11)</f>
        <v>52.241100000000003</v>
      </c>
      <c r="F998" s="4">
        <f>52.9191 * CHOOSE(CONTROL!$C$15, $D$11, 100%, $F$11)</f>
        <v>52.9191</v>
      </c>
      <c r="G998" s="8">
        <f>51.3331 * CHOOSE( CONTROL!$C$15, $D$11, 100%, $F$11)</f>
        <v>51.333100000000002</v>
      </c>
      <c r="H998" s="4">
        <f>52.2704 * CHOOSE(CONTROL!$C$15, $D$11, 100%, $F$11)</f>
        <v>52.270400000000002</v>
      </c>
      <c r="I998" s="8">
        <f>50.5809 * CHOOSE(CONTROL!$C$15, $D$11, 100%, $F$11)</f>
        <v>50.5809</v>
      </c>
      <c r="J998" s="4">
        <f>50.4578 * CHOOSE(CONTROL!$C$15, $D$11, 100%, $F$11)</f>
        <v>50.457799999999999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56.324 * CHOOSE(CONTROL!$C$15, $D$11, 100%, $F$11)</f>
        <v>56.323999999999998</v>
      </c>
      <c r="C999" s="8">
        <f>56.3291 * CHOOSE(CONTROL!$C$15, $D$11, 100%, $F$11)</f>
        <v>56.329099999999997</v>
      </c>
      <c r="D999" s="8">
        <f>56.3061 * CHOOSE( CONTROL!$C$15, $D$11, 100%, $F$11)</f>
        <v>56.306100000000001</v>
      </c>
      <c r="E999" s="12">
        <f>56.314 * CHOOSE( CONTROL!$C$15, $D$11, 100%, $F$11)</f>
        <v>56.314</v>
      </c>
      <c r="F999" s="4">
        <f>56.9689 * CHOOSE(CONTROL!$C$15, $D$11, 100%, $F$11)</f>
        <v>56.968899999999998</v>
      </c>
      <c r="G999" s="8">
        <f>55.371 * CHOOSE( CONTROL!$C$15, $D$11, 100%, $F$11)</f>
        <v>55.371000000000002</v>
      </c>
      <c r="H999" s="4">
        <f>56.253 * CHOOSE(CONTROL!$C$15, $D$11, 100%, $F$11)</f>
        <v>56.253</v>
      </c>
      <c r="I999" s="8">
        <f>54.569 * CHOOSE(CONTROL!$C$15, $D$11, 100%, $F$11)</f>
        <v>54.569000000000003</v>
      </c>
      <c r="J999" s="4">
        <f>54.4192 * CHOOSE(CONTROL!$C$15, $D$11, 100%, $F$11)</f>
        <v>54.419199999999996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56.2216 * CHOOSE(CONTROL!$C$15, $D$11, 100%, $F$11)</f>
        <v>56.221600000000002</v>
      </c>
      <c r="C1000" s="8">
        <f>56.2267 * CHOOSE(CONTROL!$C$15, $D$11, 100%, $F$11)</f>
        <v>56.226700000000001</v>
      </c>
      <c r="D1000" s="8">
        <f>56.2052 * CHOOSE( CONTROL!$C$15, $D$11, 100%, $F$11)</f>
        <v>56.205199999999998</v>
      </c>
      <c r="E1000" s="12">
        <f>56.2125 * CHOOSE( CONTROL!$C$15, $D$11, 100%, $F$11)</f>
        <v>56.212499999999999</v>
      </c>
      <c r="F1000" s="4">
        <f>56.8665 * CHOOSE(CONTROL!$C$15, $D$11, 100%, $F$11)</f>
        <v>56.866500000000002</v>
      </c>
      <c r="G1000" s="8">
        <f>55.2714 * CHOOSE( CONTROL!$C$15, $D$11, 100%, $F$11)</f>
        <v>55.2714</v>
      </c>
      <c r="H1000" s="4">
        <f>56.1523 * CHOOSE(CONTROL!$C$15, $D$11, 100%, $F$11)</f>
        <v>56.152299999999997</v>
      </c>
      <c r="I1000" s="8">
        <f>54.4749 * CHOOSE(CONTROL!$C$15, $D$11, 100%, $F$11)</f>
        <v>54.474899999999998</v>
      </c>
      <c r="J1000" s="4">
        <f>54.3203 * CHOOSE(CONTROL!$C$15, $D$11, 100%, $F$11)</f>
        <v>54.320300000000003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58.3692 * CHOOSE(CONTROL!$C$15, $D$11, 100%, $F$11)</f>
        <v>58.369199999999999</v>
      </c>
      <c r="C1001" s="8">
        <f>58.3743 * CHOOSE(CONTROL!$C$15, $D$11, 100%, $F$11)</f>
        <v>58.374299999999998</v>
      </c>
      <c r="D1001" s="8">
        <f>58.3489 * CHOOSE( CONTROL!$C$15, $D$11, 100%, $F$11)</f>
        <v>58.3489</v>
      </c>
      <c r="E1001" s="12">
        <f>58.3576 * CHOOSE( CONTROL!$C$15, $D$11, 100%, $F$11)</f>
        <v>58.357599999999998</v>
      </c>
      <c r="F1001" s="4">
        <f>59.0115 * CHOOSE(CONTROL!$C$15, $D$11, 100%, $F$11)</f>
        <v>59.011499999999998</v>
      </c>
      <c r="G1001" s="8">
        <f>57.3781 * CHOOSE( CONTROL!$C$15, $D$11, 100%, $F$11)</f>
        <v>57.378100000000003</v>
      </c>
      <c r="H1001" s="4">
        <f>58.2618 * CHOOSE(CONTROL!$C$15, $D$11, 100%, $F$11)</f>
        <v>58.261800000000001</v>
      </c>
      <c r="I1001" s="8">
        <f>56.5323 * CHOOSE(CONTROL!$C$15, $D$11, 100%, $F$11)</f>
        <v>56.532299999999999</v>
      </c>
      <c r="J1001" s="4">
        <f>56.3964 * CHOOSE(CONTROL!$C$15, $D$11, 100%, $F$11)</f>
        <v>56.3964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54.5977 * CHOOSE(CONTROL!$C$15, $D$11, 100%, $F$11)</f>
        <v>54.597700000000003</v>
      </c>
      <c r="C1002" s="8">
        <f>54.6028 * CHOOSE(CONTROL!$C$15, $D$11, 100%, $F$11)</f>
        <v>54.602800000000002</v>
      </c>
      <c r="D1002" s="8">
        <f>54.5775 * CHOOSE( CONTROL!$C$15, $D$11, 100%, $F$11)</f>
        <v>54.577500000000001</v>
      </c>
      <c r="E1002" s="12">
        <f>54.5862 * CHOOSE( CONTROL!$C$15, $D$11, 100%, $F$11)</f>
        <v>54.586199999999998</v>
      </c>
      <c r="F1002" s="4">
        <f>55.24 * CHOOSE(CONTROL!$C$15, $D$11, 100%, $F$11)</f>
        <v>55.24</v>
      </c>
      <c r="G1002" s="8">
        <f>53.6692 * CHOOSE( CONTROL!$C$15, $D$11, 100%, $F$11)</f>
        <v>53.669199999999996</v>
      </c>
      <c r="H1002" s="4">
        <f>54.5528 * CHOOSE(CONTROL!$C$15, $D$11, 100%, $F$11)</f>
        <v>54.552799999999998</v>
      </c>
      <c r="I1002" s="8">
        <f>52.8848 * CHOOSE(CONTROL!$C$15, $D$11, 100%, $F$11)</f>
        <v>52.884799999999998</v>
      </c>
      <c r="J1002" s="4">
        <f>52.7504 * CHOOSE(CONTROL!$C$15, $D$11, 100%, $F$11)</f>
        <v>52.750399999999999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53.4361 * CHOOSE(CONTROL!$C$15, $D$11, 100%, $F$11)</f>
        <v>53.436100000000003</v>
      </c>
      <c r="C1003" s="8">
        <f>53.4412 * CHOOSE(CONTROL!$C$15, $D$11, 100%, $F$11)</f>
        <v>53.441200000000002</v>
      </c>
      <c r="D1003" s="8">
        <f>53.4156 * CHOOSE( CONTROL!$C$15, $D$11, 100%, $F$11)</f>
        <v>53.415599999999998</v>
      </c>
      <c r="E1003" s="12">
        <f>53.4244 * CHOOSE( CONTROL!$C$15, $D$11, 100%, $F$11)</f>
        <v>53.424399999999999</v>
      </c>
      <c r="F1003" s="4">
        <f>54.0784 * CHOOSE(CONTROL!$C$15, $D$11, 100%, $F$11)</f>
        <v>54.078400000000002</v>
      </c>
      <c r="G1003" s="8">
        <f>52.5266 * CHOOSE( CONTROL!$C$15, $D$11, 100%, $F$11)</f>
        <v>52.526600000000002</v>
      </c>
      <c r="H1003" s="4">
        <f>53.4104 * CHOOSE(CONTROL!$C$15, $D$11, 100%, $F$11)</f>
        <v>53.410400000000003</v>
      </c>
      <c r="I1003" s="8">
        <f>51.7605 * CHOOSE(CONTROL!$C$15, $D$11, 100%, $F$11)</f>
        <v>51.7605</v>
      </c>
      <c r="J1003" s="4">
        <f>51.6275 * CHOOSE(CONTROL!$C$15, $D$11, 100%, $F$11)</f>
        <v>51.627499999999998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54.2486 * CHOOSE(CONTROL!$C$15, $D$11, 100%, $F$11)</f>
        <v>54.248600000000003</v>
      </c>
      <c r="C1004" s="8">
        <f>54.2531 * CHOOSE(CONTROL!$C$15, $D$11, 100%, $F$11)</f>
        <v>54.253100000000003</v>
      </c>
      <c r="D1004" s="8">
        <f>54.2674 * CHOOSE( CONTROL!$C$15, $D$11, 100%, $F$11)</f>
        <v>54.267400000000002</v>
      </c>
      <c r="E1004" s="12">
        <f>54.2622 * CHOOSE( CONTROL!$C$15, $D$11, 100%, $F$11)</f>
        <v>54.2622</v>
      </c>
      <c r="F1004" s="4">
        <f>54.9408 * CHOOSE(CONTROL!$C$15, $D$11, 100%, $F$11)</f>
        <v>54.940800000000003</v>
      </c>
      <c r="G1004" s="8">
        <f>53.3201 * CHOOSE( CONTROL!$C$15, $D$11, 100%, $F$11)</f>
        <v>53.320099999999996</v>
      </c>
      <c r="H1004" s="4">
        <f>54.2585 * CHOOSE(CONTROL!$C$15, $D$11, 100%, $F$11)</f>
        <v>54.258499999999998</v>
      </c>
      <c r="I1004" s="8">
        <f>52.5327 * CHOOSE(CONTROL!$C$15, $D$11, 100%, $F$11)</f>
        <v>52.532699999999998</v>
      </c>
      <c r="J1004" s="4">
        <f>52.4122 * CHOOSE(CONTROL!$C$15, $D$11, 100%, $F$11)</f>
        <v>52.412199999999999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55.6995, 55.6946) * CHOOSE(CONTROL!$C$15, $D$11, 100%, $F$11)</f>
        <v>55.6995</v>
      </c>
      <c r="C1005" s="8">
        <f>CHOOSE( CONTROL!$C$32, 55.7075, 55.7026) * CHOOSE(CONTROL!$C$15, $D$11, 100%, $F$11)</f>
        <v>55.707500000000003</v>
      </c>
      <c r="D1005" s="8">
        <f>CHOOSE( CONTROL!$C$32, 55.7168, 55.7119) * CHOOSE( CONTROL!$C$15, $D$11, 100%, $F$11)</f>
        <v>55.716799999999999</v>
      </c>
      <c r="E1005" s="12">
        <f>CHOOSE( CONTROL!$C$32, 55.7122, 55.7073) * CHOOSE( CONTROL!$C$15, $D$11, 100%, $F$11)</f>
        <v>55.712200000000003</v>
      </c>
      <c r="F1005" s="4">
        <f>CHOOSE( CONTROL!$C$32, 56.3903, 56.3855) * CHOOSE(CONTROL!$C$15, $D$11, 100%, $F$11)</f>
        <v>56.390300000000003</v>
      </c>
      <c r="G1005" s="8">
        <f>CHOOSE( CONTROL!$C$32, 54.7468, 54.742) * CHOOSE( CONTROL!$C$15, $D$11, 100%, $F$11)</f>
        <v>54.7468</v>
      </c>
      <c r="H1005" s="4">
        <f>CHOOSE( CONTROL!$C$32, 55.6841, 55.6792) * CHOOSE(CONTROL!$C$15, $D$11, 100%, $F$11)</f>
        <v>55.684100000000001</v>
      </c>
      <c r="I1005" s="8">
        <f>CHOOSE( CONTROL!$C$32, 53.9351, 53.9304) * CHOOSE(CONTROL!$C$15, $D$11, 100%, $F$11)</f>
        <v>53.935099999999998</v>
      </c>
      <c r="J1005" s="4">
        <f>CHOOSE( CONTROL!$C$32, 53.8135, 53.8087) * CHOOSE(CONTROL!$C$15, $D$11, 100%, $F$11)</f>
        <v>53.813499999999998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54.8046, 54.7997) * CHOOSE(CONTROL!$C$15, $D$11, 100%, $F$11)</f>
        <v>54.804600000000001</v>
      </c>
      <c r="C1006" s="8">
        <f>CHOOSE( CONTROL!$C$32, 54.8126, 54.8077) * CHOOSE(CONTROL!$C$15, $D$11, 100%, $F$11)</f>
        <v>54.812600000000003</v>
      </c>
      <c r="D1006" s="8">
        <f>CHOOSE( CONTROL!$C$32, 54.8221, 54.8172) * CHOOSE( CONTROL!$C$15, $D$11, 100%, $F$11)</f>
        <v>54.822099999999999</v>
      </c>
      <c r="E1006" s="12">
        <f>CHOOSE( CONTROL!$C$32, 54.8174, 54.8125) * CHOOSE( CONTROL!$C$15, $D$11, 100%, $F$11)</f>
        <v>54.817399999999999</v>
      </c>
      <c r="F1006" s="4">
        <f>CHOOSE( CONTROL!$C$32, 55.4954, 55.4905) * CHOOSE(CONTROL!$C$15, $D$11, 100%, $F$11)</f>
        <v>55.495399999999997</v>
      </c>
      <c r="G1006" s="8">
        <f>CHOOSE( CONTROL!$C$32, 53.867, 53.8622) * CHOOSE( CONTROL!$C$15, $D$11, 100%, $F$11)</f>
        <v>53.866999999999997</v>
      </c>
      <c r="H1006" s="4">
        <f>CHOOSE( CONTROL!$C$32, 54.804, 54.7992) * CHOOSE(CONTROL!$C$15, $D$11, 100%, $F$11)</f>
        <v>54.804000000000002</v>
      </c>
      <c r="I1006" s="8">
        <f>CHOOSE( CONTROL!$C$32, 53.0706, 53.0658) * CHOOSE(CONTROL!$C$15, $D$11, 100%, $F$11)</f>
        <v>53.070599999999999</v>
      </c>
      <c r="J1006" s="4">
        <f>CHOOSE( CONTROL!$C$32, 52.9483, 52.9436) * CHOOSE(CONTROL!$C$15, $D$11, 100%, $F$11)</f>
        <v>52.948300000000003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57.1612, 57.1563) * CHOOSE(CONTROL!$C$15, $D$11, 100%, $F$11)</f>
        <v>57.161200000000001</v>
      </c>
      <c r="C1007" s="8">
        <f>CHOOSE( CONTROL!$C$32, 57.1692, 57.1643) * CHOOSE(CONTROL!$C$15, $D$11, 100%, $F$11)</f>
        <v>57.169199999999996</v>
      </c>
      <c r="D1007" s="8">
        <f>CHOOSE( CONTROL!$C$32, 57.179, 57.1741) * CHOOSE( CONTROL!$C$15, $D$11, 100%, $F$11)</f>
        <v>57.179000000000002</v>
      </c>
      <c r="E1007" s="12">
        <f>CHOOSE( CONTROL!$C$32, 57.1742, 57.1693) * CHOOSE( CONTROL!$C$15, $D$11, 100%, $F$11)</f>
        <v>57.174199999999999</v>
      </c>
      <c r="F1007" s="4">
        <f>CHOOSE( CONTROL!$C$32, 57.8521, 57.8472) * CHOOSE(CONTROL!$C$15, $D$11, 100%, $F$11)</f>
        <v>57.8521</v>
      </c>
      <c r="G1007" s="8">
        <f>CHOOSE( CONTROL!$C$32, 56.1849, 56.1801) * CHOOSE( CONTROL!$C$15, $D$11, 100%, $F$11)</f>
        <v>56.184899999999999</v>
      </c>
      <c r="H1007" s="4">
        <f>CHOOSE( CONTROL!$C$32, 57.1215, 57.1167) * CHOOSE(CONTROL!$C$15, $D$11, 100%, $F$11)</f>
        <v>57.121499999999997</v>
      </c>
      <c r="I1007" s="8">
        <f>CHOOSE( CONTROL!$C$32, 55.351, 55.3462) * CHOOSE(CONTROL!$C$15, $D$11, 100%, $F$11)</f>
        <v>55.350999999999999</v>
      </c>
      <c r="J1007" s="4">
        <f>CHOOSE( CONTROL!$C$32, 55.2265, 55.2218) * CHOOSE(CONTROL!$C$15, $D$11, 100%, $F$11)</f>
        <v>55.226500000000001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52.7517, 52.7468) * CHOOSE(CONTROL!$C$15, $D$11, 100%, $F$11)</f>
        <v>52.7517</v>
      </c>
      <c r="C1008" s="8">
        <f>CHOOSE( CONTROL!$C$32, 52.7597, 52.7548) * CHOOSE(CONTROL!$C$15, $D$11, 100%, $F$11)</f>
        <v>52.759700000000002</v>
      </c>
      <c r="D1008" s="8">
        <f>CHOOSE( CONTROL!$C$32, 52.7695, 52.7646) * CHOOSE( CONTROL!$C$15, $D$11, 100%, $F$11)</f>
        <v>52.769500000000001</v>
      </c>
      <c r="E1008" s="12">
        <f>CHOOSE( CONTROL!$C$32, 52.7647, 52.7598) * CHOOSE( CONTROL!$C$15, $D$11, 100%, $F$11)</f>
        <v>52.764699999999998</v>
      </c>
      <c r="F1008" s="4">
        <f>CHOOSE( CONTROL!$C$32, 53.4425, 53.4376) * CHOOSE(CONTROL!$C$15, $D$11, 100%, $F$11)</f>
        <v>53.442500000000003</v>
      </c>
      <c r="G1008" s="8">
        <f>CHOOSE( CONTROL!$C$32, 51.8486, 51.8438) * CHOOSE( CONTROL!$C$15, $D$11, 100%, $F$11)</f>
        <v>51.848599999999998</v>
      </c>
      <c r="H1008" s="4">
        <f>CHOOSE( CONTROL!$C$32, 52.7851, 52.7803) * CHOOSE(CONTROL!$C$15, $D$11, 100%, $F$11)</f>
        <v>52.7851</v>
      </c>
      <c r="I1008" s="8">
        <f>CHOOSE( CONTROL!$C$32, 51.0865, 51.0817) * CHOOSE(CONTROL!$C$15, $D$11, 100%, $F$11)</f>
        <v>51.086500000000001</v>
      </c>
      <c r="J1008" s="4">
        <f>CHOOSE( CONTROL!$C$32, 50.9638, 50.9591) * CHOOSE(CONTROL!$C$15, $D$11, 100%, $F$11)</f>
        <v>50.963799999999999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51.6475, 51.6426) * CHOOSE(CONTROL!$C$15, $D$11, 100%, $F$11)</f>
        <v>51.647500000000001</v>
      </c>
      <c r="C1009" s="8">
        <f>CHOOSE( CONTROL!$C$32, 51.6555, 51.6506) * CHOOSE(CONTROL!$C$15, $D$11, 100%, $F$11)</f>
        <v>51.655500000000004</v>
      </c>
      <c r="D1009" s="8">
        <f>CHOOSE( CONTROL!$C$32, 51.6653, 51.6604) * CHOOSE( CONTROL!$C$15, $D$11, 100%, $F$11)</f>
        <v>51.665300000000002</v>
      </c>
      <c r="E1009" s="12">
        <f>CHOOSE( CONTROL!$C$32, 51.6605, 51.6556) * CHOOSE( CONTROL!$C$15, $D$11, 100%, $F$11)</f>
        <v>51.660499999999999</v>
      </c>
      <c r="F1009" s="4">
        <f>CHOOSE( CONTROL!$C$32, 52.3383, 52.3334) * CHOOSE(CONTROL!$C$15, $D$11, 100%, $F$11)</f>
        <v>52.338299999999997</v>
      </c>
      <c r="G1009" s="8">
        <f>CHOOSE( CONTROL!$C$32, 50.7626, 50.7578) * CHOOSE( CONTROL!$C$15, $D$11, 100%, $F$11)</f>
        <v>50.762599999999999</v>
      </c>
      <c r="H1009" s="4">
        <f>CHOOSE( CONTROL!$C$32, 51.6992, 51.6944) * CHOOSE(CONTROL!$C$15, $D$11, 100%, $F$11)</f>
        <v>51.699199999999998</v>
      </c>
      <c r="I1009" s="8">
        <f>CHOOSE( CONTROL!$C$32, 50.0183, 50.0136) * CHOOSE(CONTROL!$C$15, $D$11, 100%, $F$11)</f>
        <v>50.018300000000004</v>
      </c>
      <c r="J1009" s="4">
        <f>CHOOSE( CONTROL!$C$32, 49.8964, 49.8916) * CHOOSE(CONTROL!$C$15, $D$11, 100%, $F$11)</f>
        <v>49.8964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53.9336 * CHOOSE(CONTROL!$C$15, $D$11, 100%, $F$11)</f>
        <v>53.933599999999998</v>
      </c>
      <c r="C1010" s="8">
        <f>53.9389 * CHOOSE(CONTROL!$C$15, $D$11, 100%, $F$11)</f>
        <v>53.938899999999997</v>
      </c>
      <c r="D1010" s="8">
        <f>53.9535 * CHOOSE( CONTROL!$C$15, $D$11, 100%, $F$11)</f>
        <v>53.953499999999998</v>
      </c>
      <c r="E1010" s="12">
        <f>53.9481 * CHOOSE( CONTROL!$C$15, $D$11, 100%, $F$11)</f>
        <v>53.948099999999997</v>
      </c>
      <c r="F1010" s="4">
        <f>54.6261 * CHOOSE(CONTROL!$C$15, $D$11, 100%, $F$11)</f>
        <v>54.626100000000001</v>
      </c>
      <c r="G1010" s="8">
        <f>53.0118 * CHOOSE( CONTROL!$C$15, $D$11, 100%, $F$11)</f>
        <v>53.011800000000001</v>
      </c>
      <c r="H1010" s="4">
        <f>53.9491 * CHOOSE(CONTROL!$C$15, $D$11, 100%, $F$11)</f>
        <v>53.949100000000001</v>
      </c>
      <c r="I1010" s="8">
        <f>52.2319 * CHOOSE(CONTROL!$C$15, $D$11, 100%, $F$11)</f>
        <v>52.231900000000003</v>
      </c>
      <c r="J1010" s="4">
        <f>52.108 * CHOOSE(CONTROL!$C$15, $D$11, 100%, $F$11)</f>
        <v>52.107999999999997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58.165 * CHOOSE(CONTROL!$C$15, $D$11, 100%, $F$11)</f>
        <v>58.164999999999999</v>
      </c>
      <c r="C1011" s="8">
        <f>58.1701 * CHOOSE(CONTROL!$C$15, $D$11, 100%, $F$11)</f>
        <v>58.170099999999998</v>
      </c>
      <c r="D1011" s="8">
        <f>58.1471 * CHOOSE( CONTROL!$C$15, $D$11, 100%, $F$11)</f>
        <v>58.147100000000002</v>
      </c>
      <c r="E1011" s="12">
        <f>58.155 * CHOOSE( CONTROL!$C$15, $D$11, 100%, $F$11)</f>
        <v>58.155000000000001</v>
      </c>
      <c r="F1011" s="4">
        <f>58.8099 * CHOOSE(CONTROL!$C$15, $D$11, 100%, $F$11)</f>
        <v>58.809899999999999</v>
      </c>
      <c r="G1011" s="8">
        <f>57.1815 * CHOOSE( CONTROL!$C$15, $D$11, 100%, $F$11)</f>
        <v>57.1815</v>
      </c>
      <c r="H1011" s="4">
        <f>58.0635 * CHOOSE(CONTROL!$C$15, $D$11, 100%, $F$11)</f>
        <v>58.063499999999998</v>
      </c>
      <c r="I1011" s="8">
        <f>56.3496 * CHOOSE(CONTROL!$C$15, $D$11, 100%, $F$11)</f>
        <v>56.349600000000002</v>
      </c>
      <c r="J1011" s="4">
        <f>56.199 * CHOOSE(CONTROL!$C$15, $D$11, 100%, $F$11)</f>
        <v>56.198999999999998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58.0593 * CHOOSE(CONTROL!$C$15, $D$11, 100%, $F$11)</f>
        <v>58.0593</v>
      </c>
      <c r="C1012" s="8">
        <f>58.0644 * CHOOSE(CONTROL!$C$15, $D$11, 100%, $F$11)</f>
        <v>58.064399999999999</v>
      </c>
      <c r="D1012" s="8">
        <f>58.0429 * CHOOSE( CONTROL!$C$15, $D$11, 100%, $F$11)</f>
        <v>58.042900000000003</v>
      </c>
      <c r="E1012" s="12">
        <f>58.0502 * CHOOSE( CONTROL!$C$15, $D$11, 100%, $F$11)</f>
        <v>58.050199999999997</v>
      </c>
      <c r="F1012" s="4">
        <f>58.7042 * CHOOSE(CONTROL!$C$15, $D$11, 100%, $F$11)</f>
        <v>58.7042</v>
      </c>
      <c r="G1012" s="8">
        <f>57.0786 * CHOOSE( CONTROL!$C$15, $D$11, 100%, $F$11)</f>
        <v>57.078600000000002</v>
      </c>
      <c r="H1012" s="4">
        <f>57.9595 * CHOOSE(CONTROL!$C$15, $D$11, 100%, $F$11)</f>
        <v>57.959499999999998</v>
      </c>
      <c r="I1012" s="8">
        <f>56.2522 * CHOOSE(CONTROL!$C$15, $D$11, 100%, $F$11)</f>
        <v>56.252200000000002</v>
      </c>
      <c r="J1012" s="4">
        <f>56.0967 * CHOOSE(CONTROL!$C$15, $D$11, 100%, $F$11)</f>
        <v>56.096699999999998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60.2771 * CHOOSE(CONTROL!$C$15, $D$11, 100%, $F$11)</f>
        <v>60.277099999999997</v>
      </c>
      <c r="C1013" s="8">
        <f>60.2822 * CHOOSE(CONTROL!$C$15, $D$11, 100%, $F$11)</f>
        <v>60.282200000000003</v>
      </c>
      <c r="D1013" s="8">
        <f>60.2568 * CHOOSE( CONTROL!$C$15, $D$11, 100%, $F$11)</f>
        <v>60.256799999999998</v>
      </c>
      <c r="E1013" s="12">
        <f>60.2655 * CHOOSE( CONTROL!$C$15, $D$11, 100%, $F$11)</f>
        <v>60.265500000000003</v>
      </c>
      <c r="F1013" s="4">
        <f>60.9194 * CHOOSE(CONTROL!$C$15, $D$11, 100%, $F$11)</f>
        <v>60.919400000000003</v>
      </c>
      <c r="G1013" s="8">
        <f>59.2544 * CHOOSE( CONTROL!$C$15, $D$11, 100%, $F$11)</f>
        <v>59.254399999999997</v>
      </c>
      <c r="H1013" s="4">
        <f>60.138 * CHOOSE(CONTROL!$C$15, $D$11, 100%, $F$11)</f>
        <v>60.137999999999998</v>
      </c>
      <c r="I1013" s="8">
        <f>58.3776 * CHOOSE(CONTROL!$C$15, $D$11, 100%, $F$11)</f>
        <v>58.377600000000001</v>
      </c>
      <c r="J1013" s="4">
        <f>58.2407 * CHOOSE(CONTROL!$C$15, $D$11, 100%, $F$11)</f>
        <v>58.240699999999997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56.3823 * CHOOSE(CONTROL!$C$15, $D$11, 100%, $F$11)</f>
        <v>56.382300000000001</v>
      </c>
      <c r="C1014" s="8">
        <f>56.3874 * CHOOSE(CONTROL!$C$15, $D$11, 100%, $F$11)</f>
        <v>56.3874</v>
      </c>
      <c r="D1014" s="8">
        <f>56.3621 * CHOOSE( CONTROL!$C$15, $D$11, 100%, $F$11)</f>
        <v>56.362099999999998</v>
      </c>
      <c r="E1014" s="12">
        <f>56.3708 * CHOOSE( CONTROL!$C$15, $D$11, 100%, $F$11)</f>
        <v>56.370800000000003</v>
      </c>
      <c r="F1014" s="4">
        <f>57.0246 * CHOOSE(CONTROL!$C$15, $D$11, 100%, $F$11)</f>
        <v>57.0246</v>
      </c>
      <c r="G1014" s="8">
        <f>55.4242 * CHOOSE( CONTROL!$C$15, $D$11, 100%, $F$11)</f>
        <v>55.424199999999999</v>
      </c>
      <c r="H1014" s="4">
        <f>56.3078 * CHOOSE(CONTROL!$C$15, $D$11, 100%, $F$11)</f>
        <v>56.3078</v>
      </c>
      <c r="I1014" s="8">
        <f>54.6108 * CHOOSE(CONTROL!$C$15, $D$11, 100%, $F$11)</f>
        <v>54.610799999999998</v>
      </c>
      <c r="J1014" s="4">
        <f>54.4756 * CHOOSE(CONTROL!$C$15, $D$11, 100%, $F$11)</f>
        <v>54.4756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55.1827 * CHOOSE(CONTROL!$C$15, $D$11, 100%, $F$11)</f>
        <v>55.182699999999997</v>
      </c>
      <c r="C1015" s="8">
        <f>55.1878 * CHOOSE(CONTROL!$C$15, $D$11, 100%, $F$11)</f>
        <v>55.187800000000003</v>
      </c>
      <c r="D1015" s="8">
        <f>55.1622 * CHOOSE( CONTROL!$C$15, $D$11, 100%, $F$11)</f>
        <v>55.162199999999999</v>
      </c>
      <c r="E1015" s="12">
        <f>55.171 * CHOOSE( CONTROL!$C$15, $D$11, 100%, $F$11)</f>
        <v>55.170999999999999</v>
      </c>
      <c r="F1015" s="4">
        <f>55.825 * CHOOSE(CONTROL!$C$15, $D$11, 100%, $F$11)</f>
        <v>55.825000000000003</v>
      </c>
      <c r="G1015" s="8">
        <f>54.2443 * CHOOSE( CONTROL!$C$15, $D$11, 100%, $F$11)</f>
        <v>54.244300000000003</v>
      </c>
      <c r="H1015" s="4">
        <f>55.128 * CHOOSE(CONTROL!$C$15, $D$11, 100%, $F$11)</f>
        <v>55.128</v>
      </c>
      <c r="I1015" s="8">
        <f>53.4497 * CHOOSE(CONTROL!$C$15, $D$11, 100%, $F$11)</f>
        <v>53.4497</v>
      </c>
      <c r="J1015" s="4">
        <f>53.3159 * CHOOSE(CONTROL!$C$15, $D$11, 100%, $F$11)</f>
        <v>53.315899999999999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56.0217 * CHOOSE(CONTROL!$C$15, $D$11, 100%, $F$11)</f>
        <v>56.021700000000003</v>
      </c>
      <c r="C1016" s="8">
        <f>56.0262 * CHOOSE(CONTROL!$C$15, $D$11, 100%, $F$11)</f>
        <v>56.026200000000003</v>
      </c>
      <c r="D1016" s="8">
        <f>56.0406 * CHOOSE( CONTROL!$C$15, $D$11, 100%, $F$11)</f>
        <v>56.040599999999998</v>
      </c>
      <c r="E1016" s="12">
        <f>56.0353 * CHOOSE( CONTROL!$C$15, $D$11, 100%, $F$11)</f>
        <v>56.035299999999999</v>
      </c>
      <c r="F1016" s="4">
        <f>56.7139 * CHOOSE(CONTROL!$C$15, $D$11, 100%, $F$11)</f>
        <v>56.713900000000002</v>
      </c>
      <c r="G1016" s="8">
        <f>55.0638 * CHOOSE( CONTROL!$C$15, $D$11, 100%, $F$11)</f>
        <v>55.063800000000001</v>
      </c>
      <c r="H1016" s="4">
        <f>56.0023 * CHOOSE(CONTROL!$C$15, $D$11, 100%, $F$11)</f>
        <v>56.002299999999998</v>
      </c>
      <c r="I1016" s="8">
        <f>54.2477 * CHOOSE(CONTROL!$C$15, $D$11, 100%, $F$11)</f>
        <v>54.247700000000002</v>
      </c>
      <c r="J1016" s="4">
        <f>54.1263 * CHOOSE(CONTROL!$C$15, $D$11, 100%, $F$11)</f>
        <v>54.126300000000001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57.5199, 57.515) * CHOOSE(CONTROL!$C$15, $D$11, 100%, $F$11)</f>
        <v>57.5199</v>
      </c>
      <c r="C1017" s="8">
        <f>CHOOSE( CONTROL!$C$32, 57.5279, 57.523) * CHOOSE(CONTROL!$C$15, $D$11, 100%, $F$11)</f>
        <v>57.527900000000002</v>
      </c>
      <c r="D1017" s="8">
        <f>CHOOSE( CONTROL!$C$32, 57.5372, 57.5323) * CHOOSE( CONTROL!$C$15, $D$11, 100%, $F$11)</f>
        <v>57.537199999999999</v>
      </c>
      <c r="E1017" s="12">
        <f>CHOOSE( CONTROL!$C$32, 57.5326, 57.5277) * CHOOSE( CONTROL!$C$15, $D$11, 100%, $F$11)</f>
        <v>57.532600000000002</v>
      </c>
      <c r="F1017" s="4">
        <f>CHOOSE( CONTROL!$C$32, 58.2107, 58.2058) * CHOOSE(CONTROL!$C$15, $D$11, 100%, $F$11)</f>
        <v>58.210700000000003</v>
      </c>
      <c r="G1017" s="8">
        <f>CHOOSE( CONTROL!$C$32, 56.5369, 56.5321) * CHOOSE( CONTROL!$C$15, $D$11, 100%, $F$11)</f>
        <v>56.536900000000003</v>
      </c>
      <c r="H1017" s="4">
        <f>CHOOSE( CONTROL!$C$32, 57.4742, 57.4694) * CHOOSE(CONTROL!$C$15, $D$11, 100%, $F$11)</f>
        <v>57.474200000000003</v>
      </c>
      <c r="I1017" s="8">
        <f>CHOOSE( CONTROL!$C$32, 55.6957, 55.691) * CHOOSE(CONTROL!$C$15, $D$11, 100%, $F$11)</f>
        <v>55.695700000000002</v>
      </c>
      <c r="J1017" s="4">
        <f>CHOOSE( CONTROL!$C$32, 55.5732, 55.5685) * CHOOSE(CONTROL!$C$15, $D$11, 100%, $F$11)</f>
        <v>55.5732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56.5957, 56.5908) * CHOOSE(CONTROL!$C$15, $D$11, 100%, $F$11)</f>
        <v>56.595700000000001</v>
      </c>
      <c r="C1018" s="8">
        <f>CHOOSE( CONTROL!$C$32, 56.6037, 56.5988) * CHOOSE(CONTROL!$C$15, $D$11, 100%, $F$11)</f>
        <v>56.603700000000003</v>
      </c>
      <c r="D1018" s="8">
        <f>CHOOSE( CONTROL!$C$32, 56.6132, 56.6083) * CHOOSE( CONTROL!$C$15, $D$11, 100%, $F$11)</f>
        <v>56.613199999999999</v>
      </c>
      <c r="E1018" s="12">
        <f>CHOOSE( CONTROL!$C$32, 56.6085, 56.6036) * CHOOSE( CONTROL!$C$15, $D$11, 100%, $F$11)</f>
        <v>56.608499999999999</v>
      </c>
      <c r="F1018" s="4">
        <f>CHOOSE( CONTROL!$C$32, 57.2865, 57.2816) * CHOOSE(CONTROL!$C$15, $D$11, 100%, $F$11)</f>
        <v>57.286499999999997</v>
      </c>
      <c r="G1018" s="8">
        <f>CHOOSE( CONTROL!$C$32, 55.6284, 55.6236) * CHOOSE( CONTROL!$C$15, $D$11, 100%, $F$11)</f>
        <v>55.628399999999999</v>
      </c>
      <c r="H1018" s="4">
        <f>CHOOSE( CONTROL!$C$32, 56.5654, 56.5606) * CHOOSE(CONTROL!$C$15, $D$11, 100%, $F$11)</f>
        <v>56.565399999999997</v>
      </c>
      <c r="I1018" s="8">
        <f>CHOOSE( CONTROL!$C$32, 54.8029, 54.7982) * CHOOSE(CONTROL!$C$15, $D$11, 100%, $F$11)</f>
        <v>54.802900000000001</v>
      </c>
      <c r="J1018" s="4">
        <f>CHOOSE( CONTROL!$C$32, 54.6798, 54.6751) * CHOOSE(CONTROL!$C$15, $D$11, 100%, $F$11)</f>
        <v>54.6798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59.0294, 59.0245) * CHOOSE(CONTROL!$C$15, $D$11, 100%, $F$11)</f>
        <v>59.029400000000003</v>
      </c>
      <c r="C1019" s="8">
        <f>CHOOSE( CONTROL!$C$32, 59.0374, 59.0325) * CHOOSE(CONTROL!$C$15, $D$11, 100%, $F$11)</f>
        <v>59.037399999999998</v>
      </c>
      <c r="D1019" s="8">
        <f>CHOOSE( CONTROL!$C$32, 59.0471, 59.0423) * CHOOSE( CONTROL!$C$15, $D$11, 100%, $F$11)</f>
        <v>59.0471</v>
      </c>
      <c r="E1019" s="12">
        <f>CHOOSE( CONTROL!$C$32, 59.0424, 59.0375) * CHOOSE( CONTROL!$C$15, $D$11, 100%, $F$11)</f>
        <v>59.042400000000001</v>
      </c>
      <c r="F1019" s="4">
        <f>CHOOSE( CONTROL!$C$32, 59.7202, 59.7154) * CHOOSE(CONTROL!$C$15, $D$11, 100%, $F$11)</f>
        <v>59.720199999999998</v>
      </c>
      <c r="G1019" s="8">
        <f>CHOOSE( CONTROL!$C$32, 58.0221, 58.0173) * CHOOSE( CONTROL!$C$15, $D$11, 100%, $F$11)</f>
        <v>58.022100000000002</v>
      </c>
      <c r="H1019" s="4">
        <f>CHOOSE( CONTROL!$C$32, 58.9587, 58.9539) * CHOOSE(CONTROL!$C$15, $D$11, 100%, $F$11)</f>
        <v>58.9587</v>
      </c>
      <c r="I1019" s="8">
        <f>CHOOSE( CONTROL!$C$32, 57.1578, 57.1531) * CHOOSE(CONTROL!$C$15, $D$11, 100%, $F$11)</f>
        <v>57.157800000000002</v>
      </c>
      <c r="J1019" s="4">
        <f>CHOOSE( CONTROL!$C$32, 57.0325, 57.0278) * CHOOSE(CONTROL!$C$15, $D$11, 100%, $F$11)</f>
        <v>57.032499999999999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54.4756, 54.4707) * CHOOSE(CONTROL!$C$15, $D$11, 100%, $F$11)</f>
        <v>54.4756</v>
      </c>
      <c r="C1020" s="8">
        <f>CHOOSE( CONTROL!$C$32, 54.4836, 54.4788) * CHOOSE(CONTROL!$C$15, $D$11, 100%, $F$11)</f>
        <v>54.483600000000003</v>
      </c>
      <c r="D1020" s="8">
        <f>CHOOSE( CONTROL!$C$32, 54.4935, 54.4886) * CHOOSE( CONTROL!$C$15, $D$11, 100%, $F$11)</f>
        <v>54.493499999999997</v>
      </c>
      <c r="E1020" s="12">
        <f>CHOOSE( CONTROL!$C$32, 54.4887, 54.4838) * CHOOSE( CONTROL!$C$15, $D$11, 100%, $F$11)</f>
        <v>54.488700000000001</v>
      </c>
      <c r="F1020" s="4">
        <f>CHOOSE( CONTROL!$C$32, 55.1665, 55.1616) * CHOOSE(CONTROL!$C$15, $D$11, 100%, $F$11)</f>
        <v>55.166499999999999</v>
      </c>
      <c r="G1020" s="8">
        <f>CHOOSE( CONTROL!$C$32, 53.544, 53.5392) * CHOOSE( CONTROL!$C$15, $D$11, 100%, $F$11)</f>
        <v>53.543999999999997</v>
      </c>
      <c r="H1020" s="4">
        <f>CHOOSE( CONTROL!$C$32, 54.4805, 54.4757) * CHOOSE(CONTROL!$C$15, $D$11, 100%, $F$11)</f>
        <v>54.480499999999999</v>
      </c>
      <c r="I1020" s="8">
        <f>CHOOSE( CONTROL!$C$32, 52.7538, 52.7491) * CHOOSE(CONTROL!$C$15, $D$11, 100%, $F$11)</f>
        <v>52.753799999999998</v>
      </c>
      <c r="J1020" s="4">
        <f>CHOOSE( CONTROL!$C$32, 52.6304, 52.6256) * CHOOSE(CONTROL!$C$15, $D$11, 100%, $F$11)</f>
        <v>52.630400000000002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53.3353, 53.3304) * CHOOSE(CONTROL!$C$15, $D$11, 100%, $F$11)</f>
        <v>53.335299999999997</v>
      </c>
      <c r="C1021" s="8">
        <f>CHOOSE( CONTROL!$C$32, 53.3433, 53.3384) * CHOOSE(CONTROL!$C$15, $D$11, 100%, $F$11)</f>
        <v>53.343299999999999</v>
      </c>
      <c r="D1021" s="8">
        <f>CHOOSE( CONTROL!$C$32, 53.3531, 53.3482) * CHOOSE( CONTROL!$C$15, $D$11, 100%, $F$11)</f>
        <v>53.353099999999998</v>
      </c>
      <c r="E1021" s="12">
        <f>CHOOSE( CONTROL!$C$32, 53.3483, 53.3434) * CHOOSE( CONTROL!$C$15, $D$11, 100%, $F$11)</f>
        <v>53.348300000000002</v>
      </c>
      <c r="F1021" s="4">
        <f>CHOOSE( CONTROL!$C$32, 54.0262, 54.0213) * CHOOSE(CONTROL!$C$15, $D$11, 100%, $F$11)</f>
        <v>54.026200000000003</v>
      </c>
      <c r="G1021" s="8">
        <f>CHOOSE( CONTROL!$C$32, 52.4225, 52.4177) * CHOOSE( CONTROL!$C$15, $D$11, 100%, $F$11)</f>
        <v>52.422499999999999</v>
      </c>
      <c r="H1021" s="4">
        <f>CHOOSE( CONTROL!$C$32, 53.3591, 53.3543) * CHOOSE(CONTROL!$C$15, $D$11, 100%, $F$11)</f>
        <v>53.359099999999998</v>
      </c>
      <c r="I1021" s="8">
        <f>CHOOSE( CONTROL!$C$32, 51.6508, 51.646) * CHOOSE(CONTROL!$C$15, $D$11, 100%, $F$11)</f>
        <v>51.650799999999997</v>
      </c>
      <c r="J1021" s="4">
        <f>CHOOSE( CONTROL!$C$32, 51.528, 51.5233) * CHOOSE(CONTROL!$C$15, $D$11, 100%, $F$11)</f>
        <v>51.527999999999999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55.6964 * CHOOSE(CONTROL!$C$15, $D$11, 100%, $F$11)</f>
        <v>55.696399999999997</v>
      </c>
      <c r="C1022" s="8">
        <f>55.7018 * CHOOSE(CONTROL!$C$15, $D$11, 100%, $F$11)</f>
        <v>55.701799999999999</v>
      </c>
      <c r="D1022" s="8">
        <f>55.7163 * CHOOSE( CONTROL!$C$15, $D$11, 100%, $F$11)</f>
        <v>55.716299999999997</v>
      </c>
      <c r="E1022" s="12">
        <f>55.7109 * CHOOSE( CONTROL!$C$15, $D$11, 100%, $F$11)</f>
        <v>55.710900000000002</v>
      </c>
      <c r="F1022" s="4">
        <f>56.389 * CHOOSE(CONTROL!$C$15, $D$11, 100%, $F$11)</f>
        <v>56.389000000000003</v>
      </c>
      <c r="G1022" s="8">
        <f>54.7454 * CHOOSE( CONTROL!$C$15, $D$11, 100%, $F$11)</f>
        <v>54.745399999999997</v>
      </c>
      <c r="H1022" s="4">
        <f>55.6827 * CHOOSE(CONTROL!$C$15, $D$11, 100%, $F$11)</f>
        <v>55.682699999999997</v>
      </c>
      <c r="I1022" s="8">
        <f>53.9369 * CHOOSE(CONTROL!$C$15, $D$11, 100%, $F$11)</f>
        <v>53.936900000000001</v>
      </c>
      <c r="J1022" s="4">
        <f>53.8121 * CHOOSE(CONTROL!$C$15, $D$11, 100%, $F$11)</f>
        <v>53.812100000000001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60.0663 * CHOOSE(CONTROL!$C$15, $D$11, 100%, $F$11)</f>
        <v>60.066299999999998</v>
      </c>
      <c r="C1023" s="8">
        <f>60.0714 * CHOOSE(CONTROL!$C$15, $D$11, 100%, $F$11)</f>
        <v>60.071399999999997</v>
      </c>
      <c r="D1023" s="8">
        <f>60.0483 * CHOOSE( CONTROL!$C$15, $D$11, 100%, $F$11)</f>
        <v>60.048299999999998</v>
      </c>
      <c r="E1023" s="12">
        <f>60.0562 * CHOOSE( CONTROL!$C$15, $D$11, 100%, $F$11)</f>
        <v>60.056199999999997</v>
      </c>
      <c r="F1023" s="4">
        <f>60.7111 * CHOOSE(CONTROL!$C$15, $D$11, 100%, $F$11)</f>
        <v>60.711100000000002</v>
      </c>
      <c r="G1023" s="8">
        <f>59.0512 * CHOOSE( CONTROL!$C$15, $D$11, 100%, $F$11)</f>
        <v>59.051200000000001</v>
      </c>
      <c r="H1023" s="4">
        <f>59.9332 * CHOOSE(CONTROL!$C$15, $D$11, 100%, $F$11)</f>
        <v>59.933199999999999</v>
      </c>
      <c r="I1023" s="8">
        <f>58.1884 * CHOOSE(CONTROL!$C$15, $D$11, 100%, $F$11)</f>
        <v>58.188400000000001</v>
      </c>
      <c r="J1023" s="4">
        <f>58.0369 * CHOOSE(CONTROL!$C$15, $D$11, 100%, $F$11)</f>
        <v>58.036900000000003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59.9571 * CHOOSE(CONTROL!$C$15, $D$11, 100%, $F$11)</f>
        <v>59.957099999999997</v>
      </c>
      <c r="C1024" s="8">
        <f>59.9622 * CHOOSE(CONTROL!$C$15, $D$11, 100%, $F$11)</f>
        <v>59.962200000000003</v>
      </c>
      <c r="D1024" s="8">
        <f>59.9407 * CHOOSE( CONTROL!$C$15, $D$11, 100%, $F$11)</f>
        <v>59.9407</v>
      </c>
      <c r="E1024" s="12">
        <f>59.948 * CHOOSE( CONTROL!$C$15, $D$11, 100%, $F$11)</f>
        <v>59.948</v>
      </c>
      <c r="F1024" s="4">
        <f>60.6019 * CHOOSE(CONTROL!$C$15, $D$11, 100%, $F$11)</f>
        <v>60.601900000000001</v>
      </c>
      <c r="G1024" s="8">
        <f>58.9449 * CHOOSE( CONTROL!$C$15, $D$11, 100%, $F$11)</f>
        <v>58.944899999999997</v>
      </c>
      <c r="H1024" s="4">
        <f>59.8258 * CHOOSE(CONTROL!$C$15, $D$11, 100%, $F$11)</f>
        <v>59.825800000000001</v>
      </c>
      <c r="I1024" s="8">
        <f>58.0877 * CHOOSE(CONTROL!$C$15, $D$11, 100%, $F$11)</f>
        <v>58.087699999999998</v>
      </c>
      <c r="J1024" s="4">
        <f>57.9313 * CHOOSE(CONTROL!$C$15, $D$11, 100%, $F$11)</f>
        <v>57.9313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62.2474 * CHOOSE(CONTROL!$C$15, $D$11, 100%, $F$11)</f>
        <v>62.247399999999999</v>
      </c>
      <c r="C1025" s="8">
        <f>62.2525 * CHOOSE(CONTROL!$C$15, $D$11, 100%, $F$11)</f>
        <v>62.252499999999998</v>
      </c>
      <c r="D1025" s="8">
        <f>62.2271 * CHOOSE( CONTROL!$C$15, $D$11, 100%, $F$11)</f>
        <v>62.2271</v>
      </c>
      <c r="E1025" s="12">
        <f>62.2358 * CHOOSE( CONTROL!$C$15, $D$11, 100%, $F$11)</f>
        <v>62.235799999999998</v>
      </c>
      <c r="F1025" s="4">
        <f>62.8897 * CHOOSE(CONTROL!$C$15, $D$11, 100%, $F$11)</f>
        <v>62.889699999999998</v>
      </c>
      <c r="G1025" s="8">
        <f>61.192 * CHOOSE( CONTROL!$C$15, $D$11, 100%, $F$11)</f>
        <v>61.192</v>
      </c>
      <c r="H1025" s="4">
        <f>62.0757 * CHOOSE(CONTROL!$C$15, $D$11, 100%, $F$11)</f>
        <v>62.075699999999998</v>
      </c>
      <c r="I1025" s="8">
        <f>60.2832 * CHOOSE(CONTROL!$C$15, $D$11, 100%, $F$11)</f>
        <v>60.283200000000001</v>
      </c>
      <c r="J1025" s="4">
        <f>60.1454 * CHOOSE(CONTROL!$C$15, $D$11, 100%, $F$11)</f>
        <v>60.145400000000002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58.2252 * CHOOSE(CONTROL!$C$15, $D$11, 100%, $F$11)</f>
        <v>58.225200000000001</v>
      </c>
      <c r="C1026" s="8">
        <f>58.2303 * CHOOSE(CONTROL!$C$15, $D$11, 100%, $F$11)</f>
        <v>58.2303</v>
      </c>
      <c r="D1026" s="8">
        <f>58.205 * CHOOSE( CONTROL!$C$15, $D$11, 100%, $F$11)</f>
        <v>58.204999999999998</v>
      </c>
      <c r="E1026" s="12">
        <f>58.2137 * CHOOSE( CONTROL!$C$15, $D$11, 100%, $F$11)</f>
        <v>58.213700000000003</v>
      </c>
      <c r="F1026" s="4">
        <f>58.8675 * CHOOSE(CONTROL!$C$15, $D$11, 100%, $F$11)</f>
        <v>58.8675</v>
      </c>
      <c r="G1026" s="8">
        <f>57.2365 * CHOOSE( CONTROL!$C$15, $D$11, 100%, $F$11)</f>
        <v>57.236499999999999</v>
      </c>
      <c r="H1026" s="4">
        <f>58.1201 * CHOOSE(CONTROL!$C$15, $D$11, 100%, $F$11)</f>
        <v>58.120100000000001</v>
      </c>
      <c r="I1026" s="8">
        <f>56.3933 * CHOOSE(CONTROL!$C$15, $D$11, 100%, $F$11)</f>
        <v>56.393300000000004</v>
      </c>
      <c r="J1026" s="4">
        <f>56.2571 * CHOOSE(CONTROL!$C$15, $D$11, 100%, $F$11)</f>
        <v>56.257100000000001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56.9864 * CHOOSE(CONTROL!$C$15, $D$11, 100%, $F$11)</f>
        <v>56.986400000000003</v>
      </c>
      <c r="C1027" s="8">
        <f>56.9915 * CHOOSE(CONTROL!$C$15, $D$11, 100%, $F$11)</f>
        <v>56.991500000000002</v>
      </c>
      <c r="D1027" s="8">
        <f>56.9659 * CHOOSE( CONTROL!$C$15, $D$11, 100%, $F$11)</f>
        <v>56.965899999999998</v>
      </c>
      <c r="E1027" s="12">
        <f>56.9747 * CHOOSE( CONTROL!$C$15, $D$11, 100%, $F$11)</f>
        <v>56.974699999999999</v>
      </c>
      <c r="F1027" s="4">
        <f>57.6287 * CHOOSE(CONTROL!$C$15, $D$11, 100%, $F$11)</f>
        <v>57.628700000000002</v>
      </c>
      <c r="G1027" s="8">
        <f>56.018 * CHOOSE( CONTROL!$C$15, $D$11, 100%, $F$11)</f>
        <v>56.018000000000001</v>
      </c>
      <c r="H1027" s="4">
        <f>56.9018 * CHOOSE(CONTROL!$C$15, $D$11, 100%, $F$11)</f>
        <v>56.901800000000001</v>
      </c>
      <c r="I1027" s="8">
        <f>55.1942 * CHOOSE(CONTROL!$C$15, $D$11, 100%, $F$11)</f>
        <v>55.194200000000002</v>
      </c>
      <c r="J1027" s="4">
        <f>55.0595 * CHOOSE(CONTROL!$C$15, $D$11, 100%, $F$11)</f>
        <v>55.0595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57.8528 * CHOOSE(CONTROL!$C$15, $D$11, 100%, $F$11)</f>
        <v>57.852800000000002</v>
      </c>
      <c r="C1028" s="8">
        <f>57.8573 * CHOOSE(CONTROL!$C$15, $D$11, 100%, $F$11)</f>
        <v>57.857300000000002</v>
      </c>
      <c r="D1028" s="8">
        <f>57.8717 * CHOOSE( CONTROL!$C$15, $D$11, 100%, $F$11)</f>
        <v>57.871699999999997</v>
      </c>
      <c r="E1028" s="12">
        <f>57.8664 * CHOOSE( CONTROL!$C$15, $D$11, 100%, $F$11)</f>
        <v>57.866399999999999</v>
      </c>
      <c r="F1028" s="4">
        <f>58.545 * CHOOSE(CONTROL!$C$15, $D$11, 100%, $F$11)</f>
        <v>58.545000000000002</v>
      </c>
      <c r="G1028" s="8">
        <f>56.8646 * CHOOSE( CONTROL!$C$15, $D$11, 100%, $F$11)</f>
        <v>56.864600000000003</v>
      </c>
      <c r="H1028" s="4">
        <f>57.803 * CHOOSE(CONTROL!$C$15, $D$11, 100%, $F$11)</f>
        <v>57.802999999999997</v>
      </c>
      <c r="I1028" s="8">
        <f>56.0187 * CHOOSE(CONTROL!$C$15, $D$11, 100%, $F$11)</f>
        <v>56.018700000000003</v>
      </c>
      <c r="J1028" s="4">
        <f>55.8964 * CHOOSE(CONTROL!$C$15, $D$11, 100%, $F$11)</f>
        <v>55.8964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59.3997, 59.3949) * CHOOSE(CONTROL!$C$15, $D$11, 100%, $F$11)</f>
        <v>59.399700000000003</v>
      </c>
      <c r="C1029" s="8">
        <f>CHOOSE( CONTROL!$C$32, 59.4078, 59.4029) * CHOOSE(CONTROL!$C$15, $D$11, 100%, $F$11)</f>
        <v>59.407800000000002</v>
      </c>
      <c r="D1029" s="8">
        <f>CHOOSE( CONTROL!$C$32, 59.4171, 59.4122) * CHOOSE( CONTROL!$C$15, $D$11, 100%, $F$11)</f>
        <v>59.417099999999998</v>
      </c>
      <c r="E1029" s="12">
        <f>CHOOSE( CONTROL!$C$32, 59.4125, 59.4076) * CHOOSE( CONTROL!$C$15, $D$11, 100%, $F$11)</f>
        <v>59.412500000000001</v>
      </c>
      <c r="F1029" s="4">
        <f>CHOOSE( CONTROL!$C$32, 60.0906, 60.0857) * CHOOSE(CONTROL!$C$15, $D$11, 100%, $F$11)</f>
        <v>60.090600000000002</v>
      </c>
      <c r="G1029" s="8">
        <f>CHOOSE( CONTROL!$C$32, 58.3857, 58.3809) * CHOOSE( CONTROL!$C$15, $D$11, 100%, $F$11)</f>
        <v>58.3857</v>
      </c>
      <c r="H1029" s="4">
        <f>CHOOSE( CONTROL!$C$32, 59.323, 59.3181) * CHOOSE(CONTROL!$C$15, $D$11, 100%, $F$11)</f>
        <v>59.323</v>
      </c>
      <c r="I1029" s="8">
        <f>CHOOSE( CONTROL!$C$32, 57.5139, 57.5092) * CHOOSE(CONTROL!$C$15, $D$11, 100%, $F$11)</f>
        <v>57.5139</v>
      </c>
      <c r="J1029" s="4">
        <f>CHOOSE( CONTROL!$C$32, 57.3905, 57.3858) * CHOOSE(CONTROL!$C$15, $D$11, 100%, $F$11)</f>
        <v>57.390500000000003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58.4453, 58.4404) * CHOOSE(CONTROL!$C$15, $D$11, 100%, $F$11)</f>
        <v>58.445300000000003</v>
      </c>
      <c r="C1030" s="8">
        <f>CHOOSE( CONTROL!$C$32, 58.4534, 58.4485) * CHOOSE(CONTROL!$C$15, $D$11, 100%, $F$11)</f>
        <v>58.453400000000002</v>
      </c>
      <c r="D1030" s="8">
        <f>CHOOSE( CONTROL!$C$32, 58.4629, 58.458) * CHOOSE( CONTROL!$C$15, $D$11, 100%, $F$11)</f>
        <v>58.462899999999998</v>
      </c>
      <c r="E1030" s="12">
        <f>CHOOSE( CONTROL!$C$32, 58.4582, 58.4533) * CHOOSE( CONTROL!$C$15, $D$11, 100%, $F$11)</f>
        <v>58.458199999999998</v>
      </c>
      <c r="F1030" s="4">
        <f>CHOOSE( CONTROL!$C$32, 59.1362, 59.1313) * CHOOSE(CONTROL!$C$15, $D$11, 100%, $F$11)</f>
        <v>59.136200000000002</v>
      </c>
      <c r="G1030" s="8">
        <f>CHOOSE( CONTROL!$C$32, 57.4474, 57.4426) * CHOOSE( CONTROL!$C$15, $D$11, 100%, $F$11)</f>
        <v>57.447400000000002</v>
      </c>
      <c r="H1030" s="4">
        <f>CHOOSE( CONTROL!$C$32, 58.3844, 58.3796) * CHOOSE(CONTROL!$C$15, $D$11, 100%, $F$11)</f>
        <v>58.384399999999999</v>
      </c>
      <c r="I1030" s="8">
        <f>CHOOSE( CONTROL!$C$32, 56.5919, 56.5871) * CHOOSE(CONTROL!$C$15, $D$11, 100%, $F$11)</f>
        <v>56.591900000000003</v>
      </c>
      <c r="J1030" s="4">
        <f>CHOOSE( CONTROL!$C$32, 56.4679, 56.4631) * CHOOSE(CONTROL!$C$15, $D$11, 100%, $F$11)</f>
        <v>56.4679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60.9587, 60.9538) * CHOOSE(CONTROL!$C$15, $D$11, 100%, $F$11)</f>
        <v>60.9587</v>
      </c>
      <c r="C1031" s="8">
        <f>CHOOSE( CONTROL!$C$32, 60.9667, 60.9618) * CHOOSE(CONTROL!$C$15, $D$11, 100%, $F$11)</f>
        <v>60.966700000000003</v>
      </c>
      <c r="D1031" s="8">
        <f>CHOOSE( CONTROL!$C$32, 60.9764, 60.9715) * CHOOSE( CONTROL!$C$15, $D$11, 100%, $F$11)</f>
        <v>60.976399999999998</v>
      </c>
      <c r="E1031" s="12">
        <f>CHOOSE( CONTROL!$C$32, 60.9717, 60.9668) * CHOOSE( CONTROL!$C$15, $D$11, 100%, $F$11)</f>
        <v>60.971699999999998</v>
      </c>
      <c r="F1031" s="4">
        <f>CHOOSE( CONTROL!$C$32, 61.6495, 61.6446) * CHOOSE(CONTROL!$C$15, $D$11, 100%, $F$11)</f>
        <v>61.649500000000003</v>
      </c>
      <c r="G1031" s="8">
        <f>CHOOSE( CONTROL!$C$32, 59.9194, 59.9146) * CHOOSE( CONTROL!$C$15, $D$11, 100%, $F$11)</f>
        <v>59.919400000000003</v>
      </c>
      <c r="H1031" s="4">
        <f>CHOOSE( CONTROL!$C$32, 60.856, 60.8512) * CHOOSE(CONTROL!$C$15, $D$11, 100%, $F$11)</f>
        <v>60.856000000000002</v>
      </c>
      <c r="I1031" s="8">
        <f>CHOOSE( CONTROL!$C$32, 59.0238, 59.019) * CHOOSE(CONTROL!$C$15, $D$11, 100%, $F$11)</f>
        <v>59.023800000000001</v>
      </c>
      <c r="J1031" s="4">
        <f>CHOOSE( CONTROL!$C$32, 58.8975, 58.8928) * CHOOSE(CONTROL!$C$15, $D$11, 100%, $F$11)</f>
        <v>58.897500000000001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56.256, 56.2511) * CHOOSE(CONTROL!$C$15, $D$11, 100%, $F$11)</f>
        <v>56.256</v>
      </c>
      <c r="C1032" s="8">
        <f>CHOOSE( CONTROL!$C$32, 56.264, 56.2591) * CHOOSE(CONTROL!$C$15, $D$11, 100%, $F$11)</f>
        <v>56.264000000000003</v>
      </c>
      <c r="D1032" s="8">
        <f>CHOOSE( CONTROL!$C$32, 56.2738, 56.2689) * CHOOSE( CONTROL!$C$15, $D$11, 100%, $F$11)</f>
        <v>56.273800000000001</v>
      </c>
      <c r="E1032" s="12">
        <f>CHOOSE( CONTROL!$C$32, 56.269, 56.2641) * CHOOSE( CONTROL!$C$15, $D$11, 100%, $F$11)</f>
        <v>56.268999999999998</v>
      </c>
      <c r="F1032" s="4">
        <f>CHOOSE( CONTROL!$C$32, 56.9468, 56.9419) * CHOOSE(CONTROL!$C$15, $D$11, 100%, $F$11)</f>
        <v>56.946800000000003</v>
      </c>
      <c r="G1032" s="8">
        <f>CHOOSE( CONTROL!$C$32, 55.2948, 55.29) * CHOOSE( CONTROL!$C$15, $D$11, 100%, $F$11)</f>
        <v>55.294800000000002</v>
      </c>
      <c r="H1032" s="4">
        <f>CHOOSE( CONTROL!$C$32, 56.2313, 56.2265) * CHOOSE(CONTROL!$C$15, $D$11, 100%, $F$11)</f>
        <v>56.231299999999997</v>
      </c>
      <c r="I1032" s="8">
        <f>CHOOSE( CONTROL!$C$32, 54.4758, 54.471) * CHOOSE(CONTROL!$C$15, $D$11, 100%, $F$11)</f>
        <v>54.4758</v>
      </c>
      <c r="J1032" s="4">
        <f>CHOOSE( CONTROL!$C$32, 54.3514, 54.3467) * CHOOSE(CONTROL!$C$15, $D$11, 100%, $F$11)</f>
        <v>54.351399999999998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55.0784, 55.0735) * CHOOSE(CONTROL!$C$15, $D$11, 100%, $F$11)</f>
        <v>55.078400000000002</v>
      </c>
      <c r="C1033" s="8">
        <f>CHOOSE( CONTROL!$C$32, 55.0864, 55.0815) * CHOOSE(CONTROL!$C$15, $D$11, 100%, $F$11)</f>
        <v>55.086399999999998</v>
      </c>
      <c r="D1033" s="8">
        <f>CHOOSE( CONTROL!$C$32, 55.0961, 55.0913) * CHOOSE( CONTROL!$C$15, $D$11, 100%, $F$11)</f>
        <v>55.0961</v>
      </c>
      <c r="E1033" s="12">
        <f>CHOOSE( CONTROL!$C$32, 55.0914, 55.0865) * CHOOSE( CONTROL!$C$15, $D$11, 100%, $F$11)</f>
        <v>55.0914</v>
      </c>
      <c r="F1033" s="4">
        <f>CHOOSE( CONTROL!$C$32, 55.7692, 55.7643) * CHOOSE(CONTROL!$C$15, $D$11, 100%, $F$11)</f>
        <v>55.769199999999998</v>
      </c>
      <c r="G1033" s="8">
        <f>CHOOSE( CONTROL!$C$32, 54.1366, 54.1318) * CHOOSE( CONTROL!$C$15, $D$11, 100%, $F$11)</f>
        <v>54.136600000000001</v>
      </c>
      <c r="H1033" s="4">
        <f>CHOOSE( CONTROL!$C$32, 55.0732, 55.0684) * CHOOSE(CONTROL!$C$15, $D$11, 100%, $F$11)</f>
        <v>55.0732</v>
      </c>
      <c r="I1033" s="8">
        <f>CHOOSE( CONTROL!$C$32, 53.3366, 53.3319) * CHOOSE(CONTROL!$C$15, $D$11, 100%, $F$11)</f>
        <v>53.336599999999997</v>
      </c>
      <c r="J1033" s="4">
        <f>CHOOSE( CONTROL!$C$32, 53.213, 53.2083) * CHOOSE(CONTROL!$C$15, $D$11, 100%, $F$11)</f>
        <v>53.213000000000001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57.5169 * CHOOSE(CONTROL!$C$15, $D$11, 100%, $F$11)</f>
        <v>57.5169</v>
      </c>
      <c r="C1034" s="8">
        <f>57.5222 * CHOOSE(CONTROL!$C$15, $D$11, 100%, $F$11)</f>
        <v>57.522199999999998</v>
      </c>
      <c r="D1034" s="8">
        <f>57.5368 * CHOOSE( CONTROL!$C$15, $D$11, 100%, $F$11)</f>
        <v>57.536799999999999</v>
      </c>
      <c r="E1034" s="12">
        <f>57.5314 * CHOOSE( CONTROL!$C$15, $D$11, 100%, $F$11)</f>
        <v>57.531399999999998</v>
      </c>
      <c r="F1034" s="4">
        <f>58.2094 * CHOOSE(CONTROL!$C$15, $D$11, 100%, $F$11)</f>
        <v>58.209400000000002</v>
      </c>
      <c r="G1034" s="8">
        <f>56.5357 * CHOOSE( CONTROL!$C$15, $D$11, 100%, $F$11)</f>
        <v>56.535699999999999</v>
      </c>
      <c r="H1034" s="4">
        <f>57.473 * CHOOSE(CONTROL!$C$15, $D$11, 100%, $F$11)</f>
        <v>57.472999999999999</v>
      </c>
      <c r="I1034" s="8">
        <f>55.6976 * CHOOSE(CONTROL!$C$15, $D$11, 100%, $F$11)</f>
        <v>55.697600000000001</v>
      </c>
      <c r="J1034" s="4">
        <f>55.572 * CHOOSE(CONTROL!$C$15, $D$11, 100%, $F$11)</f>
        <v>55.572000000000003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62.0297 * CHOOSE(CONTROL!$C$15, $D$11, 100%, $F$11)</f>
        <v>62.029699999999998</v>
      </c>
      <c r="C1035" s="8">
        <f>62.0348 * CHOOSE(CONTROL!$C$15, $D$11, 100%, $F$11)</f>
        <v>62.034799999999997</v>
      </c>
      <c r="D1035" s="8">
        <f>62.0117 * CHOOSE( CONTROL!$C$15, $D$11, 100%, $F$11)</f>
        <v>62.011699999999998</v>
      </c>
      <c r="E1035" s="12">
        <f>62.0196 * CHOOSE( CONTROL!$C$15, $D$11, 100%, $F$11)</f>
        <v>62.019599999999997</v>
      </c>
      <c r="F1035" s="4">
        <f>62.6745 * CHOOSE(CONTROL!$C$15, $D$11, 100%, $F$11)</f>
        <v>62.674500000000002</v>
      </c>
      <c r="G1035" s="8">
        <f>60.982 * CHOOSE( CONTROL!$C$15, $D$11, 100%, $F$11)</f>
        <v>60.981999999999999</v>
      </c>
      <c r="H1035" s="4">
        <f>61.864 * CHOOSE(CONTROL!$C$15, $D$11, 100%, $F$11)</f>
        <v>61.863999999999997</v>
      </c>
      <c r="I1035" s="8">
        <f>60.0874 * CHOOSE(CONTROL!$C$15, $D$11, 100%, $F$11)</f>
        <v>60.087400000000002</v>
      </c>
      <c r="J1035" s="4">
        <f>59.9349 * CHOOSE(CONTROL!$C$15, $D$11, 100%, $F$11)</f>
        <v>59.934899999999999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61.9169 * CHOOSE(CONTROL!$C$15, $D$11, 100%, $F$11)</f>
        <v>61.916899999999998</v>
      </c>
      <c r="C1036" s="8">
        <f>61.922 * CHOOSE(CONTROL!$C$15, $D$11, 100%, $F$11)</f>
        <v>61.921999999999997</v>
      </c>
      <c r="D1036" s="8">
        <f>61.9005 * CHOOSE( CONTROL!$C$15, $D$11, 100%, $F$11)</f>
        <v>61.900500000000001</v>
      </c>
      <c r="E1036" s="12">
        <f>61.9078 * CHOOSE( CONTROL!$C$15, $D$11, 100%, $F$11)</f>
        <v>61.907800000000002</v>
      </c>
      <c r="F1036" s="4">
        <f>62.5618 * CHOOSE(CONTROL!$C$15, $D$11, 100%, $F$11)</f>
        <v>62.561799999999998</v>
      </c>
      <c r="G1036" s="8">
        <f>60.8723 * CHOOSE( CONTROL!$C$15, $D$11, 100%, $F$11)</f>
        <v>60.872300000000003</v>
      </c>
      <c r="H1036" s="4">
        <f>61.7532 * CHOOSE(CONTROL!$C$15, $D$11, 100%, $F$11)</f>
        <v>61.7532</v>
      </c>
      <c r="I1036" s="8">
        <f>59.9833 * CHOOSE(CONTROL!$C$15, $D$11, 100%, $F$11)</f>
        <v>59.9833</v>
      </c>
      <c r="J1036" s="4">
        <f>59.8259 * CHOOSE(CONTROL!$C$15, $D$11, 100%, $F$11)</f>
        <v>59.825899999999997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64.2822 * CHOOSE(CONTROL!$C$15, $D$11, 100%, $F$11)</f>
        <v>64.282200000000003</v>
      </c>
      <c r="C1037" s="8">
        <f>64.2873 * CHOOSE(CONTROL!$C$15, $D$11, 100%, $F$11)</f>
        <v>64.287300000000002</v>
      </c>
      <c r="D1037" s="8">
        <f>64.2619 * CHOOSE( CONTROL!$C$15, $D$11, 100%, $F$11)</f>
        <v>64.261899999999997</v>
      </c>
      <c r="E1037" s="12">
        <f>64.2706 * CHOOSE( CONTROL!$C$15, $D$11, 100%, $F$11)</f>
        <v>64.270600000000002</v>
      </c>
      <c r="F1037" s="4">
        <f>64.9245 * CHOOSE(CONTROL!$C$15, $D$11, 100%, $F$11)</f>
        <v>64.924499999999995</v>
      </c>
      <c r="G1037" s="8">
        <f>63.193 * CHOOSE( CONTROL!$C$15, $D$11, 100%, $F$11)</f>
        <v>63.192999999999998</v>
      </c>
      <c r="H1037" s="4">
        <f>64.0767 * CHOOSE(CONTROL!$C$15, $D$11, 100%, $F$11)</f>
        <v>64.076700000000002</v>
      </c>
      <c r="I1037" s="8">
        <f>62.2512 * CHOOSE(CONTROL!$C$15, $D$11, 100%, $F$11)</f>
        <v>62.251199999999997</v>
      </c>
      <c r="J1037" s="4">
        <f>62.1124 * CHOOSE(CONTROL!$C$15, $D$11, 100%, $F$11)</f>
        <v>62.112400000000001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60.1284 * CHOOSE(CONTROL!$C$15, $D$11, 100%, $F$11)</f>
        <v>60.128399999999999</v>
      </c>
      <c r="C1038" s="8">
        <f>60.1335 * CHOOSE(CONTROL!$C$15, $D$11, 100%, $F$11)</f>
        <v>60.133499999999998</v>
      </c>
      <c r="D1038" s="8">
        <f>60.1082 * CHOOSE( CONTROL!$C$15, $D$11, 100%, $F$11)</f>
        <v>60.108199999999997</v>
      </c>
      <c r="E1038" s="12">
        <f>60.1169 * CHOOSE( CONTROL!$C$15, $D$11, 100%, $F$11)</f>
        <v>60.116900000000001</v>
      </c>
      <c r="F1038" s="4">
        <f>60.7707 * CHOOSE(CONTROL!$C$15, $D$11, 100%, $F$11)</f>
        <v>60.770699999999998</v>
      </c>
      <c r="G1038" s="8">
        <f>59.1082 * CHOOSE( CONTROL!$C$15, $D$11, 100%, $F$11)</f>
        <v>59.108199999999997</v>
      </c>
      <c r="H1038" s="4">
        <f>59.9918 * CHOOSE(CONTROL!$C$15, $D$11, 100%, $F$11)</f>
        <v>59.991799999999998</v>
      </c>
      <c r="I1038" s="8">
        <f>58.234 * CHOOSE(CONTROL!$C$15, $D$11, 100%, $F$11)</f>
        <v>58.234000000000002</v>
      </c>
      <c r="J1038" s="4">
        <f>58.0969 * CHOOSE(CONTROL!$C$15, $D$11, 100%, $F$11)</f>
        <v>58.096899999999998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58.849 * CHOOSE(CONTROL!$C$15, $D$11, 100%, $F$11)</f>
        <v>58.848999999999997</v>
      </c>
      <c r="C1039" s="8">
        <f>58.8542 * CHOOSE(CONTROL!$C$15, $D$11, 100%, $F$11)</f>
        <v>58.854199999999999</v>
      </c>
      <c r="D1039" s="8">
        <f>58.8286 * CHOOSE( CONTROL!$C$15, $D$11, 100%, $F$11)</f>
        <v>58.828600000000002</v>
      </c>
      <c r="E1039" s="12">
        <f>58.8374 * CHOOSE( CONTROL!$C$15, $D$11, 100%, $F$11)</f>
        <v>58.837400000000002</v>
      </c>
      <c r="F1039" s="4">
        <f>59.4913 * CHOOSE(CONTROL!$C$15, $D$11, 100%, $F$11)</f>
        <v>59.491300000000003</v>
      </c>
      <c r="G1039" s="8">
        <f>57.8498 * CHOOSE( CONTROL!$C$15, $D$11, 100%, $F$11)</f>
        <v>57.849800000000002</v>
      </c>
      <c r="H1039" s="4">
        <f>58.7336 * CHOOSE(CONTROL!$C$15, $D$11, 100%, $F$11)</f>
        <v>58.733600000000003</v>
      </c>
      <c r="I1039" s="8">
        <f>56.9958 * CHOOSE(CONTROL!$C$15, $D$11, 100%, $F$11)</f>
        <v>56.995800000000003</v>
      </c>
      <c r="J1039" s="4">
        <f>56.8602 * CHOOSE(CONTROL!$C$15, $D$11, 100%, $F$11)</f>
        <v>56.860199999999999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59.7438 * CHOOSE(CONTROL!$C$15, $D$11, 100%, $F$11)</f>
        <v>59.7438</v>
      </c>
      <c r="C1040" s="8">
        <f>59.7483 * CHOOSE(CONTROL!$C$15, $D$11, 100%, $F$11)</f>
        <v>59.7483</v>
      </c>
      <c r="D1040" s="8">
        <f>59.7626 * CHOOSE( CONTROL!$C$15, $D$11, 100%, $F$11)</f>
        <v>59.762599999999999</v>
      </c>
      <c r="E1040" s="12">
        <f>59.7574 * CHOOSE( CONTROL!$C$15, $D$11, 100%, $F$11)</f>
        <v>59.757399999999997</v>
      </c>
      <c r="F1040" s="4">
        <f>60.436 * CHOOSE(CONTROL!$C$15, $D$11, 100%, $F$11)</f>
        <v>60.436</v>
      </c>
      <c r="G1040" s="8">
        <f>58.7242 * CHOOSE( CONTROL!$C$15, $D$11, 100%, $F$11)</f>
        <v>58.724200000000003</v>
      </c>
      <c r="H1040" s="4">
        <f>59.6626 * CHOOSE(CONTROL!$C$15, $D$11, 100%, $F$11)</f>
        <v>59.662599999999998</v>
      </c>
      <c r="I1040" s="8">
        <f>57.8476 * CHOOSE(CONTROL!$C$15, $D$11, 100%, $F$11)</f>
        <v>57.8476</v>
      </c>
      <c r="J1040" s="4">
        <f>57.7244 * CHOOSE(CONTROL!$C$15, $D$11, 100%, $F$11)</f>
        <v>57.724400000000003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61.3411, 61.3362) * CHOOSE(CONTROL!$C$15, $D$11, 100%, $F$11)</f>
        <v>61.341099999999997</v>
      </c>
      <c r="C1041" s="8">
        <f>CHOOSE( CONTROL!$C$32, 61.3491, 61.3442) * CHOOSE(CONTROL!$C$15, $D$11, 100%, $F$11)</f>
        <v>61.3491</v>
      </c>
      <c r="D1041" s="8">
        <f>CHOOSE( CONTROL!$C$32, 61.3584, 61.3536) * CHOOSE( CONTROL!$C$15, $D$11, 100%, $F$11)</f>
        <v>61.358400000000003</v>
      </c>
      <c r="E1041" s="12">
        <f>CHOOSE( CONTROL!$C$32, 61.3538, 61.349) * CHOOSE( CONTROL!$C$15, $D$11, 100%, $F$11)</f>
        <v>61.3538</v>
      </c>
      <c r="F1041" s="4">
        <f>CHOOSE( CONTROL!$C$32, 62.032, 62.0271) * CHOOSE(CONTROL!$C$15, $D$11, 100%, $F$11)</f>
        <v>62.031999999999996</v>
      </c>
      <c r="G1041" s="8">
        <f>CHOOSE( CONTROL!$C$32, 60.2948, 60.29) * CHOOSE( CONTROL!$C$15, $D$11, 100%, $F$11)</f>
        <v>60.294800000000002</v>
      </c>
      <c r="H1041" s="4">
        <f>CHOOSE( CONTROL!$C$32, 61.2321, 61.2273) * CHOOSE(CONTROL!$C$15, $D$11, 100%, $F$11)</f>
        <v>61.232100000000003</v>
      </c>
      <c r="I1041" s="8">
        <f>CHOOSE( CONTROL!$C$32, 59.3916, 59.3869) * CHOOSE(CONTROL!$C$15, $D$11, 100%, $F$11)</f>
        <v>59.391599999999997</v>
      </c>
      <c r="J1041" s="4">
        <f>CHOOSE( CONTROL!$C$32, 59.2672, 59.2625) * CHOOSE(CONTROL!$C$15, $D$11, 100%, $F$11)</f>
        <v>59.267200000000003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60.3555, 60.3506) * CHOOSE(CONTROL!$C$15, $D$11, 100%, $F$11)</f>
        <v>60.355499999999999</v>
      </c>
      <c r="C1042" s="8">
        <f>CHOOSE( CONTROL!$C$32, 60.3635, 60.3586) * CHOOSE(CONTROL!$C$15, $D$11, 100%, $F$11)</f>
        <v>60.363500000000002</v>
      </c>
      <c r="D1042" s="8">
        <f>CHOOSE( CONTROL!$C$32, 60.373, 60.3681) * CHOOSE( CONTROL!$C$15, $D$11, 100%, $F$11)</f>
        <v>60.372999999999998</v>
      </c>
      <c r="E1042" s="12">
        <f>CHOOSE( CONTROL!$C$32, 60.3683, 60.3634) * CHOOSE( CONTROL!$C$15, $D$11, 100%, $F$11)</f>
        <v>60.368299999999998</v>
      </c>
      <c r="F1042" s="4">
        <f>CHOOSE( CONTROL!$C$32, 61.0464, 61.0415) * CHOOSE(CONTROL!$C$15, $D$11, 100%, $F$11)</f>
        <v>61.046399999999998</v>
      </c>
      <c r="G1042" s="8">
        <f>CHOOSE( CONTROL!$C$32, 59.3259, 59.3211) * CHOOSE( CONTROL!$C$15, $D$11, 100%, $F$11)</f>
        <v>59.325899999999997</v>
      </c>
      <c r="H1042" s="4">
        <f>CHOOSE( CONTROL!$C$32, 60.2629, 60.258) * CHOOSE(CONTROL!$C$15, $D$11, 100%, $F$11)</f>
        <v>60.262900000000002</v>
      </c>
      <c r="I1042" s="8">
        <f>CHOOSE( CONTROL!$C$32, 58.4393, 58.4346) * CHOOSE(CONTROL!$C$15, $D$11, 100%, $F$11)</f>
        <v>58.439300000000003</v>
      </c>
      <c r="J1042" s="4">
        <f>CHOOSE( CONTROL!$C$32, 58.3144, 58.3097) * CHOOSE(CONTROL!$C$15, $D$11, 100%, $F$11)</f>
        <v>58.314399999999999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62.951, 62.9461) * CHOOSE(CONTROL!$C$15, $D$11, 100%, $F$11)</f>
        <v>62.951000000000001</v>
      </c>
      <c r="C1043" s="8">
        <f>CHOOSE( CONTROL!$C$32, 62.959, 62.9541) * CHOOSE(CONTROL!$C$15, $D$11, 100%, $F$11)</f>
        <v>62.959000000000003</v>
      </c>
      <c r="D1043" s="8">
        <f>CHOOSE( CONTROL!$C$32, 62.9688, 62.9639) * CHOOSE( CONTROL!$C$15, $D$11, 100%, $F$11)</f>
        <v>62.968800000000002</v>
      </c>
      <c r="E1043" s="12">
        <f>CHOOSE( CONTROL!$C$32, 62.964, 62.9591) * CHOOSE( CONTROL!$C$15, $D$11, 100%, $F$11)</f>
        <v>62.963999999999999</v>
      </c>
      <c r="F1043" s="4">
        <f>CHOOSE( CONTROL!$C$32, 63.6419, 63.637) * CHOOSE(CONTROL!$C$15, $D$11, 100%, $F$11)</f>
        <v>63.6419</v>
      </c>
      <c r="G1043" s="8">
        <f>CHOOSE( CONTROL!$C$32, 61.8787, 61.8739) * CHOOSE( CONTROL!$C$15, $D$11, 100%, $F$11)</f>
        <v>61.878700000000002</v>
      </c>
      <c r="H1043" s="4">
        <f>CHOOSE( CONTROL!$C$32, 62.8153, 62.8105) * CHOOSE(CONTROL!$C$15, $D$11, 100%, $F$11)</f>
        <v>62.815300000000001</v>
      </c>
      <c r="I1043" s="8">
        <f>CHOOSE( CONTROL!$C$32, 60.9507, 60.946) * CHOOSE(CONTROL!$C$15, $D$11, 100%, $F$11)</f>
        <v>60.950699999999998</v>
      </c>
      <c r="J1043" s="4">
        <f>CHOOSE( CONTROL!$C$32, 60.8235, 60.8188) * CHOOSE(CONTROL!$C$15, $D$11, 100%, $F$11)</f>
        <v>60.823500000000003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58.0945, 58.0896) * CHOOSE(CONTROL!$C$15, $D$11, 100%, $F$11)</f>
        <v>58.094499999999996</v>
      </c>
      <c r="C1044" s="8">
        <f>CHOOSE( CONTROL!$C$32, 58.1025, 58.0977) * CHOOSE(CONTROL!$C$15, $D$11, 100%, $F$11)</f>
        <v>58.102499999999999</v>
      </c>
      <c r="D1044" s="8">
        <f>CHOOSE( CONTROL!$C$32, 58.1124, 58.1075) * CHOOSE( CONTROL!$C$15, $D$11, 100%, $F$11)</f>
        <v>58.112400000000001</v>
      </c>
      <c r="E1044" s="12">
        <f>CHOOSE( CONTROL!$C$32, 58.1076, 58.1027) * CHOOSE( CONTROL!$C$15, $D$11, 100%, $F$11)</f>
        <v>58.107599999999998</v>
      </c>
      <c r="F1044" s="4">
        <f>CHOOSE( CONTROL!$C$32, 58.7854, 58.7805) * CHOOSE(CONTROL!$C$15, $D$11, 100%, $F$11)</f>
        <v>58.785400000000003</v>
      </c>
      <c r="G1044" s="8">
        <f>CHOOSE( CONTROL!$C$32, 57.1029, 57.098) * CHOOSE( CONTROL!$C$15, $D$11, 100%, $F$11)</f>
        <v>57.102899999999998</v>
      </c>
      <c r="H1044" s="4">
        <f>CHOOSE( CONTROL!$C$32, 58.0394, 58.0346) * CHOOSE(CONTROL!$C$15, $D$11, 100%, $F$11)</f>
        <v>58.039400000000001</v>
      </c>
      <c r="I1044" s="8">
        <f>CHOOSE( CONTROL!$C$32, 56.254, 56.2492) * CHOOSE(CONTROL!$C$15, $D$11, 100%, $F$11)</f>
        <v>56.253999999999998</v>
      </c>
      <c r="J1044" s="4">
        <f>CHOOSE( CONTROL!$C$32, 56.1287, 56.124) * CHOOSE(CONTROL!$C$15, $D$11, 100%, $F$11)</f>
        <v>56.128700000000002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56.8784, 56.8735) * CHOOSE(CONTROL!$C$15, $D$11, 100%, $F$11)</f>
        <v>56.878399999999999</v>
      </c>
      <c r="C1045" s="8">
        <f>CHOOSE( CONTROL!$C$32, 56.8864, 56.8815) * CHOOSE(CONTROL!$C$15, $D$11, 100%, $F$11)</f>
        <v>56.886400000000002</v>
      </c>
      <c r="D1045" s="8">
        <f>CHOOSE( CONTROL!$C$32, 56.8962, 56.8913) * CHOOSE( CONTROL!$C$15, $D$11, 100%, $F$11)</f>
        <v>56.8962</v>
      </c>
      <c r="E1045" s="12">
        <f>CHOOSE( CONTROL!$C$32, 56.8914, 56.8865) * CHOOSE( CONTROL!$C$15, $D$11, 100%, $F$11)</f>
        <v>56.891399999999997</v>
      </c>
      <c r="F1045" s="4">
        <f>CHOOSE( CONTROL!$C$32, 57.5693, 57.5644) * CHOOSE(CONTROL!$C$15, $D$11, 100%, $F$11)</f>
        <v>57.569299999999998</v>
      </c>
      <c r="G1045" s="8">
        <f>CHOOSE( CONTROL!$C$32, 55.9068, 55.902) * CHOOSE( CONTROL!$C$15, $D$11, 100%, $F$11)</f>
        <v>55.906799999999997</v>
      </c>
      <c r="H1045" s="4">
        <f>CHOOSE( CONTROL!$C$32, 56.8434, 56.8386) * CHOOSE(CONTROL!$C$15, $D$11, 100%, $F$11)</f>
        <v>56.843400000000003</v>
      </c>
      <c r="I1045" s="8">
        <f>CHOOSE( CONTROL!$C$32, 55.0776, 55.0729) * CHOOSE(CONTROL!$C$15, $D$11, 100%, $F$11)</f>
        <v>55.077599999999997</v>
      </c>
      <c r="J1045" s="4">
        <f>CHOOSE( CONTROL!$C$32, 54.9531, 54.9484) * CHOOSE(CONTROL!$C$15, $D$11, 100%, $F$11)</f>
        <v>54.953099999999999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59.3969 * CHOOSE(CONTROL!$C$15, $D$11, 100%, $F$11)</f>
        <v>59.396900000000002</v>
      </c>
      <c r="C1046" s="8">
        <f>59.4022 * CHOOSE(CONTROL!$C$15, $D$11, 100%, $F$11)</f>
        <v>59.402200000000001</v>
      </c>
      <c r="D1046" s="8">
        <f>59.4168 * CHOOSE( CONTROL!$C$15, $D$11, 100%, $F$11)</f>
        <v>59.416800000000002</v>
      </c>
      <c r="E1046" s="12">
        <f>59.4114 * CHOOSE( CONTROL!$C$15, $D$11, 100%, $F$11)</f>
        <v>59.4114</v>
      </c>
      <c r="F1046" s="4">
        <f>60.0895 * CHOOSE(CONTROL!$C$15, $D$11, 100%, $F$11)</f>
        <v>60.089500000000001</v>
      </c>
      <c r="G1046" s="8">
        <f>58.3845 * CHOOSE( CONTROL!$C$15, $D$11, 100%, $F$11)</f>
        <v>58.384500000000003</v>
      </c>
      <c r="H1046" s="4">
        <f>59.3218 * CHOOSE(CONTROL!$C$15, $D$11, 100%, $F$11)</f>
        <v>59.321800000000003</v>
      </c>
      <c r="I1046" s="8">
        <f>57.5159 * CHOOSE(CONTROL!$C$15, $D$11, 100%, $F$11)</f>
        <v>57.515900000000002</v>
      </c>
      <c r="J1046" s="4">
        <f>57.3894 * CHOOSE(CONTROL!$C$15, $D$11, 100%, $F$11)</f>
        <v>57.389400000000002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64.0573 * CHOOSE(CONTROL!$C$15, $D$11, 100%, $F$11)</f>
        <v>64.057299999999998</v>
      </c>
      <c r="C1047" s="8">
        <f>64.0624 * CHOOSE(CONTROL!$C$15, $D$11, 100%, $F$11)</f>
        <v>64.062399999999997</v>
      </c>
      <c r="D1047" s="8">
        <f>64.0393 * CHOOSE( CONTROL!$C$15, $D$11, 100%, $F$11)</f>
        <v>64.039299999999997</v>
      </c>
      <c r="E1047" s="12">
        <f>64.0472 * CHOOSE( CONTROL!$C$15, $D$11, 100%, $F$11)</f>
        <v>64.047200000000004</v>
      </c>
      <c r="F1047" s="4">
        <f>64.7022 * CHOOSE(CONTROL!$C$15, $D$11, 100%, $F$11)</f>
        <v>64.702200000000005</v>
      </c>
      <c r="G1047" s="8">
        <f>62.976 * CHOOSE( CONTROL!$C$15, $D$11, 100%, $F$11)</f>
        <v>62.975999999999999</v>
      </c>
      <c r="H1047" s="4">
        <f>63.858 * CHOOSE(CONTROL!$C$15, $D$11, 100%, $F$11)</f>
        <v>63.857999999999997</v>
      </c>
      <c r="I1047" s="8">
        <f>62.0484 * CHOOSE(CONTROL!$C$15, $D$11, 100%, $F$11)</f>
        <v>62.048400000000001</v>
      </c>
      <c r="J1047" s="4">
        <f>61.895 * CHOOSE(CONTROL!$C$15, $D$11, 100%, $F$11)</f>
        <v>61.895000000000003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63.9408 * CHOOSE(CONTROL!$C$15, $D$11, 100%, $F$11)</f>
        <v>63.940800000000003</v>
      </c>
      <c r="C1048" s="8">
        <f>63.9459 * CHOOSE(CONTROL!$C$15, $D$11, 100%, $F$11)</f>
        <v>63.945900000000002</v>
      </c>
      <c r="D1048" s="8">
        <f>63.9244 * CHOOSE( CONTROL!$C$15, $D$11, 100%, $F$11)</f>
        <v>63.924399999999999</v>
      </c>
      <c r="E1048" s="12">
        <f>63.9317 * CHOOSE( CONTROL!$C$15, $D$11, 100%, $F$11)</f>
        <v>63.931699999999999</v>
      </c>
      <c r="F1048" s="4">
        <f>64.5857 * CHOOSE(CONTROL!$C$15, $D$11, 100%, $F$11)</f>
        <v>64.585700000000003</v>
      </c>
      <c r="G1048" s="8">
        <f>62.8626 * CHOOSE( CONTROL!$C$15, $D$11, 100%, $F$11)</f>
        <v>62.8626</v>
      </c>
      <c r="H1048" s="4">
        <f>63.7435 * CHOOSE(CONTROL!$C$15, $D$11, 100%, $F$11)</f>
        <v>63.743499999999997</v>
      </c>
      <c r="I1048" s="8">
        <f>61.9408 * CHOOSE(CONTROL!$C$15, $D$11, 100%, $F$11)</f>
        <v>61.940800000000003</v>
      </c>
      <c r="J1048" s="4">
        <f>61.7824 * CHOOSE(CONTROL!$C$15, $D$11, 100%, $F$11)</f>
        <v>61.782400000000003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2">AVERAGE(B17:B28)</f>
        <v>2.8656166666666665</v>
      </c>
      <c r="C1050" s="8">
        <f t="shared" si="2"/>
        <v>2.8718916666666665</v>
      </c>
      <c r="D1050" s="8">
        <f t="shared" si="2"/>
        <v>2.8587166666666675</v>
      </c>
      <c r="E1050" s="8">
        <f t="shared" si="2"/>
        <v>2.8624750000000003</v>
      </c>
      <c r="F1050" s="4">
        <f t="shared" si="2"/>
        <v>3.5235166666666662</v>
      </c>
      <c r="G1050" s="8">
        <f t="shared" si="2"/>
        <v>2.7970083333333329</v>
      </c>
      <c r="H1050" s="4">
        <f t="shared" si="2"/>
        <v>3.6938583333333335</v>
      </c>
      <c r="I1050" s="8"/>
      <c r="J1050" s="4">
        <f>AVERAGE(J17:J28)</f>
        <v>2.7400416666666665</v>
      </c>
      <c r="K1050" s="4">
        <f>AVERAGE(K17:K28)</f>
        <v>2.8017749999999997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3">AVERAGE(B29:B40)</f>
        <v>2.914566666666667</v>
      </c>
      <c r="C1051" s="8">
        <f t="shared" si="3"/>
        <v>2.9208666666666665</v>
      </c>
      <c r="D1051" s="8">
        <f t="shared" si="3"/>
        <v>2.9074416666666667</v>
      </c>
      <c r="E1051" s="8">
        <f t="shared" si="3"/>
        <v>2.9114666666666662</v>
      </c>
      <c r="F1051" s="4">
        <f t="shared" si="3"/>
        <v>3.5858916666666669</v>
      </c>
      <c r="G1051" s="8">
        <f t="shared" si="3"/>
        <v>2.8410666666666669</v>
      </c>
      <c r="H1051" s="4">
        <f t="shared" si="3"/>
        <v>3.7551916666666671</v>
      </c>
      <c r="I1051" s="8"/>
      <c r="J1051" s="4">
        <f>AVERAGE(J29:J40)</f>
        <v>2.7873749999999995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4.8</v>
      </c>
      <c r="S1051" s="5"/>
    </row>
    <row r="1052" spans="1:19" ht="15" customHeight="1">
      <c r="A1052" s="3">
        <v>2017</v>
      </c>
      <c r="B1052" s="8">
        <f t="shared" ref="B1052:J1052" si="4">AVERAGE(B41:B52)</f>
        <v>3.1162000000000005</v>
      </c>
      <c r="C1052" s="8">
        <f t="shared" si="4"/>
        <v>3.1224999999999992</v>
      </c>
      <c r="D1052" s="8">
        <f t="shared" si="4"/>
        <v>3.107533333333333</v>
      </c>
      <c r="E1052" s="8">
        <f t="shared" si="4"/>
        <v>3.1121250000000003</v>
      </c>
      <c r="F1052" s="4">
        <f t="shared" si="4"/>
        <v>3.7875083333333333</v>
      </c>
      <c r="G1052" s="8">
        <f t="shared" si="4"/>
        <v>3.0389916666666661</v>
      </c>
      <c r="H1052" s="4">
        <f t="shared" si="4"/>
        <v>3.9534749999999996</v>
      </c>
      <c r="I1052" s="8">
        <f t="shared" si="4"/>
        <v>3.0876500000000004</v>
      </c>
      <c r="J1052" s="4">
        <f t="shared" si="4"/>
        <v>2.9822916666666668</v>
      </c>
      <c r="K1052" s="4"/>
      <c r="L1052" s="5">
        <f t="shared" ref="L1052:Q1052" si="5">SUM(L41:L52)</f>
        <v>355.53689999999995</v>
      </c>
      <c r="M1052" s="5">
        <f t="shared" si="5"/>
        <v>142.0401</v>
      </c>
      <c r="N1052" s="5">
        <f t="shared" si="5"/>
        <v>58.217499999999994</v>
      </c>
      <c r="O1052" s="5">
        <f t="shared" si="5"/>
        <v>4.4046000000000003</v>
      </c>
      <c r="P1052" s="5">
        <f t="shared" si="5"/>
        <v>20.805900000000001</v>
      </c>
      <c r="Q1052" s="5">
        <f t="shared" si="5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6">AVERAGE(B53:B64)</f>
        <v>3.6878416666666674</v>
      </c>
      <c r="C1053" s="8">
        <f t="shared" si="6"/>
        <v>3.6941500000000005</v>
      </c>
      <c r="D1053" s="8">
        <f t="shared" si="6"/>
        <v>3.6905000000000001</v>
      </c>
      <c r="E1053" s="8">
        <f t="shared" si="6"/>
        <v>3.6910916666666669</v>
      </c>
      <c r="F1053" s="4">
        <f t="shared" si="6"/>
        <v>4.3591750000000005</v>
      </c>
      <c r="G1053" s="8">
        <f t="shared" si="6"/>
        <v>3.601175</v>
      </c>
      <c r="H1053" s="4">
        <f t="shared" si="6"/>
        <v>4.5156499999999999</v>
      </c>
      <c r="I1053" s="8">
        <f t="shared" si="6"/>
        <v>3.640541666666667</v>
      </c>
      <c r="J1053" s="4">
        <f t="shared" si="6"/>
        <v>3.5349249999999994</v>
      </c>
      <c r="K1053" s="4"/>
      <c r="L1053" s="5">
        <f t="shared" ref="L1053:Q1053" si="7">SUM(L53:L64)</f>
        <v>355.53689999999995</v>
      </c>
      <c r="M1053" s="5">
        <f t="shared" si="7"/>
        <v>142.0401</v>
      </c>
      <c r="N1053" s="5">
        <f t="shared" si="7"/>
        <v>58.217499999999994</v>
      </c>
      <c r="O1053" s="5">
        <f t="shared" si="7"/>
        <v>4.4046000000000003</v>
      </c>
      <c r="P1053" s="5">
        <f t="shared" si="7"/>
        <v>14.707600000000001</v>
      </c>
      <c r="Q1053" s="5">
        <f t="shared" si="7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8">AVERAGE(B65:B76)</f>
        <v>3.8805000000000001</v>
      </c>
      <c r="C1054" s="8">
        <f t="shared" si="8"/>
        <v>3.8867999999999996</v>
      </c>
      <c r="D1054" s="8">
        <f t="shared" si="8"/>
        <v>3.8831333333333338</v>
      </c>
      <c r="E1054" s="8">
        <f t="shared" si="8"/>
        <v>3.8837333333333337</v>
      </c>
      <c r="F1054" s="4">
        <f t="shared" si="8"/>
        <v>4.5518083333333328</v>
      </c>
      <c r="G1054" s="8">
        <f t="shared" si="8"/>
        <v>3.7906083333333331</v>
      </c>
      <c r="H1054" s="4">
        <f t="shared" si="8"/>
        <v>4.7050999999999998</v>
      </c>
      <c r="I1054" s="8">
        <f t="shared" si="8"/>
        <v>3.8268666666666662</v>
      </c>
      <c r="J1054" s="4">
        <f t="shared" si="8"/>
        <v>3.7211333333333338</v>
      </c>
      <c r="K1054" s="4"/>
      <c r="L1054" s="5">
        <f t="shared" ref="L1054:Q1054" si="9">SUM(L65:L76)</f>
        <v>355.53689999999995</v>
      </c>
      <c r="M1054" s="5">
        <f t="shared" si="9"/>
        <v>142.0401</v>
      </c>
      <c r="N1054" s="5">
        <f t="shared" si="9"/>
        <v>58.217499999999994</v>
      </c>
      <c r="O1054" s="5">
        <f t="shared" si="9"/>
        <v>4.4046000000000003</v>
      </c>
      <c r="P1054" s="5">
        <f t="shared" si="9"/>
        <v>14.707600000000001</v>
      </c>
      <c r="Q1054" s="5">
        <f t="shared" si="9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10">AVERAGE(B77:B88)</f>
        <v>4.7305999999999999</v>
      </c>
      <c r="C1055" s="8">
        <f t="shared" si="10"/>
        <v>4.7368916666666667</v>
      </c>
      <c r="D1055" s="8">
        <f t="shared" si="10"/>
        <v>4.7332333333333327</v>
      </c>
      <c r="E1055" s="8">
        <f t="shared" si="10"/>
        <v>4.733833333333334</v>
      </c>
      <c r="F1055" s="4">
        <f t="shared" si="10"/>
        <v>5.4018916666666668</v>
      </c>
      <c r="G1055" s="8">
        <f t="shared" si="10"/>
        <v>4.6266333333333334</v>
      </c>
      <c r="H1055" s="4">
        <f t="shared" si="10"/>
        <v>5.5410749999999993</v>
      </c>
      <c r="I1055" s="8">
        <f t="shared" si="10"/>
        <v>4.649074999999999</v>
      </c>
      <c r="J1055" s="4">
        <f t="shared" si="10"/>
        <v>4.5429416666666667</v>
      </c>
      <c r="K1055" s="4"/>
      <c r="L1055" s="5">
        <f t="shared" ref="L1055:Q1055" si="11">SUM(L77:L88)</f>
        <v>356.48229999999995</v>
      </c>
      <c r="M1055" s="5">
        <f t="shared" si="11"/>
        <v>142.42920000000001</v>
      </c>
      <c r="N1055" s="5">
        <f t="shared" si="11"/>
        <v>58.377000000000002</v>
      </c>
      <c r="O1055" s="5">
        <f t="shared" si="11"/>
        <v>4.4165999999999999</v>
      </c>
      <c r="P1055" s="5">
        <f t="shared" si="11"/>
        <v>14.7493</v>
      </c>
      <c r="Q1055" s="5">
        <f t="shared" si="11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2">AVERAGE(B89:B100)</f>
        <v>4.9443166666666665</v>
      </c>
      <c r="C1056" s="8">
        <f t="shared" si="12"/>
        <v>4.950616666666666</v>
      </c>
      <c r="D1056" s="8">
        <f t="shared" si="12"/>
        <v>4.946975000000001</v>
      </c>
      <c r="E1056" s="8">
        <f t="shared" si="12"/>
        <v>4.947566666666666</v>
      </c>
      <c r="F1056" s="4">
        <f t="shared" si="12"/>
        <v>5.6156249999999988</v>
      </c>
      <c r="G1056" s="8">
        <f t="shared" si="12"/>
        <v>4.8368166666666665</v>
      </c>
      <c r="H1056" s="4">
        <f t="shared" si="12"/>
        <v>5.751266666666667</v>
      </c>
      <c r="I1056" s="8">
        <f t="shared" si="12"/>
        <v>4.8557833333333331</v>
      </c>
      <c r="J1056" s="4">
        <f t="shared" si="12"/>
        <v>4.7495500000000002</v>
      </c>
      <c r="K1056" s="4"/>
      <c r="L1056" s="5">
        <f t="shared" ref="L1056:Q1056" si="13">SUM(L89:L100)</f>
        <v>355.53689999999995</v>
      </c>
      <c r="M1056" s="5">
        <f t="shared" si="13"/>
        <v>142.0401</v>
      </c>
      <c r="N1056" s="5">
        <f t="shared" si="13"/>
        <v>58.217499999999994</v>
      </c>
      <c r="O1056" s="5">
        <f t="shared" si="13"/>
        <v>4.4046000000000003</v>
      </c>
      <c r="P1056" s="5">
        <f t="shared" si="13"/>
        <v>14.707600000000001</v>
      </c>
      <c r="Q1056" s="5">
        <f t="shared" si="13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4">AVERAGE(B101:B112)</f>
        <v>5.1647333333333334</v>
      </c>
      <c r="C1057" s="8">
        <f t="shared" si="14"/>
        <v>5.1710083333333339</v>
      </c>
      <c r="D1057" s="8">
        <f t="shared" si="14"/>
        <v>5.1673666666666671</v>
      </c>
      <c r="E1057" s="8">
        <f t="shared" si="14"/>
        <v>5.1679666666666666</v>
      </c>
      <c r="F1057" s="4">
        <f t="shared" si="14"/>
        <v>5.8360416666666666</v>
      </c>
      <c r="G1057" s="8">
        <f t="shared" si="14"/>
        <v>5.0535500000000004</v>
      </c>
      <c r="H1057" s="4">
        <f t="shared" si="14"/>
        <v>5.9680416666666671</v>
      </c>
      <c r="I1057" s="8">
        <f t="shared" si="14"/>
        <v>5.0689583333333337</v>
      </c>
      <c r="J1057" s="4">
        <f t="shared" si="14"/>
        <v>4.9626000000000001</v>
      </c>
      <c r="K1057" s="4"/>
      <c r="L1057" s="5">
        <f t="shared" ref="L1057:Q1057" si="15">SUM(L101:L112)</f>
        <v>355.53689999999995</v>
      </c>
      <c r="M1057" s="5">
        <f t="shared" si="15"/>
        <v>142.0401</v>
      </c>
      <c r="N1057" s="5">
        <f t="shared" si="15"/>
        <v>58.217499999999994</v>
      </c>
      <c r="O1057" s="5">
        <f t="shared" si="15"/>
        <v>4.4046000000000003</v>
      </c>
      <c r="P1057" s="5">
        <f t="shared" si="15"/>
        <v>14.707600000000001</v>
      </c>
      <c r="Q1057" s="5">
        <f t="shared" si="15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6">AVERAGE(B113:B124)</f>
        <v>5.3296749999999991</v>
      </c>
      <c r="C1058" s="8">
        <f t="shared" si="16"/>
        <v>5.3359666666666667</v>
      </c>
      <c r="D1058" s="8">
        <f t="shared" si="16"/>
        <v>5.3323083333333336</v>
      </c>
      <c r="E1058" s="8">
        <f t="shared" si="16"/>
        <v>5.3329083333333331</v>
      </c>
      <c r="F1058" s="4">
        <f t="shared" si="16"/>
        <v>6.0009833333333331</v>
      </c>
      <c r="G1058" s="8">
        <f t="shared" si="16"/>
        <v>5.2157666666666662</v>
      </c>
      <c r="H1058" s="4">
        <f t="shared" si="16"/>
        <v>6.1302416666666666</v>
      </c>
      <c r="I1058" s="8">
        <f t="shared" si="16"/>
        <v>5.2284833333333331</v>
      </c>
      <c r="J1058" s="4">
        <f t="shared" si="16"/>
        <v>5.1220500000000007</v>
      </c>
      <c r="K1058" s="4"/>
      <c r="L1058" s="5">
        <f t="shared" ref="L1058:Q1058" si="17">SUM(L113:L124)</f>
        <v>355.53689999999995</v>
      </c>
      <c r="M1058" s="5">
        <f t="shared" si="17"/>
        <v>142.0401</v>
      </c>
      <c r="N1058" s="5">
        <f t="shared" si="17"/>
        <v>58.217499999999994</v>
      </c>
      <c r="O1058" s="5">
        <f t="shared" si="17"/>
        <v>4.4046000000000003</v>
      </c>
      <c r="P1058" s="5">
        <f t="shared" si="17"/>
        <v>14.707600000000001</v>
      </c>
      <c r="Q1058" s="5">
        <f t="shared" si="17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8">AVERAGE(B125:B136)</f>
        <v>5.4991500000000002</v>
      </c>
      <c r="C1059" s="8">
        <f t="shared" si="18"/>
        <v>5.5054499999999997</v>
      </c>
      <c r="D1059" s="8">
        <f t="shared" si="18"/>
        <v>5.5018000000000002</v>
      </c>
      <c r="E1059" s="8">
        <f t="shared" si="18"/>
        <v>5.502391666666667</v>
      </c>
      <c r="F1059" s="4">
        <f t="shared" si="18"/>
        <v>6.1704749999999997</v>
      </c>
      <c r="G1059" s="8">
        <f t="shared" si="18"/>
        <v>5.3824416666666659</v>
      </c>
      <c r="H1059" s="4">
        <f t="shared" si="18"/>
        <v>6.2969083333333336</v>
      </c>
      <c r="I1059" s="8">
        <f t="shared" si="18"/>
        <v>5.3923999999999994</v>
      </c>
      <c r="J1059" s="4">
        <f t="shared" si="18"/>
        <v>5.2859083333333325</v>
      </c>
      <c r="K1059" s="4"/>
      <c r="L1059" s="5">
        <f t="shared" ref="L1059:Q1059" si="19">SUM(L125:L136)</f>
        <v>356.48229999999995</v>
      </c>
      <c r="M1059" s="5">
        <f t="shared" si="19"/>
        <v>142.42920000000001</v>
      </c>
      <c r="N1059" s="5">
        <f t="shared" si="19"/>
        <v>58.377000000000002</v>
      </c>
      <c r="O1059" s="5">
        <f t="shared" si="19"/>
        <v>4.4165999999999999</v>
      </c>
      <c r="P1059" s="5">
        <f t="shared" si="19"/>
        <v>14.7493</v>
      </c>
      <c r="Q1059" s="5">
        <f t="shared" si="19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20">AVERAGE(B137:B148)</f>
        <v>5.6732916666666666</v>
      </c>
      <c r="C1060" s="8">
        <f t="shared" si="20"/>
        <v>5.6795916666666679</v>
      </c>
      <c r="D1060" s="8">
        <f t="shared" si="20"/>
        <v>5.6759416666666667</v>
      </c>
      <c r="E1060" s="8">
        <f t="shared" si="20"/>
        <v>5.6765333333333343</v>
      </c>
      <c r="F1060" s="4">
        <f t="shared" si="20"/>
        <v>6.3446166666666661</v>
      </c>
      <c r="G1060" s="8">
        <f t="shared" si="20"/>
        <v>5.5536916666666665</v>
      </c>
      <c r="H1060" s="4">
        <f t="shared" si="20"/>
        <v>6.4681666666666677</v>
      </c>
      <c r="I1060" s="8">
        <f t="shared" si="20"/>
        <v>5.5608416666666658</v>
      </c>
      <c r="J1060" s="4">
        <f t="shared" si="20"/>
        <v>5.4542583333333345</v>
      </c>
      <c r="K1060" s="4"/>
      <c r="L1060" s="5">
        <f t="shared" ref="L1060:Q1060" si="21">SUM(L137:L148)</f>
        <v>355.53689999999995</v>
      </c>
      <c r="M1060" s="5">
        <f t="shared" si="21"/>
        <v>142.0401</v>
      </c>
      <c r="N1060" s="5">
        <f t="shared" si="21"/>
        <v>58.217499999999994</v>
      </c>
      <c r="O1060" s="5">
        <f t="shared" si="21"/>
        <v>4.4046000000000003</v>
      </c>
      <c r="P1060" s="5">
        <f t="shared" si="21"/>
        <v>14.707600000000001</v>
      </c>
      <c r="Q1060" s="5">
        <f t="shared" si="21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2">AVERAGE(B149:B160)</f>
        <v>5.8522333333333334</v>
      </c>
      <c r="C1061" s="8">
        <f t="shared" si="22"/>
        <v>5.8585333333333329</v>
      </c>
      <c r="D1061" s="8">
        <f t="shared" si="22"/>
        <v>5.8548749999999989</v>
      </c>
      <c r="E1061" s="8">
        <f t="shared" si="22"/>
        <v>5.8554749999999993</v>
      </c>
      <c r="F1061" s="4">
        <f t="shared" si="22"/>
        <v>6.5235250000000002</v>
      </c>
      <c r="G1061" s="8">
        <f t="shared" si="22"/>
        <v>5.7296666666666667</v>
      </c>
      <c r="H1061" s="4">
        <f t="shared" si="22"/>
        <v>6.6441416666666662</v>
      </c>
      <c r="I1061" s="8">
        <f t="shared" si="22"/>
        <v>5.7338999999999993</v>
      </c>
      <c r="J1061" s="4">
        <f t="shared" si="22"/>
        <v>5.6272416666666665</v>
      </c>
      <c r="K1061" s="4"/>
      <c r="L1061" s="5">
        <f t="shared" ref="L1061:Q1061" si="23">SUM(L149:L160)</f>
        <v>355.53689999999995</v>
      </c>
      <c r="M1061" s="5">
        <f t="shared" si="23"/>
        <v>142.0401</v>
      </c>
      <c r="N1061" s="5">
        <f t="shared" si="23"/>
        <v>58.217499999999994</v>
      </c>
      <c r="O1061" s="5">
        <f t="shared" si="23"/>
        <v>4.4046000000000003</v>
      </c>
      <c r="P1061" s="5">
        <f t="shared" si="23"/>
        <v>14.707600000000001</v>
      </c>
      <c r="Q1061" s="5">
        <f t="shared" si="23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4">AVERAGE(B161:B172)</f>
        <v>6.0360583333333331</v>
      </c>
      <c r="C1062" s="8">
        <f t="shared" si="24"/>
        <v>6.0423583333333326</v>
      </c>
      <c r="D1062" s="8">
        <f t="shared" si="24"/>
        <v>6.0386999999999995</v>
      </c>
      <c r="E1062" s="8">
        <f t="shared" si="24"/>
        <v>6.0393000000000008</v>
      </c>
      <c r="F1062" s="4">
        <f t="shared" si="24"/>
        <v>6.7073833333333326</v>
      </c>
      <c r="G1062" s="8">
        <f t="shared" si="24"/>
        <v>5.9104416666666673</v>
      </c>
      <c r="H1062" s="4">
        <f t="shared" si="24"/>
        <v>6.8249000000000004</v>
      </c>
      <c r="I1062" s="8">
        <f t="shared" si="24"/>
        <v>5.9116916666666661</v>
      </c>
      <c r="J1062" s="4">
        <f t="shared" si="24"/>
        <v>5.8049416666666653</v>
      </c>
      <c r="K1062" s="4"/>
      <c r="L1062" s="5">
        <f t="shared" ref="L1062:Q1062" si="25">SUM(L161:L172)</f>
        <v>355.53689999999995</v>
      </c>
      <c r="M1062" s="5">
        <f t="shared" si="25"/>
        <v>142.0401</v>
      </c>
      <c r="N1062" s="5">
        <f t="shared" si="25"/>
        <v>58.217499999999994</v>
      </c>
      <c r="O1062" s="5">
        <f t="shared" si="25"/>
        <v>4.4046000000000003</v>
      </c>
      <c r="P1062" s="5">
        <f t="shared" si="25"/>
        <v>14.707600000000001</v>
      </c>
      <c r="Q1062" s="5">
        <f t="shared" si="25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6">AVERAGE(B173:B184)</f>
        <v>6.2249083333333344</v>
      </c>
      <c r="C1063" s="8">
        <f t="shared" si="26"/>
        <v>6.2312166666666657</v>
      </c>
      <c r="D1063" s="8">
        <f t="shared" si="26"/>
        <v>6.2275416666666663</v>
      </c>
      <c r="E1063" s="8">
        <f t="shared" si="26"/>
        <v>6.2281499999999994</v>
      </c>
      <c r="F1063" s="4">
        <f t="shared" si="26"/>
        <v>6.8962083333333339</v>
      </c>
      <c r="G1063" s="8">
        <f t="shared" si="26"/>
        <v>6.0961666666666661</v>
      </c>
      <c r="H1063" s="4">
        <f t="shared" si="26"/>
        <v>7.0106416666666673</v>
      </c>
      <c r="I1063" s="8">
        <f t="shared" si="26"/>
        <v>6.0943583333333349</v>
      </c>
      <c r="J1063" s="4">
        <f t="shared" si="26"/>
        <v>5.9875000000000007</v>
      </c>
      <c r="K1063" s="4"/>
      <c r="L1063" s="5">
        <f t="shared" ref="L1063:Q1063" si="27">SUM(L173:L184)</f>
        <v>356.48229999999995</v>
      </c>
      <c r="M1063" s="5">
        <f t="shared" si="27"/>
        <v>142.42920000000001</v>
      </c>
      <c r="N1063" s="5">
        <f t="shared" si="27"/>
        <v>58.377000000000002</v>
      </c>
      <c r="O1063" s="5">
        <f t="shared" si="27"/>
        <v>4.4165999999999999</v>
      </c>
      <c r="P1063" s="5">
        <f t="shared" si="27"/>
        <v>14.7493</v>
      </c>
      <c r="Q1063" s="5">
        <f t="shared" si="27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8">AVERAGE(B185:B196)</f>
        <v>6.4189083333333334</v>
      </c>
      <c r="C1064" s="8">
        <f t="shared" si="28"/>
        <v>6.4252250000000002</v>
      </c>
      <c r="D1064" s="8">
        <f t="shared" si="28"/>
        <v>6.4215749999999998</v>
      </c>
      <c r="E1064" s="8">
        <f t="shared" si="28"/>
        <v>6.4221666666666657</v>
      </c>
      <c r="F1064" s="4">
        <f t="shared" si="28"/>
        <v>7.0902166666666666</v>
      </c>
      <c r="G1064" s="8">
        <f t="shared" si="28"/>
        <v>6.2869583333333345</v>
      </c>
      <c r="H1064" s="4">
        <f t="shared" si="28"/>
        <v>7.2014166666666668</v>
      </c>
      <c r="I1064" s="8">
        <f t="shared" si="28"/>
        <v>6.2819916666666655</v>
      </c>
      <c r="J1064" s="4">
        <f t="shared" si="28"/>
        <v>6.1750333333333343</v>
      </c>
      <c r="K1064" s="4"/>
      <c r="L1064" s="5">
        <f t="shared" ref="L1064:Q1064" si="29">SUM(L185:L196)</f>
        <v>355.53689999999995</v>
      </c>
      <c r="M1064" s="5">
        <f t="shared" si="29"/>
        <v>142.0401</v>
      </c>
      <c r="N1064" s="5">
        <f t="shared" si="29"/>
        <v>58.217499999999994</v>
      </c>
      <c r="O1064" s="5">
        <f t="shared" si="29"/>
        <v>4.4046000000000003</v>
      </c>
      <c r="P1064" s="5">
        <f t="shared" si="29"/>
        <v>14.707600000000001</v>
      </c>
      <c r="Q1064" s="5">
        <f t="shared" si="29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30">AVERAGE(B197:B208)</f>
        <v>6.6182166666666662</v>
      </c>
      <c r="C1065" s="8">
        <f t="shared" si="30"/>
        <v>6.6245166666666657</v>
      </c>
      <c r="D1065" s="8">
        <f t="shared" si="30"/>
        <v>6.6208583333333344</v>
      </c>
      <c r="E1065" s="8">
        <f t="shared" si="30"/>
        <v>6.621458333333333</v>
      </c>
      <c r="F1065" s="4">
        <f t="shared" si="30"/>
        <v>7.2895166666666666</v>
      </c>
      <c r="G1065" s="8">
        <f t="shared" si="30"/>
        <v>6.4829333333333325</v>
      </c>
      <c r="H1065" s="4">
        <f t="shared" si="30"/>
        <v>7.3974250000000019</v>
      </c>
      <c r="I1065" s="8">
        <f t="shared" si="30"/>
        <v>6.474733333333333</v>
      </c>
      <c r="J1065" s="4">
        <f t="shared" si="30"/>
        <v>6.3676833333333329</v>
      </c>
      <c r="K1065" s="4"/>
      <c r="L1065" s="5">
        <f t="shared" ref="L1065:Q1065" si="31">SUM(L197:L208)</f>
        <v>355.53689999999995</v>
      </c>
      <c r="M1065" s="5">
        <f t="shared" si="31"/>
        <v>142.0401</v>
      </c>
      <c r="N1065" s="5">
        <f t="shared" si="31"/>
        <v>58.217499999999994</v>
      </c>
      <c r="O1065" s="5">
        <f t="shared" si="31"/>
        <v>4.4046000000000003</v>
      </c>
      <c r="P1065" s="5">
        <f t="shared" si="31"/>
        <v>14.707600000000001</v>
      </c>
      <c r="Q1065" s="5">
        <f t="shared" si="31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2">AVERAGE(B209:B220)</f>
        <v>6.8229166666666679</v>
      </c>
      <c r="C1066" s="8">
        <f t="shared" si="32"/>
        <v>6.8292166666666665</v>
      </c>
      <c r="D1066" s="8">
        <f t="shared" si="32"/>
        <v>6.8255499999999998</v>
      </c>
      <c r="E1066" s="8">
        <f t="shared" si="32"/>
        <v>6.8261583333333329</v>
      </c>
      <c r="F1066" s="4">
        <f t="shared" si="32"/>
        <v>7.4942416666666665</v>
      </c>
      <c r="G1066" s="8">
        <f t="shared" si="32"/>
        <v>6.6842583333333323</v>
      </c>
      <c r="H1066" s="4">
        <f t="shared" si="32"/>
        <v>7.5987250000000008</v>
      </c>
      <c r="I1066" s="8">
        <f t="shared" si="32"/>
        <v>6.672741666666667</v>
      </c>
      <c r="J1066" s="4">
        <f t="shared" si="32"/>
        <v>6.5656000000000008</v>
      </c>
      <c r="K1066" s="4"/>
      <c r="L1066" s="5">
        <f t="shared" ref="L1066:Q1066" si="33">SUM(L209:L220)</f>
        <v>355.53689999999995</v>
      </c>
      <c r="M1066" s="5">
        <f t="shared" si="33"/>
        <v>142.0401</v>
      </c>
      <c r="N1066" s="5">
        <f t="shared" si="33"/>
        <v>58.217499999999994</v>
      </c>
      <c r="O1066" s="5">
        <f t="shared" si="33"/>
        <v>4.4046000000000003</v>
      </c>
      <c r="P1066" s="5">
        <f t="shared" si="33"/>
        <v>14.707600000000001</v>
      </c>
      <c r="Q1066" s="5">
        <f t="shared" si="33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4">AVERAGE(B221:B232)</f>
        <v>7.0331833333333327</v>
      </c>
      <c r="C1067" s="8">
        <f t="shared" si="34"/>
        <v>7.0394750000000004</v>
      </c>
      <c r="D1067" s="8">
        <f t="shared" si="34"/>
        <v>7.0358249999999991</v>
      </c>
      <c r="E1067" s="8">
        <f t="shared" si="34"/>
        <v>7.0364250000000004</v>
      </c>
      <c r="F1067" s="4">
        <f t="shared" si="34"/>
        <v>7.7045166666666676</v>
      </c>
      <c r="G1067" s="8">
        <f t="shared" si="34"/>
        <v>6.891025</v>
      </c>
      <c r="H1067" s="4">
        <f t="shared" si="34"/>
        <v>7.8054833333333322</v>
      </c>
      <c r="I1067" s="8">
        <f t="shared" si="34"/>
        <v>6.8760916666666674</v>
      </c>
      <c r="J1067" s="4">
        <f t="shared" si="34"/>
        <v>6.7688500000000005</v>
      </c>
      <c r="K1067" s="4"/>
      <c r="L1067" s="5">
        <f t="shared" ref="L1067:Q1067" si="35">SUM(L221:L232)</f>
        <v>356.48229999999995</v>
      </c>
      <c r="M1067" s="5">
        <f t="shared" si="35"/>
        <v>142.42920000000001</v>
      </c>
      <c r="N1067" s="5">
        <f t="shared" si="35"/>
        <v>58.377000000000002</v>
      </c>
      <c r="O1067" s="5">
        <f t="shared" si="35"/>
        <v>4.4165999999999999</v>
      </c>
      <c r="P1067" s="5">
        <f t="shared" si="35"/>
        <v>14.7493</v>
      </c>
      <c r="Q1067" s="5">
        <f t="shared" si="35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6">AVERAGE(B233:B244)</f>
        <v>7.249133333333333</v>
      </c>
      <c r="C1068" s="8">
        <f t="shared" si="36"/>
        <v>7.2554166666666662</v>
      </c>
      <c r="D1068" s="8">
        <f t="shared" si="36"/>
        <v>7.2517916666666666</v>
      </c>
      <c r="E1068" s="8">
        <f t="shared" si="36"/>
        <v>7.2523833333333316</v>
      </c>
      <c r="F1068" s="4">
        <f t="shared" si="36"/>
        <v>7.9204583333333325</v>
      </c>
      <c r="G1068" s="8">
        <f t="shared" si="36"/>
        <v>7.1034083333333342</v>
      </c>
      <c r="H1068" s="4">
        <f t="shared" si="36"/>
        <v>8.0178749999999983</v>
      </c>
      <c r="I1068" s="8">
        <f t="shared" si="36"/>
        <v>7.0849583333333328</v>
      </c>
      <c r="J1068" s="4">
        <f t="shared" si="36"/>
        <v>6.977616666666667</v>
      </c>
      <c r="K1068" s="4"/>
      <c r="L1068" s="5">
        <f t="shared" ref="L1068:Q1068" si="37">SUM(L233:L244)</f>
        <v>355.53689999999995</v>
      </c>
      <c r="M1068" s="5">
        <f t="shared" si="37"/>
        <v>142.0401</v>
      </c>
      <c r="N1068" s="5">
        <f t="shared" si="37"/>
        <v>58.217499999999994</v>
      </c>
      <c r="O1068" s="5">
        <f t="shared" si="37"/>
        <v>4.4046000000000003</v>
      </c>
      <c r="P1068" s="5">
        <f t="shared" si="37"/>
        <v>14.707600000000001</v>
      </c>
      <c r="Q1068" s="5">
        <f t="shared" si="37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8">AVERAGE(B245:B256)</f>
        <v>7.3934500000000014</v>
      </c>
      <c r="C1069" s="8">
        <f t="shared" si="38"/>
        <v>7.3997333333333337</v>
      </c>
      <c r="D1069" s="8">
        <f t="shared" si="38"/>
        <v>7.3960999999999997</v>
      </c>
      <c r="E1069" s="8">
        <f t="shared" si="38"/>
        <v>7.3966916666666656</v>
      </c>
      <c r="F1069" s="4">
        <f t="shared" si="38"/>
        <v>8.0647833333333327</v>
      </c>
      <c r="G1069" s="8">
        <f t="shared" si="38"/>
        <v>7.2453250000000002</v>
      </c>
      <c r="H1069" s="4">
        <f t="shared" si="38"/>
        <v>8.1597833333333334</v>
      </c>
      <c r="I1069" s="8">
        <f t="shared" si="38"/>
        <v>7.2245333333333326</v>
      </c>
      <c r="J1069" s="4">
        <f t="shared" si="38"/>
        <v>7.1171166666666652</v>
      </c>
      <c r="K1069" s="4"/>
      <c r="L1069" s="5">
        <f t="shared" ref="L1069:Q1069" si="39">SUM(L245:L256)</f>
        <v>355.53689999999995</v>
      </c>
      <c r="M1069" s="5">
        <f t="shared" si="39"/>
        <v>142.0401</v>
      </c>
      <c r="N1069" s="5">
        <f t="shared" si="39"/>
        <v>58.217499999999994</v>
      </c>
      <c r="O1069" s="5">
        <f t="shared" si="39"/>
        <v>4.4046000000000003</v>
      </c>
      <c r="P1069" s="5">
        <f t="shared" si="39"/>
        <v>14.707600000000001</v>
      </c>
      <c r="Q1069" s="5">
        <f t="shared" si="39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40">AVERAGE(B257:B268)</f>
        <v>7.5406666666666666</v>
      </c>
      <c r="C1070" s="8">
        <f t="shared" si="40"/>
        <v>7.5469583333333334</v>
      </c>
      <c r="D1070" s="8">
        <f t="shared" si="40"/>
        <v>7.5433000000000012</v>
      </c>
      <c r="E1070" s="8">
        <f t="shared" si="40"/>
        <v>7.5438999999999998</v>
      </c>
      <c r="F1070" s="4">
        <f t="shared" si="40"/>
        <v>8.2119833333333325</v>
      </c>
      <c r="G1070" s="8">
        <f t="shared" si="40"/>
        <v>7.3900916666666658</v>
      </c>
      <c r="H1070" s="4">
        <f t="shared" si="40"/>
        <v>8.3045666666666662</v>
      </c>
      <c r="I1070" s="8">
        <f t="shared" si="40"/>
        <v>7.3669249999999993</v>
      </c>
      <c r="J1070" s="4">
        <f t="shared" si="40"/>
        <v>7.2594166666666666</v>
      </c>
      <c r="K1070" s="4"/>
      <c r="L1070" s="5">
        <f t="shared" ref="L1070:Q1070" si="41">SUM(L257:L268)</f>
        <v>355.53689999999995</v>
      </c>
      <c r="M1070" s="5">
        <f t="shared" si="41"/>
        <v>142.0401</v>
      </c>
      <c r="N1070" s="5">
        <f t="shared" si="41"/>
        <v>58.217499999999994</v>
      </c>
      <c r="O1070" s="5">
        <f t="shared" si="41"/>
        <v>4.4046000000000003</v>
      </c>
      <c r="P1070" s="5">
        <f t="shared" si="41"/>
        <v>14.707600000000001</v>
      </c>
      <c r="Q1070" s="5">
        <f t="shared" si="41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2">AVERAGE(B269:B280)</f>
        <v>7.7861666666666665</v>
      </c>
      <c r="C1071" s="8">
        <f t="shared" si="42"/>
        <v>7.7924666666666669</v>
      </c>
      <c r="D1071" s="8">
        <f t="shared" si="42"/>
        <v>7.7888166666666683</v>
      </c>
      <c r="E1071" s="8">
        <f t="shared" si="42"/>
        <v>7.7894083333333315</v>
      </c>
      <c r="F1071" s="4">
        <f t="shared" si="42"/>
        <v>8.457491666666666</v>
      </c>
      <c r="G1071" s="8">
        <f t="shared" si="42"/>
        <v>7.6315416666666662</v>
      </c>
      <c r="H1071" s="4">
        <f t="shared" si="42"/>
        <v>8.546008333333333</v>
      </c>
      <c r="I1071" s="8">
        <f t="shared" si="42"/>
        <v>7.6043833333333337</v>
      </c>
      <c r="J1071" s="4">
        <f t="shared" si="42"/>
        <v>7.4967666666666659</v>
      </c>
      <c r="K1071" s="4"/>
      <c r="L1071" s="5">
        <f t="shared" ref="L1071:Q1071" si="43">SUM(L269:L280)</f>
        <v>356.48229999999995</v>
      </c>
      <c r="M1071" s="5">
        <f t="shared" si="43"/>
        <v>142.42920000000001</v>
      </c>
      <c r="N1071" s="5">
        <f t="shared" si="43"/>
        <v>58.377000000000002</v>
      </c>
      <c r="O1071" s="5">
        <f t="shared" si="43"/>
        <v>4.4165999999999999</v>
      </c>
      <c r="P1071" s="5">
        <f t="shared" si="43"/>
        <v>14.7493</v>
      </c>
      <c r="Q1071" s="5">
        <f t="shared" si="43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4">AVERAGE(B281:B292)</f>
        <v>8.0397333333333325</v>
      </c>
      <c r="C1072" s="8">
        <f t="shared" si="44"/>
        <v>8.046033333333332</v>
      </c>
      <c r="D1072" s="8">
        <f t="shared" si="44"/>
        <v>8.0423749999999998</v>
      </c>
      <c r="E1072" s="8">
        <f t="shared" si="44"/>
        <v>8.0429750000000002</v>
      </c>
      <c r="F1072" s="4">
        <f t="shared" si="44"/>
        <v>8.7110416666666666</v>
      </c>
      <c r="G1072" s="8">
        <f t="shared" si="44"/>
        <v>7.8808916666666669</v>
      </c>
      <c r="H1072" s="4">
        <f t="shared" si="44"/>
        <v>8.7953583333333309</v>
      </c>
      <c r="I1072" s="8">
        <f t="shared" si="44"/>
        <v>7.8496166666666669</v>
      </c>
      <c r="J1072" s="4">
        <f t="shared" si="44"/>
        <v>7.7418916666666648</v>
      </c>
      <c r="K1072" s="4"/>
      <c r="L1072" s="5">
        <f t="shared" ref="L1072:Q1072" si="45">SUM(L281:L292)</f>
        <v>355.53689999999995</v>
      </c>
      <c r="M1072" s="5">
        <f t="shared" si="45"/>
        <v>142.0401</v>
      </c>
      <c r="N1072" s="5">
        <f t="shared" si="45"/>
        <v>58.217499999999994</v>
      </c>
      <c r="O1072" s="5">
        <f t="shared" si="45"/>
        <v>4.4046000000000003</v>
      </c>
      <c r="P1072" s="5">
        <f t="shared" si="45"/>
        <v>14.707600000000001</v>
      </c>
      <c r="Q1072" s="5">
        <f t="shared" si="45"/>
        <v>359.29169999999999</v>
      </c>
      <c r="R1072" s="5"/>
      <c r="S1072" s="4"/>
    </row>
    <row r="1073" spans="1:19" ht="15" customHeight="1">
      <c r="A1073" s="3">
        <f t="shared" ref="A1073:A1104" si="46">A1072+1</f>
        <v>2038</v>
      </c>
      <c r="B1073" s="8">
        <f t="shared" ref="B1073:J1073" si="47">AVERAGE(B293:B304)</f>
        <v>8.3015833333333351</v>
      </c>
      <c r="C1073" s="8">
        <f t="shared" si="47"/>
        <v>8.3078666666666674</v>
      </c>
      <c r="D1073" s="8">
        <f t="shared" si="47"/>
        <v>8.3042333333333342</v>
      </c>
      <c r="E1073" s="8">
        <f t="shared" si="47"/>
        <v>8.304825000000001</v>
      </c>
      <c r="F1073" s="4">
        <f t="shared" si="47"/>
        <v>8.9728833333333338</v>
      </c>
      <c r="G1073" s="8">
        <f t="shared" si="47"/>
        <v>8.1383916666666689</v>
      </c>
      <c r="H1073" s="4">
        <f t="shared" si="47"/>
        <v>9.0528750000000002</v>
      </c>
      <c r="I1073" s="8">
        <f t="shared" si="47"/>
        <v>8.1028583333333319</v>
      </c>
      <c r="J1073" s="4">
        <f t="shared" si="47"/>
        <v>7.9950000000000001</v>
      </c>
      <c r="K1073" s="4"/>
      <c r="L1073" s="5">
        <f t="shared" ref="L1073:Q1073" si="48">SUM(L293:L304)</f>
        <v>355.53689999999995</v>
      </c>
      <c r="M1073" s="5">
        <f t="shared" si="48"/>
        <v>142.0401</v>
      </c>
      <c r="N1073" s="5">
        <f t="shared" si="48"/>
        <v>58.217499999999994</v>
      </c>
      <c r="O1073" s="5">
        <f t="shared" si="48"/>
        <v>4.4046000000000003</v>
      </c>
      <c r="P1073" s="5">
        <f t="shared" si="48"/>
        <v>14.707600000000001</v>
      </c>
      <c r="Q1073" s="5">
        <f t="shared" si="48"/>
        <v>358.54670000000004</v>
      </c>
      <c r="R1073" s="5"/>
      <c r="S1073" s="4"/>
    </row>
    <row r="1074" spans="1:19" ht="15" customHeight="1">
      <c r="A1074" s="3">
        <f t="shared" si="46"/>
        <v>2039</v>
      </c>
      <c r="B1074" s="8">
        <f t="shared" ref="B1074:J1074" si="49">AVERAGE(B305:B316)</f>
        <v>8.5719916666666673</v>
      </c>
      <c r="C1074" s="8">
        <f t="shared" si="49"/>
        <v>8.5782749999999997</v>
      </c>
      <c r="D1074" s="8">
        <f t="shared" si="49"/>
        <v>8.5746333333333329</v>
      </c>
      <c r="E1074" s="8">
        <f t="shared" si="49"/>
        <v>8.5752249999999979</v>
      </c>
      <c r="F1074" s="4">
        <f t="shared" si="49"/>
        <v>9.2432916666666678</v>
      </c>
      <c r="G1074" s="8">
        <f t="shared" si="49"/>
        <v>8.404300000000001</v>
      </c>
      <c r="H1074" s="4">
        <f t="shared" si="49"/>
        <v>9.3187833333333341</v>
      </c>
      <c r="I1074" s="8">
        <f t="shared" si="49"/>
        <v>8.364391666666668</v>
      </c>
      <c r="J1074" s="4">
        <f t="shared" si="49"/>
        <v>8.2563916666666675</v>
      </c>
      <c r="K1074" s="7"/>
      <c r="L1074" s="5">
        <f t="shared" ref="L1074:Q1074" si="50">SUM(L305:L316)</f>
        <v>355.53689999999995</v>
      </c>
      <c r="M1074" s="5">
        <f t="shared" si="50"/>
        <v>142.0401</v>
      </c>
      <c r="N1074" s="5">
        <f t="shared" si="50"/>
        <v>58.217499999999994</v>
      </c>
      <c r="O1074" s="5">
        <f t="shared" si="50"/>
        <v>4.4046000000000003</v>
      </c>
      <c r="P1074" s="5">
        <f t="shared" si="50"/>
        <v>14.707600000000001</v>
      </c>
      <c r="Q1074" s="5">
        <f t="shared" si="50"/>
        <v>357.78019999999998</v>
      </c>
      <c r="R1074" s="5"/>
      <c r="S1074" s="6"/>
    </row>
    <row r="1075" spans="1:19" ht="15" customHeight="1">
      <c r="A1075" s="3">
        <f t="shared" si="46"/>
        <v>2040</v>
      </c>
      <c r="B1075" s="8">
        <f t="shared" ref="B1075:J1075" si="51">AVERAGE(B317:B328)</f>
        <v>8.8512249999999995</v>
      </c>
      <c r="C1075" s="8">
        <f t="shared" si="51"/>
        <v>8.8575333333333326</v>
      </c>
      <c r="D1075" s="8">
        <f t="shared" si="51"/>
        <v>8.8538750000000022</v>
      </c>
      <c r="E1075" s="8">
        <f t="shared" si="51"/>
        <v>8.8544833333333344</v>
      </c>
      <c r="F1075" s="4">
        <f t="shared" si="51"/>
        <v>9.5225500000000007</v>
      </c>
      <c r="G1075" s="8">
        <f t="shared" si="51"/>
        <v>8.6789249999999996</v>
      </c>
      <c r="H1075" s="4">
        <f t="shared" si="51"/>
        <v>9.5934083333333344</v>
      </c>
      <c r="I1075" s="8">
        <f t="shared" si="51"/>
        <v>8.6344833333333337</v>
      </c>
      <c r="J1075" s="4">
        <f t="shared" si="51"/>
        <v>8.5263583333333344</v>
      </c>
      <c r="K1075" s="7"/>
      <c r="L1075" s="5">
        <f t="shared" ref="L1075:Q1075" si="52">SUM(L317:L328)</f>
        <v>356.48229999999995</v>
      </c>
      <c r="M1075" s="5">
        <f t="shared" si="52"/>
        <v>142.42920000000001</v>
      </c>
      <c r="N1075" s="5">
        <f t="shared" si="52"/>
        <v>58.377000000000002</v>
      </c>
      <c r="O1075" s="5">
        <f t="shared" si="52"/>
        <v>4.4165999999999999</v>
      </c>
      <c r="P1075" s="5">
        <f t="shared" si="52"/>
        <v>14.7493</v>
      </c>
      <c r="Q1075" s="5">
        <f t="shared" si="52"/>
        <v>357.99180000000001</v>
      </c>
      <c r="R1075" s="5"/>
      <c r="S1075" s="6"/>
    </row>
    <row r="1076" spans="1:19" ht="15" customHeight="1">
      <c r="A1076" s="3">
        <f t="shared" si="46"/>
        <v>2041</v>
      </c>
      <c r="B1076" s="8">
        <f t="shared" ref="B1076:J1076" si="53">AVERAGE(B329:B340)</f>
        <v>9.1395999999999997</v>
      </c>
      <c r="C1076" s="8">
        <f t="shared" si="53"/>
        <v>9.1459083333333329</v>
      </c>
      <c r="D1076" s="8">
        <f t="shared" si="53"/>
        <v>9.1422249999999998</v>
      </c>
      <c r="E1076" s="8">
        <f t="shared" si="53"/>
        <v>9.1428416666666674</v>
      </c>
      <c r="F1076" s="4">
        <f t="shared" si="53"/>
        <v>9.8109166666666656</v>
      </c>
      <c r="G1076" s="8">
        <f t="shared" si="53"/>
        <v>8.9625333333333348</v>
      </c>
      <c r="H1076" s="4">
        <f t="shared" si="53"/>
        <v>9.8770000000000007</v>
      </c>
      <c r="I1076" s="8">
        <f t="shared" si="53"/>
        <v>8.9134250000000002</v>
      </c>
      <c r="J1076" s="4">
        <f t="shared" si="53"/>
        <v>8.8051333333333321</v>
      </c>
      <c r="K1076" s="7"/>
      <c r="L1076" s="5">
        <f t="shared" ref="L1076:Q1076" si="54">SUM(L329:L340)</f>
        <v>355.53689999999995</v>
      </c>
      <c r="M1076" s="5">
        <f t="shared" si="54"/>
        <v>142.0401</v>
      </c>
      <c r="N1076" s="5">
        <f t="shared" si="54"/>
        <v>58.217499999999994</v>
      </c>
      <c r="O1076" s="5">
        <f t="shared" si="54"/>
        <v>4.4046000000000003</v>
      </c>
      <c r="P1076" s="5">
        <f t="shared" si="54"/>
        <v>14.707600000000001</v>
      </c>
      <c r="Q1076" s="5">
        <f t="shared" si="54"/>
        <v>356.26930000000004</v>
      </c>
      <c r="R1076" s="5"/>
      <c r="S1076" s="6"/>
    </row>
    <row r="1077" spans="1:19" ht="15" customHeight="1">
      <c r="A1077" s="3">
        <f t="shared" si="46"/>
        <v>2042</v>
      </c>
      <c r="B1077" s="8">
        <f t="shared" ref="B1077:J1077" si="55">AVERAGE(B341:B352)</f>
        <v>9.4374416666666683</v>
      </c>
      <c r="C1077" s="8">
        <f t="shared" si="55"/>
        <v>9.4437333333333342</v>
      </c>
      <c r="D1077" s="8">
        <f t="shared" si="55"/>
        <v>9.4400750000000002</v>
      </c>
      <c r="E1077" s="8">
        <f t="shared" si="55"/>
        <v>9.4406750000000006</v>
      </c>
      <c r="F1077" s="4">
        <f t="shared" si="55"/>
        <v>10.108750000000001</v>
      </c>
      <c r="G1077" s="8">
        <f t="shared" si="55"/>
        <v>9.2554083333333335</v>
      </c>
      <c r="H1077" s="4">
        <f t="shared" si="55"/>
        <v>10.169883333333333</v>
      </c>
      <c r="I1077" s="8">
        <f t="shared" si="55"/>
        <v>9.2014416666666659</v>
      </c>
      <c r="J1077" s="4">
        <f t="shared" si="55"/>
        <v>9.0930333333333326</v>
      </c>
      <c r="K1077" s="7"/>
      <c r="L1077" s="5">
        <f t="shared" ref="L1077:Q1077" si="56">SUM(L341:L352)</f>
        <v>355.53689999999995</v>
      </c>
      <c r="M1077" s="5">
        <f t="shared" si="56"/>
        <v>142.0401</v>
      </c>
      <c r="N1077" s="5">
        <f t="shared" si="56"/>
        <v>58.217499999999994</v>
      </c>
      <c r="O1077" s="5">
        <f t="shared" si="56"/>
        <v>4.4046000000000003</v>
      </c>
      <c r="P1077" s="5">
        <f t="shared" si="56"/>
        <v>14.707600000000001</v>
      </c>
      <c r="Q1077" s="5">
        <f t="shared" si="56"/>
        <v>242.47669999999997</v>
      </c>
      <c r="R1077" s="5"/>
      <c r="S1077" s="6"/>
    </row>
    <row r="1078" spans="1:19" ht="15" customHeight="1">
      <c r="A1078" s="3">
        <f t="shared" si="46"/>
        <v>2043</v>
      </c>
      <c r="B1078" s="8">
        <f t="shared" ref="B1078:J1078" si="57">AVERAGE(B353:B364)</f>
        <v>9.7449749999999984</v>
      </c>
      <c r="C1078" s="8">
        <f t="shared" si="57"/>
        <v>9.7512916666666669</v>
      </c>
      <c r="D1078" s="8">
        <f t="shared" si="57"/>
        <v>9.7476333333333347</v>
      </c>
      <c r="E1078" s="8">
        <f t="shared" si="57"/>
        <v>9.7482250000000015</v>
      </c>
      <c r="F1078" s="4">
        <f t="shared" si="57"/>
        <v>10.416291666666664</v>
      </c>
      <c r="G1078" s="8">
        <f t="shared" si="57"/>
        <v>9.5578583333333338</v>
      </c>
      <c r="H1078" s="4">
        <f t="shared" si="57"/>
        <v>10.472341666666665</v>
      </c>
      <c r="I1078" s="8">
        <f t="shared" si="57"/>
        <v>9.4989000000000008</v>
      </c>
      <c r="J1078" s="4">
        <f t="shared" si="57"/>
        <v>9.3903249999999989</v>
      </c>
      <c r="K1078" s="7"/>
      <c r="L1078" s="5">
        <f t="shared" ref="L1078:Q1078" si="58">SUM(L353:L364)</f>
        <v>355.53689999999995</v>
      </c>
      <c r="M1078" s="5">
        <f t="shared" si="58"/>
        <v>142.0401</v>
      </c>
      <c r="N1078" s="5">
        <f t="shared" si="58"/>
        <v>58.217499999999994</v>
      </c>
      <c r="O1078" s="5">
        <f t="shared" si="58"/>
        <v>4.4046000000000003</v>
      </c>
      <c r="P1078" s="5">
        <f t="shared" si="58"/>
        <v>14.707600000000001</v>
      </c>
      <c r="Q1078" s="5">
        <f t="shared" si="58"/>
        <v>241.71019999999996</v>
      </c>
      <c r="R1078" s="5"/>
      <c r="S1078" s="6"/>
    </row>
    <row r="1079" spans="1:19" ht="15" customHeight="1">
      <c r="A1079" s="3">
        <f t="shared" si="46"/>
        <v>2044</v>
      </c>
      <c r="B1079" s="8">
        <f t="shared" ref="B1079:J1079" si="59">AVERAGE(B365:B376)</f>
        <v>10.062583333333334</v>
      </c>
      <c r="C1079" s="8">
        <f t="shared" si="59"/>
        <v>10.068883333333334</v>
      </c>
      <c r="D1079" s="8">
        <f t="shared" si="59"/>
        <v>10.065225</v>
      </c>
      <c r="E1079" s="8">
        <f t="shared" si="59"/>
        <v>10.065824999999998</v>
      </c>
      <c r="F1079" s="4">
        <f t="shared" si="59"/>
        <v>10.7339</v>
      </c>
      <c r="G1079" s="8">
        <f t="shared" si="59"/>
        <v>9.8702000000000005</v>
      </c>
      <c r="H1079" s="4">
        <f t="shared" si="59"/>
        <v>10.784675</v>
      </c>
      <c r="I1079" s="8">
        <f t="shared" si="59"/>
        <v>9.8060916666666671</v>
      </c>
      <c r="J1079" s="4">
        <f t="shared" si="59"/>
        <v>9.6973749999999992</v>
      </c>
      <c r="K1079" s="7"/>
      <c r="L1079" s="5">
        <f t="shared" ref="L1079:Q1079" si="60">SUM(L365:L376)</f>
        <v>356.48229999999995</v>
      </c>
      <c r="M1079" s="5">
        <f t="shared" si="60"/>
        <v>142.42920000000001</v>
      </c>
      <c r="N1079" s="5">
        <f t="shared" si="60"/>
        <v>58.377000000000002</v>
      </c>
      <c r="O1079" s="5">
        <f t="shared" si="60"/>
        <v>4.4165999999999999</v>
      </c>
      <c r="P1079" s="5">
        <f t="shared" si="60"/>
        <v>14.7493</v>
      </c>
      <c r="Q1079" s="5">
        <f t="shared" si="60"/>
        <v>241.58220000000006</v>
      </c>
      <c r="R1079" s="5"/>
      <c r="S1079" s="6"/>
    </row>
    <row r="1080" spans="1:19" ht="15" customHeight="1">
      <c r="A1080" s="3">
        <f t="shared" si="46"/>
        <v>2045</v>
      </c>
      <c r="B1080" s="8">
        <f t="shared" ref="B1080:J1080" si="61">AVERAGE(B377:B388)</f>
        <v>10.390583333333332</v>
      </c>
      <c r="C1080" s="8">
        <f t="shared" si="61"/>
        <v>10.396883333333333</v>
      </c>
      <c r="D1080" s="8">
        <f t="shared" si="61"/>
        <v>10.393233333333333</v>
      </c>
      <c r="E1080" s="8">
        <f t="shared" si="61"/>
        <v>10.393833333333335</v>
      </c>
      <c r="F1080" s="4">
        <f t="shared" si="61"/>
        <v>11.061891666666668</v>
      </c>
      <c r="G1080" s="8">
        <f t="shared" si="61"/>
        <v>10.192766666666666</v>
      </c>
      <c r="H1080" s="4">
        <f t="shared" si="61"/>
        <v>11.107233333333333</v>
      </c>
      <c r="I1080" s="8">
        <f t="shared" si="61"/>
        <v>10.123324999999999</v>
      </c>
      <c r="J1080" s="4">
        <f t="shared" si="61"/>
        <v>10.014449999999998</v>
      </c>
      <c r="K1080" s="7"/>
      <c r="L1080" s="5">
        <f t="shared" ref="L1080:Q1080" si="62">SUM(L377:L388)</f>
        <v>355.53689999999995</v>
      </c>
      <c r="M1080" s="5">
        <f t="shared" si="62"/>
        <v>142.0401</v>
      </c>
      <c r="N1080" s="5">
        <f t="shared" si="62"/>
        <v>58.217499999999994</v>
      </c>
      <c r="O1080" s="5">
        <f t="shared" si="62"/>
        <v>4.4046000000000003</v>
      </c>
      <c r="P1080" s="5">
        <f t="shared" si="62"/>
        <v>14.707600000000001</v>
      </c>
      <c r="Q1080" s="5">
        <f t="shared" si="62"/>
        <v>240.15570000000002</v>
      </c>
      <c r="R1080" s="5"/>
      <c r="S1080" s="6"/>
    </row>
    <row r="1081" spans="1:19" ht="15" customHeight="1">
      <c r="A1081" s="3">
        <f t="shared" si="46"/>
        <v>2046</v>
      </c>
      <c r="B1081" s="8">
        <f t="shared" ref="B1081:J1081" si="63">AVERAGE(B389:B400)</f>
        <v>10.729325000000001</v>
      </c>
      <c r="C1081" s="8">
        <f t="shared" si="63"/>
        <v>10.735599999999998</v>
      </c>
      <c r="D1081" s="8">
        <f t="shared" si="63"/>
        <v>10.731966666666667</v>
      </c>
      <c r="E1081" s="8">
        <f t="shared" si="63"/>
        <v>10.732558333333335</v>
      </c>
      <c r="F1081" s="4">
        <f t="shared" si="63"/>
        <v>11.400625</v>
      </c>
      <c r="G1081" s="8">
        <f t="shared" si="63"/>
        <v>10.525866666666666</v>
      </c>
      <c r="H1081" s="4">
        <f t="shared" si="63"/>
        <v>11.440341666666667</v>
      </c>
      <c r="I1081" s="8">
        <f t="shared" si="63"/>
        <v>10.450941666666667</v>
      </c>
      <c r="J1081" s="4">
        <f t="shared" si="63"/>
        <v>10.341883333333334</v>
      </c>
      <c r="K1081" s="7"/>
      <c r="L1081" s="5">
        <f t="shared" ref="L1081:Q1081" si="64">SUM(L389:L400)</f>
        <v>355.53689999999995</v>
      </c>
      <c r="M1081" s="5">
        <f t="shared" si="64"/>
        <v>142.0401</v>
      </c>
      <c r="N1081" s="5">
        <f t="shared" si="64"/>
        <v>58.217499999999994</v>
      </c>
      <c r="O1081" s="5">
        <f t="shared" si="64"/>
        <v>4.4046000000000003</v>
      </c>
      <c r="P1081" s="5">
        <f t="shared" si="64"/>
        <v>14.707600000000001</v>
      </c>
      <c r="Q1081" s="5">
        <f t="shared" si="64"/>
        <v>239.38920000000005</v>
      </c>
      <c r="R1081" s="5"/>
      <c r="S1081" s="6"/>
    </row>
    <row r="1082" spans="1:19" ht="15" customHeight="1">
      <c r="A1082" s="3">
        <f t="shared" si="46"/>
        <v>2047</v>
      </c>
      <c r="B1082" s="8">
        <f t="shared" ref="B1082:J1082" si="65">AVERAGE(B401:B412)</f>
        <v>11.079116666666666</v>
      </c>
      <c r="C1082" s="8">
        <f t="shared" si="65"/>
        <v>11.085416666666667</v>
      </c>
      <c r="D1082" s="8">
        <f t="shared" si="65"/>
        <v>11.081758333333333</v>
      </c>
      <c r="E1082" s="8">
        <f t="shared" si="65"/>
        <v>11.08235</v>
      </c>
      <c r="F1082" s="4">
        <f t="shared" si="65"/>
        <v>11.750433333333335</v>
      </c>
      <c r="G1082" s="8">
        <f t="shared" si="65"/>
        <v>10.869866666666667</v>
      </c>
      <c r="H1082" s="4">
        <f t="shared" si="65"/>
        <v>11.784341666666668</v>
      </c>
      <c r="I1082" s="8">
        <f t="shared" si="65"/>
        <v>10.789250000000001</v>
      </c>
      <c r="J1082" s="4">
        <f t="shared" si="65"/>
        <v>10.680050000000001</v>
      </c>
      <c r="K1082" s="7"/>
      <c r="L1082" s="5">
        <f t="shared" ref="L1082:Q1082" si="66">SUM(L401:L412)</f>
        <v>355.53689999999995</v>
      </c>
      <c r="M1082" s="5">
        <f t="shared" si="66"/>
        <v>142.0401</v>
      </c>
      <c r="N1082" s="5">
        <f t="shared" si="66"/>
        <v>58.217499999999994</v>
      </c>
      <c r="O1082" s="5">
        <f t="shared" si="66"/>
        <v>4.4046000000000003</v>
      </c>
      <c r="P1082" s="5">
        <f t="shared" si="66"/>
        <v>14.707600000000001</v>
      </c>
      <c r="Q1082" s="5">
        <f t="shared" si="66"/>
        <v>238.62270000000004</v>
      </c>
      <c r="R1082" s="5"/>
      <c r="S1082" s="6"/>
    </row>
    <row r="1083" spans="1:19" ht="15" customHeight="1">
      <c r="A1083" s="3">
        <f t="shared" si="46"/>
        <v>2048</v>
      </c>
      <c r="B1083" s="8">
        <f t="shared" ref="B1083:J1083" si="67">AVERAGE(B413:B424)</f>
        <v>11.440350000000002</v>
      </c>
      <c r="C1083" s="8">
        <f t="shared" si="67"/>
        <v>11.446658333333334</v>
      </c>
      <c r="D1083" s="8">
        <f t="shared" si="67"/>
        <v>11.443008333333333</v>
      </c>
      <c r="E1083" s="8">
        <f t="shared" si="67"/>
        <v>11.443599999999998</v>
      </c>
      <c r="F1083" s="4">
        <f t="shared" si="67"/>
        <v>12.111649999999999</v>
      </c>
      <c r="G1083" s="8">
        <f t="shared" si="67"/>
        <v>11.225133333333332</v>
      </c>
      <c r="H1083" s="4">
        <f t="shared" si="67"/>
        <v>12.139591666666668</v>
      </c>
      <c r="I1083" s="8">
        <f t="shared" si="67"/>
        <v>11.138666666666666</v>
      </c>
      <c r="J1083" s="4">
        <f t="shared" si="67"/>
        <v>11.029275</v>
      </c>
      <c r="K1083" s="7"/>
      <c r="L1083" s="5">
        <f t="shared" ref="L1083:Q1083" si="68">SUM(L413:L424)</f>
        <v>356.48229999999995</v>
      </c>
      <c r="M1083" s="5">
        <f t="shared" si="68"/>
        <v>142.42920000000001</v>
      </c>
      <c r="N1083" s="5">
        <f t="shared" si="68"/>
        <v>58.377000000000002</v>
      </c>
      <c r="O1083" s="5">
        <f t="shared" si="68"/>
        <v>4.4165999999999999</v>
      </c>
      <c r="P1083" s="5">
        <f t="shared" si="68"/>
        <v>14.7493</v>
      </c>
      <c r="Q1083" s="5">
        <f t="shared" si="68"/>
        <v>238.50780000000003</v>
      </c>
      <c r="R1083" s="5"/>
      <c r="S1083" s="6"/>
    </row>
    <row r="1084" spans="1:19" ht="15" customHeight="1">
      <c r="A1084" s="3">
        <f t="shared" si="46"/>
        <v>2049</v>
      </c>
      <c r="B1084" s="8">
        <f t="shared" ref="B1084:J1084" si="69">AVERAGE(B425:B436)</f>
        <v>11.813416666666669</v>
      </c>
      <c r="C1084" s="8">
        <f t="shared" si="69"/>
        <v>11.819708333333333</v>
      </c>
      <c r="D1084" s="8">
        <f t="shared" si="69"/>
        <v>11.816058333333332</v>
      </c>
      <c r="E1084" s="8">
        <f t="shared" si="69"/>
        <v>11.816650000000001</v>
      </c>
      <c r="F1084" s="4">
        <f t="shared" si="69"/>
        <v>12.484733333333336</v>
      </c>
      <c r="G1084" s="8">
        <f t="shared" si="69"/>
        <v>11.591991666666667</v>
      </c>
      <c r="H1084" s="4">
        <f t="shared" si="69"/>
        <v>12.506475</v>
      </c>
      <c r="I1084" s="8">
        <f t="shared" si="69"/>
        <v>11.499458333333331</v>
      </c>
      <c r="J1084" s="4">
        <f t="shared" si="69"/>
        <v>11.389891666666665</v>
      </c>
      <c r="K1084" s="7"/>
      <c r="L1084" s="5">
        <f t="shared" ref="L1084:Q1084" si="70">SUM(L425:L436)</f>
        <v>355.53689999999995</v>
      </c>
      <c r="M1084" s="5">
        <f t="shared" si="70"/>
        <v>142.0401</v>
      </c>
      <c r="N1084" s="5">
        <f t="shared" si="70"/>
        <v>58.217499999999994</v>
      </c>
      <c r="O1084" s="5">
        <f t="shared" si="70"/>
        <v>4.4046000000000003</v>
      </c>
      <c r="P1084" s="5">
        <f t="shared" si="70"/>
        <v>14.707600000000001</v>
      </c>
      <c r="Q1084" s="5">
        <f t="shared" si="70"/>
        <v>237.08969999999999</v>
      </c>
      <c r="R1084" s="5"/>
      <c r="S1084" s="6"/>
    </row>
    <row r="1085" spans="1:19" ht="15" customHeight="1">
      <c r="A1085" s="3">
        <f t="shared" si="46"/>
        <v>2050</v>
      </c>
      <c r="B1085" s="8">
        <f t="shared" ref="B1085:J1085" si="71">AVERAGE(B437:B448)</f>
        <v>12.198666666666668</v>
      </c>
      <c r="C1085" s="8">
        <f t="shared" si="71"/>
        <v>12.204966666666666</v>
      </c>
      <c r="D1085" s="8">
        <f t="shared" si="71"/>
        <v>12.201316666666669</v>
      </c>
      <c r="E1085" s="8">
        <f t="shared" si="71"/>
        <v>12.201916666666667</v>
      </c>
      <c r="F1085" s="4">
        <f t="shared" si="71"/>
        <v>12.869983333333336</v>
      </c>
      <c r="G1085" s="8">
        <f t="shared" si="71"/>
        <v>11.970866666666666</v>
      </c>
      <c r="H1085" s="4">
        <f t="shared" si="71"/>
        <v>12.885333333333334</v>
      </c>
      <c r="I1085" s="8">
        <f t="shared" si="71"/>
        <v>11.872075000000001</v>
      </c>
      <c r="J1085" s="4">
        <f t="shared" si="71"/>
        <v>11.762316666666669</v>
      </c>
      <c r="K1085" s="7"/>
      <c r="L1085" s="5">
        <f t="shared" ref="L1085:Q1085" si="72">SUM(L437:L448)</f>
        <v>355.53689999999995</v>
      </c>
      <c r="M1085" s="5">
        <f t="shared" si="72"/>
        <v>142.0401</v>
      </c>
      <c r="N1085" s="5">
        <f t="shared" si="72"/>
        <v>58.217499999999994</v>
      </c>
      <c r="O1085" s="5">
        <f t="shared" si="72"/>
        <v>4.4046000000000003</v>
      </c>
      <c r="P1085" s="5">
        <f t="shared" si="72"/>
        <v>14.707600000000001</v>
      </c>
      <c r="Q1085" s="5">
        <f t="shared" si="72"/>
        <v>236.32320000000004</v>
      </c>
      <c r="R1085" s="5"/>
      <c r="S1085" s="6"/>
    </row>
    <row r="1086" spans="1:19" ht="15" customHeight="1">
      <c r="A1086" s="3">
        <f t="shared" si="46"/>
        <v>2051</v>
      </c>
      <c r="B1086" s="8">
        <f t="shared" ref="B1086:J1086" si="73">AVERAGE(B449:B460)</f>
        <v>12.596525</v>
      </c>
      <c r="C1086" s="8">
        <f t="shared" si="73"/>
        <v>12.602833333333331</v>
      </c>
      <c r="D1086" s="8">
        <f t="shared" si="73"/>
        <v>12.599158333333333</v>
      </c>
      <c r="E1086" s="8">
        <f t="shared" si="73"/>
        <v>12.599758333333332</v>
      </c>
      <c r="F1086" s="4">
        <f t="shared" si="73"/>
        <v>13.267833333333334</v>
      </c>
      <c r="G1086" s="8">
        <f t="shared" si="73"/>
        <v>12.362124999999999</v>
      </c>
      <c r="H1086" s="4">
        <f t="shared" si="73"/>
        <v>13.2766</v>
      </c>
      <c r="I1086" s="8">
        <f t="shared" si="73"/>
        <v>12.256874999999999</v>
      </c>
      <c r="J1086" s="4">
        <f t="shared" si="73"/>
        <v>12.146925000000001</v>
      </c>
      <c r="K1086" s="7"/>
      <c r="L1086" s="5">
        <f t="shared" ref="L1086:Q1086" si="74">SUM(L449:L460)</f>
        <v>355.53689999999995</v>
      </c>
      <c r="M1086" s="5">
        <f t="shared" si="74"/>
        <v>142.0401</v>
      </c>
      <c r="N1086" s="5">
        <f t="shared" si="74"/>
        <v>58.217499999999994</v>
      </c>
      <c r="O1086" s="5">
        <f t="shared" si="74"/>
        <v>4.4046000000000003</v>
      </c>
      <c r="P1086" s="5">
        <f t="shared" si="74"/>
        <v>14.707600000000001</v>
      </c>
      <c r="Q1086" s="5">
        <f t="shared" si="74"/>
        <v>235.57820000000007</v>
      </c>
      <c r="R1086" s="5"/>
      <c r="S1086" s="6"/>
    </row>
    <row r="1087" spans="1:19" ht="15" customHeight="1">
      <c r="A1087" s="3">
        <f t="shared" si="46"/>
        <v>2052</v>
      </c>
      <c r="B1087" s="8">
        <f t="shared" ref="B1087:J1087" si="75">AVERAGE(B461:B472)</f>
        <v>13.007408333333331</v>
      </c>
      <c r="C1087" s="8">
        <f t="shared" si="75"/>
        <v>13.013691666666666</v>
      </c>
      <c r="D1087" s="8">
        <f t="shared" si="75"/>
        <v>13.010033333333332</v>
      </c>
      <c r="E1087" s="8">
        <f t="shared" si="75"/>
        <v>13.010633333333333</v>
      </c>
      <c r="F1087" s="4">
        <f t="shared" si="75"/>
        <v>13.678708333333335</v>
      </c>
      <c r="G1087" s="8">
        <f t="shared" si="75"/>
        <v>12.766183333333336</v>
      </c>
      <c r="H1087" s="4">
        <f t="shared" si="75"/>
        <v>13.680658333333334</v>
      </c>
      <c r="I1087" s="8">
        <f t="shared" si="75"/>
        <v>12.654258333333331</v>
      </c>
      <c r="J1087" s="4">
        <f t="shared" si="75"/>
        <v>12.544133333333335</v>
      </c>
      <c r="K1087" s="7"/>
      <c r="L1087" s="5">
        <f t="shared" ref="L1087:Q1087" si="76">SUM(L461:L472)</f>
        <v>356.48229999999995</v>
      </c>
      <c r="M1087" s="5">
        <f t="shared" si="76"/>
        <v>142.42920000000001</v>
      </c>
      <c r="N1087" s="5">
        <f t="shared" si="76"/>
        <v>58.377000000000002</v>
      </c>
      <c r="O1087" s="5">
        <f t="shared" si="76"/>
        <v>4.4165999999999999</v>
      </c>
      <c r="P1087" s="5">
        <f t="shared" si="76"/>
        <v>14.7493</v>
      </c>
      <c r="Q1087" s="5">
        <f t="shared" si="76"/>
        <v>235.45500000000004</v>
      </c>
      <c r="R1087" s="5"/>
      <c r="S1087" s="6"/>
    </row>
    <row r="1088" spans="1:19" ht="15" customHeight="1">
      <c r="A1088" s="3">
        <f t="shared" si="46"/>
        <v>2053</v>
      </c>
      <c r="B1088" s="8">
        <f t="shared" ref="B1088:J1088" si="77">AVERAGE(B473:B484)</f>
        <v>13.431691666666666</v>
      </c>
      <c r="C1088" s="8">
        <f t="shared" si="77"/>
        <v>13.437983333333333</v>
      </c>
      <c r="D1088" s="8">
        <f t="shared" si="77"/>
        <v>13.434349999999997</v>
      </c>
      <c r="E1088" s="8">
        <f t="shared" si="77"/>
        <v>13.434941666666667</v>
      </c>
      <c r="F1088" s="4">
        <f t="shared" si="77"/>
        <v>14.103</v>
      </c>
      <c r="G1088" s="8">
        <f t="shared" si="77"/>
        <v>13.183450000000001</v>
      </c>
      <c r="H1088" s="4">
        <f t="shared" si="77"/>
        <v>14.097916666666668</v>
      </c>
      <c r="I1088" s="8">
        <f t="shared" si="77"/>
        <v>13.064649999999999</v>
      </c>
      <c r="J1088" s="4">
        <f t="shared" si="77"/>
        <v>12.954291666666665</v>
      </c>
      <c r="K1088" s="7"/>
      <c r="L1088" s="5">
        <f t="shared" ref="L1088:Q1088" si="78">SUM(L473:L484)</f>
        <v>355.53689999999995</v>
      </c>
      <c r="M1088" s="5">
        <f t="shared" si="78"/>
        <v>142.0401</v>
      </c>
      <c r="N1088" s="5">
        <f t="shared" si="78"/>
        <v>58.217499999999994</v>
      </c>
      <c r="O1088" s="5">
        <f t="shared" si="78"/>
        <v>4.4046000000000003</v>
      </c>
      <c r="P1088" s="5">
        <f t="shared" si="78"/>
        <v>14.707600000000001</v>
      </c>
      <c r="Q1088" s="5">
        <f t="shared" si="78"/>
        <v>234.04520000000002</v>
      </c>
      <c r="R1088" s="5"/>
      <c r="S1088" s="6"/>
    </row>
    <row r="1089" spans="1:19" ht="15" customHeight="1">
      <c r="A1089" s="3">
        <f t="shared" si="46"/>
        <v>2054</v>
      </c>
      <c r="B1089" s="8">
        <f t="shared" ref="B1089:J1089" si="79">AVERAGE(B485:B496)</f>
        <v>13.869883333333334</v>
      </c>
      <c r="C1089" s="8">
        <f t="shared" si="79"/>
        <v>13.876191666666665</v>
      </c>
      <c r="D1089" s="8">
        <f t="shared" si="79"/>
        <v>13.872524999999998</v>
      </c>
      <c r="E1089" s="8">
        <f t="shared" si="79"/>
        <v>13.873125000000002</v>
      </c>
      <c r="F1089" s="4">
        <f t="shared" si="79"/>
        <v>14.541175000000003</v>
      </c>
      <c r="G1089" s="8">
        <f t="shared" si="79"/>
        <v>13.614366666666664</v>
      </c>
      <c r="H1089" s="4">
        <f t="shared" si="79"/>
        <v>14.528833333333333</v>
      </c>
      <c r="I1089" s="8">
        <f t="shared" si="79"/>
        <v>13.488433333333333</v>
      </c>
      <c r="J1089" s="4">
        <f t="shared" si="79"/>
        <v>13.377891666666665</v>
      </c>
      <c r="K1089" s="7"/>
      <c r="L1089" s="5">
        <f t="shared" ref="L1089:Q1089" si="80">SUM(L485:L496)</f>
        <v>355.53689999999995</v>
      </c>
      <c r="M1089" s="5">
        <f t="shared" si="80"/>
        <v>142.0401</v>
      </c>
      <c r="N1089" s="5">
        <f t="shared" si="80"/>
        <v>58.217499999999994</v>
      </c>
      <c r="O1089" s="5">
        <f t="shared" si="80"/>
        <v>4.4046000000000003</v>
      </c>
      <c r="P1089" s="5">
        <f t="shared" si="80"/>
        <v>14.707600000000001</v>
      </c>
      <c r="Q1089" s="5">
        <f t="shared" si="80"/>
        <v>233.30079999999998</v>
      </c>
      <c r="R1089" s="5"/>
      <c r="S1089" s="6"/>
    </row>
    <row r="1090" spans="1:19" ht="15" customHeight="1">
      <c r="A1090" s="3">
        <f t="shared" si="46"/>
        <v>2055</v>
      </c>
      <c r="B1090" s="8">
        <f t="shared" ref="B1090:J1090" si="81">AVERAGE(B497:B508)</f>
        <v>14.322383333333335</v>
      </c>
      <c r="C1090" s="8">
        <f t="shared" si="81"/>
        <v>14.328675000000002</v>
      </c>
      <c r="D1090" s="8">
        <f t="shared" si="81"/>
        <v>14.325024999999998</v>
      </c>
      <c r="E1090" s="8">
        <f t="shared" si="81"/>
        <v>14.325625</v>
      </c>
      <c r="F1090" s="4">
        <f t="shared" si="81"/>
        <v>14.993708333333331</v>
      </c>
      <c r="G1090" s="8">
        <f t="shared" si="81"/>
        <v>14.059366666666667</v>
      </c>
      <c r="H1090" s="4">
        <f t="shared" si="81"/>
        <v>14.97384166666667</v>
      </c>
      <c r="I1090" s="8">
        <f t="shared" si="81"/>
        <v>13.926108333333334</v>
      </c>
      <c r="J1090" s="4">
        <f t="shared" si="81"/>
        <v>13.815325</v>
      </c>
      <c r="K1090" s="7"/>
      <c r="L1090" s="5">
        <f t="shared" ref="L1090:Q1090" si="82">SUM(L497:L508)</f>
        <v>355.53689999999995</v>
      </c>
      <c r="M1090" s="5">
        <f t="shared" si="82"/>
        <v>142.0401</v>
      </c>
      <c r="N1090" s="5">
        <f t="shared" si="82"/>
        <v>58.217499999999994</v>
      </c>
      <c r="O1090" s="5">
        <f t="shared" si="82"/>
        <v>4.4046000000000003</v>
      </c>
      <c r="P1090" s="5">
        <f t="shared" si="82"/>
        <v>14.707600000000001</v>
      </c>
      <c r="Q1090" s="5">
        <f t="shared" si="82"/>
        <v>232.55579999999998</v>
      </c>
      <c r="R1090" s="5"/>
      <c r="S1090" s="6"/>
    </row>
    <row r="1091" spans="1:19" ht="15" customHeight="1">
      <c r="A1091" s="3">
        <f t="shared" si="46"/>
        <v>2056</v>
      </c>
      <c r="B1091" s="8">
        <f t="shared" ref="B1091:J1091" si="83">AVERAGE(B509:B520)</f>
        <v>14.789700000000003</v>
      </c>
      <c r="C1091" s="8">
        <f t="shared" si="83"/>
        <v>14.796008333333333</v>
      </c>
      <c r="D1091" s="8">
        <f t="shared" si="83"/>
        <v>14.792341666666665</v>
      </c>
      <c r="E1091" s="8">
        <f t="shared" si="83"/>
        <v>14.792933333333332</v>
      </c>
      <c r="F1091" s="4">
        <f t="shared" si="83"/>
        <v>15.461008333333337</v>
      </c>
      <c r="G1091" s="8">
        <f t="shared" si="83"/>
        <v>14.518916666666668</v>
      </c>
      <c r="H1091" s="4">
        <f t="shared" si="83"/>
        <v>15.433408333333334</v>
      </c>
      <c r="I1091" s="8">
        <f t="shared" si="83"/>
        <v>14.378083333333334</v>
      </c>
      <c r="J1091" s="4">
        <f t="shared" si="83"/>
        <v>14.267075</v>
      </c>
      <c r="K1091" s="7"/>
      <c r="L1091" s="5">
        <f t="shared" ref="L1091:Q1091" si="84">SUM(L509:L520)</f>
        <v>356.48229999999995</v>
      </c>
      <c r="M1091" s="5">
        <f t="shared" si="84"/>
        <v>142.42920000000001</v>
      </c>
      <c r="N1091" s="5">
        <f t="shared" si="84"/>
        <v>58.377000000000002</v>
      </c>
      <c r="O1091" s="5">
        <f t="shared" si="84"/>
        <v>4.4165999999999999</v>
      </c>
      <c r="P1091" s="5">
        <f t="shared" si="84"/>
        <v>14.7493</v>
      </c>
      <c r="Q1091" s="5">
        <f t="shared" si="84"/>
        <v>232.44659999999996</v>
      </c>
      <c r="R1091" s="5"/>
      <c r="S1091" s="6"/>
    </row>
    <row r="1092" spans="1:19" ht="15" customHeight="1">
      <c r="A1092" s="3">
        <f t="shared" si="46"/>
        <v>2057</v>
      </c>
      <c r="B1092" s="8">
        <f t="shared" ref="B1092:J1092" si="85">AVERAGE(B521:B532)</f>
        <v>15.272283333333334</v>
      </c>
      <c r="C1092" s="8">
        <f t="shared" si="85"/>
        <v>15.278599999999999</v>
      </c>
      <c r="D1092" s="8">
        <f t="shared" si="85"/>
        <v>15.274925000000001</v>
      </c>
      <c r="E1092" s="8">
        <f t="shared" si="85"/>
        <v>15.275533333333334</v>
      </c>
      <c r="F1092" s="4">
        <f t="shared" si="85"/>
        <v>15.943591666666665</v>
      </c>
      <c r="G1092" s="8">
        <f t="shared" si="85"/>
        <v>14.993508333333333</v>
      </c>
      <c r="H1092" s="4">
        <f t="shared" si="85"/>
        <v>15.907991666666666</v>
      </c>
      <c r="I1092" s="8">
        <f t="shared" si="85"/>
        <v>14.844833333333334</v>
      </c>
      <c r="J1092" s="4">
        <f t="shared" si="85"/>
        <v>14.733591666666667</v>
      </c>
      <c r="K1092" s="7"/>
      <c r="L1092" s="5">
        <f t="shared" ref="L1092:Q1092" si="86">SUM(L521:L532)</f>
        <v>355.53689999999995</v>
      </c>
      <c r="M1092" s="5">
        <f t="shared" si="86"/>
        <v>142.0401</v>
      </c>
      <c r="N1092" s="5">
        <f t="shared" si="86"/>
        <v>58.217499999999994</v>
      </c>
      <c r="O1092" s="5">
        <f t="shared" si="86"/>
        <v>4.4046000000000003</v>
      </c>
      <c r="P1092" s="5">
        <f t="shared" si="86"/>
        <v>14.707600000000001</v>
      </c>
      <c r="Q1092" s="5">
        <f t="shared" si="86"/>
        <v>231.81149999999997</v>
      </c>
      <c r="R1092" s="5"/>
      <c r="S1092" s="6"/>
    </row>
    <row r="1093" spans="1:19" ht="15" customHeight="1">
      <c r="A1093" s="3">
        <f t="shared" si="46"/>
        <v>2058</v>
      </c>
      <c r="B1093" s="8">
        <f t="shared" ref="B1093:J1093" si="87">AVERAGE(B533:B544)</f>
        <v>15.770666666666665</v>
      </c>
      <c r="C1093" s="8">
        <f t="shared" si="87"/>
        <v>15.776975000000002</v>
      </c>
      <c r="D1093" s="8">
        <f t="shared" si="87"/>
        <v>15.773308333333334</v>
      </c>
      <c r="E1093" s="8">
        <f t="shared" si="87"/>
        <v>15.773916666666667</v>
      </c>
      <c r="F1093" s="4">
        <f t="shared" si="87"/>
        <v>16.441983333333333</v>
      </c>
      <c r="G1093" s="8">
        <f t="shared" si="87"/>
        <v>15.48363333333333</v>
      </c>
      <c r="H1093" s="4">
        <f t="shared" si="87"/>
        <v>16.398099999999999</v>
      </c>
      <c r="I1093" s="8">
        <f t="shared" si="87"/>
        <v>15.326858333333334</v>
      </c>
      <c r="J1093" s="4">
        <f t="shared" si="87"/>
        <v>15.215383333333333</v>
      </c>
      <c r="K1093" s="7"/>
      <c r="L1093" s="5">
        <f t="shared" ref="L1093:Q1093" si="88">SUM(L533:L544)</f>
        <v>355.53689999999995</v>
      </c>
      <c r="M1093" s="5">
        <f t="shared" si="88"/>
        <v>142.0401</v>
      </c>
      <c r="N1093" s="5">
        <f t="shared" si="88"/>
        <v>58.217499999999994</v>
      </c>
      <c r="O1093" s="5">
        <f t="shared" si="88"/>
        <v>4.4046000000000003</v>
      </c>
      <c r="P1093" s="5">
        <f t="shared" si="88"/>
        <v>14.707600000000001</v>
      </c>
      <c r="Q1093" s="5">
        <f t="shared" si="88"/>
        <v>231.81149999999997</v>
      </c>
      <c r="R1093" s="5"/>
      <c r="S1093" s="6"/>
    </row>
    <row r="1094" spans="1:19" ht="15" customHeight="1">
      <c r="A1094" s="3">
        <f t="shared" si="46"/>
        <v>2059</v>
      </c>
      <c r="B1094" s="8">
        <f t="shared" ref="B1094:J1094" si="89">AVERAGE(B545:B556)</f>
        <v>16.285341666666667</v>
      </c>
      <c r="C1094" s="8">
        <f t="shared" si="89"/>
        <v>16.291633333333333</v>
      </c>
      <c r="D1094" s="8">
        <f t="shared" si="89"/>
        <v>16.28799166666667</v>
      </c>
      <c r="E1094" s="8">
        <f t="shared" si="89"/>
        <v>16.288583333333332</v>
      </c>
      <c r="F1094" s="4">
        <f t="shared" si="89"/>
        <v>16.956658333333333</v>
      </c>
      <c r="G1094" s="8">
        <f t="shared" si="89"/>
        <v>15.989766666666668</v>
      </c>
      <c r="H1094" s="4">
        <f t="shared" si="89"/>
        <v>16.904241666666667</v>
      </c>
      <c r="I1094" s="8">
        <f t="shared" si="89"/>
        <v>15.824624999999999</v>
      </c>
      <c r="J1094" s="4">
        <f t="shared" si="89"/>
        <v>15.712916666666665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6"/>
        <v>2060</v>
      </c>
      <c r="B1095" s="8">
        <f t="shared" ref="B1095:J1095" si="90">AVERAGE(B557:B568)</f>
        <v>16.816849999999999</v>
      </c>
      <c r="C1095" s="8">
        <f t="shared" si="90"/>
        <v>16.823141666666668</v>
      </c>
      <c r="D1095" s="8">
        <f t="shared" si="90"/>
        <v>16.819474999999997</v>
      </c>
      <c r="E1095" s="8">
        <f t="shared" si="90"/>
        <v>16.820074999999999</v>
      </c>
      <c r="F1095" s="4">
        <f t="shared" si="90"/>
        <v>17.488141666666667</v>
      </c>
      <c r="G1095" s="8">
        <f t="shared" si="90"/>
        <v>16.512466666666668</v>
      </c>
      <c r="H1095" s="4">
        <f t="shared" si="90"/>
        <v>17.426933333333334</v>
      </c>
      <c r="I1095" s="8">
        <f t="shared" si="90"/>
        <v>16.338683333333332</v>
      </c>
      <c r="J1095" s="4">
        <f t="shared" si="90"/>
        <v>16.226708333333331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6"/>
        <v>2061</v>
      </c>
      <c r="B1096" s="8">
        <f t="shared" ref="B1096:J1096" si="91">AVERAGE(B569:B580)</f>
        <v>17.365741666666665</v>
      </c>
      <c r="C1096" s="8">
        <f t="shared" si="91"/>
        <v>17.372024999999997</v>
      </c>
      <c r="D1096" s="8">
        <f t="shared" si="91"/>
        <v>17.368375</v>
      </c>
      <c r="E1096" s="8">
        <f t="shared" si="91"/>
        <v>17.368966666666669</v>
      </c>
      <c r="F1096" s="4">
        <f t="shared" si="91"/>
        <v>18.037058333333331</v>
      </c>
      <c r="G1096" s="8">
        <f t="shared" si="91"/>
        <v>17.052233333333334</v>
      </c>
      <c r="H1096" s="4">
        <f t="shared" si="91"/>
        <v>17.966733333333337</v>
      </c>
      <c r="I1096" s="8">
        <f t="shared" si="91"/>
        <v>16.869566666666667</v>
      </c>
      <c r="J1096" s="4">
        <f t="shared" si="91"/>
        <v>16.757333333333335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6"/>
        <v>2062</v>
      </c>
      <c r="B1097" s="4">
        <f t="shared" ref="B1097:J1106" ca="1" si="92">AVERAGE(OFFSET(B$581,($A1097-$A$1097)*12,0,12,1))</f>
        <v>17.932575</v>
      </c>
      <c r="C1097" s="4">
        <f t="shared" ca="1" si="92"/>
        <v>17.938883333333333</v>
      </c>
      <c r="D1097" s="4">
        <f t="shared" ca="1" si="92"/>
        <v>17.935199999999998</v>
      </c>
      <c r="E1097" s="4">
        <f t="shared" ca="1" si="92"/>
        <v>17.93580833333333</v>
      </c>
      <c r="F1097" s="4">
        <f t="shared" ca="1" si="92"/>
        <v>18.603891666666666</v>
      </c>
      <c r="G1097" s="4">
        <f t="shared" ca="1" si="92"/>
        <v>17.609691666666667</v>
      </c>
      <c r="H1097" s="4">
        <f t="shared" ca="1" si="92"/>
        <v>18.524166666666666</v>
      </c>
      <c r="I1097" s="4">
        <f t="shared" ca="1" si="92"/>
        <v>17.417816666666667</v>
      </c>
      <c r="J1097" s="4">
        <f t="shared" ca="1" si="92"/>
        <v>17.305274999999998</v>
      </c>
      <c r="K1097" s="4"/>
      <c r="L1097" s="5">
        <f t="shared" ref="L1097:Q1106" ca="1" si="93">SUM(OFFSET(L$581,($A1097-$A$1097)*12,0,12,1))</f>
        <v>355.53689999999995</v>
      </c>
      <c r="M1097" s="5">
        <f t="shared" ca="1" si="93"/>
        <v>142.0401</v>
      </c>
      <c r="N1097" s="5">
        <f t="shared" ca="1" si="93"/>
        <v>58.217499999999994</v>
      </c>
      <c r="O1097" s="5">
        <f t="shared" ca="1" si="93"/>
        <v>4.4046000000000003</v>
      </c>
      <c r="P1097" s="5">
        <f t="shared" ca="1" si="93"/>
        <v>14.707600000000001</v>
      </c>
      <c r="Q1097" s="5">
        <f t="shared" ca="1" si="93"/>
        <v>231.81149999999997</v>
      </c>
      <c r="R1097" s="4"/>
      <c r="S1097" s="4"/>
    </row>
    <row r="1098" spans="1:19" ht="15" customHeight="1">
      <c r="A1098" s="3">
        <f t="shared" si="46"/>
        <v>2063</v>
      </c>
      <c r="B1098" s="4">
        <f t="shared" ca="1" si="92"/>
        <v>18.517950000000003</v>
      </c>
      <c r="C1098" s="4">
        <f t="shared" ca="1" si="92"/>
        <v>18.524241666666665</v>
      </c>
      <c r="D1098" s="4">
        <f t="shared" ca="1" si="92"/>
        <v>18.520583333333331</v>
      </c>
      <c r="E1098" s="4">
        <f t="shared" ca="1" si="92"/>
        <v>18.521183333333333</v>
      </c>
      <c r="F1098" s="4">
        <f t="shared" ca="1" si="92"/>
        <v>19.189258333333335</v>
      </c>
      <c r="G1098" s="4">
        <f t="shared" ca="1" si="92"/>
        <v>18.185358333333333</v>
      </c>
      <c r="H1098" s="4">
        <f t="shared" ca="1" si="92"/>
        <v>19.099833333333333</v>
      </c>
      <c r="I1098" s="4">
        <f t="shared" ca="1" si="92"/>
        <v>17.983975000000001</v>
      </c>
      <c r="J1098" s="4">
        <f t="shared" ca="1" si="92"/>
        <v>17.871175000000004</v>
      </c>
      <c r="K1098" s="4"/>
      <c r="L1098" s="5">
        <f t="shared" ca="1" si="93"/>
        <v>355.53689999999995</v>
      </c>
      <c r="M1098" s="5">
        <f t="shared" ca="1" si="93"/>
        <v>142.0401</v>
      </c>
      <c r="N1098" s="5">
        <f t="shared" ca="1" si="93"/>
        <v>58.217499999999994</v>
      </c>
      <c r="O1098" s="5">
        <f t="shared" ca="1" si="93"/>
        <v>4.4046000000000003</v>
      </c>
      <c r="P1098" s="5">
        <f t="shared" ca="1" si="93"/>
        <v>14.707600000000001</v>
      </c>
      <c r="Q1098" s="5">
        <f t="shared" ca="1" si="93"/>
        <v>231.81149999999997</v>
      </c>
      <c r="R1098" s="4"/>
      <c r="S1098" s="4"/>
    </row>
    <row r="1099" spans="1:19" ht="15" customHeight="1">
      <c r="A1099" s="3">
        <f t="shared" si="46"/>
        <v>2064</v>
      </c>
      <c r="B1099" s="4">
        <f t="shared" ca="1" si="92"/>
        <v>19.122458333333331</v>
      </c>
      <c r="C1099" s="4">
        <f t="shared" ca="1" si="92"/>
        <v>19.128766666666664</v>
      </c>
      <c r="D1099" s="4">
        <f t="shared" ca="1" si="92"/>
        <v>19.125108333333337</v>
      </c>
      <c r="E1099" s="4">
        <f t="shared" ca="1" si="92"/>
        <v>19.125708333333328</v>
      </c>
      <c r="F1099" s="4">
        <f t="shared" ca="1" si="92"/>
        <v>19.793783333333334</v>
      </c>
      <c r="G1099" s="4">
        <f t="shared" ca="1" si="92"/>
        <v>18.779858333333333</v>
      </c>
      <c r="H1099" s="4">
        <f t="shared" ca="1" si="92"/>
        <v>19.694325000000003</v>
      </c>
      <c r="I1099" s="4">
        <f t="shared" ca="1" si="92"/>
        <v>18.568658333333332</v>
      </c>
      <c r="J1099" s="4">
        <f t="shared" ca="1" si="92"/>
        <v>18.45556666666667</v>
      </c>
      <c r="K1099" s="4"/>
      <c r="L1099" s="5">
        <f t="shared" ca="1" si="93"/>
        <v>356.48229999999995</v>
      </c>
      <c r="M1099" s="5">
        <f t="shared" ca="1" si="93"/>
        <v>142.42920000000001</v>
      </c>
      <c r="N1099" s="5">
        <f t="shared" ca="1" si="93"/>
        <v>58.377000000000002</v>
      </c>
      <c r="O1099" s="5">
        <f t="shared" ca="1" si="93"/>
        <v>4.4165999999999999</v>
      </c>
      <c r="P1099" s="5">
        <f t="shared" ca="1" si="93"/>
        <v>14.7493</v>
      </c>
      <c r="Q1099" s="5">
        <f t="shared" ca="1" si="93"/>
        <v>232.44659999999996</v>
      </c>
      <c r="R1099" s="4"/>
      <c r="S1099" s="4"/>
    </row>
    <row r="1100" spans="1:19" ht="15" customHeight="1">
      <c r="A1100" s="3">
        <f t="shared" si="46"/>
        <v>2065</v>
      </c>
      <c r="B1100" s="4">
        <f t="shared" ca="1" si="92"/>
        <v>19.746758333333332</v>
      </c>
      <c r="C1100" s="4">
        <f t="shared" ca="1" si="92"/>
        <v>19.753058333333332</v>
      </c>
      <c r="D1100" s="4">
        <f t="shared" ca="1" si="92"/>
        <v>19.749408333333335</v>
      </c>
      <c r="E1100" s="4">
        <f t="shared" ca="1" si="92"/>
        <v>19.750016666666667</v>
      </c>
      <c r="F1100" s="4">
        <f t="shared" ca="1" si="92"/>
        <v>20.418058333333335</v>
      </c>
      <c r="G1100" s="4">
        <f t="shared" ca="1" si="92"/>
        <v>19.393775000000002</v>
      </c>
      <c r="H1100" s="4">
        <f t="shared" ca="1" si="92"/>
        <v>20.308258333333335</v>
      </c>
      <c r="I1100" s="4">
        <f t="shared" ca="1" si="92"/>
        <v>19.172450000000001</v>
      </c>
      <c r="J1100" s="4">
        <f t="shared" ca="1" si="92"/>
        <v>19.059050000000003</v>
      </c>
      <c r="K1100" s="4"/>
      <c r="L1100" s="5">
        <f t="shared" ca="1" si="93"/>
        <v>355.53689999999995</v>
      </c>
      <c r="M1100" s="5">
        <f t="shared" ca="1" si="93"/>
        <v>142.0401</v>
      </c>
      <c r="N1100" s="5">
        <f t="shared" ca="1" si="93"/>
        <v>58.217499999999994</v>
      </c>
      <c r="O1100" s="5">
        <f t="shared" ca="1" si="93"/>
        <v>4.4046000000000003</v>
      </c>
      <c r="P1100" s="5">
        <f t="shared" ca="1" si="93"/>
        <v>14.707600000000001</v>
      </c>
      <c r="Q1100" s="5">
        <f t="shared" ca="1" si="93"/>
        <v>231.81149999999997</v>
      </c>
      <c r="R1100" s="4"/>
      <c r="S1100" s="4"/>
    </row>
    <row r="1101" spans="1:19" ht="15" customHeight="1">
      <c r="A1101" s="3">
        <f t="shared" si="46"/>
        <v>2066</v>
      </c>
      <c r="B1101" s="4">
        <f t="shared" ca="1" si="92"/>
        <v>20.391466666666663</v>
      </c>
      <c r="C1101" s="4">
        <f t="shared" ca="1" si="92"/>
        <v>20.397758333333339</v>
      </c>
      <c r="D1101" s="4">
        <f t="shared" ca="1" si="92"/>
        <v>20.394108333333332</v>
      </c>
      <c r="E1101" s="4">
        <f t="shared" ca="1" si="92"/>
        <v>20.394708333333334</v>
      </c>
      <c r="F1101" s="4">
        <f t="shared" ca="1" si="92"/>
        <v>21.062774999999998</v>
      </c>
      <c r="G1101" s="4">
        <f t="shared" ca="1" si="92"/>
        <v>20.027791666666662</v>
      </c>
      <c r="H1101" s="4">
        <f t="shared" ca="1" si="92"/>
        <v>20.942291666666669</v>
      </c>
      <c r="I1101" s="4">
        <f t="shared" ca="1" si="92"/>
        <v>19.796000000000003</v>
      </c>
      <c r="J1101" s="4">
        <f t="shared" ca="1" si="92"/>
        <v>19.682291666666664</v>
      </c>
      <c r="K1101" s="4"/>
      <c r="L1101" s="5">
        <f t="shared" ca="1" si="93"/>
        <v>355.53689999999995</v>
      </c>
      <c r="M1101" s="5">
        <f t="shared" ca="1" si="93"/>
        <v>142.0401</v>
      </c>
      <c r="N1101" s="5">
        <f t="shared" ca="1" si="93"/>
        <v>58.217499999999994</v>
      </c>
      <c r="O1101" s="5">
        <f t="shared" ca="1" si="93"/>
        <v>4.4046000000000003</v>
      </c>
      <c r="P1101" s="5">
        <f t="shared" ca="1" si="93"/>
        <v>14.707600000000001</v>
      </c>
      <c r="Q1101" s="5">
        <f t="shared" ca="1" si="93"/>
        <v>231.81149999999997</v>
      </c>
      <c r="R1101" s="4"/>
      <c r="S1101" s="4"/>
    </row>
    <row r="1102" spans="1:19" ht="15" customHeight="1">
      <c r="A1102" s="3">
        <f t="shared" si="46"/>
        <v>2067</v>
      </c>
      <c r="B1102" s="4">
        <f t="shared" ca="1" si="92"/>
        <v>21.057258333333333</v>
      </c>
      <c r="C1102" s="4">
        <f t="shared" ca="1" si="92"/>
        <v>21.063550000000003</v>
      </c>
      <c r="D1102" s="4">
        <f t="shared" ca="1" si="92"/>
        <v>21.059891666666669</v>
      </c>
      <c r="E1102" s="4">
        <f t="shared" ca="1" si="92"/>
        <v>21.060491666666667</v>
      </c>
      <c r="F1102" s="4">
        <f t="shared" ca="1" si="92"/>
        <v>21.728574999999996</v>
      </c>
      <c r="G1102" s="4">
        <f t="shared" ca="1" si="92"/>
        <v>20.682550000000003</v>
      </c>
      <c r="H1102" s="4">
        <f t="shared" ca="1" si="92"/>
        <v>21.597041666666669</v>
      </c>
      <c r="I1102" s="4">
        <f t="shared" ca="1" si="92"/>
        <v>20.43994166666667</v>
      </c>
      <c r="J1102" s="4">
        <f t="shared" ca="1" si="92"/>
        <v>20.325925000000002</v>
      </c>
      <c r="K1102" s="4"/>
      <c r="L1102" s="5">
        <f t="shared" ca="1" si="93"/>
        <v>355.53689999999995</v>
      </c>
      <c r="M1102" s="5">
        <f t="shared" ca="1" si="93"/>
        <v>142.0401</v>
      </c>
      <c r="N1102" s="5">
        <f t="shared" ca="1" si="93"/>
        <v>58.217499999999994</v>
      </c>
      <c r="O1102" s="5">
        <f t="shared" ca="1" si="93"/>
        <v>4.4046000000000003</v>
      </c>
      <c r="P1102" s="5">
        <f t="shared" ca="1" si="93"/>
        <v>14.707600000000001</v>
      </c>
      <c r="Q1102" s="5">
        <f t="shared" ca="1" si="93"/>
        <v>231.81149999999997</v>
      </c>
      <c r="R1102" s="4"/>
      <c r="S1102" s="4"/>
    </row>
    <row r="1103" spans="1:19" ht="15" customHeight="1">
      <c r="A1103" s="3">
        <f t="shared" si="46"/>
        <v>2068</v>
      </c>
      <c r="B1103" s="4">
        <f t="shared" ca="1" si="92"/>
        <v>21.744816666666665</v>
      </c>
      <c r="C1103" s="4">
        <f t="shared" ca="1" si="92"/>
        <v>21.751124999999998</v>
      </c>
      <c r="D1103" s="4">
        <f t="shared" ca="1" si="92"/>
        <v>21.747474999999998</v>
      </c>
      <c r="E1103" s="4">
        <f t="shared" ca="1" si="92"/>
        <v>21.748066666666663</v>
      </c>
      <c r="F1103" s="4">
        <f t="shared" ca="1" si="92"/>
        <v>22.416133333333335</v>
      </c>
      <c r="G1103" s="4">
        <f t="shared" ca="1" si="92"/>
        <v>21.358716666666666</v>
      </c>
      <c r="H1103" s="4">
        <f t="shared" ca="1" si="92"/>
        <v>22.273191666666666</v>
      </c>
      <c r="I1103" s="4">
        <f t="shared" ca="1" si="92"/>
        <v>21.104958333333336</v>
      </c>
      <c r="J1103" s="4">
        <f t="shared" ca="1" si="92"/>
        <v>20.990575</v>
      </c>
      <c r="K1103" s="4"/>
      <c r="L1103" s="5">
        <f t="shared" ca="1" si="93"/>
        <v>356.48229999999995</v>
      </c>
      <c r="M1103" s="5">
        <f t="shared" ca="1" si="93"/>
        <v>142.42920000000001</v>
      </c>
      <c r="N1103" s="5">
        <f t="shared" ca="1" si="93"/>
        <v>58.377000000000002</v>
      </c>
      <c r="O1103" s="5">
        <f t="shared" ca="1" si="93"/>
        <v>4.4165999999999999</v>
      </c>
      <c r="P1103" s="5">
        <f t="shared" ca="1" si="93"/>
        <v>14.7493</v>
      </c>
      <c r="Q1103" s="5">
        <f t="shared" ca="1" si="93"/>
        <v>232.44659999999996</v>
      </c>
      <c r="R1103" s="4"/>
      <c r="S1103" s="4"/>
    </row>
    <row r="1104" spans="1:19" ht="15" customHeight="1">
      <c r="A1104" s="3">
        <f t="shared" si="46"/>
        <v>2069</v>
      </c>
      <c r="B1104" s="4">
        <f t="shared" ca="1" si="92"/>
        <v>22.454866666666664</v>
      </c>
      <c r="C1104" s="4">
        <f t="shared" ca="1" si="92"/>
        <v>22.461158333333334</v>
      </c>
      <c r="D1104" s="4">
        <f t="shared" ca="1" si="92"/>
        <v>22.457508333333337</v>
      </c>
      <c r="E1104" s="4">
        <f t="shared" ca="1" si="92"/>
        <v>22.458108333333332</v>
      </c>
      <c r="F1104" s="4">
        <f t="shared" ca="1" si="92"/>
        <v>23.126175</v>
      </c>
      <c r="G1104" s="4">
        <f t="shared" ca="1" si="92"/>
        <v>22.056983333333335</v>
      </c>
      <c r="H1104" s="4">
        <f t="shared" ca="1" si="92"/>
        <v>22.971475000000002</v>
      </c>
      <c r="I1104" s="4">
        <f t="shared" ca="1" si="92"/>
        <v>21.791691666666665</v>
      </c>
      <c r="J1104" s="4">
        <f t="shared" ca="1" si="92"/>
        <v>21.67699166666667</v>
      </c>
      <c r="K1104" s="4"/>
      <c r="L1104" s="5">
        <f t="shared" ca="1" si="93"/>
        <v>355.53689999999995</v>
      </c>
      <c r="M1104" s="5">
        <f t="shared" ca="1" si="93"/>
        <v>142.0401</v>
      </c>
      <c r="N1104" s="5">
        <f t="shared" ca="1" si="93"/>
        <v>58.217499999999994</v>
      </c>
      <c r="O1104" s="5">
        <f t="shared" ca="1" si="93"/>
        <v>4.4046000000000003</v>
      </c>
      <c r="P1104" s="5">
        <f t="shared" ca="1" si="93"/>
        <v>14.707600000000001</v>
      </c>
      <c r="Q1104" s="5">
        <f t="shared" ca="1" si="93"/>
        <v>231.81149999999997</v>
      </c>
      <c r="R1104" s="4"/>
      <c r="S1104" s="4"/>
    </row>
    <row r="1105" spans="1:19" ht="15" customHeight="1">
      <c r="A1105" s="3">
        <f t="shared" ref="A1105:A1135" si="94">A1104+1</f>
        <v>2070</v>
      </c>
      <c r="B1105" s="4">
        <f t="shared" ca="1" si="92"/>
        <v>23.188141666666667</v>
      </c>
      <c r="C1105" s="4">
        <f t="shared" ca="1" si="92"/>
        <v>23.194433333333336</v>
      </c>
      <c r="D1105" s="4">
        <f t="shared" ca="1" si="92"/>
        <v>23.190783333333332</v>
      </c>
      <c r="E1105" s="4">
        <f t="shared" ca="1" si="92"/>
        <v>23.191383333333334</v>
      </c>
      <c r="F1105" s="4">
        <f t="shared" ca="1" si="92"/>
        <v>23.859458333333333</v>
      </c>
      <c r="G1105" s="4">
        <f t="shared" ca="1" si="92"/>
        <v>22.778099999999995</v>
      </c>
      <c r="H1105" s="4">
        <f t="shared" ca="1" si="92"/>
        <v>23.692574999999994</v>
      </c>
      <c r="I1105" s="4">
        <f t="shared" ca="1" si="92"/>
        <v>22.500908333333339</v>
      </c>
      <c r="J1105" s="4">
        <f t="shared" ca="1" si="92"/>
        <v>22.385850000000001</v>
      </c>
      <c r="K1105" s="4"/>
      <c r="L1105" s="5">
        <f t="shared" ca="1" si="93"/>
        <v>355.53689999999995</v>
      </c>
      <c r="M1105" s="5">
        <f t="shared" ca="1" si="93"/>
        <v>142.0401</v>
      </c>
      <c r="N1105" s="5">
        <f t="shared" ca="1" si="93"/>
        <v>58.217499999999994</v>
      </c>
      <c r="O1105" s="5">
        <f t="shared" ca="1" si="93"/>
        <v>4.4046000000000003</v>
      </c>
      <c r="P1105" s="5">
        <f t="shared" ca="1" si="93"/>
        <v>14.707600000000001</v>
      </c>
      <c r="Q1105" s="5">
        <f t="shared" ca="1" si="93"/>
        <v>231.81149999999997</v>
      </c>
      <c r="R1105" s="4"/>
      <c r="S1105" s="4"/>
    </row>
    <row r="1106" spans="1:19" ht="15" customHeight="1">
      <c r="A1106" s="3">
        <f t="shared" si="94"/>
        <v>2071</v>
      </c>
      <c r="B1106" s="4">
        <f t="shared" ca="1" si="92"/>
        <v>23.945399999999996</v>
      </c>
      <c r="C1106" s="4">
        <f t="shared" ca="1" si="92"/>
        <v>23.951691666666665</v>
      </c>
      <c r="D1106" s="4">
        <f t="shared" ca="1" si="92"/>
        <v>23.948041666666668</v>
      </c>
      <c r="E1106" s="4">
        <f t="shared" ca="1" si="92"/>
        <v>23.948633333333337</v>
      </c>
      <c r="F1106" s="4">
        <f t="shared" ca="1" si="92"/>
        <v>24.616691666666668</v>
      </c>
      <c r="G1106" s="4">
        <f t="shared" ca="1" si="92"/>
        <v>23.5228</v>
      </c>
      <c r="H1106" s="4">
        <f t="shared" ca="1" si="92"/>
        <v>24.437291666666667</v>
      </c>
      <c r="I1106" s="4">
        <f t="shared" ca="1" si="92"/>
        <v>23.233308333333337</v>
      </c>
      <c r="J1106" s="4">
        <f t="shared" ca="1" si="92"/>
        <v>23.117900000000002</v>
      </c>
      <c r="K1106" s="4"/>
      <c r="L1106" s="5">
        <f t="shared" ca="1" si="93"/>
        <v>355.53689999999995</v>
      </c>
      <c r="M1106" s="5">
        <f t="shared" ca="1" si="93"/>
        <v>142.0401</v>
      </c>
      <c r="N1106" s="5">
        <f t="shared" ca="1" si="93"/>
        <v>58.217499999999994</v>
      </c>
      <c r="O1106" s="5">
        <f t="shared" ca="1" si="93"/>
        <v>4.4046000000000003</v>
      </c>
      <c r="P1106" s="5">
        <f t="shared" ca="1" si="93"/>
        <v>14.707600000000001</v>
      </c>
      <c r="Q1106" s="5">
        <f t="shared" ca="1" si="93"/>
        <v>231.81149999999997</v>
      </c>
      <c r="R1106" s="4"/>
      <c r="S1106" s="4"/>
    </row>
    <row r="1107" spans="1:19" ht="15" customHeight="1">
      <c r="A1107" s="3">
        <f t="shared" si="94"/>
        <v>2072</v>
      </c>
      <c r="B1107" s="4">
        <f t="shared" ref="B1107:J1116" ca="1" si="95">AVERAGE(OFFSET(B$581,($A1107-$A$1097)*12,0,12,1))</f>
        <v>24.727425</v>
      </c>
      <c r="C1107" s="4">
        <f t="shared" ca="1" si="95"/>
        <v>24.733716666666666</v>
      </c>
      <c r="D1107" s="4">
        <f t="shared" ca="1" si="95"/>
        <v>24.730058333333336</v>
      </c>
      <c r="E1107" s="4">
        <f t="shared" ca="1" si="95"/>
        <v>24.730649999999997</v>
      </c>
      <c r="F1107" s="4">
        <f t="shared" ca="1" si="95"/>
        <v>25.398716666666672</v>
      </c>
      <c r="G1107" s="4">
        <f t="shared" ca="1" si="95"/>
        <v>24.291841666666667</v>
      </c>
      <c r="H1107" s="4">
        <f t="shared" ca="1" si="95"/>
        <v>25.20634166666667</v>
      </c>
      <c r="I1107" s="4">
        <f t="shared" ca="1" si="95"/>
        <v>23.989658333333335</v>
      </c>
      <c r="J1107" s="4">
        <f t="shared" ca="1" si="95"/>
        <v>23.873858333333335</v>
      </c>
      <c r="K1107" s="4"/>
      <c r="L1107" s="5">
        <f t="shared" ref="L1107:Q1116" ca="1" si="96">SUM(OFFSET(L$581,($A1107-$A$1097)*12,0,12,1))</f>
        <v>356.48229999999995</v>
      </c>
      <c r="M1107" s="5">
        <f t="shared" ca="1" si="96"/>
        <v>142.42920000000001</v>
      </c>
      <c r="N1107" s="5">
        <f t="shared" ca="1" si="96"/>
        <v>58.377000000000002</v>
      </c>
      <c r="O1107" s="5">
        <f t="shared" ca="1" si="96"/>
        <v>4.4165999999999999</v>
      </c>
      <c r="P1107" s="5">
        <f t="shared" ca="1" si="96"/>
        <v>14.7493</v>
      </c>
      <c r="Q1107" s="5">
        <f t="shared" ca="1" si="96"/>
        <v>232.44659999999996</v>
      </c>
      <c r="R1107" s="4"/>
      <c r="S1107" s="4"/>
    </row>
    <row r="1108" spans="1:19" ht="15" customHeight="1">
      <c r="A1108" s="3">
        <f t="shared" si="94"/>
        <v>2073</v>
      </c>
      <c r="B1108" s="4">
        <f t="shared" ca="1" si="95"/>
        <v>25.534983333333333</v>
      </c>
      <c r="C1108" s="4">
        <f t="shared" ca="1" si="95"/>
        <v>25.541308333333333</v>
      </c>
      <c r="D1108" s="4">
        <f t="shared" ca="1" si="95"/>
        <v>25.537658333333329</v>
      </c>
      <c r="E1108" s="4">
        <f t="shared" ca="1" si="95"/>
        <v>25.538258333333335</v>
      </c>
      <c r="F1108" s="4">
        <f t="shared" ca="1" si="95"/>
        <v>26.206308333333336</v>
      </c>
      <c r="G1108" s="4">
        <f t="shared" ca="1" si="95"/>
        <v>25.086041666666663</v>
      </c>
      <c r="H1108" s="4">
        <f t="shared" ca="1" si="95"/>
        <v>26.000524999999996</v>
      </c>
      <c r="I1108" s="4">
        <f t="shared" ca="1" si="95"/>
        <v>24.770741666666666</v>
      </c>
      <c r="J1108" s="4">
        <f t="shared" ca="1" si="95"/>
        <v>24.65455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4"/>
        <v>2074</v>
      </c>
      <c r="B1109" s="4">
        <f t="shared" ca="1" si="95"/>
        <v>26.368983333333333</v>
      </c>
      <c r="C1109" s="4">
        <f t="shared" ca="1" si="95"/>
        <v>26.375299999999996</v>
      </c>
      <c r="D1109" s="4">
        <f t="shared" ca="1" si="95"/>
        <v>26.371658333333329</v>
      </c>
      <c r="E1109" s="4">
        <f t="shared" ca="1" si="95"/>
        <v>26.372275000000002</v>
      </c>
      <c r="F1109" s="4">
        <f t="shared" ca="1" si="95"/>
        <v>27.040316666666669</v>
      </c>
      <c r="G1109" s="4">
        <f t="shared" ca="1" si="95"/>
        <v>25.906224999999996</v>
      </c>
      <c r="H1109" s="4">
        <f t="shared" ca="1" si="95"/>
        <v>26.820691666666672</v>
      </c>
      <c r="I1109" s="4">
        <f t="shared" ca="1" si="95"/>
        <v>25.577366666666666</v>
      </c>
      <c r="J1109" s="4">
        <f t="shared" ca="1" si="95"/>
        <v>25.460791666666669</v>
      </c>
      <c r="K1109" s="4"/>
      <c r="L1109" s="5">
        <f t="shared" ca="1" si="96"/>
        <v>355.53689999999995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4.4046000000000003</v>
      </c>
      <c r="P1109" s="5">
        <f t="shared" ca="1" si="96"/>
        <v>14.707600000000001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4"/>
        <v>2075</v>
      </c>
      <c r="B1110" s="4">
        <f t="shared" ca="1" si="95"/>
        <v>27.230275000000006</v>
      </c>
      <c r="C1110" s="4">
        <f t="shared" ca="1" si="95"/>
        <v>27.236574999999998</v>
      </c>
      <c r="D1110" s="4">
        <f t="shared" ca="1" si="95"/>
        <v>27.232916666666664</v>
      </c>
      <c r="E1110" s="4">
        <f t="shared" ca="1" si="95"/>
        <v>27.23351666666667</v>
      </c>
      <c r="F1110" s="4">
        <f t="shared" ca="1" si="95"/>
        <v>27.901608333333332</v>
      </c>
      <c r="G1110" s="4">
        <f t="shared" ca="1" si="95"/>
        <v>26.753225</v>
      </c>
      <c r="H1110" s="4">
        <f t="shared" ca="1" si="95"/>
        <v>27.6677</v>
      </c>
      <c r="I1110" s="4">
        <f t="shared" ca="1" si="95"/>
        <v>26.410408333333333</v>
      </c>
      <c r="J1110" s="4">
        <f t="shared" ca="1" si="95"/>
        <v>26.293383333333335</v>
      </c>
      <c r="K1110" s="4"/>
      <c r="L1110" s="5">
        <f t="shared" ca="1" si="96"/>
        <v>355.53689999999995</v>
      </c>
      <c r="M1110" s="5">
        <f t="shared" ca="1" si="96"/>
        <v>142.0401</v>
      </c>
      <c r="N1110" s="5">
        <f t="shared" ca="1" si="96"/>
        <v>58.217499999999994</v>
      </c>
      <c r="O1110" s="5">
        <f t="shared" ca="1" si="96"/>
        <v>4.4046000000000003</v>
      </c>
      <c r="P1110" s="5">
        <f t="shared" ca="1" si="96"/>
        <v>14.707600000000001</v>
      </c>
      <c r="Q1110" s="5">
        <f t="shared" ca="1" si="96"/>
        <v>231.81149999999997</v>
      </c>
      <c r="R1110" s="4"/>
      <c r="S1110" s="4"/>
    </row>
    <row r="1111" spans="1:19" ht="15" customHeight="1">
      <c r="A1111" s="3">
        <f t="shared" si="94"/>
        <v>2076</v>
      </c>
      <c r="B1111" s="4">
        <f t="shared" ca="1" si="95"/>
        <v>28.119716666666665</v>
      </c>
      <c r="C1111" s="4">
        <f t="shared" ca="1" si="95"/>
        <v>28.126008333333331</v>
      </c>
      <c r="D1111" s="4">
        <f t="shared" ca="1" si="95"/>
        <v>28.122366666666665</v>
      </c>
      <c r="E1111" s="4">
        <f t="shared" ca="1" si="95"/>
        <v>28.122966666666667</v>
      </c>
      <c r="F1111" s="4">
        <f t="shared" ca="1" si="95"/>
        <v>28.791041666666668</v>
      </c>
      <c r="G1111" s="4">
        <f t="shared" ca="1" si="95"/>
        <v>27.627916666666668</v>
      </c>
      <c r="H1111" s="4">
        <f t="shared" ca="1" si="95"/>
        <v>28.542400000000001</v>
      </c>
      <c r="I1111" s="4">
        <f t="shared" ca="1" si="95"/>
        <v>27.270650000000003</v>
      </c>
      <c r="J1111" s="4">
        <f t="shared" ca="1" si="95"/>
        <v>27.153224999999996</v>
      </c>
      <c r="K1111" s="4"/>
      <c r="L1111" s="5">
        <f t="shared" ca="1" si="96"/>
        <v>356.48229999999995</v>
      </c>
      <c r="M1111" s="5">
        <f t="shared" ca="1" si="96"/>
        <v>142.42920000000001</v>
      </c>
      <c r="N1111" s="5">
        <f t="shared" ca="1" si="96"/>
        <v>58.377000000000002</v>
      </c>
      <c r="O1111" s="5">
        <f t="shared" ca="1" si="96"/>
        <v>4.4165999999999999</v>
      </c>
      <c r="P1111" s="5">
        <f t="shared" ca="1" si="96"/>
        <v>14.7493</v>
      </c>
      <c r="Q1111" s="5">
        <f t="shared" ca="1" si="96"/>
        <v>232.44659999999996</v>
      </c>
      <c r="R1111" s="4"/>
      <c r="S1111" s="4"/>
    </row>
    <row r="1112" spans="1:19" ht="15" customHeight="1">
      <c r="A1112" s="3">
        <f t="shared" si="94"/>
        <v>2077</v>
      </c>
      <c r="B1112" s="4">
        <f t="shared" ca="1" si="95"/>
        <v>29.038258333333335</v>
      </c>
      <c r="C1112" s="4">
        <f t="shared" ca="1" si="95"/>
        <v>29.044566666666668</v>
      </c>
      <c r="D1112" s="4">
        <f t="shared" ca="1" si="95"/>
        <v>29.040916666666661</v>
      </c>
      <c r="E1112" s="4">
        <f t="shared" ca="1" si="95"/>
        <v>29.041508333333336</v>
      </c>
      <c r="F1112" s="4">
        <f t="shared" ca="1" si="95"/>
        <v>29.709575000000001</v>
      </c>
      <c r="G1112" s="4">
        <f t="shared" ca="1" si="95"/>
        <v>28.531233333333333</v>
      </c>
      <c r="H1112" s="4">
        <f t="shared" ca="1" si="95"/>
        <v>29.445699999999999</v>
      </c>
      <c r="I1112" s="4">
        <f t="shared" ca="1" si="95"/>
        <v>28.159058333333334</v>
      </c>
      <c r="J1112" s="4">
        <f t="shared" ca="1" si="95"/>
        <v>28.041158333333328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4"/>
        <v>2078</v>
      </c>
      <c r="B1113" s="4">
        <f t="shared" ca="1" si="95"/>
        <v>29.986841666666663</v>
      </c>
      <c r="C1113" s="4">
        <f t="shared" ca="1" si="95"/>
        <v>29.993133333333333</v>
      </c>
      <c r="D1113" s="4">
        <f t="shared" ca="1" si="95"/>
        <v>29.989483333333336</v>
      </c>
      <c r="E1113" s="4">
        <f t="shared" ca="1" si="95"/>
        <v>29.990083333333335</v>
      </c>
      <c r="F1113" s="4">
        <f t="shared" ca="1" si="95"/>
        <v>30.658149999999996</v>
      </c>
      <c r="G1113" s="4">
        <f t="shared" ca="1" si="95"/>
        <v>29.46405833333333</v>
      </c>
      <c r="H1113" s="4">
        <f t="shared" ca="1" si="95"/>
        <v>30.378550000000001</v>
      </c>
      <c r="I1113" s="4">
        <f t="shared" ca="1" si="95"/>
        <v>29.076499999999999</v>
      </c>
      <c r="J1113" s="4">
        <f t="shared" ca="1" si="95"/>
        <v>28.958150000000003</v>
      </c>
      <c r="K1113" s="4"/>
      <c r="L1113" s="5">
        <f t="shared" ca="1" si="96"/>
        <v>355.53689999999995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4.4046000000000003</v>
      </c>
      <c r="P1113" s="5">
        <f t="shared" ca="1" si="96"/>
        <v>14.707600000000001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4"/>
        <v>2079</v>
      </c>
      <c r="B1114" s="4">
        <f t="shared" ca="1" si="95"/>
        <v>30.966425000000001</v>
      </c>
      <c r="C1114" s="4">
        <f t="shared" ca="1" si="95"/>
        <v>30.972725000000008</v>
      </c>
      <c r="D1114" s="4">
        <f t="shared" ca="1" si="95"/>
        <v>30.96908333333333</v>
      </c>
      <c r="E1114" s="4">
        <f t="shared" ca="1" si="95"/>
        <v>30.969683333333332</v>
      </c>
      <c r="F1114" s="4">
        <f t="shared" ca="1" si="95"/>
        <v>31.637741666666667</v>
      </c>
      <c r="G1114" s="4">
        <f t="shared" ca="1" si="95"/>
        <v>30.427408333333332</v>
      </c>
      <c r="H1114" s="4">
        <f t="shared" ca="1" si="95"/>
        <v>31.341899999999995</v>
      </c>
      <c r="I1114" s="4">
        <f t="shared" ca="1" si="95"/>
        <v>30.023941666666662</v>
      </c>
      <c r="J1114" s="4">
        <f t="shared" ca="1" si="95"/>
        <v>29.905124999999998</v>
      </c>
      <c r="K1114" s="4"/>
      <c r="L1114" s="5">
        <f t="shared" ca="1" si="96"/>
        <v>355.53689999999995</v>
      </c>
      <c r="M1114" s="5">
        <f t="shared" ca="1" si="96"/>
        <v>142.0401</v>
      </c>
      <c r="N1114" s="5">
        <f t="shared" ca="1" si="96"/>
        <v>58.217499999999994</v>
      </c>
      <c r="O1114" s="5">
        <f t="shared" ca="1" si="96"/>
        <v>4.4046000000000003</v>
      </c>
      <c r="P1114" s="5">
        <f t="shared" ca="1" si="96"/>
        <v>14.707600000000001</v>
      </c>
      <c r="Q1114" s="5">
        <f t="shared" ca="1" si="96"/>
        <v>231.81149999999997</v>
      </c>
      <c r="R1114" s="4"/>
      <c r="S1114" s="4"/>
    </row>
    <row r="1115" spans="1:19" ht="15" customHeight="1">
      <c r="A1115" s="3">
        <f t="shared" si="94"/>
        <v>2080</v>
      </c>
      <c r="B1115" s="4">
        <f t="shared" ca="1" si="95"/>
        <v>31.978058333333333</v>
      </c>
      <c r="C1115" s="4">
        <f t="shared" ca="1" si="95"/>
        <v>31.984375000000004</v>
      </c>
      <c r="D1115" s="4">
        <f t="shared" ca="1" si="95"/>
        <v>31.980699999999999</v>
      </c>
      <c r="E1115" s="4">
        <f t="shared" ca="1" si="95"/>
        <v>31.981308333333335</v>
      </c>
      <c r="F1115" s="4">
        <f t="shared" ca="1" si="95"/>
        <v>32.649366666666673</v>
      </c>
      <c r="G1115" s="4">
        <f t="shared" ca="1" si="95"/>
        <v>31.42228333333334</v>
      </c>
      <c r="H1115" s="4">
        <f t="shared" ca="1" si="95"/>
        <v>32.336741666666668</v>
      </c>
      <c r="I1115" s="4">
        <f t="shared" ca="1" si="95"/>
        <v>31.002383333333338</v>
      </c>
      <c r="J1115" s="4">
        <f t="shared" ca="1" si="95"/>
        <v>30.883083333333332</v>
      </c>
      <c r="K1115" s="4"/>
      <c r="L1115" s="5">
        <f t="shared" ca="1" si="96"/>
        <v>356.48229999999995</v>
      </c>
      <c r="M1115" s="5">
        <f t="shared" ca="1" si="96"/>
        <v>142.42920000000001</v>
      </c>
      <c r="N1115" s="5">
        <f t="shared" ca="1" si="96"/>
        <v>58.377000000000002</v>
      </c>
      <c r="O1115" s="5">
        <f t="shared" ca="1" si="96"/>
        <v>4.4165999999999999</v>
      </c>
      <c r="P1115" s="5">
        <f t="shared" ca="1" si="96"/>
        <v>14.7493</v>
      </c>
      <c r="Q1115" s="5">
        <f t="shared" ca="1" si="96"/>
        <v>232.44659999999996</v>
      </c>
      <c r="R1115" s="4"/>
      <c r="S1115" s="4"/>
    </row>
    <row r="1116" spans="1:19" ht="15" customHeight="1">
      <c r="A1116" s="3">
        <f t="shared" si="94"/>
        <v>2081</v>
      </c>
      <c r="B1116" s="4">
        <f t="shared" ca="1" si="95"/>
        <v>33.022783333333336</v>
      </c>
      <c r="C1116" s="4">
        <f t="shared" ca="1" si="95"/>
        <v>33.029083333333332</v>
      </c>
      <c r="D1116" s="4">
        <f t="shared" ca="1" si="95"/>
        <v>33.025424999999998</v>
      </c>
      <c r="E1116" s="4">
        <f t="shared" ca="1" si="95"/>
        <v>33.026024999999997</v>
      </c>
      <c r="F1116" s="4">
        <f t="shared" ca="1" si="95"/>
        <v>33.694091666666665</v>
      </c>
      <c r="G1116" s="4">
        <f t="shared" ca="1" si="95"/>
        <v>32.449683333333333</v>
      </c>
      <c r="H1116" s="4">
        <f t="shared" ca="1" si="95"/>
        <v>33.364158333333329</v>
      </c>
      <c r="I1116" s="4">
        <f t="shared" ca="1" si="95"/>
        <v>32.012808333333339</v>
      </c>
      <c r="J1116" s="4">
        <f t="shared" ca="1" si="95"/>
        <v>31.892991666666671</v>
      </c>
      <c r="K1116" s="4"/>
      <c r="L1116" s="5">
        <f t="shared" ca="1" si="96"/>
        <v>355.53689999999995</v>
      </c>
      <c r="M1116" s="5">
        <f t="shared" ca="1" si="96"/>
        <v>142.0401</v>
      </c>
      <c r="N1116" s="5">
        <f t="shared" ca="1" si="96"/>
        <v>58.217499999999994</v>
      </c>
      <c r="O1116" s="5">
        <f t="shared" ca="1" si="96"/>
        <v>4.4046000000000003</v>
      </c>
      <c r="P1116" s="5">
        <f t="shared" ca="1" si="96"/>
        <v>14.707600000000001</v>
      </c>
      <c r="Q1116" s="5">
        <f t="shared" ca="1" si="96"/>
        <v>231.81149999999997</v>
      </c>
      <c r="R1116" s="4"/>
      <c r="S1116" s="4"/>
    </row>
    <row r="1117" spans="1:19" ht="15" customHeight="1">
      <c r="A1117" s="3">
        <f t="shared" si="94"/>
        <v>2082</v>
      </c>
      <c r="B1117" s="4">
        <f t="shared" ref="B1117:J1126" ca="1" si="97">AVERAGE(OFFSET(B$581,($A1117-$A$1097)*12,0,12,1))</f>
        <v>34.10165833333334</v>
      </c>
      <c r="C1117" s="4">
        <f t="shared" ca="1" si="97"/>
        <v>34.107949999999995</v>
      </c>
      <c r="D1117" s="4">
        <f t="shared" ca="1" si="97"/>
        <v>34.104308333333329</v>
      </c>
      <c r="E1117" s="4">
        <f t="shared" ca="1" si="97"/>
        <v>34.104899999999994</v>
      </c>
      <c r="F1117" s="4">
        <f t="shared" ca="1" si="97"/>
        <v>34.772974999999995</v>
      </c>
      <c r="G1117" s="4">
        <f t="shared" ca="1" si="97"/>
        <v>33.510666666666673</v>
      </c>
      <c r="H1117" s="4">
        <f t="shared" ca="1" si="97"/>
        <v>34.425133333333335</v>
      </c>
      <c r="I1117" s="4">
        <f t="shared" ca="1" si="97"/>
        <v>33.056283333333333</v>
      </c>
      <c r="J1117" s="4">
        <f t="shared" ca="1" si="97"/>
        <v>32.935958333333325</v>
      </c>
      <c r="K1117" s="4"/>
      <c r="L1117" s="5">
        <f t="shared" ref="L1117:Q1126" ca="1" si="98">SUM(OFFSET(L$581,($A1117-$A$1097)*12,0,12,1))</f>
        <v>355.53689999999995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4.4046000000000003</v>
      </c>
      <c r="P1117" s="5">
        <f t="shared" ca="1" si="98"/>
        <v>14.707600000000001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4"/>
        <v>2083</v>
      </c>
      <c r="B1118" s="4">
        <f t="shared" ca="1" si="97"/>
        <v>35.215825000000002</v>
      </c>
      <c r="C1118" s="4">
        <f t="shared" ca="1" si="97"/>
        <v>35.222108333333331</v>
      </c>
      <c r="D1118" s="4">
        <f t="shared" ca="1" si="97"/>
        <v>35.218458333333338</v>
      </c>
      <c r="E1118" s="4">
        <f t="shared" ca="1" si="97"/>
        <v>35.219049999999996</v>
      </c>
      <c r="F1118" s="4">
        <f t="shared" ca="1" si="97"/>
        <v>35.887141666666665</v>
      </c>
      <c r="G1118" s="4">
        <f t="shared" ca="1" si="97"/>
        <v>34.606341666666658</v>
      </c>
      <c r="H1118" s="4">
        <f t="shared" ca="1" si="97"/>
        <v>35.520833333333336</v>
      </c>
      <c r="I1118" s="4">
        <f t="shared" ca="1" si="97"/>
        <v>34.13386666666667</v>
      </c>
      <c r="J1118" s="4">
        <f t="shared" ca="1" si="97"/>
        <v>34.013008333333339</v>
      </c>
      <c r="K1118" s="4"/>
      <c r="L1118" s="5">
        <f t="shared" ca="1" si="98"/>
        <v>355.53689999999995</v>
      </c>
      <c r="M1118" s="5">
        <f t="shared" ca="1" si="98"/>
        <v>142.0401</v>
      </c>
      <c r="N1118" s="5">
        <f t="shared" ca="1" si="98"/>
        <v>58.217499999999994</v>
      </c>
      <c r="O1118" s="5">
        <f t="shared" ca="1" si="98"/>
        <v>4.4046000000000003</v>
      </c>
      <c r="P1118" s="5">
        <f t="shared" ca="1" si="98"/>
        <v>14.707600000000001</v>
      </c>
      <c r="Q1118" s="5">
        <f t="shared" ca="1" si="98"/>
        <v>231.81149999999997</v>
      </c>
      <c r="R1118" s="4"/>
      <c r="S1118" s="4"/>
    </row>
    <row r="1119" spans="1:19" ht="15" customHeight="1">
      <c r="A1119" s="3">
        <f t="shared" si="94"/>
        <v>2084</v>
      </c>
      <c r="B1119" s="4">
        <f t="shared" ca="1" si="97"/>
        <v>36.366441666666667</v>
      </c>
      <c r="C1119" s="4">
        <f t="shared" ca="1" si="97"/>
        <v>36.372716666666669</v>
      </c>
      <c r="D1119" s="4">
        <f t="shared" ca="1" si="97"/>
        <v>36.369074999999995</v>
      </c>
      <c r="E1119" s="4">
        <f t="shared" ca="1" si="97"/>
        <v>36.369675000000001</v>
      </c>
      <c r="F1119" s="4">
        <f t="shared" ca="1" si="97"/>
        <v>37.037733333333328</v>
      </c>
      <c r="G1119" s="4">
        <f t="shared" ca="1" si="97"/>
        <v>35.737874999999995</v>
      </c>
      <c r="H1119" s="4">
        <f t="shared" ca="1" si="97"/>
        <v>36.652341666666665</v>
      </c>
      <c r="I1119" s="4">
        <f t="shared" ca="1" si="97"/>
        <v>35.246725000000005</v>
      </c>
      <c r="J1119" s="4">
        <f t="shared" ca="1" si="97"/>
        <v>35.125300000000003</v>
      </c>
      <c r="K1119" s="4"/>
      <c r="L1119" s="5">
        <f t="shared" ca="1" si="98"/>
        <v>356.48229999999995</v>
      </c>
      <c r="M1119" s="5">
        <f t="shared" ca="1" si="98"/>
        <v>142.42920000000001</v>
      </c>
      <c r="N1119" s="5">
        <f t="shared" ca="1" si="98"/>
        <v>58.377000000000002</v>
      </c>
      <c r="O1119" s="5">
        <f t="shared" ca="1" si="98"/>
        <v>4.4165999999999999</v>
      </c>
      <c r="P1119" s="5">
        <f t="shared" ca="1" si="98"/>
        <v>14.7493</v>
      </c>
      <c r="Q1119" s="5">
        <f t="shared" ca="1" si="98"/>
        <v>232.44659999999996</v>
      </c>
      <c r="R1119" s="4"/>
      <c r="S1119" s="4"/>
    </row>
    <row r="1120" spans="1:19" ht="15" customHeight="1">
      <c r="A1120" s="3">
        <f t="shared" si="94"/>
        <v>2085</v>
      </c>
      <c r="B1120" s="4">
        <f t="shared" ca="1" si="97"/>
        <v>37.554658333333329</v>
      </c>
      <c r="C1120" s="4">
        <f t="shared" ca="1" si="97"/>
        <v>37.560966666666666</v>
      </c>
      <c r="D1120" s="4">
        <f t="shared" ca="1" si="97"/>
        <v>37.557291666666664</v>
      </c>
      <c r="E1120" s="4">
        <f t="shared" ca="1" si="97"/>
        <v>37.557900000000004</v>
      </c>
      <c r="F1120" s="4">
        <f t="shared" ca="1" si="97"/>
        <v>38.225958333333331</v>
      </c>
      <c r="G1120" s="4">
        <f t="shared" ca="1" si="97"/>
        <v>36.906399999999998</v>
      </c>
      <c r="H1120" s="4">
        <f t="shared" ca="1" si="97"/>
        <v>37.820874999999994</v>
      </c>
      <c r="I1120" s="4">
        <f t="shared" ca="1" si="97"/>
        <v>36.395966666666673</v>
      </c>
      <c r="J1120" s="4">
        <f t="shared" ca="1" si="97"/>
        <v>36.273950000000006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4"/>
        <v>2086</v>
      </c>
      <c r="B1121" s="4">
        <f t="shared" ca="1" si="97"/>
        <v>38.781758333333336</v>
      </c>
      <c r="C1121" s="4">
        <f t="shared" ca="1" si="97"/>
        <v>38.788050000000005</v>
      </c>
      <c r="D1121" s="4">
        <f t="shared" ca="1" si="97"/>
        <v>38.784391666666664</v>
      </c>
      <c r="E1121" s="4">
        <f t="shared" ca="1" si="97"/>
        <v>38.784999999999989</v>
      </c>
      <c r="F1121" s="4">
        <f t="shared" ca="1" si="97"/>
        <v>39.453058333333338</v>
      </c>
      <c r="G1121" s="4">
        <f t="shared" ca="1" si="97"/>
        <v>38.11313333333333</v>
      </c>
      <c r="H1121" s="4">
        <f t="shared" ca="1" si="97"/>
        <v>39.027608333333333</v>
      </c>
      <c r="I1121" s="4">
        <f t="shared" ca="1" si="97"/>
        <v>37.582791666666658</v>
      </c>
      <c r="J1121" s="4">
        <f t="shared" ca="1" si="97"/>
        <v>37.460175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4"/>
        <v>2087</v>
      </c>
      <c r="B1122" s="4">
        <f t="shared" ca="1" si="97"/>
        <v>40.048966666666665</v>
      </c>
      <c r="C1122" s="4">
        <f t="shared" ca="1" si="97"/>
        <v>40.055258333333335</v>
      </c>
      <c r="D1122" s="4">
        <f t="shared" ca="1" si="97"/>
        <v>40.051624999999994</v>
      </c>
      <c r="E1122" s="4">
        <f t="shared" ca="1" si="97"/>
        <v>40.052208333333333</v>
      </c>
      <c r="F1122" s="4">
        <f t="shared" ca="1" si="97"/>
        <v>40.720291666666661</v>
      </c>
      <c r="G1122" s="4">
        <f t="shared" ca="1" si="97"/>
        <v>39.359358333333333</v>
      </c>
      <c r="H1122" s="4">
        <f t="shared" ca="1" si="97"/>
        <v>40.273825000000002</v>
      </c>
      <c r="I1122" s="4">
        <f t="shared" ca="1" si="97"/>
        <v>38.808433333333333</v>
      </c>
      <c r="J1122" s="4">
        <f t="shared" ca="1" si="97"/>
        <v>38.685208333333328</v>
      </c>
      <c r="K1122" s="4"/>
      <c r="L1122" s="5">
        <f t="shared" ca="1" si="98"/>
        <v>355.53689999999995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4.4046000000000003</v>
      </c>
      <c r="P1122" s="5">
        <f t="shared" ca="1" si="98"/>
        <v>14.707600000000001</v>
      </c>
      <c r="Q1122" s="5">
        <f t="shared" ca="1" si="98"/>
        <v>231.81149999999997</v>
      </c>
      <c r="R1122" s="4"/>
      <c r="S1122" s="4"/>
    </row>
    <row r="1123" spans="1:19" ht="15" customHeight="1">
      <c r="A1123" s="3">
        <f t="shared" si="94"/>
        <v>2088</v>
      </c>
      <c r="B1123" s="4">
        <f t="shared" ca="1" si="97"/>
        <v>41.357624999999999</v>
      </c>
      <c r="C1123" s="4">
        <f t="shared" ca="1" si="97"/>
        <v>41.363941666666669</v>
      </c>
      <c r="D1123" s="4">
        <f t="shared" ca="1" si="97"/>
        <v>41.360275000000001</v>
      </c>
      <c r="E1123" s="4">
        <f t="shared" ca="1" si="97"/>
        <v>41.360883333333341</v>
      </c>
      <c r="F1123" s="4">
        <f t="shared" ca="1" si="97"/>
        <v>42.028933333333342</v>
      </c>
      <c r="G1123" s="4">
        <f t="shared" ca="1" si="97"/>
        <v>40.646308333333344</v>
      </c>
      <c r="H1123" s="4">
        <f t="shared" ca="1" si="97"/>
        <v>41.560783333333333</v>
      </c>
      <c r="I1123" s="4">
        <f t="shared" ca="1" si="97"/>
        <v>40.07415833333333</v>
      </c>
      <c r="J1123" s="4">
        <f t="shared" ca="1" si="97"/>
        <v>39.950291666666665</v>
      </c>
      <c r="K1123" s="4"/>
      <c r="L1123" s="5">
        <f t="shared" ca="1" si="98"/>
        <v>356.48229999999995</v>
      </c>
      <c r="M1123" s="5">
        <f t="shared" ca="1" si="98"/>
        <v>142.42920000000001</v>
      </c>
      <c r="N1123" s="5">
        <f t="shared" ca="1" si="98"/>
        <v>58.377000000000002</v>
      </c>
      <c r="O1123" s="5">
        <f t="shared" ca="1" si="98"/>
        <v>4.4165999999999999</v>
      </c>
      <c r="P1123" s="5">
        <f t="shared" ca="1" si="98"/>
        <v>14.7493</v>
      </c>
      <c r="Q1123" s="5">
        <f t="shared" ca="1" si="98"/>
        <v>232.44659999999996</v>
      </c>
      <c r="R1123" s="4"/>
      <c r="S1123" s="4"/>
    </row>
    <row r="1124" spans="1:19" ht="15" customHeight="1">
      <c r="A1124" s="3">
        <f t="shared" si="94"/>
        <v>2089</v>
      </c>
      <c r="B1124" s="4">
        <f t="shared" ca="1" si="97"/>
        <v>42.70910833333334</v>
      </c>
      <c r="C1124" s="4">
        <f t="shared" ca="1" si="97"/>
        <v>42.71540000000001</v>
      </c>
      <c r="D1124" s="4">
        <f t="shared" ca="1" si="97"/>
        <v>42.711741666666661</v>
      </c>
      <c r="E1124" s="4">
        <f t="shared" ca="1" si="97"/>
        <v>42.712341666666667</v>
      </c>
      <c r="F1124" s="4">
        <f t="shared" ca="1" si="97"/>
        <v>43.380416666666662</v>
      </c>
      <c r="G1124" s="4">
        <f t="shared" ca="1" si="97"/>
        <v>41.975375</v>
      </c>
      <c r="H1124" s="4">
        <f t="shared" ca="1" si="97"/>
        <v>42.889850000000003</v>
      </c>
      <c r="I1124" s="4">
        <f t="shared" ca="1" si="97"/>
        <v>41.381266666666662</v>
      </c>
      <c r="J1124" s="4">
        <f t="shared" ca="1" si="97"/>
        <v>41.256766666666664</v>
      </c>
      <c r="K1124" s="4"/>
      <c r="L1124" s="5">
        <f t="shared" ca="1" si="98"/>
        <v>355.53689999999995</v>
      </c>
      <c r="M1124" s="5">
        <f t="shared" ca="1" si="98"/>
        <v>142.0401</v>
      </c>
      <c r="N1124" s="5">
        <f t="shared" ca="1" si="98"/>
        <v>58.217499999999994</v>
      </c>
      <c r="O1124" s="5">
        <f t="shared" ca="1" si="98"/>
        <v>4.4046000000000003</v>
      </c>
      <c r="P1124" s="5">
        <f t="shared" ca="1" si="98"/>
        <v>14.707600000000001</v>
      </c>
      <c r="Q1124" s="5">
        <f t="shared" ca="1" si="98"/>
        <v>231.81149999999997</v>
      </c>
      <c r="R1124" s="4"/>
      <c r="S1124" s="4"/>
    </row>
    <row r="1125" spans="1:19" ht="15" customHeight="1">
      <c r="A1125" s="3">
        <f t="shared" si="94"/>
        <v>2090</v>
      </c>
      <c r="B1125" s="4">
        <f t="shared" ca="1" si="97"/>
        <v>44.104750000000003</v>
      </c>
      <c r="C1125" s="4">
        <f t="shared" ca="1" si="97"/>
        <v>44.111049999999999</v>
      </c>
      <c r="D1125" s="4">
        <f t="shared" ca="1" si="97"/>
        <v>44.107391666666665</v>
      </c>
      <c r="E1125" s="4">
        <f t="shared" ca="1" si="97"/>
        <v>44.107991666666663</v>
      </c>
      <c r="F1125" s="4">
        <f t="shared" ca="1" si="97"/>
        <v>44.776074999999999</v>
      </c>
      <c r="G1125" s="4">
        <f t="shared" ca="1" si="97"/>
        <v>43.347875000000009</v>
      </c>
      <c r="H1125" s="4">
        <f t="shared" ca="1" si="97"/>
        <v>44.262358333333339</v>
      </c>
      <c r="I1125" s="4">
        <f t="shared" ca="1" si="97"/>
        <v>42.731124999999992</v>
      </c>
      <c r="J1125" s="4">
        <f t="shared" ca="1" si="97"/>
        <v>42.60595</v>
      </c>
      <c r="K1125" s="4"/>
      <c r="L1125" s="5">
        <f t="shared" ca="1" si="98"/>
        <v>355.53689999999995</v>
      </c>
      <c r="M1125" s="5">
        <f t="shared" ca="1" si="98"/>
        <v>142.0401</v>
      </c>
      <c r="N1125" s="5">
        <f t="shared" ca="1" si="98"/>
        <v>58.217499999999994</v>
      </c>
      <c r="O1125" s="5">
        <f t="shared" ca="1" si="98"/>
        <v>4.4046000000000003</v>
      </c>
      <c r="P1125" s="5">
        <f t="shared" ca="1" si="98"/>
        <v>14.707600000000001</v>
      </c>
      <c r="Q1125" s="5">
        <f t="shared" ca="1" si="98"/>
        <v>231.81149999999997</v>
      </c>
      <c r="R1125" s="4"/>
      <c r="S1125" s="4"/>
    </row>
    <row r="1126" spans="1:19" ht="15" customHeight="1">
      <c r="A1126" s="3">
        <f t="shared" si="94"/>
        <v>2091</v>
      </c>
      <c r="B1126" s="4">
        <f t="shared" ca="1" si="97"/>
        <v>45.546058333333328</v>
      </c>
      <c r="C1126" s="4">
        <f t="shared" ca="1" si="97"/>
        <v>45.552358333333331</v>
      </c>
      <c r="D1126" s="4">
        <f t="shared" ca="1" si="97"/>
        <v>45.548691666666663</v>
      </c>
      <c r="E1126" s="4">
        <f t="shared" ca="1" si="97"/>
        <v>45.549299999999995</v>
      </c>
      <c r="F1126" s="4">
        <f t="shared" ca="1" si="97"/>
        <v>46.217374999999997</v>
      </c>
      <c r="G1126" s="4">
        <f t="shared" ca="1" si="97"/>
        <v>44.765291666666663</v>
      </c>
      <c r="H1126" s="4">
        <f t="shared" ca="1" si="97"/>
        <v>45.679775000000006</v>
      </c>
      <c r="I1126" s="4">
        <f t="shared" ca="1" si="97"/>
        <v>44.125124999999997</v>
      </c>
      <c r="J1126" s="4">
        <f t="shared" ca="1" si="97"/>
        <v>43.99925833333333</v>
      </c>
      <c r="K1126" s="4"/>
      <c r="L1126" s="5">
        <f t="shared" ca="1" si="98"/>
        <v>355.53689999999995</v>
      </c>
      <c r="M1126" s="5">
        <f t="shared" ca="1" si="98"/>
        <v>142.0401</v>
      </c>
      <c r="N1126" s="5">
        <f t="shared" ca="1" si="98"/>
        <v>58.217499999999994</v>
      </c>
      <c r="O1126" s="5">
        <f t="shared" ca="1" si="98"/>
        <v>4.4046000000000003</v>
      </c>
      <c r="P1126" s="5">
        <f t="shared" ca="1" si="98"/>
        <v>14.707600000000001</v>
      </c>
      <c r="Q1126" s="5">
        <f t="shared" ca="1" si="98"/>
        <v>231.81149999999997</v>
      </c>
      <c r="R1126" s="4"/>
      <c r="S1126" s="4"/>
    </row>
    <row r="1127" spans="1:19" ht="15" customHeight="1">
      <c r="A1127" s="3">
        <f t="shared" si="94"/>
        <v>2092</v>
      </c>
      <c r="B1127" s="4">
        <f t="shared" ref="B1127:J1135" ca="1" si="99">AVERAGE(OFFSET(B$581,($A1127-$A$1097)*12,0,12,1))</f>
        <v>47.034500000000001</v>
      </c>
      <c r="C1127" s="4">
        <f t="shared" ca="1" si="99"/>
        <v>47.040791666666657</v>
      </c>
      <c r="D1127" s="4">
        <f t="shared" ca="1" si="99"/>
        <v>47.037141666666678</v>
      </c>
      <c r="E1127" s="4">
        <f t="shared" ca="1" si="99"/>
        <v>47.037741666666669</v>
      </c>
      <c r="F1127" s="4">
        <f t="shared" ca="1" si="99"/>
        <v>47.705833333333338</v>
      </c>
      <c r="G1127" s="4">
        <f t="shared" ca="1" si="99"/>
        <v>46.229050000000001</v>
      </c>
      <c r="H1127" s="4">
        <f t="shared" ca="1" si="99"/>
        <v>47.14353333333333</v>
      </c>
      <c r="I1127" s="4">
        <f t="shared" ca="1" si="99"/>
        <v>45.564716666666669</v>
      </c>
      <c r="J1127" s="4">
        <f t="shared" ca="1" si="99"/>
        <v>45.438125000000007</v>
      </c>
      <c r="K1127" s="4"/>
      <c r="L1127" s="5">
        <f t="shared" ref="L1127:Q1135" ca="1" si="100">SUM(OFFSET(L$581,($A1127-$A$1097)*12,0,12,1))</f>
        <v>356.48229999999995</v>
      </c>
      <c r="M1127" s="5">
        <f t="shared" ca="1" si="100"/>
        <v>142.42920000000001</v>
      </c>
      <c r="N1127" s="5">
        <f t="shared" ca="1" si="100"/>
        <v>58.377000000000002</v>
      </c>
      <c r="O1127" s="5">
        <f t="shared" ca="1" si="100"/>
        <v>4.4165999999999999</v>
      </c>
      <c r="P1127" s="5">
        <f t="shared" ca="1" si="100"/>
        <v>14.7493</v>
      </c>
      <c r="Q1127" s="5">
        <f t="shared" ca="1" si="100"/>
        <v>232.44659999999996</v>
      </c>
      <c r="R1127" s="4"/>
      <c r="S1127" s="4"/>
    </row>
    <row r="1128" spans="1:19" ht="15" customHeight="1">
      <c r="A1128" s="3">
        <f t="shared" si="94"/>
        <v>2093</v>
      </c>
      <c r="B1128" s="4">
        <f t="shared" ca="1" si="99"/>
        <v>48.571616666666671</v>
      </c>
      <c r="C1128" s="4">
        <f t="shared" ca="1" si="99"/>
        <v>48.577925</v>
      </c>
      <c r="D1128" s="4">
        <f t="shared" ca="1" si="99"/>
        <v>48.574266666666659</v>
      </c>
      <c r="E1128" s="4">
        <f t="shared" ca="1" si="99"/>
        <v>48.574858333333331</v>
      </c>
      <c r="F1128" s="4">
        <f t="shared" ca="1" si="99"/>
        <v>49.242941666666667</v>
      </c>
      <c r="G1128" s="4">
        <f t="shared" ca="1" si="99"/>
        <v>47.740683333333344</v>
      </c>
      <c r="H1128" s="4">
        <f t="shared" ca="1" si="99"/>
        <v>48.655166666666673</v>
      </c>
      <c r="I1128" s="4">
        <f t="shared" ca="1" si="99"/>
        <v>47.051399999999994</v>
      </c>
      <c r="J1128" s="4">
        <f t="shared" ca="1" si="99"/>
        <v>46.924058333333328</v>
      </c>
      <c r="K1128" s="4"/>
      <c r="L1128" s="5">
        <f t="shared" ca="1" si="100"/>
        <v>355.53689999999995</v>
      </c>
      <c r="M1128" s="5">
        <f t="shared" ca="1" si="100"/>
        <v>142.0401</v>
      </c>
      <c r="N1128" s="5">
        <f t="shared" ca="1" si="100"/>
        <v>58.217499999999994</v>
      </c>
      <c r="O1128" s="5">
        <f t="shared" ca="1" si="100"/>
        <v>4.4046000000000003</v>
      </c>
      <c r="P1128" s="5">
        <f t="shared" ca="1" si="100"/>
        <v>14.707600000000001</v>
      </c>
      <c r="Q1128" s="5">
        <f t="shared" ca="1" si="100"/>
        <v>231.81149999999997</v>
      </c>
      <c r="R1128" s="4"/>
      <c r="S1128" s="4"/>
    </row>
    <row r="1129" spans="1:19" ht="15" customHeight="1">
      <c r="A1129" s="3">
        <f t="shared" si="94"/>
        <v>2094</v>
      </c>
      <c r="B1129" s="4">
        <f t="shared" ca="1" si="99"/>
        <v>50.159000000000013</v>
      </c>
      <c r="C1129" s="4">
        <f t="shared" ca="1" si="99"/>
        <v>50.165308333333343</v>
      </c>
      <c r="D1129" s="4">
        <f t="shared" ca="1" si="99"/>
        <v>50.161641666666668</v>
      </c>
      <c r="E1129" s="4">
        <f t="shared" ca="1" si="99"/>
        <v>50.162250000000007</v>
      </c>
      <c r="F1129" s="4">
        <f t="shared" ca="1" si="99"/>
        <v>50.830316666666668</v>
      </c>
      <c r="G1129" s="4">
        <f t="shared" ca="1" si="99"/>
        <v>49.301750000000006</v>
      </c>
      <c r="H1129" s="4">
        <f t="shared" ca="1" si="99"/>
        <v>50.216216666666668</v>
      </c>
      <c r="I1129" s="4">
        <f t="shared" ca="1" si="99"/>
        <v>48.586683333333333</v>
      </c>
      <c r="J1129" s="4">
        <f t="shared" ca="1" si="99"/>
        <v>48.458583333333337</v>
      </c>
      <c r="K1129" s="4"/>
      <c r="L1129" s="5">
        <f t="shared" ca="1" si="100"/>
        <v>355.53689999999995</v>
      </c>
      <c r="M1129" s="5">
        <f t="shared" ca="1" si="100"/>
        <v>142.0401</v>
      </c>
      <c r="N1129" s="5">
        <f t="shared" ca="1" si="100"/>
        <v>58.217499999999994</v>
      </c>
      <c r="O1129" s="5">
        <f t="shared" ca="1" si="100"/>
        <v>4.4046000000000003</v>
      </c>
      <c r="P1129" s="5">
        <f t="shared" ca="1" si="100"/>
        <v>14.707600000000001</v>
      </c>
      <c r="Q1129" s="5">
        <f t="shared" ca="1" si="100"/>
        <v>231.81149999999997</v>
      </c>
      <c r="R1129" s="4"/>
      <c r="S1129" s="4"/>
    </row>
    <row r="1130" spans="1:19" ht="15" customHeight="1">
      <c r="A1130" s="3">
        <f t="shared" si="94"/>
        <v>2095</v>
      </c>
      <c r="B1130" s="4">
        <f t="shared" ca="1" si="99"/>
        <v>51.79829999999999</v>
      </c>
      <c r="C1130" s="4">
        <f t="shared" ca="1" si="99"/>
        <v>51.804608333333334</v>
      </c>
      <c r="D1130" s="4">
        <f t="shared" ca="1" si="99"/>
        <v>51.800958333333334</v>
      </c>
      <c r="E1130" s="4">
        <f t="shared" ca="1" si="99"/>
        <v>51.801549999999992</v>
      </c>
      <c r="F1130" s="4">
        <f t="shared" ca="1" si="99"/>
        <v>52.469616666666667</v>
      </c>
      <c r="G1130" s="4">
        <f t="shared" ca="1" si="99"/>
        <v>50.913850000000004</v>
      </c>
      <c r="H1130" s="4">
        <f t="shared" ca="1" si="99"/>
        <v>51.82835</v>
      </c>
      <c r="I1130" s="4">
        <f t="shared" ca="1" si="99"/>
        <v>50.172191666666663</v>
      </c>
      <c r="J1130" s="4">
        <f t="shared" ca="1" si="99"/>
        <v>50.043308333333329</v>
      </c>
      <c r="K1130" s="4"/>
      <c r="L1130" s="5">
        <f t="shared" ca="1" si="100"/>
        <v>355.53689999999995</v>
      </c>
      <c r="M1130" s="5">
        <f t="shared" ca="1" si="100"/>
        <v>142.0401</v>
      </c>
      <c r="N1130" s="5">
        <f t="shared" ca="1" si="100"/>
        <v>58.217499999999994</v>
      </c>
      <c r="O1130" s="5">
        <f t="shared" ca="1" si="100"/>
        <v>4.4046000000000003</v>
      </c>
      <c r="P1130" s="5">
        <f t="shared" ca="1" si="100"/>
        <v>14.707600000000001</v>
      </c>
      <c r="Q1130" s="5">
        <f t="shared" ca="1" si="100"/>
        <v>231.81149999999997</v>
      </c>
      <c r="R1130" s="4"/>
      <c r="S1130" s="4"/>
    </row>
    <row r="1131" spans="1:19" ht="15" customHeight="1">
      <c r="A1131" s="3">
        <f t="shared" si="94"/>
        <v>2096</v>
      </c>
      <c r="B1131" s="4">
        <f t="shared" ca="1" si="99"/>
        <v>53.491216666666652</v>
      </c>
      <c r="C1131" s="4">
        <f t="shared" ca="1" si="99"/>
        <v>53.497508333333343</v>
      </c>
      <c r="D1131" s="4">
        <f t="shared" ca="1" si="99"/>
        <v>53.493866666666662</v>
      </c>
      <c r="E1131" s="4">
        <f t="shared" ca="1" si="99"/>
        <v>53.494466666666661</v>
      </c>
      <c r="F1131" s="4">
        <f t="shared" ca="1" si="99"/>
        <v>54.162516666666654</v>
      </c>
      <c r="G1131" s="4">
        <f t="shared" ca="1" si="99"/>
        <v>52.578700000000005</v>
      </c>
      <c r="H1131" s="4">
        <f t="shared" ca="1" si="99"/>
        <v>53.493166666666667</v>
      </c>
      <c r="I1131" s="4">
        <f t="shared" ca="1" si="99"/>
        <v>51.809541666666668</v>
      </c>
      <c r="J1131" s="4">
        <f t="shared" ca="1" si="99"/>
        <v>51.679825000000001</v>
      </c>
      <c r="K1131" s="4"/>
      <c r="L1131" s="5">
        <f t="shared" ca="1" si="100"/>
        <v>356.48229999999995</v>
      </c>
      <c r="M1131" s="5">
        <f t="shared" ca="1" si="100"/>
        <v>142.42920000000001</v>
      </c>
      <c r="N1131" s="5">
        <f t="shared" ca="1" si="100"/>
        <v>58.377000000000002</v>
      </c>
      <c r="O1131" s="5">
        <f t="shared" ca="1" si="100"/>
        <v>4.4165999999999999</v>
      </c>
      <c r="P1131" s="5">
        <f t="shared" ca="1" si="100"/>
        <v>14.7493</v>
      </c>
      <c r="Q1131" s="5">
        <f t="shared" ca="1" si="100"/>
        <v>232.44659999999996</v>
      </c>
      <c r="R1131" s="4"/>
      <c r="S1131" s="4"/>
    </row>
    <row r="1132" spans="1:19" ht="15" customHeight="1">
      <c r="A1132" s="3">
        <f t="shared" si="94"/>
        <v>2097</v>
      </c>
      <c r="B1132" s="4">
        <f t="shared" ca="1" si="99"/>
        <v>55.2395</v>
      </c>
      <c r="C1132" s="4">
        <f t="shared" ca="1" si="99"/>
        <v>55.245775000000009</v>
      </c>
      <c r="D1132" s="4">
        <f t="shared" ca="1" si="99"/>
        <v>55.242133333333328</v>
      </c>
      <c r="E1132" s="4">
        <f t="shared" ca="1" si="99"/>
        <v>55.242725</v>
      </c>
      <c r="F1132" s="4">
        <f t="shared" ca="1" si="99"/>
        <v>55.910791666666661</v>
      </c>
      <c r="G1132" s="4">
        <f t="shared" ca="1" si="99"/>
        <v>54.297983333333349</v>
      </c>
      <c r="H1132" s="4">
        <f t="shared" ca="1" si="99"/>
        <v>55.212458333333331</v>
      </c>
      <c r="I1132" s="4">
        <f t="shared" ca="1" si="99"/>
        <v>53.500458333333341</v>
      </c>
      <c r="J1132" s="4">
        <f t="shared" ca="1" si="99"/>
        <v>53.369891666666661</v>
      </c>
      <c r="K1132" s="4"/>
      <c r="L1132" s="5">
        <f t="shared" ca="1" si="100"/>
        <v>355.53689999999995</v>
      </c>
      <c r="M1132" s="5">
        <f t="shared" ca="1" si="100"/>
        <v>142.0401</v>
      </c>
      <c r="N1132" s="5">
        <f t="shared" ca="1" si="100"/>
        <v>58.217499999999994</v>
      </c>
      <c r="O1132" s="5">
        <f t="shared" ca="1" si="100"/>
        <v>4.4046000000000003</v>
      </c>
      <c r="P1132" s="5">
        <f t="shared" ca="1" si="100"/>
        <v>14.707600000000001</v>
      </c>
      <c r="Q1132" s="5">
        <f t="shared" ca="1" si="100"/>
        <v>231.81149999999997</v>
      </c>
      <c r="R1132" s="4"/>
      <c r="S1132" s="4"/>
    </row>
    <row r="1133" spans="1:19" ht="15" customHeight="1">
      <c r="A1133" s="3">
        <f t="shared" si="94"/>
        <v>2098</v>
      </c>
      <c r="B1133" s="4">
        <f t="shared" ca="1" si="99"/>
        <v>57.044958333333334</v>
      </c>
      <c r="C1133" s="4">
        <f t="shared" ca="1" si="99"/>
        <v>57.051241666666677</v>
      </c>
      <c r="D1133" s="4">
        <f t="shared" ca="1" si="99"/>
        <v>57.047591666666669</v>
      </c>
      <c r="E1133" s="4">
        <f t="shared" ca="1" si="99"/>
        <v>57.048183333333327</v>
      </c>
      <c r="F1133" s="4">
        <f t="shared" ca="1" si="99"/>
        <v>57.716249999999995</v>
      </c>
      <c r="G1133" s="4">
        <f t="shared" ca="1" si="99"/>
        <v>56.073508333333329</v>
      </c>
      <c r="H1133" s="4">
        <f t="shared" ca="1" si="99"/>
        <v>56.987974999999999</v>
      </c>
      <c r="I1133" s="4">
        <f t="shared" ca="1" si="99"/>
        <v>55.24665000000001</v>
      </c>
      <c r="J1133" s="4">
        <f t="shared" ca="1" si="99"/>
        <v>55.115224999999988</v>
      </c>
      <c r="K1133" s="4"/>
      <c r="L1133" s="5">
        <f t="shared" ca="1" si="100"/>
        <v>355.53689999999995</v>
      </c>
      <c r="M1133" s="5">
        <f t="shared" ca="1" si="100"/>
        <v>142.0401</v>
      </c>
      <c r="N1133" s="5">
        <f t="shared" ca="1" si="100"/>
        <v>58.217499999999994</v>
      </c>
      <c r="O1133" s="5">
        <f t="shared" ca="1" si="100"/>
        <v>4.4046000000000003</v>
      </c>
      <c r="P1133" s="5">
        <f t="shared" ca="1" si="100"/>
        <v>14.707600000000001</v>
      </c>
      <c r="Q1133" s="5">
        <f t="shared" ca="1" si="100"/>
        <v>231.81149999999997</v>
      </c>
      <c r="R1133" s="4"/>
      <c r="S1133" s="4"/>
    </row>
    <row r="1134" spans="1:19" ht="15" customHeight="1">
      <c r="A1134" s="3">
        <f t="shared" si="94"/>
        <v>2099</v>
      </c>
      <c r="B1134" s="4">
        <f t="shared" ca="1" si="99"/>
        <v>58.909449999999993</v>
      </c>
      <c r="C1134" s="4">
        <f t="shared" ca="1" si="99"/>
        <v>58.915741666666669</v>
      </c>
      <c r="D1134" s="4">
        <f t="shared" ca="1" si="99"/>
        <v>58.912083333333328</v>
      </c>
      <c r="E1134" s="4">
        <f t="shared" ca="1" si="99"/>
        <v>58.91268333333332</v>
      </c>
      <c r="F1134" s="4">
        <f t="shared" ca="1" si="99"/>
        <v>59.580741666666654</v>
      </c>
      <c r="G1134" s="4">
        <f t="shared" ca="1" si="99"/>
        <v>57.907083333333333</v>
      </c>
      <c r="H1134" s="4">
        <f t="shared" ca="1" si="99"/>
        <v>58.821558333333321</v>
      </c>
      <c r="I1134" s="4">
        <f t="shared" ca="1" si="99"/>
        <v>57.049974999999996</v>
      </c>
      <c r="J1134" s="4">
        <f t="shared" ca="1" si="99"/>
        <v>56.917625000000008</v>
      </c>
      <c r="K1134" s="4"/>
      <c r="L1134" s="5">
        <f t="shared" ca="1" si="100"/>
        <v>355.53689999999995</v>
      </c>
      <c r="M1134" s="5">
        <f t="shared" ca="1" si="100"/>
        <v>142.0401</v>
      </c>
      <c r="N1134" s="5">
        <f t="shared" ca="1" si="100"/>
        <v>58.217499999999994</v>
      </c>
      <c r="O1134" s="5">
        <f t="shared" ca="1" si="100"/>
        <v>4.4046000000000003</v>
      </c>
      <c r="P1134" s="5">
        <f t="shared" ca="1" si="100"/>
        <v>14.707600000000001</v>
      </c>
      <c r="Q1134" s="5">
        <f t="shared" ca="1" si="100"/>
        <v>231.81149999999997</v>
      </c>
      <c r="R1134" s="4"/>
      <c r="S1134" s="4"/>
    </row>
    <row r="1135" spans="1:19" ht="15" customHeight="1">
      <c r="A1135" s="3">
        <f t="shared" si="94"/>
        <v>2100</v>
      </c>
      <c r="B1135" s="4">
        <f t="shared" ca="1" si="99"/>
        <v>60.834908333333324</v>
      </c>
      <c r="C1135" s="4">
        <f t="shared" ca="1" si="99"/>
        <v>60.841191666666674</v>
      </c>
      <c r="D1135" s="4">
        <f t="shared" ca="1" si="99"/>
        <v>60.837549999999993</v>
      </c>
      <c r="E1135" s="4">
        <f t="shared" ca="1" si="99"/>
        <v>60.838141666666651</v>
      </c>
      <c r="F1135" s="4">
        <f t="shared" ca="1" si="99"/>
        <v>61.506241666666661</v>
      </c>
      <c r="G1135" s="4">
        <f t="shared" ca="1" si="99"/>
        <v>59.800616666666663</v>
      </c>
      <c r="H1135" s="4">
        <f t="shared" ca="1" si="99"/>
        <v>60.715091666666666</v>
      </c>
      <c r="I1135" s="4">
        <f t="shared" ca="1" si="99"/>
        <v>58.91224166666666</v>
      </c>
      <c r="J1135" s="4">
        <f t="shared" ca="1" si="99"/>
        <v>58.778966666666669</v>
      </c>
      <c r="K1135" s="4"/>
      <c r="L1135" s="5">
        <f t="shared" ca="1" si="100"/>
        <v>355.53689999999995</v>
      </c>
      <c r="M1135" s="5">
        <f t="shared" ca="1" si="100"/>
        <v>142.0401</v>
      </c>
      <c r="N1135" s="5">
        <f t="shared" ca="1" si="100"/>
        <v>58.217499999999994</v>
      </c>
      <c r="O1135" s="5">
        <f t="shared" ca="1" si="100"/>
        <v>4.4046000000000003</v>
      </c>
      <c r="P1135" s="5">
        <f t="shared" ca="1" si="100"/>
        <v>14.707600000000001</v>
      </c>
      <c r="Q1135" s="5">
        <f t="shared" ca="1" si="100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4</xdr:col>
                    <xdr:colOff>533400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142875</xdr:rowOff>
                  </from>
                  <to>
                    <xdr:col>6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70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10.10937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71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9.1422 * CHOOSE(CONTROL!$C$9, $C$13, 100%, $E$13) + CHOOSE(CONTROL!$C$28, 0.0003, 0)</f>
        <v>9.1425000000000001</v>
      </c>
      <c r="C17" s="4">
        <f>8.8297 * CHOOSE(CONTROL!$C$9, $C$13, 100%, $E$13) + CHOOSE(CONTROL!$C$28, 0.0003, 0)</f>
        <v>8.83</v>
      </c>
      <c r="D17" s="4">
        <f>14.0729 * CHOOSE(CONTROL!$C$9, $C$13, 100%, $E$13) + CHOOSE(CONTROL!$C$28, 0, 0)</f>
        <v>14.072900000000001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10.6266 * CHOOSE(CONTROL!$C$9, $C$13, 100%, $E$13) + CHOOSE(CONTROL!$C$28, 0.0003, 0)</f>
        <v>10.626899999999999</v>
      </c>
      <c r="C18" s="4">
        <f>10.3141 * CHOOSE(CONTROL!$C$9, $C$13, 100%, $E$13) + CHOOSE(CONTROL!$C$28, 0.0003, 0)</f>
        <v>10.314399999999999</v>
      </c>
      <c r="D18" s="4">
        <f>12.9181 * CHOOSE(CONTROL!$C$9, $C$13, 100%, $E$13) + CHOOSE(CONTROL!$C$28, 0, 0)</f>
        <v>12.918100000000001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9.5922 * CHOOSE(CONTROL!$C$9, $C$13, 100%, $E$13) + CHOOSE(CONTROL!$C$28, 0.0003, 0)</f>
        <v>9.5924999999999994</v>
      </c>
      <c r="C19" s="4">
        <f>9.2797 * CHOOSE(CONTROL!$C$9, $C$13, 100%, $E$13) + CHOOSE(CONTROL!$C$28, 0.0003, 0)</f>
        <v>9.2799999999999994</v>
      </c>
      <c r="D19" s="4">
        <f>17.3313 * CHOOSE(CONTROL!$C$9, $C$13, 100%, $E$13) + CHOOSE(CONTROL!$C$28, 0, 0)</f>
        <v>17.331299999999999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9.7828 * CHOOSE(CONTROL!$C$9, $C$13, 100%, $E$13) + CHOOSE(CONTROL!$C$28, 0.0003, 0)</f>
        <v>9.7830999999999992</v>
      </c>
      <c r="C20" s="4">
        <f>9.4703 * CHOOSE(CONTROL!$C$9, $C$13, 100%, $E$13) + CHOOSE(CONTROL!$C$28, 0.0003, 0)</f>
        <v>9.4705999999999992</v>
      </c>
      <c r="D20" s="4">
        <f>13.1457 * CHOOSE(CONTROL!$C$9, $C$13, 100%, $E$13) + CHOOSE(CONTROL!$C$28, 0, 0)</f>
        <v>13.1457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10.2906 * CHOOSE(CONTROL!$C$9, $C$13, 100%, $E$13) + CHOOSE(CONTROL!$C$28, 0.0276, 0)</f>
        <v>10.318199999999999</v>
      </c>
      <c r="C21" s="4">
        <f>9.9781 * CHOOSE(CONTROL!$C$9, $C$13, 100%, $E$13) + CHOOSE(CONTROL!$C$28, 0.0276, 0)</f>
        <v>10.005699999999999</v>
      </c>
      <c r="D21" s="4">
        <f>15.0073 * CHOOSE(CONTROL!$C$9, $C$13, 100%, $E$13) + CHOOSE(CONTROL!$C$28, 0, 0)</f>
        <v>15.007300000000001</v>
      </c>
      <c r="E21" s="4">
        <f>55.26 * CHOOSE(CONTROL!$C$9, $C$13, 100%, $E$13) + CHOOSE(CONTROL!$C$28, 0, 0)</f>
        <v>55.26</v>
      </c>
    </row>
    <row r="22" spans="1:5" ht="15">
      <c r="A22" s="13">
        <v>42156</v>
      </c>
      <c r="B22" s="4">
        <f>10.0641 * CHOOSE(CONTROL!$C$9, $C$13, 100%, $E$13) + CHOOSE(CONTROL!$C$28, 0.0276, 0)</f>
        <v>10.091699999999999</v>
      </c>
      <c r="C22" s="4">
        <f>9.7516 * CHOOSE(CONTROL!$C$9, $C$13, 100%, $E$13) + CHOOSE(CONTROL!$C$28, 0.0276, 0)</f>
        <v>9.7791999999999994</v>
      </c>
      <c r="D22" s="4">
        <f>14.856 * CHOOSE(CONTROL!$C$9, $C$13, 100%, $E$13) + CHOOSE(CONTROL!$C$28, 0, 0)</f>
        <v>14.856</v>
      </c>
      <c r="E22" s="4">
        <f>57.26 * CHOOSE(CONTROL!$C$9, $C$13, 100%, $E$13) + CHOOSE(CONTROL!$C$28, 0, 0)</f>
        <v>57.26</v>
      </c>
    </row>
    <row r="23" spans="1:5" ht="15">
      <c r="A23" s="13">
        <v>42186</v>
      </c>
      <c r="B23" s="4">
        <f>8.9219 * CHOOSE(CONTROL!$C$9, $C$13, 100%, $E$13) + CHOOSE(CONTROL!$C$28, 0.0276, 0)</f>
        <v>8.9495000000000005</v>
      </c>
      <c r="C23" s="4">
        <f>8.6094 * CHOOSE(CONTROL!$C$9, $C$13, 100%, $E$13) + CHOOSE(CONTROL!$C$28, 0.0276, 0)</f>
        <v>8.6370000000000005</v>
      </c>
      <c r="D23" s="4">
        <f>14.361 * CHOOSE(CONTROL!$C$9, $C$13, 100%, $E$13) + CHOOSE(CONTROL!$C$28, 0, 0)</f>
        <v>14.361000000000001</v>
      </c>
      <c r="E23" s="4">
        <f>59.68 * CHOOSE(CONTROL!$C$9, $C$13, 100%, $E$13) + CHOOSE(CONTROL!$C$28, 0, 0)</f>
        <v>59.68</v>
      </c>
    </row>
    <row r="24" spans="1:5" ht="15">
      <c r="A24" s="13">
        <v>42217</v>
      </c>
      <c r="B24" s="4">
        <f>7.7438 * CHOOSE(CONTROL!$C$9, $C$13, 100%, $E$13) + CHOOSE(CONTROL!$C$28, 0.0276, 0)</f>
        <v>7.7713999999999999</v>
      </c>
      <c r="C24" s="4">
        <f>7.4313 * CHOOSE(CONTROL!$C$9, $C$13, 100%, $E$13) + CHOOSE(CONTROL!$C$28, 0.0276, 0)</f>
        <v>7.4588999999999999</v>
      </c>
      <c r="D24" s="4">
        <f>12.1811 * CHOOSE(CONTROL!$C$9, $C$13, 100%, $E$13) + CHOOSE(CONTROL!$C$28, 0, 0)</f>
        <v>12.181100000000001</v>
      </c>
      <c r="E24" s="4">
        <f>50.36 * CHOOSE(CONTROL!$C$9, $C$13, 100%, $E$13) + CHOOSE(CONTROL!$C$28, 0, 0)</f>
        <v>50.36</v>
      </c>
    </row>
    <row r="25" spans="1:5" ht="15">
      <c r="A25" s="13">
        <v>42248</v>
      </c>
      <c r="B25" s="4">
        <f>7.5641 * CHOOSE(CONTROL!$C$9, $C$13, 100%, $E$13) + CHOOSE(CONTROL!$C$28, 0.0276, 0)</f>
        <v>7.5916999999999994</v>
      </c>
      <c r="C25" s="4">
        <f>7.2516 * CHOOSE(CONTROL!$C$9, $C$13, 100%, $E$13) + CHOOSE(CONTROL!$C$28, 0.0276, 0)</f>
        <v>7.2791999999999994</v>
      </c>
      <c r="D25" s="4">
        <f>12.8266 * CHOOSE(CONTROL!$C$9, $C$13, 100%, $E$13) + CHOOSE(CONTROL!$C$28, 0, 0)</f>
        <v>12.826599999999999</v>
      </c>
      <c r="E25" s="4">
        <f>41.14 * CHOOSE(CONTROL!$C$9, $C$13, 100%, $E$13) + CHOOSE(CONTROL!$C$28, 0, 0)</f>
        <v>41.14</v>
      </c>
    </row>
    <row r="26" spans="1:5" ht="15">
      <c r="A26" s="13">
        <v>42278</v>
      </c>
      <c r="B26" s="4">
        <f>7.6781 * CHOOSE(CONTROL!$C$9, $C$13, 100%, $E$13) + CHOOSE(CONTROL!$C$28, 0.0003, 0)</f>
        <v>7.6783999999999999</v>
      </c>
      <c r="C26" s="4">
        <f>7.3656 * CHOOSE(CONTROL!$C$9, $C$13, 100%, $E$13) + CHOOSE(CONTROL!$C$28, 0.0003, 0)</f>
        <v>7.3658999999999999</v>
      </c>
      <c r="D26" s="4">
        <f>11.6667 * CHOOSE(CONTROL!$C$9, $C$13, 100%, $E$13) + CHOOSE(CONTROL!$C$28, 0, 0)</f>
        <v>11.666700000000001</v>
      </c>
      <c r="E26" s="4">
        <f>45.83 * CHOOSE(CONTROL!$C$9, $C$13, 100%, $E$13) + CHOOSE(CONTROL!$C$28, 0, 0)</f>
        <v>45.83</v>
      </c>
    </row>
    <row r="27" spans="1:5" ht="15">
      <c r="A27" s="13">
        <v>42309</v>
      </c>
      <c r="B27" s="4">
        <f>8.2031 * CHOOSE(CONTROL!$C$9, $C$13, 100%, $E$13) + CHOOSE(CONTROL!$C$28, 0.0003, 0)</f>
        <v>8.2033999999999985</v>
      </c>
      <c r="C27" s="4">
        <f>7.8906 * CHOOSE(CONTROL!$C$9, $C$13, 100%, $E$13) + CHOOSE(CONTROL!$C$28, 0.0003, 0)</f>
        <v>7.8909000000000002</v>
      </c>
      <c r="D27" s="4">
        <f>11.9239 * CHOOSE(CONTROL!$C$9, $C$13, 100%, $E$13) + CHOOSE(CONTROL!$C$28, 0, 0)</f>
        <v>11.9239</v>
      </c>
      <c r="E27" s="4">
        <f>46.26 * CHOOSE(CONTROL!$C$9, $C$13, 100%, $E$13) + CHOOSE(CONTROL!$C$28, 0, 0)</f>
        <v>46.26</v>
      </c>
    </row>
    <row r="28" spans="1:5" ht="15">
      <c r="A28" s="13">
        <v>42339</v>
      </c>
      <c r="B28" s="4">
        <f>8.2812 * CHOOSE(CONTROL!$C$9, $C$13, 100%, $E$13) + CHOOSE(CONTROL!$C$28, 0.0003, 0)</f>
        <v>8.2814999999999994</v>
      </c>
      <c r="C28" s="4">
        <f>7.9688 * CHOOSE(CONTROL!$C$9, $C$13, 100%, $E$13) + CHOOSE(CONTROL!$C$28, 0.0003, 0)</f>
        <v>7.9691000000000001</v>
      </c>
      <c r="D28" s="4">
        <f>12.0881 * CHOOSE(CONTROL!$C$9, $C$13, 100%, $E$13) + CHOOSE(CONTROL!$C$28, 0, 0)</f>
        <v>12.088100000000001</v>
      </c>
      <c r="E28" s="4">
        <f>46.75 * CHOOSE(CONTROL!$C$9, $C$13, 100%, $E$13) + CHOOSE(CONTROL!$C$28, 0, 0)</f>
        <v>46.75</v>
      </c>
    </row>
    <row r="29" spans="1:5" ht="15">
      <c r="A29" s="13">
        <v>42370</v>
      </c>
      <c r="B29" s="4">
        <f>8.3906 * CHOOSE(CONTROL!$C$9, $C$13, 100%, $E$13) + CHOOSE(CONTROL!$C$28, 0.0003, 0)</f>
        <v>8.3908999999999985</v>
      </c>
      <c r="C29" s="4">
        <f>8.0781 * CHOOSE(CONTROL!$C$9, $C$13, 100%, $E$13) + CHOOSE(CONTROL!$C$28, 0.0003, 0)</f>
        <v>8.0783999999999985</v>
      </c>
      <c r="D29" s="4">
        <f>12.2337 * CHOOSE(CONTROL!$C$9, $C$13, 100%, $E$13) + CHOOSE(CONTROL!$C$28, 0, 0)</f>
        <v>12.233700000000001</v>
      </c>
      <c r="E29" s="4">
        <f>47.47 * CHOOSE(CONTROL!$C$9, $C$13, 100%, $E$13) + CHOOSE(CONTROL!$C$28, 0, 0)</f>
        <v>47.47</v>
      </c>
    </row>
    <row r="30" spans="1:5" ht="15">
      <c r="A30" s="13">
        <v>42401</v>
      </c>
      <c r="B30" s="4">
        <f>8.4609 * CHOOSE(CONTROL!$C$9, $C$13, 100%, $E$13) + CHOOSE(CONTROL!$C$28, 0.0003, 0)</f>
        <v>8.4611999999999998</v>
      </c>
      <c r="C30" s="4">
        <f>8.1484 * CHOOSE(CONTROL!$C$9, $C$13, 100%, $E$13) + CHOOSE(CONTROL!$C$28, 0.0003, 0)</f>
        <v>8.1486999999999998</v>
      </c>
      <c r="D30" s="4">
        <f>12.3345 * CHOOSE(CONTROL!$C$9, $C$13, 100%, $E$13) + CHOOSE(CONTROL!$C$28, 0, 0)</f>
        <v>12.3345</v>
      </c>
      <c r="E30" s="4">
        <f>48.12 * CHOOSE(CONTROL!$C$9, $C$13, 100%, $E$13) + CHOOSE(CONTROL!$C$28, 0, 0)</f>
        <v>48.12</v>
      </c>
    </row>
    <row r="31" spans="1:5" ht="15">
      <c r="A31" s="13">
        <v>42430</v>
      </c>
      <c r="B31" s="4">
        <f>8.5391 * CHOOSE(CONTROL!$C$9, $C$13, 100%, $E$13) + CHOOSE(CONTROL!$C$28, 0.0003, 0)</f>
        <v>8.5393999999999988</v>
      </c>
      <c r="C31" s="4">
        <f>8.2266 * CHOOSE(CONTROL!$C$9, $C$13, 100%, $E$13) + CHOOSE(CONTROL!$C$28, 0.0003, 0)</f>
        <v>8.2268999999999988</v>
      </c>
      <c r="D31" s="4">
        <f>12.3569 * CHOOSE(CONTROL!$C$9, $C$13, 100%, $E$13) + CHOOSE(CONTROL!$C$28, 0, 0)</f>
        <v>12.3569</v>
      </c>
      <c r="E31" s="4">
        <f>48.72 * CHOOSE(CONTROL!$C$9, $C$13, 100%, $E$13) + CHOOSE(CONTROL!$C$28, 0, 0)</f>
        <v>48.72</v>
      </c>
    </row>
    <row r="32" spans="1:5" ht="15">
      <c r="A32" s="13">
        <v>42461</v>
      </c>
      <c r="B32" s="4">
        <f>8.6172 * CHOOSE(CONTROL!$C$9, $C$13, 100%, $E$13) + CHOOSE(CONTROL!$C$28, 0.0003, 0)</f>
        <v>8.6174999999999997</v>
      </c>
      <c r="C32" s="4">
        <f>8.3047 * CHOOSE(CONTROL!$C$9, $C$13, 100%, $E$13) + CHOOSE(CONTROL!$C$28, 0.0003, 0)</f>
        <v>8.3049999999999997</v>
      </c>
      <c r="D32" s="4">
        <f>12.3244 * CHOOSE(CONTROL!$C$9, $C$13, 100%, $E$13) + CHOOSE(CONTROL!$C$28, 0, 0)</f>
        <v>12.324400000000001</v>
      </c>
      <c r="E32" s="4">
        <f>49.2 * CHOOSE(CONTROL!$C$9, $C$13, 100%, $E$13) + CHOOSE(CONTROL!$C$28, 0, 0)</f>
        <v>49.2</v>
      </c>
    </row>
    <row r="33" spans="1:5" ht="15">
      <c r="A33" s="13">
        <v>42491</v>
      </c>
      <c r="B33" s="4">
        <f>8.7031 * CHOOSE(CONTROL!$C$9, $C$13, 100%, $E$13) + CHOOSE(CONTROL!$C$28, 0.0276, 0)</f>
        <v>8.7306999999999988</v>
      </c>
      <c r="C33" s="4">
        <f>8.3906 * CHOOSE(CONTROL!$C$9, $C$13, 100%, $E$13) + CHOOSE(CONTROL!$C$28, 0.0276, 0)</f>
        <v>8.4181999999999988</v>
      </c>
      <c r="D33" s="4">
        <f>12.372 * CHOOSE(CONTROL!$C$9, $C$13, 100%, $E$13) + CHOOSE(CONTROL!$C$28, 0, 0)</f>
        <v>12.372</v>
      </c>
      <c r="E33" s="4">
        <f>49.6 * CHOOSE(CONTROL!$C$9, $C$13, 100%, $E$13) + CHOOSE(CONTROL!$C$28, 0, 0)</f>
        <v>49.6</v>
      </c>
    </row>
    <row r="34" spans="1:5" ht="15">
      <c r="A34" s="13">
        <v>42522</v>
      </c>
      <c r="B34" s="4">
        <f>8.7812 * CHOOSE(CONTROL!$C$9, $C$13, 100%, $E$13) + CHOOSE(CONTROL!$C$28, 0.0276, 0)</f>
        <v>8.8087999999999997</v>
      </c>
      <c r="C34" s="4">
        <f>8.4688 * CHOOSE(CONTROL!$C$9, $C$13, 100%, $E$13) + CHOOSE(CONTROL!$C$28, 0.0276, 0)</f>
        <v>8.4963999999999995</v>
      </c>
      <c r="D34" s="4">
        <f>12.4419 * CHOOSE(CONTROL!$C$9, $C$13, 100%, $E$13) + CHOOSE(CONTROL!$C$28, 0, 0)</f>
        <v>12.4419</v>
      </c>
      <c r="E34" s="4">
        <f>49.92 * CHOOSE(CONTROL!$C$9, $C$13, 100%, $E$13) + CHOOSE(CONTROL!$C$28, 0, 0)</f>
        <v>49.92</v>
      </c>
    </row>
    <row r="35" spans="1:5" ht="15">
      <c r="A35" s="13">
        <v>42552</v>
      </c>
      <c r="B35" s="4">
        <f>8.8594 * CHOOSE(CONTROL!$C$9, $C$13, 100%, $E$13) + CHOOSE(CONTROL!$C$28, 0.0276, 0)</f>
        <v>8.8870000000000005</v>
      </c>
      <c r="C35" s="4">
        <f>8.5469 * CHOOSE(CONTROL!$C$9, $C$13, 100%, $E$13) + CHOOSE(CONTROL!$C$28, 0.0276, 0)</f>
        <v>8.5745000000000005</v>
      </c>
      <c r="D35" s="4">
        <f>12.5341 * CHOOSE(CONTROL!$C$9, $C$13, 100%, $E$13) + CHOOSE(CONTROL!$C$28, 0, 0)</f>
        <v>12.5341</v>
      </c>
      <c r="E35" s="4">
        <f>50.17 * CHOOSE(CONTROL!$C$9, $C$13, 100%, $E$13) + CHOOSE(CONTROL!$C$28, 0, 0)</f>
        <v>50.17</v>
      </c>
    </row>
    <row r="36" spans="1:5" ht="15">
      <c r="A36" s="13">
        <v>42583</v>
      </c>
      <c r="B36" s="4">
        <f>8.9375 * CHOOSE(CONTROL!$C$9, $C$13, 100%, $E$13) + CHOOSE(CONTROL!$C$28, 0.0276, 0)</f>
        <v>8.9650999999999996</v>
      </c>
      <c r="C36" s="4">
        <f>8.625 * CHOOSE(CONTROL!$C$9, $C$13, 100%, $E$13) + CHOOSE(CONTROL!$C$28, 0.0276, 0)</f>
        <v>8.6525999999999996</v>
      </c>
      <c r="D36" s="4">
        <f>12.6277 * CHOOSE(CONTROL!$C$9, $C$13, 100%, $E$13) + CHOOSE(CONTROL!$C$28, 0, 0)</f>
        <v>12.627700000000001</v>
      </c>
      <c r="E36" s="4">
        <f>50.41 * CHOOSE(CONTROL!$C$9, $C$13, 100%, $E$13) + CHOOSE(CONTROL!$C$28, 0, 0)</f>
        <v>50.41</v>
      </c>
    </row>
    <row r="37" spans="1:5" ht="15">
      <c r="A37" s="13">
        <v>42614</v>
      </c>
      <c r="B37" s="4">
        <f>9.0078 * CHOOSE(CONTROL!$C$9, $C$13, 100%, $E$13) + CHOOSE(CONTROL!$C$28, 0.0276, 0)</f>
        <v>9.0353999999999992</v>
      </c>
      <c r="C37" s="4">
        <f>8.6953 * CHOOSE(CONTROL!$C$9, $C$13, 100%, $E$13) + CHOOSE(CONTROL!$C$28, 0.0276, 0)</f>
        <v>8.7228999999999992</v>
      </c>
      <c r="D37" s="4">
        <f>12.7293 * CHOOSE(CONTROL!$C$9, $C$13, 100%, $E$13) + CHOOSE(CONTROL!$C$28, 0, 0)</f>
        <v>12.7293</v>
      </c>
      <c r="E37" s="4">
        <f>50.69 * CHOOSE(CONTROL!$C$9, $C$13, 100%, $E$13) + CHOOSE(CONTROL!$C$28, 0, 0)</f>
        <v>50.69</v>
      </c>
    </row>
    <row r="38" spans="1:5" ht="15">
      <c r="A38" s="13">
        <v>42644</v>
      </c>
      <c r="B38" s="4">
        <f>9.0703 * CHOOSE(CONTROL!$C$9, $C$13, 100%, $E$13) + CHOOSE(CONTROL!$C$28, 0.0003, 0)</f>
        <v>9.0705999999999989</v>
      </c>
      <c r="C38" s="4">
        <f>8.7578 * CHOOSE(CONTROL!$C$9, $C$13, 100%, $E$13) + CHOOSE(CONTROL!$C$28, 0.0003, 0)</f>
        <v>8.7580999999999989</v>
      </c>
      <c r="D38" s="4">
        <f>12.8496 * CHOOSE(CONTROL!$C$9, $C$13, 100%, $E$13) + CHOOSE(CONTROL!$C$28, 0, 0)</f>
        <v>12.849600000000001</v>
      </c>
      <c r="E38" s="4">
        <f>50.98 * CHOOSE(CONTROL!$C$9, $C$13, 100%, $E$13) + CHOOSE(CONTROL!$C$28, 0, 0)</f>
        <v>50.98</v>
      </c>
    </row>
    <row r="39" spans="1:5" ht="15">
      <c r="A39" s="13">
        <v>42675</v>
      </c>
      <c r="B39" s="4">
        <f>9.1328 * CHOOSE(CONTROL!$C$9, $C$13, 100%, $E$13) + CHOOSE(CONTROL!$C$28, 0.0003, 0)</f>
        <v>9.1330999999999989</v>
      </c>
      <c r="C39" s="4">
        <f>8.8203 * CHOOSE(CONTROL!$C$9, $C$13, 100%, $E$13) + CHOOSE(CONTROL!$C$28, 0.0003, 0)</f>
        <v>8.8205999999999989</v>
      </c>
      <c r="D39" s="4">
        <f>12.9663 * CHOOSE(CONTROL!$C$9, $C$13, 100%, $E$13) + CHOOSE(CONTROL!$C$28, 0, 0)</f>
        <v>12.9663</v>
      </c>
      <c r="E39" s="4">
        <f>51.31 * CHOOSE(CONTROL!$C$9, $C$13, 100%, $E$13) + CHOOSE(CONTROL!$C$28, 0, 0)</f>
        <v>51.31</v>
      </c>
    </row>
    <row r="40" spans="1:5" ht="15">
      <c r="A40" s="13">
        <v>42705</v>
      </c>
      <c r="B40" s="4">
        <f>9.1953 * CHOOSE(CONTROL!$C$9, $C$13, 100%, $E$13) + CHOOSE(CONTROL!$C$28, 0.0003, 0)</f>
        <v>9.1955999999999989</v>
      </c>
      <c r="C40" s="4">
        <f>8.8828 * CHOOSE(CONTROL!$C$9, $C$13, 100%, $E$13) + CHOOSE(CONTROL!$C$28, 0.0003, 0)</f>
        <v>8.8830999999999989</v>
      </c>
      <c r="D40" s="4">
        <f>13.0751 * CHOOSE(CONTROL!$C$9, $C$13, 100%, $E$13) + CHOOSE(CONTROL!$C$28, 0, 0)</f>
        <v>13.075100000000001</v>
      </c>
      <c r="E40" s="4">
        <f>51.65 * CHOOSE(CONTROL!$C$9, $C$13, 100%, $E$13) + CHOOSE(CONTROL!$C$28, 0, 0)</f>
        <v>51.65</v>
      </c>
    </row>
    <row r="41" spans="1:5" ht="15">
      <c r="A41" s="13">
        <v>42736</v>
      </c>
      <c r="B41" s="4">
        <f>9.2812 * CHOOSE(CONTROL!$C$9, $C$13, 100%, $E$13) + CHOOSE(CONTROL!$C$28, 0.0003, 0)</f>
        <v>9.2814999999999994</v>
      </c>
      <c r="C41" s="4">
        <f>8.9688 * CHOOSE(CONTROL!$C$9, $C$13, 100%, $E$13) + CHOOSE(CONTROL!$C$28, 0.0003, 0)</f>
        <v>8.9690999999999992</v>
      </c>
      <c r="D41" s="4">
        <f>13.1803 * CHOOSE(CONTROL!$C$9, $C$13, 100%, $E$13) + CHOOSE(CONTROL!$C$28, 0, 0)</f>
        <v>13.180300000000001</v>
      </c>
      <c r="E41" s="4">
        <f>51.88 * CHOOSE(CONTROL!$C$9, $C$13, 100%, $E$13) + CHOOSE(CONTROL!$C$28, 0, 0)</f>
        <v>51.88</v>
      </c>
    </row>
    <row r="42" spans="1:5" ht="15">
      <c r="A42" s="13">
        <v>42767</v>
      </c>
      <c r="B42" s="4">
        <f>9.3594 * CHOOSE(CONTROL!$C$9, $C$13, 100%, $E$13) + CHOOSE(CONTROL!$C$28, 0.0003, 0)</f>
        <v>9.3597000000000001</v>
      </c>
      <c r="C42" s="4">
        <f>9.0469 * CHOOSE(CONTROL!$C$9, $C$13, 100%, $E$13) + CHOOSE(CONTROL!$C$28, 0.0003, 0)</f>
        <v>9.0472000000000001</v>
      </c>
      <c r="D42" s="4">
        <f>13.2271 * CHOOSE(CONTROL!$C$9, $C$13, 100%, $E$13) + CHOOSE(CONTROL!$C$28, 0, 0)</f>
        <v>13.2271</v>
      </c>
      <c r="E42" s="4">
        <f>52.12 * CHOOSE(CONTROL!$C$9, $C$13, 100%, $E$13) + CHOOSE(CONTROL!$C$28, 0, 0)</f>
        <v>52.12</v>
      </c>
    </row>
    <row r="43" spans="1:5" ht="15">
      <c r="A43" s="13">
        <v>42795</v>
      </c>
      <c r="B43" s="4">
        <f>9.4297 * CHOOSE(CONTROL!$C$9, $C$13, 100%, $E$13) + CHOOSE(CONTROL!$C$28, 0.0003, 0)</f>
        <v>9.43</v>
      </c>
      <c r="C43" s="4">
        <f>9.1172 * CHOOSE(CONTROL!$C$9, $C$13, 100%, $E$13) + CHOOSE(CONTROL!$C$28, 0.0003, 0)</f>
        <v>9.1174999999999997</v>
      </c>
      <c r="D43" s="4">
        <f>13.2192 * CHOOSE(CONTROL!$C$9, $C$13, 100%, $E$13) + CHOOSE(CONTROL!$C$28, 0, 0)</f>
        <v>13.219200000000001</v>
      </c>
      <c r="E43" s="4">
        <f>52.36 * CHOOSE(CONTROL!$C$9, $C$13, 100%, $E$13) + CHOOSE(CONTROL!$C$28, 0, 0)</f>
        <v>52.36</v>
      </c>
    </row>
    <row r="44" spans="1:5" ht="15">
      <c r="A44" s="13">
        <v>42826</v>
      </c>
      <c r="B44" s="4">
        <f>9.5 * CHOOSE(CONTROL!$C$9, $C$13, 100%, $E$13) + CHOOSE(CONTROL!$C$28, 0.0003, 0)</f>
        <v>9.5002999999999993</v>
      </c>
      <c r="C44" s="4">
        <f>9.1875 * CHOOSE(CONTROL!$C$9, $C$13, 100%, $E$13) + CHOOSE(CONTROL!$C$28, 0.0003, 0)</f>
        <v>9.1877999999999993</v>
      </c>
      <c r="D44" s="4">
        <f>13.168 * CHOOSE(CONTROL!$C$9, $C$13, 100%, $E$13) + CHOOSE(CONTROL!$C$28, 0, 0)</f>
        <v>13.167999999999999</v>
      </c>
      <c r="E44" s="4">
        <f>52.59 * CHOOSE(CONTROL!$C$9, $C$13, 100%, $E$13) + CHOOSE(CONTROL!$C$28, 0, 0)</f>
        <v>52.59</v>
      </c>
    </row>
    <row r="45" spans="1:5" ht="15">
      <c r="A45" s="13">
        <v>42856</v>
      </c>
      <c r="B45" s="4">
        <f>9.5703 * CHOOSE(CONTROL!$C$9, $C$13, 100%, $E$13) + CHOOSE(CONTROL!$C$28, 0.0276, 0)</f>
        <v>9.5978999999999992</v>
      </c>
      <c r="C45" s="4">
        <f>9.2578 * CHOOSE(CONTROL!$C$9, $C$13, 100%, $E$13) + CHOOSE(CONTROL!$C$28, 0.0276, 0)</f>
        <v>9.2853999999999992</v>
      </c>
      <c r="D45" s="4">
        <f>13.1889 * CHOOSE(CONTROL!$C$9, $C$13, 100%, $E$13) + CHOOSE(CONTROL!$C$28, 0, 0)</f>
        <v>13.1889</v>
      </c>
      <c r="E45" s="4">
        <f>52.79 * CHOOSE(CONTROL!$C$9, $C$13, 100%, $E$13) + CHOOSE(CONTROL!$C$28, 0, 0)</f>
        <v>52.79</v>
      </c>
    </row>
    <row r="46" spans="1:5" ht="15">
      <c r="A46" s="13">
        <v>42887</v>
      </c>
      <c r="B46" s="4">
        <f>9.6328 * CHOOSE(CONTROL!$C$9, $C$13, 100%, $E$13) + CHOOSE(CONTROL!$C$28, 0.0276, 0)</f>
        <v>9.6603999999999992</v>
      </c>
      <c r="C46" s="4">
        <f>9.3203 * CHOOSE(CONTROL!$C$9, $C$13, 100%, $E$13) + CHOOSE(CONTROL!$C$28, 0.0276, 0)</f>
        <v>9.3478999999999992</v>
      </c>
      <c r="D46" s="4">
        <f>13.2278 * CHOOSE(CONTROL!$C$9, $C$13, 100%, $E$13) + CHOOSE(CONTROL!$C$28, 0, 0)</f>
        <v>13.2278</v>
      </c>
      <c r="E46" s="4">
        <f>53.02 * CHOOSE(CONTROL!$C$9, $C$13, 100%, $E$13) + CHOOSE(CONTROL!$C$28, 0, 0)</f>
        <v>53.02</v>
      </c>
    </row>
    <row r="47" spans="1:5" ht="15">
      <c r="A47" s="13">
        <v>42917</v>
      </c>
      <c r="B47" s="4">
        <f>9.6953 * CHOOSE(CONTROL!$C$9, $C$13, 100%, $E$13) + CHOOSE(CONTROL!$C$28, 0.0276, 0)</f>
        <v>9.7228999999999992</v>
      </c>
      <c r="C47" s="4">
        <f>9.3828 * CHOOSE(CONTROL!$C$9, $C$13, 100%, $E$13) + CHOOSE(CONTROL!$C$28, 0.0276, 0)</f>
        <v>9.4103999999999992</v>
      </c>
      <c r="D47" s="4">
        <f>13.3092 * CHOOSE(CONTROL!$C$9, $C$13, 100%, $E$13) + CHOOSE(CONTROL!$C$28, 0, 0)</f>
        <v>13.309200000000001</v>
      </c>
      <c r="E47" s="4">
        <f>53.19 * CHOOSE(CONTROL!$C$9, $C$13, 100%, $E$13) + CHOOSE(CONTROL!$C$28, 0, 0)</f>
        <v>53.19</v>
      </c>
    </row>
    <row r="48" spans="1:5" ht="15">
      <c r="A48" s="13">
        <v>42948</v>
      </c>
      <c r="B48" s="4">
        <f>9.7578 * CHOOSE(CONTROL!$C$9, $C$13, 100%, $E$13) + CHOOSE(CONTROL!$C$28, 0.0276, 0)</f>
        <v>9.7853999999999992</v>
      </c>
      <c r="C48" s="4">
        <f>9.4453 * CHOOSE(CONTROL!$C$9, $C$13, 100%, $E$13) + CHOOSE(CONTROL!$C$28, 0.0276, 0)</f>
        <v>9.4728999999999992</v>
      </c>
      <c r="D48" s="4">
        <f>13.3979 * CHOOSE(CONTROL!$C$9, $C$13, 100%, $E$13) + CHOOSE(CONTROL!$C$28, 0, 0)</f>
        <v>13.3979</v>
      </c>
      <c r="E48" s="4">
        <f>53.38 * CHOOSE(CONTROL!$C$9, $C$13, 100%, $E$13) + CHOOSE(CONTROL!$C$28, 0, 0)</f>
        <v>53.38</v>
      </c>
    </row>
    <row r="49" spans="1:5" ht="15">
      <c r="A49" s="13">
        <v>42979</v>
      </c>
      <c r="B49" s="4">
        <f>9.8125 * CHOOSE(CONTROL!$C$9, $C$13, 100%, $E$13) + CHOOSE(CONTROL!$C$28, 0.0276, 0)</f>
        <v>9.8400999999999996</v>
      </c>
      <c r="C49" s="4">
        <f>9.5 * CHOOSE(CONTROL!$C$9, $C$13, 100%, $E$13) + CHOOSE(CONTROL!$C$28, 0.0276, 0)</f>
        <v>9.5275999999999996</v>
      </c>
      <c r="D49" s="4">
        <f>13.4893 * CHOOSE(CONTROL!$C$9, $C$13, 100%, $E$13) + CHOOSE(CONTROL!$C$28, 0, 0)</f>
        <v>13.4893</v>
      </c>
      <c r="E49" s="4">
        <f>53.6 * CHOOSE(CONTROL!$C$9, $C$13, 100%, $E$13) + CHOOSE(CONTROL!$C$28, 0, 0)</f>
        <v>53.6</v>
      </c>
    </row>
    <row r="50" spans="1:5" ht="15">
      <c r="A50" s="13">
        <v>43009</v>
      </c>
      <c r="B50" s="4">
        <f>9.8516 * CHOOSE(CONTROL!$C$9, $C$13, 100%, $E$13) + CHOOSE(CONTROL!$C$28, 0.0003, 0)</f>
        <v>9.8518999999999988</v>
      </c>
      <c r="C50" s="4">
        <f>9.5391 * CHOOSE(CONTROL!$C$9, $C$13, 100%, $E$13) + CHOOSE(CONTROL!$C$28, 0.0003, 0)</f>
        <v>9.5393999999999988</v>
      </c>
      <c r="D50" s="4">
        <f>13.57 * CHOOSE(CONTROL!$C$9, $C$13, 100%, $E$13) + CHOOSE(CONTROL!$C$28, 0, 0)</f>
        <v>13.57</v>
      </c>
      <c r="E50" s="4">
        <f>53.83 * CHOOSE(CONTROL!$C$9, $C$13, 100%, $E$13) + CHOOSE(CONTROL!$C$28, 0, 0)</f>
        <v>53.83</v>
      </c>
    </row>
    <row r="51" spans="1:5" ht="15">
      <c r="A51" s="13">
        <v>43040</v>
      </c>
      <c r="B51" s="4">
        <f>9.8906 * CHOOSE(CONTROL!$C$9, $C$13, 100%, $E$13) + CHOOSE(CONTROL!$C$28, 0.0003, 0)</f>
        <v>9.8908999999999985</v>
      </c>
      <c r="C51" s="4">
        <f>9.5781 * CHOOSE(CONTROL!$C$9, $C$13, 100%, $E$13) + CHOOSE(CONTROL!$C$28, 0.0003, 0)</f>
        <v>9.5783999999999985</v>
      </c>
      <c r="D51" s="4">
        <f>13.6241 * CHOOSE(CONTROL!$C$9, $C$13, 100%, $E$13) + CHOOSE(CONTROL!$C$28, 0, 0)</f>
        <v>13.6241</v>
      </c>
      <c r="E51" s="4">
        <f>54.06 * CHOOSE(CONTROL!$C$9, $C$13, 100%, $E$13) + CHOOSE(CONTROL!$C$28, 0, 0)</f>
        <v>54.06</v>
      </c>
    </row>
    <row r="52" spans="1:5" ht="15">
      <c r="A52" s="13">
        <v>43070</v>
      </c>
      <c r="B52" s="4">
        <f>9.9297 * CHOOSE(CONTROL!$C$9, $C$13, 100%, $E$13) + CHOOSE(CONTROL!$C$28, 0.0003, 0)</f>
        <v>9.93</v>
      </c>
      <c r="C52" s="4">
        <f>9.6172 * CHOOSE(CONTROL!$C$9, $C$13, 100%, $E$13) + CHOOSE(CONTROL!$C$28, 0.0003, 0)</f>
        <v>9.6174999999999997</v>
      </c>
      <c r="D52" s="4">
        <f>13.6738 * CHOOSE(CONTROL!$C$9, $C$13, 100%, $E$13) + CHOOSE(CONTROL!$C$28, 0, 0)</f>
        <v>13.6738</v>
      </c>
      <c r="E52" s="4">
        <f>54.29 * CHOOSE(CONTROL!$C$9, $C$13, 100%, $E$13) + CHOOSE(CONTROL!$C$28, 0, 0)</f>
        <v>54.29</v>
      </c>
    </row>
    <row r="53" spans="1:5" ht="15">
      <c r="A53" s="13">
        <v>43101</v>
      </c>
      <c r="B53" s="4">
        <f>10.5199 * CHOOSE(CONTROL!$C$9, $C$13, 100%, $E$13) + CHOOSE(CONTROL!$C$28, 0.0003, 0)</f>
        <v>10.520199999999999</v>
      </c>
      <c r="C53" s="4">
        <f>10.2074 * CHOOSE(CONTROL!$C$9, $C$13, 100%, $E$13) + CHOOSE(CONTROL!$C$28, 0.0003, 0)</f>
        <v>10.207699999999999</v>
      </c>
      <c r="D53" s="4">
        <f>14.2331 * CHOOSE(CONTROL!$C$9, $C$13, 100%, $E$13) + CHOOSE(CONTROL!$C$28, 0, 0)</f>
        <v>14.2331</v>
      </c>
      <c r="E53" s="4">
        <f>58.758967097552 * CHOOSE(CONTROL!$C$9, $C$13, 100%, $E$13) + CHOOSE(CONTROL!$C$28, 0, 0)</f>
        <v>58.758967097552002</v>
      </c>
    </row>
    <row r="54" spans="1:5" ht="15">
      <c r="A54" s="13">
        <v>43132</v>
      </c>
      <c r="B54" s="4">
        <f>10.7252 * CHOOSE(CONTROL!$C$9, $C$13, 100%, $E$13) + CHOOSE(CONTROL!$C$28, 0.0003, 0)</f>
        <v>10.725499999999998</v>
      </c>
      <c r="C54" s="4">
        <f>10.4127 * CHOOSE(CONTROL!$C$9, $C$13, 100%, $E$13) + CHOOSE(CONTROL!$C$28, 0.0003, 0)</f>
        <v>10.412999999999998</v>
      </c>
      <c r="D54" s="4">
        <f>14.7083 * CHOOSE(CONTROL!$C$9, $C$13, 100%, $E$13) + CHOOSE(CONTROL!$C$28, 0, 0)</f>
        <v>14.708299999999999</v>
      </c>
      <c r="E54" s="4">
        <f>60.1541365402161 * CHOOSE(CONTROL!$C$9, $C$13, 100%, $E$13) + CHOOSE(CONTROL!$C$28, 0, 0)</f>
        <v>60.154136540216101</v>
      </c>
    </row>
    <row r="55" spans="1:5" ht="15">
      <c r="A55" s="13">
        <v>43160</v>
      </c>
      <c r="B55" s="4">
        <f>11.2642 * CHOOSE(CONTROL!$C$9, $C$13, 100%, $E$13) + CHOOSE(CONTROL!$C$28, 0.0003, 0)</f>
        <v>11.2645</v>
      </c>
      <c r="C55" s="4">
        <f>10.9517 * CHOOSE(CONTROL!$C$9, $C$13, 100%, $E$13) + CHOOSE(CONTROL!$C$28, 0.0003, 0)</f>
        <v>10.952</v>
      </c>
      <c r="D55" s="4">
        <f>15.4522 * CHOOSE(CONTROL!$C$9, $C$13, 100%, $E$13) + CHOOSE(CONTROL!$C$28, 0, 0)</f>
        <v>15.452199999999999</v>
      </c>
      <c r="E55" s="4">
        <f>63.8179256404589 * CHOOSE(CONTROL!$C$9, $C$13, 100%, $E$13) + CHOOSE(CONTROL!$C$28, 0, 0)</f>
        <v>63.817925640458903</v>
      </c>
    </row>
    <row r="56" spans="1:5" ht="15">
      <c r="A56" s="13">
        <v>43191</v>
      </c>
      <c r="B56" s="4">
        <f>11.6472 * CHOOSE(CONTROL!$C$9, $C$13, 100%, $E$13) + CHOOSE(CONTROL!$C$28, 0.0003, 0)</f>
        <v>11.647499999999999</v>
      </c>
      <c r="C56" s="4">
        <f>11.3347 * CHOOSE(CONTROL!$C$9, $C$13, 100%, $E$13) + CHOOSE(CONTROL!$C$28, 0.0003, 0)</f>
        <v>11.334999999999999</v>
      </c>
      <c r="D56" s="4">
        <f>15.8806 * CHOOSE(CONTROL!$C$9, $C$13, 100%, $E$13) + CHOOSE(CONTROL!$C$28, 0, 0)</f>
        <v>15.880599999999999</v>
      </c>
      <c r="E56" s="4">
        <f>66.421096622591 * CHOOSE(CONTROL!$C$9, $C$13, 100%, $E$13) + CHOOSE(CONTROL!$C$28, 0, 0)</f>
        <v>66.421096622590994</v>
      </c>
    </row>
    <row r="57" spans="1:5" ht="15">
      <c r="A57" s="13">
        <v>43221</v>
      </c>
      <c r="B57" s="4">
        <f>11.8812 * CHOOSE(CONTROL!$C$9, $C$13, 100%, $E$13) + CHOOSE(CONTROL!$C$28, 0.0276, 0)</f>
        <v>11.908799999999999</v>
      </c>
      <c r="C57" s="4">
        <f>11.5687 * CHOOSE(CONTROL!$C$9, $C$13, 100%, $E$13) + CHOOSE(CONTROL!$C$28, 0.0276, 0)</f>
        <v>11.596299999999999</v>
      </c>
      <c r="D57" s="4">
        <f>15.7113 * CHOOSE(CONTROL!$C$9, $C$13, 100%, $E$13) + CHOOSE(CONTROL!$C$28, 0, 0)</f>
        <v>15.7113</v>
      </c>
      <c r="E57" s="4">
        <f>68.0115717033726 * CHOOSE(CONTROL!$C$9, $C$13, 100%, $E$13) + CHOOSE(CONTROL!$C$28, 0, 0)</f>
        <v>68.011571703372596</v>
      </c>
    </row>
    <row r="58" spans="1:5" ht="15">
      <c r="A58" s="13">
        <v>43252</v>
      </c>
      <c r="B58" s="4">
        <f>11.9129 * CHOOSE(CONTROL!$C$9, $C$13, 100%, $E$13) + CHOOSE(CONTROL!$C$28, 0.0276, 0)</f>
        <v>11.9405</v>
      </c>
      <c r="C58" s="4">
        <f>11.6004 * CHOOSE(CONTROL!$C$9, $C$13, 100%, $E$13) + CHOOSE(CONTROL!$C$28, 0.0276, 0)</f>
        <v>11.628</v>
      </c>
      <c r="D58" s="4">
        <f>15.8492 * CHOOSE(CONTROL!$C$9, $C$13, 100%, $E$13) + CHOOSE(CONTROL!$C$28, 0, 0)</f>
        <v>15.8492</v>
      </c>
      <c r="E58" s="4">
        <f>68.2267695824096 * CHOOSE(CONTROL!$C$9, $C$13, 100%, $E$13) + CHOOSE(CONTROL!$C$28, 0, 0)</f>
        <v>68.226769582409602</v>
      </c>
    </row>
    <row r="59" spans="1:5" ht="15">
      <c r="A59" s="13">
        <v>43282</v>
      </c>
      <c r="B59" s="4">
        <f>11.9097 * CHOOSE(CONTROL!$C$9, $C$13, 100%, $E$13) + CHOOSE(CONTROL!$C$28, 0.0276, 0)</f>
        <v>11.9373</v>
      </c>
      <c r="C59" s="4">
        <f>11.5972 * CHOOSE(CONTROL!$C$9, $C$13, 100%, $E$13) + CHOOSE(CONTROL!$C$28, 0.0276, 0)</f>
        <v>11.6248</v>
      </c>
      <c r="D59" s="4">
        <f>16.098 * CHOOSE(CONTROL!$C$9, $C$13, 100%, $E$13) + CHOOSE(CONTROL!$C$28, 0, 0)</f>
        <v>16.097999999999999</v>
      </c>
      <c r="E59" s="4">
        <f>68.2050689559521 * CHOOSE(CONTROL!$C$9, $C$13, 100%, $E$13) + CHOOSE(CONTROL!$C$28, 0, 0)</f>
        <v>68.2050689559521</v>
      </c>
    </row>
    <row r="60" spans="1:5" ht="15">
      <c r="A60" s="13">
        <v>43313</v>
      </c>
      <c r="B60" s="4">
        <f>12.1499 * CHOOSE(CONTROL!$C$9, $C$13, 100%, $E$13) + CHOOSE(CONTROL!$C$28, 0.0276, 0)</f>
        <v>12.1775</v>
      </c>
      <c r="C60" s="4">
        <f>11.8374 * CHOOSE(CONTROL!$C$9, $C$13, 100%, $E$13) + CHOOSE(CONTROL!$C$28, 0.0276, 0)</f>
        <v>11.865</v>
      </c>
      <c r="D60" s="4">
        <f>15.9337 * CHOOSE(CONTROL!$C$9, $C$13, 100%, $E$13) + CHOOSE(CONTROL!$C$28, 0, 0)</f>
        <v>15.9337</v>
      </c>
      <c r="E60" s="4">
        <f>69.8380410968796 * CHOOSE(CONTROL!$C$9, $C$13, 100%, $E$13) + CHOOSE(CONTROL!$C$28, 0, 0)</f>
        <v>69.838041096879607</v>
      </c>
    </row>
    <row r="61" spans="1:5" ht="15">
      <c r="A61" s="13">
        <v>43344</v>
      </c>
      <c r="B61" s="4">
        <f>11.7405 * CHOOSE(CONTROL!$C$9, $C$13, 100%, $E$13) + CHOOSE(CONTROL!$C$28, 0.0276, 0)</f>
        <v>11.7681</v>
      </c>
      <c r="C61" s="4">
        <f>11.428 * CHOOSE(CONTROL!$C$9, $C$13, 100%, $E$13) + CHOOSE(CONTROL!$C$28, 0.0276, 0)</f>
        <v>11.4556</v>
      </c>
      <c r="D61" s="4">
        <f>15.8561 * CHOOSE(CONTROL!$C$9, $C$13, 100%, $E$13) + CHOOSE(CONTROL!$C$28, 0, 0)</f>
        <v>15.8561</v>
      </c>
      <c r="E61" s="4">
        <f>67.0549357537041 * CHOOSE(CONTROL!$C$9, $C$13, 100%, $E$13) + CHOOSE(CONTROL!$C$28, 0, 0)</f>
        <v>67.0549357537041</v>
      </c>
    </row>
    <row r="62" spans="1:5" ht="15">
      <c r="A62" s="13">
        <v>43374</v>
      </c>
      <c r="B62" s="4">
        <f>11.4127 * CHOOSE(CONTROL!$C$9, $C$13, 100%, $E$13) + CHOOSE(CONTROL!$C$28, 0.0003, 0)</f>
        <v>11.412999999999998</v>
      </c>
      <c r="C62" s="4">
        <f>11.1002 * CHOOSE(CONTROL!$C$9, $C$13, 100%, $E$13) + CHOOSE(CONTROL!$C$28, 0.0003, 0)</f>
        <v>11.100499999999998</v>
      </c>
      <c r="D62" s="4">
        <f>15.6482 * CHOOSE(CONTROL!$C$9, $C$13, 100%, $E$13) + CHOOSE(CONTROL!$C$28, 0, 0)</f>
        <v>15.648199999999999</v>
      </c>
      <c r="E62" s="4">
        <f>64.8270047707331 * CHOOSE(CONTROL!$C$9, $C$13, 100%, $E$13) + CHOOSE(CONTROL!$C$28, 0, 0)</f>
        <v>64.827004770733097</v>
      </c>
    </row>
    <row r="63" spans="1:5" ht="15">
      <c r="A63" s="13">
        <v>43405</v>
      </c>
      <c r="B63" s="4">
        <f>11.2016 * CHOOSE(CONTROL!$C$9, $C$13, 100%, $E$13) + CHOOSE(CONTROL!$C$28, 0.0003, 0)</f>
        <v>11.201899999999998</v>
      </c>
      <c r="C63" s="4">
        <f>10.8891 * CHOOSE(CONTROL!$C$9, $C$13, 100%, $E$13) + CHOOSE(CONTROL!$C$28, 0.0003, 0)</f>
        <v>10.889399999999998</v>
      </c>
      <c r="D63" s="4">
        <f>15.5767 * CHOOSE(CONTROL!$C$9, $C$13, 100%, $E$13) + CHOOSE(CONTROL!$C$28, 0, 0)</f>
        <v>15.576700000000001</v>
      </c>
      <c r="E63" s="4">
        <f>63.3920508462303 * CHOOSE(CONTROL!$C$9, $C$13, 100%, $E$13) + CHOOSE(CONTROL!$C$28, 0, 0)</f>
        <v>63.392050846230298</v>
      </c>
    </row>
    <row r="64" spans="1:5" ht="15">
      <c r="A64" s="13">
        <v>43435</v>
      </c>
      <c r="B64" s="4">
        <f>11.0555 * CHOOSE(CONTROL!$C$9, $C$13, 100%, $E$13) + CHOOSE(CONTROL!$C$28, 0.0003, 0)</f>
        <v>11.0558</v>
      </c>
      <c r="C64" s="4">
        <f>10.743 * CHOOSE(CONTROL!$C$9, $C$13, 100%, $E$13) + CHOOSE(CONTROL!$C$28, 0.0003, 0)</f>
        <v>10.7433</v>
      </c>
      <c r="D64" s="4">
        <f>15.0506 * CHOOSE(CONTROL!$C$9, $C$13, 100%, $E$13) + CHOOSE(CONTROL!$C$28, 0, 0)</f>
        <v>15.050599999999999</v>
      </c>
      <c r="E64" s="4">
        <f>62.3992471857992 * CHOOSE(CONTROL!$C$9, $C$13, 100%, $E$13) + CHOOSE(CONTROL!$C$28, 0, 0)</f>
        <v>62.399247185799197</v>
      </c>
    </row>
    <row r="65" spans="1:5" ht="15">
      <c r="A65" s="13">
        <v>43466</v>
      </c>
      <c r="B65" s="4">
        <f>10.9535 * CHOOSE(CONTROL!$C$9, $C$13, 100%, $E$13) + CHOOSE(CONTROL!$C$28, 0.0003, 0)</f>
        <v>10.953799999999999</v>
      </c>
      <c r="C65" s="4">
        <f>10.641 * CHOOSE(CONTROL!$C$9, $C$13, 100%, $E$13) + CHOOSE(CONTROL!$C$28, 0.0003, 0)</f>
        <v>10.641299999999999</v>
      </c>
      <c r="D65" s="4">
        <f>14.8191 * CHOOSE(CONTROL!$C$9, $C$13, 100%, $E$13) + CHOOSE(CONTROL!$C$28, 0, 0)</f>
        <v>14.819100000000001</v>
      </c>
      <c r="E65" s="4">
        <f>61.6774713307456 * CHOOSE(CONTROL!$C$9, $C$13, 100%, $E$13) + CHOOSE(CONTROL!$C$28, 0, 0)</f>
        <v>61.677471330745597</v>
      </c>
    </row>
    <row r="66" spans="1:5" ht="15">
      <c r="A66" s="13">
        <v>43497</v>
      </c>
      <c r="B66" s="4">
        <f>11.1691 * CHOOSE(CONTROL!$C$9, $C$13, 100%, $E$13) + CHOOSE(CONTROL!$C$28, 0.0003, 0)</f>
        <v>11.1694</v>
      </c>
      <c r="C66" s="4">
        <f>10.8566 * CHOOSE(CONTROL!$C$9, $C$13, 100%, $E$13) + CHOOSE(CONTROL!$C$28, 0.0003, 0)</f>
        <v>10.8569</v>
      </c>
      <c r="D66" s="4">
        <f>15.3149 * CHOOSE(CONTROL!$C$9, $C$13, 100%, $E$13) + CHOOSE(CONTROL!$C$28, 0, 0)</f>
        <v>15.3149</v>
      </c>
      <c r="E66" s="4">
        <f>63.1419375654665 * CHOOSE(CONTROL!$C$9, $C$13, 100%, $E$13) + CHOOSE(CONTROL!$C$28, 0, 0)</f>
        <v>63.141937565466499</v>
      </c>
    </row>
    <row r="67" spans="1:5" ht="15">
      <c r="A67" s="13">
        <v>43525</v>
      </c>
      <c r="B67" s="4">
        <f>11.7352 * CHOOSE(CONTROL!$C$9, $C$13, 100%, $E$13) + CHOOSE(CONTROL!$C$28, 0.0003, 0)</f>
        <v>11.7355</v>
      </c>
      <c r="C67" s="4">
        <f>11.4227 * CHOOSE(CONTROL!$C$9, $C$13, 100%, $E$13) + CHOOSE(CONTROL!$C$28, 0.0003, 0)</f>
        <v>11.423</v>
      </c>
      <c r="D67" s="4">
        <f>16.0912 * CHOOSE(CONTROL!$C$9, $C$13, 100%, $E$13) + CHOOSE(CONTROL!$C$28, 0, 0)</f>
        <v>16.091200000000001</v>
      </c>
      <c r="E67" s="4">
        <f>66.9877037243059 * CHOOSE(CONTROL!$C$9, $C$13, 100%, $E$13) + CHOOSE(CONTROL!$C$28, 0, 0)</f>
        <v>66.987703724305902</v>
      </c>
    </row>
    <row r="68" spans="1:5" ht="15">
      <c r="A68" s="13">
        <v>43556</v>
      </c>
      <c r="B68" s="4">
        <f>12.1374 * CHOOSE(CONTROL!$C$9, $C$13, 100%, $E$13) + CHOOSE(CONTROL!$C$28, 0.0003, 0)</f>
        <v>12.137699999999999</v>
      </c>
      <c r="C68" s="4">
        <f>11.8249 * CHOOSE(CONTROL!$C$9, $C$13, 100%, $E$13) + CHOOSE(CONTROL!$C$28, 0.0003, 0)</f>
        <v>11.825199999999999</v>
      </c>
      <c r="D68" s="4">
        <f>16.5383 * CHOOSE(CONTROL!$C$9, $C$13, 100%, $E$13) + CHOOSE(CONTROL!$C$28, 0, 0)</f>
        <v>16.5383</v>
      </c>
      <c r="E68" s="4">
        <f>69.7201718317341 * CHOOSE(CONTROL!$C$9, $C$13, 100%, $E$13) + CHOOSE(CONTROL!$C$28, 0, 0)</f>
        <v>69.720171831734106</v>
      </c>
    </row>
    <row r="69" spans="1:5" ht="15">
      <c r="A69" s="13">
        <v>43586</v>
      </c>
      <c r="B69" s="4">
        <f>12.3831 * CHOOSE(CONTROL!$C$9, $C$13, 100%, $E$13) + CHOOSE(CONTROL!$C$28, 0.0276, 0)</f>
        <v>12.4107</v>
      </c>
      <c r="C69" s="4">
        <f>12.0706 * CHOOSE(CONTROL!$C$9, $C$13, 100%, $E$13) + CHOOSE(CONTROL!$C$28, 0.0276, 0)</f>
        <v>12.0982</v>
      </c>
      <c r="D69" s="4">
        <f>16.3616 * CHOOSE(CONTROL!$C$9, $C$13, 100%, $E$13) + CHOOSE(CONTROL!$C$28, 0, 0)</f>
        <v>16.361599999999999</v>
      </c>
      <c r="E69" s="4">
        <f>71.389644357252 * CHOOSE(CONTROL!$C$9, $C$13, 100%, $E$13) + CHOOSE(CONTROL!$C$28, 0, 0)</f>
        <v>71.389644357251996</v>
      </c>
    </row>
    <row r="70" spans="1:5" ht="15">
      <c r="A70" s="13">
        <v>43617</v>
      </c>
      <c r="B70" s="4">
        <f>12.4164 * CHOOSE(CONTROL!$C$9, $C$13, 100%, $E$13) + CHOOSE(CONTROL!$C$28, 0.0276, 0)</f>
        <v>12.443999999999999</v>
      </c>
      <c r="C70" s="4">
        <f>12.1039 * CHOOSE(CONTROL!$C$9, $C$13, 100%, $E$13) + CHOOSE(CONTROL!$C$28, 0.0276, 0)</f>
        <v>12.131499999999999</v>
      </c>
      <c r="D70" s="4">
        <f>16.5055 * CHOOSE(CONTROL!$C$9, $C$13, 100%, $E$13) + CHOOSE(CONTROL!$C$28, 0, 0)</f>
        <v>16.505500000000001</v>
      </c>
      <c r="E70" s="4">
        <f>71.6155309184079 * CHOOSE(CONTROL!$C$9, $C$13, 100%, $E$13) + CHOOSE(CONTROL!$C$28, 0, 0)</f>
        <v>71.615530918407899</v>
      </c>
    </row>
    <row r="71" spans="1:5" ht="15">
      <c r="A71" s="13">
        <v>43647</v>
      </c>
      <c r="B71" s="4">
        <f>12.413 * CHOOSE(CONTROL!$C$9, $C$13, 100%, $E$13) + CHOOSE(CONTROL!$C$28, 0.0276, 0)</f>
        <v>12.4406</v>
      </c>
      <c r="C71" s="4">
        <f>12.1005 * CHOOSE(CONTROL!$C$9, $C$13, 100%, $E$13) + CHOOSE(CONTROL!$C$28, 0.0276, 0)</f>
        <v>12.1281</v>
      </c>
      <c r="D71" s="4">
        <f>16.7651 * CHOOSE(CONTROL!$C$9, $C$13, 100%, $E$13) + CHOOSE(CONTROL!$C$28, 0, 0)</f>
        <v>16.7651</v>
      </c>
      <c r="E71" s="4">
        <f>71.5927524416527 * CHOOSE(CONTROL!$C$9, $C$13, 100%, $E$13) + CHOOSE(CONTROL!$C$28, 0, 0)</f>
        <v>71.592752441652706</v>
      </c>
    </row>
    <row r="72" spans="1:5" ht="15">
      <c r="A72" s="13">
        <v>43678</v>
      </c>
      <c r="B72" s="4">
        <f>12.6653 * CHOOSE(CONTROL!$C$9, $C$13, 100%, $E$13) + CHOOSE(CONTROL!$C$28, 0.0276, 0)</f>
        <v>12.6929</v>
      </c>
      <c r="C72" s="4">
        <f>12.3528 * CHOOSE(CONTROL!$C$9, $C$13, 100%, $E$13) + CHOOSE(CONTROL!$C$28, 0.0276, 0)</f>
        <v>12.3804</v>
      </c>
      <c r="D72" s="4">
        <f>16.5937 * CHOOSE(CONTROL!$C$9, $C$13, 100%, $E$13) + CHOOSE(CONTROL!$C$28, 0, 0)</f>
        <v>16.593699999999998</v>
      </c>
      <c r="E72" s="4">
        <f>73.3068328174829 * CHOOSE(CONTROL!$C$9, $C$13, 100%, $E$13) + CHOOSE(CONTROL!$C$28, 0, 0)</f>
        <v>73.306832817482899</v>
      </c>
    </row>
    <row r="73" spans="1:5" ht="15">
      <c r="A73" s="13">
        <v>43709</v>
      </c>
      <c r="B73" s="4">
        <f>12.2353 * CHOOSE(CONTROL!$C$9, $C$13, 100%, $E$13) + CHOOSE(CONTROL!$C$28, 0.0276, 0)</f>
        <v>12.2629</v>
      </c>
      <c r="C73" s="4">
        <f>11.9228 * CHOOSE(CONTROL!$C$9, $C$13, 100%, $E$13) + CHOOSE(CONTROL!$C$28, 0.0276, 0)</f>
        <v>11.9504</v>
      </c>
      <c r="D73" s="4">
        <f>16.5127 * CHOOSE(CONTROL!$C$9, $C$13, 100%, $E$13) + CHOOSE(CONTROL!$C$28, 0, 0)</f>
        <v>16.512699999999999</v>
      </c>
      <c r="E73" s="4">
        <f>70.3854931736261 * CHOOSE(CONTROL!$C$9, $C$13, 100%, $E$13) + CHOOSE(CONTROL!$C$28, 0, 0)</f>
        <v>70.385493173626102</v>
      </c>
    </row>
    <row r="74" spans="1:5" ht="15">
      <c r="A74" s="13">
        <v>43739</v>
      </c>
      <c r="B74" s="4">
        <f>11.8911 * CHOOSE(CONTROL!$C$9, $C$13, 100%, $E$13) + CHOOSE(CONTROL!$C$28, 0.0003, 0)</f>
        <v>11.891399999999999</v>
      </c>
      <c r="C74" s="4">
        <f>11.5786 * CHOOSE(CONTROL!$C$9, $C$13, 100%, $E$13) + CHOOSE(CONTROL!$C$28, 0.0003, 0)</f>
        <v>11.578899999999999</v>
      </c>
      <c r="D74" s="4">
        <f>16.2957 * CHOOSE(CONTROL!$C$9, $C$13, 100%, $E$13) + CHOOSE(CONTROL!$C$28, 0, 0)</f>
        <v>16.2957</v>
      </c>
      <c r="E74" s="4">
        <f>68.0469028934236 * CHOOSE(CONTROL!$C$9, $C$13, 100%, $E$13) + CHOOSE(CONTROL!$C$28, 0, 0)</f>
        <v>68.046902893423606</v>
      </c>
    </row>
    <row r="75" spans="1:5" ht="15">
      <c r="A75" s="13">
        <v>43770</v>
      </c>
      <c r="B75" s="4">
        <f>11.6694 * CHOOSE(CONTROL!$C$9, $C$13, 100%, $E$13) + CHOOSE(CONTROL!$C$28, 0.0003, 0)</f>
        <v>11.669699999999999</v>
      </c>
      <c r="C75" s="4">
        <f>11.3569 * CHOOSE(CONTROL!$C$9, $C$13, 100%, $E$13) + CHOOSE(CONTROL!$C$28, 0.0003, 0)</f>
        <v>11.357199999999999</v>
      </c>
      <c r="D75" s="4">
        <f>16.2212 * CHOOSE(CONTROL!$C$9, $C$13, 100%, $E$13) + CHOOSE(CONTROL!$C$28, 0, 0)</f>
        <v>16.2212</v>
      </c>
      <c r="E75" s="4">
        <f>66.5406761179848 * CHOOSE(CONTROL!$C$9, $C$13, 100%, $E$13) + CHOOSE(CONTROL!$C$28, 0, 0)</f>
        <v>66.540676117984802</v>
      </c>
    </row>
    <row r="76" spans="1:5" ht="15">
      <c r="A76" s="13">
        <v>43800</v>
      </c>
      <c r="B76" s="4">
        <f>11.516 * CHOOSE(CONTROL!$C$9, $C$13, 100%, $E$13) + CHOOSE(CONTROL!$C$28, 0.0003, 0)</f>
        <v>11.516299999999999</v>
      </c>
      <c r="C76" s="4">
        <f>11.2035 * CHOOSE(CONTROL!$C$9, $C$13, 100%, $E$13) + CHOOSE(CONTROL!$C$28, 0.0003, 0)</f>
        <v>11.203799999999999</v>
      </c>
      <c r="D76" s="4">
        <f>15.6721 * CHOOSE(CONTROL!$C$9, $C$13, 100%, $E$13) + CHOOSE(CONTROL!$C$28, 0, 0)</f>
        <v>15.6721</v>
      </c>
      <c r="E76" s="4">
        <f>65.4985608064335 * CHOOSE(CONTROL!$C$9, $C$13, 100%, $E$13) + CHOOSE(CONTROL!$C$28, 0, 0)</f>
        <v>65.498560806433503</v>
      </c>
    </row>
    <row r="77" spans="1:5" ht="15">
      <c r="A77" s="13">
        <v>43831</v>
      </c>
      <c r="B77" s="4">
        <f>13.1135 * CHOOSE(CONTROL!$C$9, $C$13, 100%, $E$13) + CHOOSE(CONTROL!$C$28, 0.0003, 0)</f>
        <v>13.113799999999999</v>
      </c>
      <c r="C77" s="4">
        <f>12.801 * CHOOSE(CONTROL!$C$9, $C$13, 100%, $E$13) + CHOOSE(CONTROL!$C$28, 0.0003, 0)</f>
        <v>12.801299999999999</v>
      </c>
      <c r="D77" s="4">
        <f>17.1935 * CHOOSE(CONTROL!$C$9, $C$13, 100%, $E$13) + CHOOSE(CONTROL!$C$28, 0, 0)</f>
        <v>17.1935</v>
      </c>
      <c r="E77" s="4">
        <f>75.4372445447902 * CHOOSE(CONTROL!$C$9, $C$13, 100%, $E$13) + CHOOSE(CONTROL!$C$28, 0, 0)</f>
        <v>75.437244544790204</v>
      </c>
    </row>
    <row r="78" spans="1:5" ht="15">
      <c r="A78" s="13">
        <v>43862</v>
      </c>
      <c r="B78" s="4">
        <f>13.3804 * CHOOSE(CONTROL!$C$9, $C$13, 100%, $E$13) + CHOOSE(CONTROL!$C$28, 0.0003, 0)</f>
        <v>13.380699999999999</v>
      </c>
      <c r="C78" s="4">
        <f>13.0679 * CHOOSE(CONTROL!$C$9, $C$13, 100%, $E$13) + CHOOSE(CONTROL!$C$28, 0.0003, 0)</f>
        <v>13.068199999999999</v>
      </c>
      <c r="D78" s="4">
        <f>17.7731 * CHOOSE(CONTROL!$C$9, $C$13, 100%, $E$13) + CHOOSE(CONTROL!$C$28, 0, 0)</f>
        <v>17.773099999999999</v>
      </c>
      <c r="E78" s="4">
        <f>77.2284220216327 * CHOOSE(CONTROL!$C$9, $C$13, 100%, $E$13) + CHOOSE(CONTROL!$C$28, 0, 0)</f>
        <v>77.228422021632696</v>
      </c>
    </row>
    <row r="79" spans="1:5" ht="15">
      <c r="A79" s="13">
        <v>43891</v>
      </c>
      <c r="B79" s="4">
        <f>14.0811 * CHOOSE(CONTROL!$C$9, $C$13, 100%, $E$13) + CHOOSE(CONTROL!$C$28, 0.0003, 0)</f>
        <v>14.081399999999999</v>
      </c>
      <c r="C79" s="4">
        <f>13.7686 * CHOOSE(CONTROL!$C$9, $C$13, 100%, $E$13) + CHOOSE(CONTROL!$C$28, 0.0003, 0)</f>
        <v>13.768899999999999</v>
      </c>
      <c r="D79" s="4">
        <f>18.6806 * CHOOSE(CONTROL!$C$9, $C$13, 100%, $E$13) + CHOOSE(CONTROL!$C$28, 0, 0)</f>
        <v>18.680599999999998</v>
      </c>
      <c r="E79" s="4">
        <f>81.9321492647732 * CHOOSE(CONTROL!$C$9, $C$13, 100%, $E$13) + CHOOSE(CONTROL!$C$28, 0, 0)</f>
        <v>81.932149264773201</v>
      </c>
    </row>
    <row r="80" spans="1:5" ht="15">
      <c r="A80" s="13">
        <v>43922</v>
      </c>
      <c r="B80" s="4">
        <f>14.579 * CHOOSE(CONTROL!$C$9, $C$13, 100%, $E$13) + CHOOSE(CONTROL!$C$28, 0.0003, 0)</f>
        <v>14.5793</v>
      </c>
      <c r="C80" s="4">
        <f>14.2665 * CHOOSE(CONTROL!$C$9, $C$13, 100%, $E$13) + CHOOSE(CONTROL!$C$28, 0.0003, 0)</f>
        <v>14.2668</v>
      </c>
      <c r="D80" s="4">
        <f>19.2033 * CHOOSE(CONTROL!$C$9, $C$13, 100%, $E$13) + CHOOSE(CONTROL!$C$28, 0, 0)</f>
        <v>19.203299999999999</v>
      </c>
      <c r="E80" s="4">
        <f>85.2742101564321 * CHOOSE(CONTROL!$C$9, $C$13, 100%, $E$13) + CHOOSE(CONTROL!$C$28, 0, 0)</f>
        <v>85.274210156432105</v>
      </c>
    </row>
    <row r="81" spans="1:5" ht="15">
      <c r="A81" s="13">
        <v>43952</v>
      </c>
      <c r="B81" s="4">
        <f>14.8832 * CHOOSE(CONTROL!$C$9, $C$13, 100%, $E$13) + CHOOSE(CONTROL!$C$28, 0.0276, 0)</f>
        <v>14.9108</v>
      </c>
      <c r="C81" s="4">
        <f>14.5707 * CHOOSE(CONTROL!$C$9, $C$13, 100%, $E$13) + CHOOSE(CONTROL!$C$28, 0.0276, 0)</f>
        <v>14.5983</v>
      </c>
      <c r="D81" s="4">
        <f>18.9967 * CHOOSE(CONTROL!$C$9, $C$13, 100%, $E$13) + CHOOSE(CONTROL!$C$28, 0, 0)</f>
        <v>18.996700000000001</v>
      </c>
      <c r="E81" s="4">
        <f>87.316129263215 * CHOOSE(CONTROL!$C$9, $C$13, 100%, $E$13) + CHOOSE(CONTROL!$C$28, 0, 0)</f>
        <v>87.316129263215004</v>
      </c>
    </row>
    <row r="82" spans="1:5" ht="15">
      <c r="A82" s="13">
        <v>43983</v>
      </c>
      <c r="B82" s="4">
        <f>14.9244 * CHOOSE(CONTROL!$C$9, $C$13, 100%, $E$13) + CHOOSE(CONTROL!$C$28, 0.0276, 0)</f>
        <v>14.952</v>
      </c>
      <c r="C82" s="4">
        <f>14.6119 * CHOOSE(CONTROL!$C$9, $C$13, 100%, $E$13) + CHOOSE(CONTROL!$C$28, 0.0276, 0)</f>
        <v>14.6395</v>
      </c>
      <c r="D82" s="4">
        <f>19.1649 * CHOOSE(CONTROL!$C$9, $C$13, 100%, $E$13) + CHOOSE(CONTROL!$C$28, 0, 0)</f>
        <v>19.164899999999999</v>
      </c>
      <c r="E82" s="4">
        <f>87.5924093925011 * CHOOSE(CONTROL!$C$9, $C$13, 100%, $E$13) + CHOOSE(CONTROL!$C$28, 0, 0)</f>
        <v>87.592409392501096</v>
      </c>
    </row>
    <row r="83" spans="1:5" ht="15">
      <c r="A83" s="13">
        <v>44013</v>
      </c>
      <c r="B83" s="4">
        <f>14.9202 * CHOOSE(CONTROL!$C$9, $C$13, 100%, $E$13) + CHOOSE(CONTROL!$C$28, 0.0276, 0)</f>
        <v>14.947799999999999</v>
      </c>
      <c r="C83" s="4">
        <f>14.6077 * CHOOSE(CONTROL!$C$9, $C$13, 100%, $E$13) + CHOOSE(CONTROL!$C$28, 0.0276, 0)</f>
        <v>14.635299999999999</v>
      </c>
      <c r="D83" s="4">
        <f>19.4684 * CHOOSE(CONTROL!$C$9, $C$13, 100%, $E$13) + CHOOSE(CONTROL!$C$28, 0, 0)</f>
        <v>19.468399999999999</v>
      </c>
      <c r="E83" s="4">
        <f>87.5645492113967 * CHOOSE(CONTROL!$C$9, $C$13, 100%, $E$13) + CHOOSE(CONTROL!$C$28, 0, 0)</f>
        <v>87.564549211396695</v>
      </c>
    </row>
    <row r="84" spans="1:5" ht="15">
      <c r="A84" s="13">
        <v>44044</v>
      </c>
      <c r="B84" s="4">
        <f>15.2326 * CHOOSE(CONTROL!$C$9, $C$13, 100%, $E$13) + CHOOSE(CONTROL!$C$28, 0.0276, 0)</f>
        <v>15.260199999999999</v>
      </c>
      <c r="C84" s="4">
        <f>14.9201 * CHOOSE(CONTROL!$C$9, $C$13, 100%, $E$13) + CHOOSE(CONTROL!$C$28, 0.0276, 0)</f>
        <v>14.947699999999999</v>
      </c>
      <c r="D84" s="4">
        <f>19.268 * CHOOSE(CONTROL!$C$9, $C$13, 100%, $E$13) + CHOOSE(CONTROL!$C$28, 0, 0)</f>
        <v>19.268000000000001</v>
      </c>
      <c r="E84" s="4">
        <f>89.6610278395092 * CHOOSE(CONTROL!$C$9, $C$13, 100%, $E$13) + CHOOSE(CONTROL!$C$28, 0, 0)</f>
        <v>89.661027839509202</v>
      </c>
    </row>
    <row r="85" spans="1:5" ht="15">
      <c r="A85" s="13">
        <v>44075</v>
      </c>
      <c r="B85" s="4">
        <f>14.7003 * CHOOSE(CONTROL!$C$9, $C$13, 100%, $E$13) + CHOOSE(CONTROL!$C$28, 0.0276, 0)</f>
        <v>14.7279</v>
      </c>
      <c r="C85" s="4">
        <f>14.3878 * CHOOSE(CONTROL!$C$9, $C$13, 100%, $E$13) + CHOOSE(CONTROL!$C$28, 0.0276, 0)</f>
        <v>14.4154</v>
      </c>
      <c r="D85" s="4">
        <f>19.1733 * CHOOSE(CONTROL!$C$9, $C$13, 100%, $E$13) + CHOOSE(CONTROL!$C$28, 0, 0)</f>
        <v>19.173300000000001</v>
      </c>
      <c r="E85" s="4">
        <f>86.087959612859 * CHOOSE(CONTROL!$C$9, $C$13, 100%, $E$13) + CHOOSE(CONTROL!$C$28, 0, 0)</f>
        <v>86.087959612858995</v>
      </c>
    </row>
    <row r="86" spans="1:5" ht="15">
      <c r="A86" s="13">
        <v>44105</v>
      </c>
      <c r="B86" s="4">
        <f>14.2741 * CHOOSE(CONTROL!$C$9, $C$13, 100%, $E$13) + CHOOSE(CONTROL!$C$28, 0.0003, 0)</f>
        <v>14.2744</v>
      </c>
      <c r="C86" s="4">
        <f>13.9616 * CHOOSE(CONTROL!$C$9, $C$13, 100%, $E$13) + CHOOSE(CONTROL!$C$28, 0.0003, 0)</f>
        <v>13.9619</v>
      </c>
      <c r="D86" s="4">
        <f>18.9197 * CHOOSE(CONTROL!$C$9, $C$13, 100%, $E$13) + CHOOSE(CONTROL!$C$28, 0, 0)</f>
        <v>18.919699999999999</v>
      </c>
      <c r="E86" s="4">
        <f>83.2276476861318 * CHOOSE(CONTROL!$C$9, $C$13, 100%, $E$13) + CHOOSE(CONTROL!$C$28, 0, 0)</f>
        <v>83.227647686131803</v>
      </c>
    </row>
    <row r="87" spans="1:5" ht="15">
      <c r="A87" s="13">
        <v>44136</v>
      </c>
      <c r="B87" s="4">
        <f>13.9997 * CHOOSE(CONTROL!$C$9, $C$13, 100%, $E$13) + CHOOSE(CONTROL!$C$28, 0.0003, 0)</f>
        <v>14</v>
      </c>
      <c r="C87" s="4">
        <f>13.6872 * CHOOSE(CONTROL!$C$9, $C$13, 100%, $E$13) + CHOOSE(CONTROL!$C$28, 0.0003, 0)</f>
        <v>13.6875</v>
      </c>
      <c r="D87" s="4">
        <f>18.8325 * CHOOSE(CONTROL!$C$9, $C$13, 100%, $E$13) + CHOOSE(CONTROL!$C$28, 0, 0)</f>
        <v>18.8325</v>
      </c>
      <c r="E87" s="4">
        <f>81.3853932105977 * CHOOSE(CONTROL!$C$9, $C$13, 100%, $E$13) + CHOOSE(CONTROL!$C$28, 0, 0)</f>
        <v>81.385393210597698</v>
      </c>
    </row>
    <row r="88" spans="1:5" ht="15">
      <c r="A88" s="13">
        <v>44166</v>
      </c>
      <c r="B88" s="4">
        <f>13.8098 * CHOOSE(CONTROL!$C$9, $C$13, 100%, $E$13) + CHOOSE(CONTROL!$C$28, 0.0003, 0)</f>
        <v>13.810099999999998</v>
      </c>
      <c r="C88" s="4">
        <f>13.4973 * CHOOSE(CONTROL!$C$9, $C$13, 100%, $E$13) + CHOOSE(CONTROL!$C$28, 0.0003, 0)</f>
        <v>13.497599999999998</v>
      </c>
      <c r="D88" s="4">
        <f>18.1907 * CHOOSE(CONTROL!$C$9, $C$13, 100%, $E$13) + CHOOSE(CONTROL!$C$28, 0, 0)</f>
        <v>18.1907</v>
      </c>
      <c r="E88" s="4">
        <f>80.1107899250676 * CHOOSE(CONTROL!$C$9, $C$13, 100%, $E$13) + CHOOSE(CONTROL!$C$28, 0, 0)</f>
        <v>80.110789925067607</v>
      </c>
    </row>
    <row r="89" spans="1:5" ht="15">
      <c r="A89" s="13">
        <v>44197</v>
      </c>
      <c r="B89" s="4">
        <f>13.7765 * CHOOSE(CONTROL!$C$9, $C$13, 100%, $E$13) + CHOOSE(CONTROL!$C$28, 0.0003, 0)</f>
        <v>13.7768</v>
      </c>
      <c r="C89" s="4">
        <f>13.464 * CHOOSE(CONTROL!$C$9, $C$13, 100%, $E$13) + CHOOSE(CONTROL!$C$28, 0.0003, 0)</f>
        <v>13.4643</v>
      </c>
      <c r="D89" s="4">
        <f>17.8427 * CHOOSE(CONTROL!$C$9, $C$13, 100%, $E$13) + CHOOSE(CONTROL!$C$28, 0, 0)</f>
        <v>17.842700000000001</v>
      </c>
      <c r="E89" s="4">
        <f>78.4971529461751 * CHOOSE(CONTROL!$C$9, $C$13, 100%, $E$13) + CHOOSE(CONTROL!$C$28, 0, 0)</f>
        <v>78.497152946175106</v>
      </c>
    </row>
    <row r="90" spans="1:5" ht="15">
      <c r="A90" s="13">
        <v>44228</v>
      </c>
      <c r="B90" s="4">
        <f>14.0591 * CHOOSE(CONTROL!$C$9, $C$13, 100%, $E$13) + CHOOSE(CONTROL!$C$28, 0.0003, 0)</f>
        <v>14.0594</v>
      </c>
      <c r="C90" s="4">
        <f>13.7466 * CHOOSE(CONTROL!$C$9, $C$13, 100%, $E$13) + CHOOSE(CONTROL!$C$28, 0.0003, 0)</f>
        <v>13.7469</v>
      </c>
      <c r="D90" s="4">
        <f>18.4452 * CHOOSE(CONTROL!$C$9, $C$13, 100%, $E$13) + CHOOSE(CONTROL!$C$28, 0, 0)</f>
        <v>18.4452</v>
      </c>
      <c r="E90" s="4">
        <f>80.3609847072885 * CHOOSE(CONTROL!$C$9, $C$13, 100%, $E$13) + CHOOSE(CONTROL!$C$28, 0, 0)</f>
        <v>80.360984707288495</v>
      </c>
    </row>
    <row r="91" spans="1:5" ht="15">
      <c r="A91" s="13">
        <v>44256</v>
      </c>
      <c r="B91" s="4">
        <f>14.8012 * CHOOSE(CONTROL!$C$9, $C$13, 100%, $E$13) + CHOOSE(CONTROL!$C$28, 0.0003, 0)</f>
        <v>14.801499999999999</v>
      </c>
      <c r="C91" s="4">
        <f>14.4887 * CHOOSE(CONTROL!$C$9, $C$13, 100%, $E$13) + CHOOSE(CONTROL!$C$28, 0.0003, 0)</f>
        <v>14.488999999999999</v>
      </c>
      <c r="D91" s="4">
        <f>19.3885 * CHOOSE(CONTROL!$C$9, $C$13, 100%, $E$13) + CHOOSE(CONTROL!$C$28, 0, 0)</f>
        <v>19.388500000000001</v>
      </c>
      <c r="E91" s="4">
        <f>85.2555059620072 * CHOOSE(CONTROL!$C$9, $C$13, 100%, $E$13) + CHOOSE(CONTROL!$C$28, 0, 0)</f>
        <v>85.255505962007206</v>
      </c>
    </row>
    <row r="92" spans="1:5" ht="15">
      <c r="A92" s="13">
        <v>44287</v>
      </c>
      <c r="B92" s="4">
        <f>15.3285 * CHOOSE(CONTROL!$C$9, $C$13, 100%, $E$13) + CHOOSE(CONTROL!$C$28, 0.0003, 0)</f>
        <v>15.328799999999999</v>
      </c>
      <c r="C92" s="4">
        <f>15.016 * CHOOSE(CONTROL!$C$9, $C$13, 100%, $E$13) + CHOOSE(CONTROL!$C$28, 0.0003, 0)</f>
        <v>15.016299999999999</v>
      </c>
      <c r="D92" s="4">
        <f>19.9319 * CHOOSE(CONTROL!$C$9, $C$13, 100%, $E$13) + CHOOSE(CONTROL!$C$28, 0, 0)</f>
        <v>19.931899999999999</v>
      </c>
      <c r="E92" s="4">
        <f>88.733128541557 * CHOOSE(CONTROL!$C$9, $C$13, 100%, $E$13) + CHOOSE(CONTROL!$C$28, 0, 0)</f>
        <v>88.733128541556994</v>
      </c>
    </row>
    <row r="93" spans="1:5" ht="15">
      <c r="A93" s="13">
        <v>44317</v>
      </c>
      <c r="B93" s="4">
        <f>15.6507 * CHOOSE(CONTROL!$C$9, $C$13, 100%, $E$13) + CHOOSE(CONTROL!$C$28, 0.0276, 0)</f>
        <v>15.6783</v>
      </c>
      <c r="C93" s="4">
        <f>15.3382 * CHOOSE(CONTROL!$C$9, $C$13, 100%, $E$13) + CHOOSE(CONTROL!$C$28, 0.0276, 0)</f>
        <v>15.3658</v>
      </c>
      <c r="D93" s="4">
        <f>19.7171 * CHOOSE(CONTROL!$C$9, $C$13, 100%, $E$13) + CHOOSE(CONTROL!$C$28, 0, 0)</f>
        <v>19.717099999999999</v>
      </c>
      <c r="E93" s="4">
        <f>90.857872590681 * CHOOSE(CONTROL!$C$9, $C$13, 100%, $E$13) + CHOOSE(CONTROL!$C$28, 0, 0)</f>
        <v>90.857872590680998</v>
      </c>
    </row>
    <row r="94" spans="1:5" ht="15">
      <c r="A94" s="13">
        <v>44348</v>
      </c>
      <c r="B94" s="4">
        <f>15.6942 * CHOOSE(CONTROL!$C$9, $C$13, 100%, $E$13) + CHOOSE(CONTROL!$C$28, 0.0276, 0)</f>
        <v>15.7218</v>
      </c>
      <c r="C94" s="4">
        <f>15.3817 * CHOOSE(CONTROL!$C$9, $C$13, 100%, $E$13) + CHOOSE(CONTROL!$C$28, 0.0276, 0)</f>
        <v>15.4093</v>
      </c>
      <c r="D94" s="4">
        <f>19.892 * CHOOSE(CONTROL!$C$9, $C$13, 100%, $E$13) + CHOOSE(CONTROL!$C$28, 0, 0)</f>
        <v>19.891999999999999</v>
      </c>
      <c r="E94" s="4">
        <f>91.1453592783964 * CHOOSE(CONTROL!$C$9, $C$13, 100%, $E$13) + CHOOSE(CONTROL!$C$28, 0, 0)</f>
        <v>91.145359278396398</v>
      </c>
    </row>
    <row r="95" spans="1:5" ht="15">
      <c r="A95" s="13">
        <v>44378</v>
      </c>
      <c r="B95" s="4">
        <f>15.6898 * CHOOSE(CONTROL!$C$9, $C$13, 100%, $E$13) + CHOOSE(CONTROL!$C$28, 0.0276, 0)</f>
        <v>15.7174</v>
      </c>
      <c r="C95" s="4">
        <f>15.3773 * CHOOSE(CONTROL!$C$9, $C$13, 100%, $E$13) + CHOOSE(CONTROL!$C$28, 0.0276, 0)</f>
        <v>15.4049</v>
      </c>
      <c r="D95" s="4">
        <f>20.2075 * CHOOSE(CONTROL!$C$9, $C$13, 100%, $E$13) + CHOOSE(CONTROL!$C$28, 0, 0)</f>
        <v>20.2075</v>
      </c>
      <c r="E95" s="4">
        <f>91.116369024173 * CHOOSE(CONTROL!$C$9, $C$13, 100%, $E$13) + CHOOSE(CONTROL!$C$28, 0, 0)</f>
        <v>91.116369024172997</v>
      </c>
    </row>
    <row r="96" spans="1:5" ht="15">
      <c r="A96" s="13">
        <v>44409</v>
      </c>
      <c r="B96" s="4">
        <f>16.0206 * CHOOSE(CONTROL!$C$9, $C$13, 100%, $E$13) + CHOOSE(CONTROL!$C$28, 0.0276, 0)</f>
        <v>16.048200000000001</v>
      </c>
      <c r="C96" s="4">
        <f>15.7081 * CHOOSE(CONTROL!$C$9, $C$13, 100%, $E$13) + CHOOSE(CONTROL!$C$28, 0.0276, 0)</f>
        <v>15.7357</v>
      </c>
      <c r="D96" s="4">
        <f>19.9992 * CHOOSE(CONTROL!$C$9, $C$13, 100%, $E$13) + CHOOSE(CONTROL!$C$28, 0, 0)</f>
        <v>19.999199999999998</v>
      </c>
      <c r="E96" s="4">
        <f>93.2978856544845 * CHOOSE(CONTROL!$C$9, $C$13, 100%, $E$13) + CHOOSE(CONTROL!$C$28, 0, 0)</f>
        <v>93.297885654484503</v>
      </c>
    </row>
    <row r="97" spans="1:5" ht="15">
      <c r="A97" s="13">
        <v>44440</v>
      </c>
      <c r="B97" s="4">
        <f>15.4569 * CHOOSE(CONTROL!$C$9, $C$13, 100%, $E$13) + CHOOSE(CONTROL!$C$28, 0.0276, 0)</f>
        <v>15.484499999999999</v>
      </c>
      <c r="C97" s="4">
        <f>15.1444 * CHOOSE(CONTROL!$C$9, $C$13, 100%, $E$13) + CHOOSE(CONTROL!$C$28, 0.0276, 0)</f>
        <v>15.171999999999999</v>
      </c>
      <c r="D97" s="4">
        <f>19.9007 * CHOOSE(CONTROL!$C$9, $C$13, 100%, $E$13) + CHOOSE(CONTROL!$C$28, 0, 0)</f>
        <v>19.900700000000001</v>
      </c>
      <c r="E97" s="4">
        <f>89.5798855503324 * CHOOSE(CONTROL!$C$9, $C$13, 100%, $E$13) + CHOOSE(CONTROL!$C$28, 0, 0)</f>
        <v>89.579885550332406</v>
      </c>
    </row>
    <row r="98" spans="1:5" ht="15">
      <c r="A98" s="13">
        <v>44470</v>
      </c>
      <c r="B98" s="4">
        <f>15.0056 * CHOOSE(CONTROL!$C$9, $C$13, 100%, $E$13) + CHOOSE(CONTROL!$C$28, 0.0003, 0)</f>
        <v>15.005899999999999</v>
      </c>
      <c r="C98" s="4">
        <f>14.6931 * CHOOSE(CONTROL!$C$9, $C$13, 100%, $E$13) + CHOOSE(CONTROL!$C$28, 0.0003, 0)</f>
        <v>14.693399999999999</v>
      </c>
      <c r="D98" s="4">
        <f>19.6371 * CHOOSE(CONTROL!$C$9, $C$13, 100%, $E$13) + CHOOSE(CONTROL!$C$28, 0, 0)</f>
        <v>19.6371</v>
      </c>
      <c r="E98" s="4">
        <f>86.6035527833958 * CHOOSE(CONTROL!$C$9, $C$13, 100%, $E$13) + CHOOSE(CONTROL!$C$28, 0, 0)</f>
        <v>86.603552783395799</v>
      </c>
    </row>
    <row r="99" spans="1:5" ht="15">
      <c r="A99" s="13">
        <v>44501</v>
      </c>
      <c r="B99" s="4">
        <f>14.715 * CHOOSE(CONTROL!$C$9, $C$13, 100%, $E$13) + CHOOSE(CONTROL!$C$28, 0.0003, 0)</f>
        <v>14.715299999999999</v>
      </c>
      <c r="C99" s="4">
        <f>14.4025 * CHOOSE(CONTROL!$C$9, $C$13, 100%, $E$13) + CHOOSE(CONTROL!$C$28, 0.0003, 0)</f>
        <v>14.402799999999999</v>
      </c>
      <c r="D99" s="4">
        <f>19.5465 * CHOOSE(CONTROL!$C$9, $C$13, 100%, $E$13) + CHOOSE(CONTROL!$C$28, 0, 0)</f>
        <v>19.546500000000002</v>
      </c>
      <c r="E99" s="4">
        <f>84.6865722228729 * CHOOSE(CONTROL!$C$9, $C$13, 100%, $E$13) + CHOOSE(CONTROL!$C$28, 0, 0)</f>
        <v>84.686572222872897</v>
      </c>
    </row>
    <row r="100" spans="1:5" ht="15">
      <c r="A100" s="13">
        <v>44531</v>
      </c>
      <c r="B100" s="4">
        <f>14.5139 * CHOOSE(CONTROL!$C$9, $C$13, 100%, $E$13) + CHOOSE(CONTROL!$C$28, 0.0003, 0)</f>
        <v>14.514199999999999</v>
      </c>
      <c r="C100" s="4">
        <f>14.2014 * CHOOSE(CONTROL!$C$9, $C$13, 100%, $E$13) + CHOOSE(CONTROL!$C$28, 0.0003, 0)</f>
        <v>14.201699999999999</v>
      </c>
      <c r="D100" s="4">
        <f>18.8793 * CHOOSE(CONTROL!$C$9, $C$13, 100%, $E$13) + CHOOSE(CONTROL!$C$28, 0, 0)</f>
        <v>18.879300000000001</v>
      </c>
      <c r="E100" s="4">
        <f>83.3602680921519 * CHOOSE(CONTROL!$C$9, $C$13, 100%, $E$13) + CHOOSE(CONTROL!$C$28, 0, 0)</f>
        <v>83.360268092151898</v>
      </c>
    </row>
    <row r="101" spans="1:5" ht="15">
      <c r="A101" s="13">
        <v>44562</v>
      </c>
      <c r="B101" s="4">
        <f>14.2688 * CHOOSE(CONTROL!$C$9, $C$13, 100%, $E$13) + CHOOSE(CONTROL!$C$28, 0.0003, 0)</f>
        <v>14.2691</v>
      </c>
      <c r="C101" s="4">
        <f>13.9563 * CHOOSE(CONTROL!$C$9, $C$13, 100%, $E$13) + CHOOSE(CONTROL!$C$28, 0.0003, 0)</f>
        <v>13.9566</v>
      </c>
      <c r="D101" s="4">
        <f>18.5295 * CHOOSE(CONTROL!$C$9, $C$13, 100%, $E$13) + CHOOSE(CONTROL!$C$28, 0, 0)</f>
        <v>18.529499999999999</v>
      </c>
      <c r="E101" s="4">
        <f>81.5745338662004 * CHOOSE(CONTROL!$C$9, $C$13, 100%, $E$13) + CHOOSE(CONTROL!$C$28, 0, 0)</f>
        <v>81.574533866200397</v>
      </c>
    </row>
    <row r="102" spans="1:5" ht="15">
      <c r="A102" s="13">
        <v>44593</v>
      </c>
      <c r="B102" s="4">
        <f>14.5631 * CHOOSE(CONTROL!$C$9, $C$13, 100%, $E$13) + CHOOSE(CONTROL!$C$28, 0.0003, 0)</f>
        <v>14.5634</v>
      </c>
      <c r="C102" s="4">
        <f>14.2506 * CHOOSE(CONTROL!$C$9, $C$13, 100%, $E$13) + CHOOSE(CONTROL!$C$28, 0.0003, 0)</f>
        <v>14.2509</v>
      </c>
      <c r="D102" s="4">
        <f>19.1563 * CHOOSE(CONTROL!$C$9, $C$13, 100%, $E$13) + CHOOSE(CONTROL!$C$28, 0, 0)</f>
        <v>19.156300000000002</v>
      </c>
      <c r="E102" s="4">
        <f>83.5114347780346 * CHOOSE(CONTROL!$C$9, $C$13, 100%, $E$13) + CHOOSE(CONTROL!$C$28, 0, 0)</f>
        <v>83.511434778034598</v>
      </c>
    </row>
    <row r="103" spans="1:5" ht="15">
      <c r="A103" s="13">
        <v>44621</v>
      </c>
      <c r="B103" s="4">
        <f>15.3359 * CHOOSE(CONTROL!$C$9, $C$13, 100%, $E$13) + CHOOSE(CONTROL!$C$28, 0.0003, 0)</f>
        <v>15.3362</v>
      </c>
      <c r="C103" s="4">
        <f>15.0234 * CHOOSE(CONTROL!$C$9, $C$13, 100%, $E$13) + CHOOSE(CONTROL!$C$28, 0.0003, 0)</f>
        <v>15.0237</v>
      </c>
      <c r="D103" s="4">
        <f>20.1375 * CHOOSE(CONTROL!$C$9, $C$13, 100%, $E$13) + CHOOSE(CONTROL!$C$28, 0, 0)</f>
        <v>20.137499999999999</v>
      </c>
      <c r="E103" s="4">
        <f>88.597839505677 * CHOOSE(CONTROL!$C$9, $C$13, 100%, $E$13) + CHOOSE(CONTROL!$C$28, 0, 0)</f>
        <v>88.597839505677001</v>
      </c>
    </row>
    <row r="104" spans="1:5" ht="15">
      <c r="A104" s="13">
        <v>44652</v>
      </c>
      <c r="B104" s="4">
        <f>15.8849 * CHOOSE(CONTROL!$C$9, $C$13, 100%, $E$13) + CHOOSE(CONTROL!$C$28, 0.0003, 0)</f>
        <v>15.885199999999999</v>
      </c>
      <c r="C104" s="4">
        <f>15.5724 * CHOOSE(CONTROL!$C$9, $C$13, 100%, $E$13) + CHOOSE(CONTROL!$C$28, 0.0003, 0)</f>
        <v>15.572699999999999</v>
      </c>
      <c r="D104" s="4">
        <f>20.7027 * CHOOSE(CONTROL!$C$9, $C$13, 100%, $E$13) + CHOOSE(CONTROL!$C$28, 0, 0)</f>
        <v>20.7027</v>
      </c>
      <c r="E104" s="4">
        <f>92.2117978499225 * CHOOSE(CONTROL!$C$9, $C$13, 100%, $E$13) + CHOOSE(CONTROL!$C$28, 0, 0)</f>
        <v>92.211797849922505</v>
      </c>
    </row>
    <row r="105" spans="1:5" ht="15">
      <c r="A105" s="13">
        <v>44682</v>
      </c>
      <c r="B105" s="4">
        <f>16.2204 * CHOOSE(CONTROL!$C$9, $C$13, 100%, $E$13) + CHOOSE(CONTROL!$C$28, 0.0276, 0)</f>
        <v>16.248000000000001</v>
      </c>
      <c r="C105" s="4">
        <f>15.9079 * CHOOSE(CONTROL!$C$9, $C$13, 100%, $E$13) + CHOOSE(CONTROL!$C$28, 0.0276, 0)</f>
        <v>15.935499999999999</v>
      </c>
      <c r="D105" s="4">
        <f>20.4794 * CHOOSE(CONTROL!$C$9, $C$13, 100%, $E$13) + CHOOSE(CONTROL!$C$28, 0, 0)</f>
        <v>20.479399999999998</v>
      </c>
      <c r="E105" s="4">
        <f>94.4198397837633 * CHOOSE(CONTROL!$C$9, $C$13, 100%, $E$13) + CHOOSE(CONTROL!$C$28, 0, 0)</f>
        <v>94.419839783763294</v>
      </c>
    </row>
    <row r="106" spans="1:5" ht="15">
      <c r="A106" s="13">
        <v>44713</v>
      </c>
      <c r="B106" s="4">
        <f>16.2658 * CHOOSE(CONTROL!$C$9, $C$13, 100%, $E$13) + CHOOSE(CONTROL!$C$28, 0.0276, 0)</f>
        <v>16.293399999999998</v>
      </c>
      <c r="C106" s="4">
        <f>15.9533 * CHOOSE(CONTROL!$C$9, $C$13, 100%, $E$13) + CHOOSE(CONTROL!$C$28, 0.0276, 0)</f>
        <v>15.9809</v>
      </c>
      <c r="D106" s="4">
        <f>20.6613 * CHOOSE(CONTROL!$C$9, $C$13, 100%, $E$13) + CHOOSE(CONTROL!$C$28, 0, 0)</f>
        <v>20.661300000000001</v>
      </c>
      <c r="E106" s="4">
        <f>94.7185970209743 * CHOOSE(CONTROL!$C$9, $C$13, 100%, $E$13) + CHOOSE(CONTROL!$C$28, 0, 0)</f>
        <v>94.7185970209743</v>
      </c>
    </row>
    <row r="107" spans="1:5" ht="15">
      <c r="A107" s="13">
        <v>44743</v>
      </c>
      <c r="B107" s="4">
        <f>16.2612 * CHOOSE(CONTROL!$C$9, $C$13, 100%, $E$13) + CHOOSE(CONTROL!$C$28, 0.0276, 0)</f>
        <v>16.288799999999998</v>
      </c>
      <c r="C107" s="4">
        <f>15.9487 * CHOOSE(CONTROL!$C$9, $C$13, 100%, $E$13) + CHOOSE(CONTROL!$C$28, 0.0276, 0)</f>
        <v>15.9763</v>
      </c>
      <c r="D107" s="4">
        <f>20.9895 * CHOOSE(CONTROL!$C$9, $C$13, 100%, $E$13) + CHOOSE(CONTROL!$C$28, 0, 0)</f>
        <v>20.9895</v>
      </c>
      <c r="E107" s="4">
        <f>94.6884702407514 * CHOOSE(CONTROL!$C$9, $C$13, 100%, $E$13) + CHOOSE(CONTROL!$C$28, 0, 0)</f>
        <v>94.6884702407514</v>
      </c>
    </row>
    <row r="108" spans="1:5" ht="15">
      <c r="A108" s="13">
        <v>44774</v>
      </c>
      <c r="B108" s="4">
        <f>16.6057 * CHOOSE(CONTROL!$C$9, $C$13, 100%, $E$13) + CHOOSE(CONTROL!$C$28, 0.0276, 0)</f>
        <v>16.633299999999998</v>
      </c>
      <c r="C108" s="4">
        <f>16.2932 * CHOOSE(CONTROL!$C$9, $C$13, 100%, $E$13) + CHOOSE(CONTROL!$C$28, 0.0276, 0)</f>
        <v>16.320799999999998</v>
      </c>
      <c r="D108" s="4">
        <f>20.7728 * CHOOSE(CONTROL!$C$9, $C$13, 100%, $E$13) + CHOOSE(CONTROL!$C$28, 0, 0)</f>
        <v>20.7728</v>
      </c>
      <c r="E108" s="4">
        <f>96.9555104525288 * CHOOSE(CONTROL!$C$9, $C$13, 100%, $E$13) + CHOOSE(CONTROL!$C$28, 0, 0)</f>
        <v>96.955510452528799</v>
      </c>
    </row>
    <row r="109" spans="1:5" ht="15">
      <c r="A109" s="13">
        <v>44805</v>
      </c>
      <c r="B109" s="4">
        <f>16.0186 * CHOOSE(CONTROL!$C$9, $C$13, 100%, $E$13) + CHOOSE(CONTROL!$C$28, 0.0276, 0)</f>
        <v>16.046199999999999</v>
      </c>
      <c r="C109" s="4">
        <f>15.7061 * CHOOSE(CONTROL!$C$9, $C$13, 100%, $E$13) + CHOOSE(CONTROL!$C$28, 0.0276, 0)</f>
        <v>15.733699999999999</v>
      </c>
      <c r="D109" s="4">
        <f>20.6704 * CHOOSE(CONTROL!$C$9, $C$13, 100%, $E$13) + CHOOSE(CONTROL!$C$28, 0, 0)</f>
        <v>20.670400000000001</v>
      </c>
      <c r="E109" s="4">
        <f>93.0917508889347 * CHOOSE(CONTROL!$C$9, $C$13, 100%, $E$13) + CHOOSE(CONTROL!$C$28, 0, 0)</f>
        <v>93.091750888934698</v>
      </c>
    </row>
    <row r="110" spans="1:5" ht="15">
      <c r="A110" s="13">
        <v>44835</v>
      </c>
      <c r="B110" s="4">
        <f>15.5487 * CHOOSE(CONTROL!$C$9, $C$13, 100%, $E$13) + CHOOSE(CONTROL!$C$28, 0.0003, 0)</f>
        <v>15.548999999999999</v>
      </c>
      <c r="C110" s="4">
        <f>15.2362 * CHOOSE(CONTROL!$C$9, $C$13, 100%, $E$13) + CHOOSE(CONTROL!$C$28, 0.0003, 0)</f>
        <v>15.236499999999999</v>
      </c>
      <c r="D110" s="4">
        <f>20.3961 * CHOOSE(CONTROL!$C$9, $C$13, 100%, $E$13) + CHOOSE(CONTROL!$C$28, 0, 0)</f>
        <v>20.396100000000001</v>
      </c>
      <c r="E110" s="4">
        <f>89.9987347860445 * CHOOSE(CONTROL!$C$9, $C$13, 100%, $E$13) + CHOOSE(CONTROL!$C$28, 0, 0)</f>
        <v>89.998734786044494</v>
      </c>
    </row>
    <row r="111" spans="1:5" ht="15">
      <c r="A111" s="13">
        <v>44866</v>
      </c>
      <c r="B111" s="4">
        <f>15.246 * CHOOSE(CONTROL!$C$9, $C$13, 100%, $E$13) + CHOOSE(CONTROL!$C$28, 0.0003, 0)</f>
        <v>15.2463</v>
      </c>
      <c r="C111" s="4">
        <f>14.9335 * CHOOSE(CONTROL!$C$9, $C$13, 100%, $E$13) + CHOOSE(CONTROL!$C$28, 0.0003, 0)</f>
        <v>14.9338</v>
      </c>
      <c r="D111" s="4">
        <f>20.3019 * CHOOSE(CONTROL!$C$9, $C$13, 100%, $E$13) + CHOOSE(CONTROL!$C$28, 0, 0)</f>
        <v>20.3019</v>
      </c>
      <c r="E111" s="4">
        <f>88.0066014438015 * CHOOSE(CONTROL!$C$9, $C$13, 100%, $E$13) + CHOOSE(CONTROL!$C$28, 0, 0)</f>
        <v>88.0066014438015</v>
      </c>
    </row>
    <row r="112" spans="1:5" ht="15">
      <c r="A112" s="13">
        <v>44896</v>
      </c>
      <c r="B112" s="4">
        <f>15.0366 * CHOOSE(CONTROL!$C$9, $C$13, 100%, $E$13) + CHOOSE(CONTROL!$C$28, 0.0003, 0)</f>
        <v>15.036899999999999</v>
      </c>
      <c r="C112" s="4">
        <f>14.7241 * CHOOSE(CONTROL!$C$9, $C$13, 100%, $E$13) + CHOOSE(CONTROL!$C$28, 0.0003, 0)</f>
        <v>14.724399999999999</v>
      </c>
      <c r="D112" s="4">
        <f>19.6078 * CHOOSE(CONTROL!$C$9, $C$13, 100%, $E$13) + CHOOSE(CONTROL!$C$28, 0, 0)</f>
        <v>19.607800000000001</v>
      </c>
      <c r="E112" s="4">
        <f>86.6283012486013 * CHOOSE(CONTROL!$C$9, $C$13, 100%, $E$13) + CHOOSE(CONTROL!$C$28, 0, 0)</f>
        <v>86.628301248601304</v>
      </c>
    </row>
    <row r="113" spans="1:5" ht="15">
      <c r="A113" s="13">
        <v>44927</v>
      </c>
      <c r="B113" s="4">
        <f>14.8408 * CHOOSE(CONTROL!$C$9, $C$13, 100%, $E$13) + CHOOSE(CONTROL!$C$28, 0.0003, 0)</f>
        <v>14.841099999999999</v>
      </c>
      <c r="C113" s="4">
        <f>14.5283 * CHOOSE(CONTROL!$C$9, $C$13, 100%, $E$13) + CHOOSE(CONTROL!$C$28, 0.0003, 0)</f>
        <v>14.528599999999999</v>
      </c>
      <c r="D113" s="4">
        <f>19.3025 * CHOOSE(CONTROL!$C$9, $C$13, 100%, $E$13) + CHOOSE(CONTROL!$C$28, 0, 0)</f>
        <v>19.302499999999998</v>
      </c>
      <c r="E113" s="4">
        <f>84.7897734403928 * CHOOSE(CONTROL!$C$9, $C$13, 100%, $E$13) + CHOOSE(CONTROL!$C$28, 0, 0)</f>
        <v>84.789773440392807</v>
      </c>
    </row>
    <row r="114" spans="1:5" ht="15">
      <c r="A114" s="13">
        <v>44958</v>
      </c>
      <c r="B114" s="4">
        <f>15.1486 * CHOOSE(CONTROL!$C$9, $C$13, 100%, $E$13) + CHOOSE(CONTROL!$C$28, 0.0003, 0)</f>
        <v>15.148899999999999</v>
      </c>
      <c r="C114" s="4">
        <f>14.8361 * CHOOSE(CONTROL!$C$9, $C$13, 100%, $E$13) + CHOOSE(CONTROL!$C$28, 0.0003, 0)</f>
        <v>14.836399999999999</v>
      </c>
      <c r="D114" s="4">
        <f>19.9566 * CHOOSE(CONTROL!$C$9, $C$13, 100%, $E$13) + CHOOSE(CONTROL!$C$28, 0, 0)</f>
        <v>19.956600000000002</v>
      </c>
      <c r="E114" s="4">
        <f>86.8030168106864 * CHOOSE(CONTROL!$C$9, $C$13, 100%, $E$13) + CHOOSE(CONTROL!$C$28, 0, 0)</f>
        <v>86.803016810686401</v>
      </c>
    </row>
    <row r="115" spans="1:5" ht="15">
      <c r="A115" s="13">
        <v>44986</v>
      </c>
      <c r="B115" s="4">
        <f>15.9571 * CHOOSE(CONTROL!$C$9, $C$13, 100%, $E$13) + CHOOSE(CONTROL!$C$28, 0.0003, 0)</f>
        <v>15.9574</v>
      </c>
      <c r="C115" s="4">
        <f>15.6446 * CHOOSE(CONTROL!$C$9, $C$13, 100%, $E$13) + CHOOSE(CONTROL!$C$28, 0.0003, 0)</f>
        <v>15.6449</v>
      </c>
      <c r="D115" s="4">
        <f>20.9805 * CHOOSE(CONTROL!$C$9, $C$13, 100%, $E$13) + CHOOSE(CONTROL!$C$28, 0, 0)</f>
        <v>20.980499999999999</v>
      </c>
      <c r="E115" s="4">
        <f>92.0899008913276 * CHOOSE(CONTROL!$C$9, $C$13, 100%, $E$13) + CHOOSE(CONTROL!$C$28, 0, 0)</f>
        <v>92.089900891327602</v>
      </c>
    </row>
    <row r="116" spans="1:5" ht="15">
      <c r="A116" s="13">
        <v>45017</v>
      </c>
      <c r="B116" s="4">
        <f>16.5315 * CHOOSE(CONTROL!$C$9, $C$13, 100%, $E$13) + CHOOSE(CONTROL!$C$28, 0.0003, 0)</f>
        <v>16.5318</v>
      </c>
      <c r="C116" s="4">
        <f>16.219 * CHOOSE(CONTROL!$C$9, $C$13, 100%, $E$13) + CHOOSE(CONTROL!$C$28, 0.0003, 0)</f>
        <v>16.2193</v>
      </c>
      <c r="D116" s="4">
        <f>21.5703 * CHOOSE(CONTROL!$C$9, $C$13, 100%, $E$13) + CHOOSE(CONTROL!$C$28, 0, 0)</f>
        <v>21.5703</v>
      </c>
      <c r="E116" s="4">
        <f>95.8463024876174 * CHOOSE(CONTROL!$C$9, $C$13, 100%, $E$13) + CHOOSE(CONTROL!$C$28, 0, 0)</f>
        <v>95.846302487617393</v>
      </c>
    </row>
    <row r="117" spans="1:5" ht="15">
      <c r="A117" s="13">
        <v>45047</v>
      </c>
      <c r="B117" s="4">
        <f>16.8825 * CHOOSE(CONTROL!$C$9, $C$13, 100%, $E$13) + CHOOSE(CONTROL!$C$28, 0.0276, 0)</f>
        <v>16.9101</v>
      </c>
      <c r="C117" s="4">
        <f>16.57 * CHOOSE(CONTROL!$C$9, $C$13, 100%, $E$13) + CHOOSE(CONTROL!$C$28, 0.0276, 0)</f>
        <v>16.5976</v>
      </c>
      <c r="D117" s="4">
        <f>21.3373 * CHOOSE(CONTROL!$C$9, $C$13, 100%, $E$13) + CHOOSE(CONTROL!$C$28, 0, 0)</f>
        <v>21.337299999999999</v>
      </c>
      <c r="E117" s="4">
        <f>98.141373834569 * CHOOSE(CONTROL!$C$9, $C$13, 100%, $E$13) + CHOOSE(CONTROL!$C$28, 0, 0)</f>
        <v>98.141373834568995</v>
      </c>
    </row>
    <row r="118" spans="1:5" ht="15">
      <c r="A118" s="13">
        <v>45078</v>
      </c>
      <c r="B118" s="4">
        <f>16.9299 * CHOOSE(CONTROL!$C$9, $C$13, 100%, $E$13) + CHOOSE(CONTROL!$C$28, 0.0276, 0)</f>
        <v>16.9575</v>
      </c>
      <c r="C118" s="4">
        <f>16.6174 * CHOOSE(CONTROL!$C$9, $C$13, 100%, $E$13) + CHOOSE(CONTROL!$C$28, 0.0276, 0)</f>
        <v>16.645</v>
      </c>
      <c r="D118" s="4">
        <f>21.5271 * CHOOSE(CONTROL!$C$9, $C$13, 100%, $E$13) + CHOOSE(CONTROL!$C$28, 0, 0)</f>
        <v>21.527100000000001</v>
      </c>
      <c r="E118" s="4">
        <f>98.4519065125534 * CHOOSE(CONTROL!$C$9, $C$13, 100%, $E$13) + CHOOSE(CONTROL!$C$28, 0, 0)</f>
        <v>98.451906512553407</v>
      </c>
    </row>
    <row r="119" spans="1:5" ht="15">
      <c r="A119" s="13">
        <v>45108</v>
      </c>
      <c r="B119" s="4">
        <f>16.9252 * CHOOSE(CONTROL!$C$9, $C$13, 100%, $E$13) + CHOOSE(CONTROL!$C$28, 0.0276, 0)</f>
        <v>16.9528</v>
      </c>
      <c r="C119" s="4">
        <f>16.6127 * CHOOSE(CONTROL!$C$9, $C$13, 100%, $E$13) + CHOOSE(CONTROL!$C$28, 0.0276, 0)</f>
        <v>16.6403</v>
      </c>
      <c r="D119" s="4">
        <f>21.8696 * CHOOSE(CONTROL!$C$9, $C$13, 100%, $E$13) + CHOOSE(CONTROL!$C$28, 0, 0)</f>
        <v>21.869599999999998</v>
      </c>
      <c r="E119" s="4">
        <f>98.4205922929247 * CHOOSE(CONTROL!$C$9, $C$13, 100%, $E$13) + CHOOSE(CONTROL!$C$28, 0, 0)</f>
        <v>98.420592292924695</v>
      </c>
    </row>
    <row r="120" spans="1:5" ht="15">
      <c r="A120" s="13">
        <v>45139</v>
      </c>
      <c r="B120" s="4">
        <f>17.2855 * CHOOSE(CONTROL!$C$9, $C$13, 100%, $E$13) + CHOOSE(CONTROL!$C$28, 0.0276, 0)</f>
        <v>17.313099999999999</v>
      </c>
      <c r="C120" s="4">
        <f>16.973 * CHOOSE(CONTROL!$C$9, $C$13, 100%, $E$13) + CHOOSE(CONTROL!$C$28, 0.0276, 0)</f>
        <v>17.000599999999999</v>
      </c>
      <c r="D120" s="4">
        <f>21.6434 * CHOOSE(CONTROL!$C$9, $C$13, 100%, $E$13) + CHOOSE(CONTROL!$C$28, 0, 0)</f>
        <v>21.6434</v>
      </c>
      <c r="E120" s="4">
        <f>100.776987319982 * CHOOSE(CONTROL!$C$9, $C$13, 100%, $E$13) + CHOOSE(CONTROL!$C$28, 0, 0)</f>
        <v>100.776987319982</v>
      </c>
    </row>
    <row r="121" spans="1:5" ht="15">
      <c r="A121" s="13">
        <v>45170</v>
      </c>
      <c r="B121" s="4">
        <f>16.6714 * CHOOSE(CONTROL!$C$9, $C$13, 100%, $E$13) + CHOOSE(CONTROL!$C$28, 0.0276, 0)</f>
        <v>16.698999999999998</v>
      </c>
      <c r="C121" s="4">
        <f>16.3589 * CHOOSE(CONTROL!$C$9, $C$13, 100%, $E$13) + CHOOSE(CONTROL!$C$28, 0.0276, 0)</f>
        <v>16.386499999999998</v>
      </c>
      <c r="D121" s="4">
        <f>21.5365 * CHOOSE(CONTROL!$C$9, $C$13, 100%, $E$13) + CHOOSE(CONTROL!$C$28, 0, 0)</f>
        <v>21.5365</v>
      </c>
      <c r="E121" s="4">
        <f>96.7609386526049 * CHOOSE(CONTROL!$C$9, $C$13, 100%, $E$13) + CHOOSE(CONTROL!$C$28, 0, 0)</f>
        <v>96.760938652604906</v>
      </c>
    </row>
    <row r="122" spans="1:5" ht="15">
      <c r="A122" s="13">
        <v>45200</v>
      </c>
      <c r="B122" s="4">
        <f>16.1798 * CHOOSE(CONTROL!$C$9, $C$13, 100%, $E$13) + CHOOSE(CONTROL!$C$28, 0.0003, 0)</f>
        <v>16.180099999999999</v>
      </c>
      <c r="C122" s="4">
        <f>15.8673 * CHOOSE(CONTROL!$C$9, $C$13, 100%, $E$13) + CHOOSE(CONTROL!$C$28, 0.0003, 0)</f>
        <v>15.867599999999999</v>
      </c>
      <c r="D122" s="4">
        <f>21.2504 * CHOOSE(CONTROL!$C$9, $C$13, 100%, $E$13) + CHOOSE(CONTROL!$C$28, 0, 0)</f>
        <v>21.250399999999999</v>
      </c>
      <c r="E122" s="4">
        <f>93.546012104061 * CHOOSE(CONTROL!$C$9, $C$13, 100%, $E$13) + CHOOSE(CONTROL!$C$28, 0, 0)</f>
        <v>93.546012104061006</v>
      </c>
    </row>
    <row r="123" spans="1:5" ht="15">
      <c r="A123" s="13">
        <v>45231</v>
      </c>
      <c r="B123" s="4">
        <f>15.8631 * CHOOSE(CONTROL!$C$9, $C$13, 100%, $E$13) + CHOOSE(CONTROL!$C$28, 0.0003, 0)</f>
        <v>15.863399999999999</v>
      </c>
      <c r="C123" s="4">
        <f>15.5506 * CHOOSE(CONTROL!$C$9, $C$13, 100%, $E$13) + CHOOSE(CONTROL!$C$28, 0.0003, 0)</f>
        <v>15.550899999999999</v>
      </c>
      <c r="D123" s="4">
        <f>21.152 * CHOOSE(CONTROL!$C$9, $C$13, 100%, $E$13) + CHOOSE(CONTROL!$C$28, 0, 0)</f>
        <v>21.152000000000001</v>
      </c>
      <c r="E123" s="4">
        <f>91.4753593311149 * CHOOSE(CONTROL!$C$9, $C$13, 100%, $E$13) + CHOOSE(CONTROL!$C$28, 0, 0)</f>
        <v>91.475359331114902</v>
      </c>
    </row>
    <row r="124" spans="1:5" ht="15">
      <c r="A124" s="13">
        <v>45261</v>
      </c>
      <c r="B124" s="4">
        <f>15.644 * CHOOSE(CONTROL!$C$9, $C$13, 100%, $E$13) + CHOOSE(CONTROL!$C$28, 0.0003, 0)</f>
        <v>15.644299999999999</v>
      </c>
      <c r="C124" s="4">
        <f>15.3315 * CHOOSE(CONTROL!$C$9, $C$13, 100%, $E$13) + CHOOSE(CONTROL!$C$28, 0.0003, 0)</f>
        <v>15.331799999999999</v>
      </c>
      <c r="D124" s="4">
        <f>20.4278 * CHOOSE(CONTROL!$C$9, $C$13, 100%, $E$13) + CHOOSE(CONTROL!$C$28, 0, 0)</f>
        <v>20.427800000000001</v>
      </c>
      <c r="E124" s="4">
        <f>90.042733783103 * CHOOSE(CONTROL!$C$9, $C$13, 100%, $E$13) + CHOOSE(CONTROL!$C$28, 0, 0)</f>
        <v>90.042733783103003</v>
      </c>
    </row>
    <row r="125" spans="1:5" ht="15">
      <c r="A125" s="13">
        <v>45292</v>
      </c>
      <c r="B125" s="4">
        <f>15.3898 * CHOOSE(CONTROL!$C$9, $C$13, 100%, $E$13) + CHOOSE(CONTROL!$C$28, 0.0003, 0)</f>
        <v>15.390099999999999</v>
      </c>
      <c r="C125" s="4">
        <f>15.0773 * CHOOSE(CONTROL!$C$9, $C$13, 100%, $E$13) + CHOOSE(CONTROL!$C$28, 0.0003, 0)</f>
        <v>15.077599999999999</v>
      </c>
      <c r="D125" s="4">
        <f>20.4055 * CHOOSE(CONTROL!$C$9, $C$13, 100%, $E$13) + CHOOSE(CONTROL!$C$28, 0, 0)</f>
        <v>20.4055</v>
      </c>
      <c r="E125" s="4">
        <f>88.0950271330828 * CHOOSE(CONTROL!$C$9, $C$13, 100%, $E$13) + CHOOSE(CONTROL!$C$28, 0, 0)</f>
        <v>88.095027133082795</v>
      </c>
    </row>
    <row r="126" spans="1:5" ht="15">
      <c r="A126" s="13">
        <v>45323</v>
      </c>
      <c r="B126" s="4">
        <f>15.7107 * CHOOSE(CONTROL!$C$9, $C$13, 100%, $E$13) + CHOOSE(CONTROL!$C$28, 0.0003, 0)</f>
        <v>15.710999999999999</v>
      </c>
      <c r="C126" s="4">
        <f>15.3982 * CHOOSE(CONTROL!$C$9, $C$13, 100%, $E$13) + CHOOSE(CONTROL!$C$28, 0.0003, 0)</f>
        <v>15.398499999999999</v>
      </c>
      <c r="D126" s="4">
        <f>21.0985 * CHOOSE(CONTROL!$C$9, $C$13, 100%, $E$13) + CHOOSE(CONTROL!$C$28, 0, 0)</f>
        <v>21.098500000000001</v>
      </c>
      <c r="E126" s="4">
        <f>90.1867502517463 * CHOOSE(CONTROL!$C$9, $C$13, 100%, $E$13) + CHOOSE(CONTROL!$C$28, 0, 0)</f>
        <v>90.186750251746304</v>
      </c>
    </row>
    <row r="127" spans="1:5" ht="15">
      <c r="A127" s="13">
        <v>45352</v>
      </c>
      <c r="B127" s="4">
        <f>16.5534 * CHOOSE(CONTROL!$C$9, $C$13, 100%, $E$13) + CHOOSE(CONTROL!$C$28, 0.0003, 0)</f>
        <v>16.553699999999999</v>
      </c>
      <c r="C127" s="4">
        <f>16.2409 * CHOOSE(CONTROL!$C$9, $C$13, 100%, $E$13) + CHOOSE(CONTROL!$C$28, 0.0003, 0)</f>
        <v>16.241199999999999</v>
      </c>
      <c r="D127" s="4">
        <f>22.1834 * CHOOSE(CONTROL!$C$9, $C$13, 100%, $E$13) + CHOOSE(CONTROL!$C$28, 0, 0)</f>
        <v>22.183399999999999</v>
      </c>
      <c r="E127" s="4">
        <f>95.6797263222741 * CHOOSE(CONTROL!$C$9, $C$13, 100%, $E$13) + CHOOSE(CONTROL!$C$28, 0, 0)</f>
        <v>95.679726322274107</v>
      </c>
    </row>
    <row r="128" spans="1:5" ht="15">
      <c r="A128" s="13">
        <v>45383</v>
      </c>
      <c r="B128" s="4">
        <f>17.1521 * CHOOSE(CONTROL!$C$9, $C$13, 100%, $E$13) + CHOOSE(CONTROL!$C$28, 0.0003, 0)</f>
        <v>17.1524</v>
      </c>
      <c r="C128" s="4">
        <f>16.8396 * CHOOSE(CONTROL!$C$9, $C$13, 100%, $E$13) + CHOOSE(CONTROL!$C$28, 0.0003, 0)</f>
        <v>16.8399</v>
      </c>
      <c r="D128" s="4">
        <f>22.8083 * CHOOSE(CONTROL!$C$9, $C$13, 100%, $E$13) + CHOOSE(CONTROL!$C$28, 0, 0)</f>
        <v>22.808299999999999</v>
      </c>
      <c r="E128" s="4">
        <f>99.5825590239152 * CHOOSE(CONTROL!$C$9, $C$13, 100%, $E$13) + CHOOSE(CONTROL!$C$28, 0, 0)</f>
        <v>99.582559023915195</v>
      </c>
    </row>
    <row r="129" spans="1:5" ht="15">
      <c r="A129" s="13">
        <v>45413</v>
      </c>
      <c r="B129" s="4">
        <f>17.5179 * CHOOSE(CONTROL!$C$9, $C$13, 100%, $E$13) + CHOOSE(CONTROL!$C$28, 0.0276, 0)</f>
        <v>17.545500000000001</v>
      </c>
      <c r="C129" s="4">
        <f>17.2054 * CHOOSE(CONTROL!$C$9, $C$13, 100%, $E$13) + CHOOSE(CONTROL!$C$28, 0.0276, 0)</f>
        <v>17.233000000000001</v>
      </c>
      <c r="D129" s="4">
        <f>22.5614 * CHOOSE(CONTROL!$C$9, $C$13, 100%, $E$13) + CHOOSE(CONTROL!$C$28, 0, 0)</f>
        <v>22.561399999999999</v>
      </c>
      <c r="E129" s="4">
        <f>101.967096266773 * CHOOSE(CONTROL!$C$9, $C$13, 100%, $E$13) + CHOOSE(CONTROL!$C$28, 0, 0)</f>
        <v>101.967096266773</v>
      </c>
    </row>
    <row r="130" spans="1:5" ht="15">
      <c r="A130" s="13">
        <v>45444</v>
      </c>
      <c r="B130" s="4">
        <f>17.5674 * CHOOSE(CONTROL!$C$9, $C$13, 100%, $E$13) + CHOOSE(CONTROL!$C$28, 0.0276, 0)</f>
        <v>17.594999999999999</v>
      </c>
      <c r="C130" s="4">
        <f>17.2549 * CHOOSE(CONTROL!$C$9, $C$13, 100%, $E$13) + CHOOSE(CONTROL!$C$28, 0.0276, 0)</f>
        <v>17.282499999999999</v>
      </c>
      <c r="D130" s="4">
        <f>22.7625 * CHOOSE(CONTROL!$C$9, $C$13, 100%, $E$13) + CHOOSE(CONTROL!$C$28, 0, 0)</f>
        <v>22.762499999999999</v>
      </c>
      <c r="E130" s="4">
        <f>102.289734051764 * CHOOSE(CONTROL!$C$9, $C$13, 100%, $E$13) + CHOOSE(CONTROL!$C$28, 0, 0)</f>
        <v>102.289734051764</v>
      </c>
    </row>
    <row r="131" spans="1:5" ht="15">
      <c r="A131" s="13">
        <v>45474</v>
      </c>
      <c r="B131" s="4">
        <f>17.5624 * CHOOSE(CONTROL!$C$9, $C$13, 100%, $E$13) + CHOOSE(CONTROL!$C$28, 0.0276, 0)</f>
        <v>17.59</v>
      </c>
      <c r="C131" s="4">
        <f>17.2499 * CHOOSE(CONTROL!$C$9, $C$13, 100%, $E$13) + CHOOSE(CONTROL!$C$28, 0.0276, 0)</f>
        <v>17.2775</v>
      </c>
      <c r="D131" s="4">
        <f>23.1254 * CHOOSE(CONTROL!$C$9, $C$13, 100%, $E$13) + CHOOSE(CONTROL!$C$28, 0, 0)</f>
        <v>23.125399999999999</v>
      </c>
      <c r="E131" s="4">
        <f>102.257199149076 * CHOOSE(CONTROL!$C$9, $C$13, 100%, $E$13) + CHOOSE(CONTROL!$C$28, 0, 0)</f>
        <v>102.257199149076</v>
      </c>
    </row>
    <row r="132" spans="1:5" ht="15">
      <c r="A132" s="13">
        <v>45505</v>
      </c>
      <c r="B132" s="4">
        <f>17.938 * CHOOSE(CONTROL!$C$9, $C$13, 100%, $E$13) + CHOOSE(CONTROL!$C$28, 0.0276, 0)</f>
        <v>17.965599999999998</v>
      </c>
      <c r="C132" s="4">
        <f>17.6255 * CHOOSE(CONTROL!$C$9, $C$13, 100%, $E$13) + CHOOSE(CONTROL!$C$28, 0.0276, 0)</f>
        <v>17.653099999999998</v>
      </c>
      <c r="D132" s="4">
        <f>22.8857 * CHOOSE(CONTROL!$C$9, $C$13, 100%, $E$13) + CHOOSE(CONTROL!$C$28, 0, 0)</f>
        <v>22.8857</v>
      </c>
      <c r="E132" s="4">
        <f>104.705450576365 * CHOOSE(CONTROL!$C$9, $C$13, 100%, $E$13) + CHOOSE(CONTROL!$C$28, 0, 0)</f>
        <v>104.705450576365</v>
      </c>
    </row>
    <row r="133" spans="1:5" ht="15">
      <c r="A133" s="13">
        <v>45536</v>
      </c>
      <c r="B133" s="4">
        <f>17.2979 * CHOOSE(CONTROL!$C$9, $C$13, 100%, $E$13) + CHOOSE(CONTROL!$C$28, 0.0276, 0)</f>
        <v>17.325499999999998</v>
      </c>
      <c r="C133" s="4">
        <f>16.9854 * CHOOSE(CONTROL!$C$9, $C$13, 100%, $E$13) + CHOOSE(CONTROL!$C$28, 0.0276, 0)</f>
        <v>17.012999999999998</v>
      </c>
      <c r="D133" s="4">
        <f>22.7725 * CHOOSE(CONTROL!$C$9, $C$13, 100%, $E$13) + CHOOSE(CONTROL!$C$28, 0, 0)</f>
        <v>22.772500000000001</v>
      </c>
      <c r="E133" s="4">
        <f>100.5328493066 * CHOOSE(CONTROL!$C$9, $C$13, 100%, $E$13) + CHOOSE(CONTROL!$C$28, 0, 0)</f>
        <v>100.5328493066</v>
      </c>
    </row>
    <row r="134" spans="1:5" ht="15">
      <c r="A134" s="13">
        <v>45566</v>
      </c>
      <c r="B134" s="4">
        <f>16.7855 * CHOOSE(CONTROL!$C$9, $C$13, 100%, $E$13) + CHOOSE(CONTROL!$C$28, 0.0003, 0)</f>
        <v>16.785799999999998</v>
      </c>
      <c r="C134" s="4">
        <f>16.473 * CHOOSE(CONTROL!$C$9, $C$13, 100%, $E$13) + CHOOSE(CONTROL!$C$28, 0.0003, 0)</f>
        <v>16.473299999999998</v>
      </c>
      <c r="D134" s="4">
        <f>22.4693 * CHOOSE(CONTROL!$C$9, $C$13, 100%, $E$13) + CHOOSE(CONTROL!$C$28, 0, 0)</f>
        <v>22.4693</v>
      </c>
      <c r="E134" s="4">
        <f>97.1925992972763 * CHOOSE(CONTROL!$C$9, $C$13, 100%, $E$13) + CHOOSE(CONTROL!$C$28, 0, 0)</f>
        <v>97.192599297276303</v>
      </c>
    </row>
    <row r="135" spans="1:5" ht="15">
      <c r="A135" s="13">
        <v>45597</v>
      </c>
      <c r="B135" s="4">
        <f>16.4554 * CHOOSE(CONTROL!$C$9, $C$13, 100%, $E$13) + CHOOSE(CONTROL!$C$28, 0.0003, 0)</f>
        <v>16.4557</v>
      </c>
      <c r="C135" s="4">
        <f>16.1429 * CHOOSE(CONTROL!$C$9, $C$13, 100%, $E$13) + CHOOSE(CONTROL!$C$28, 0.0003, 0)</f>
        <v>16.1432</v>
      </c>
      <c r="D135" s="4">
        <f>22.3651 * CHOOSE(CONTROL!$C$9, $C$13, 100%, $E$13) + CHOOSE(CONTROL!$C$28, 0, 0)</f>
        <v>22.365100000000002</v>
      </c>
      <c r="E135" s="4">
        <f>95.0412288570178 * CHOOSE(CONTROL!$C$9, $C$13, 100%, $E$13) + CHOOSE(CONTROL!$C$28, 0, 0)</f>
        <v>95.041228857017799</v>
      </c>
    </row>
    <row r="136" spans="1:5" ht="15">
      <c r="A136" s="13">
        <v>45627</v>
      </c>
      <c r="B136" s="4">
        <f>16.2271 * CHOOSE(CONTROL!$C$9, $C$13, 100%, $E$13) + CHOOSE(CONTROL!$C$28, 0.0003, 0)</f>
        <v>16.227399999999999</v>
      </c>
      <c r="C136" s="4">
        <f>15.9146 * CHOOSE(CONTROL!$C$9, $C$13, 100%, $E$13) + CHOOSE(CONTROL!$C$28, 0.0003, 0)</f>
        <v>15.914899999999999</v>
      </c>
      <c r="D136" s="4">
        <f>21.5977 * CHOOSE(CONTROL!$C$9, $C$13, 100%, $E$13) + CHOOSE(CONTROL!$C$28, 0, 0)</f>
        <v>21.5977</v>
      </c>
      <c r="E136" s="4">
        <f>93.5527570590317 * CHOOSE(CONTROL!$C$9, $C$13, 100%, $E$13) + CHOOSE(CONTROL!$C$28, 0, 0)</f>
        <v>93.552757059031705</v>
      </c>
    </row>
    <row r="137" spans="1:5" ht="15">
      <c r="A137" s="13">
        <v>45658</v>
      </c>
      <c r="B137" s="4">
        <f>16.1446 * CHOOSE(CONTROL!$C$9, $C$13, 100%, $E$13) + CHOOSE(CONTROL!$C$28, 0.0003, 0)</f>
        <v>16.1449</v>
      </c>
      <c r="C137" s="4">
        <f>15.8321 * CHOOSE(CONTROL!$C$9, $C$13, 100%, $E$13) + CHOOSE(CONTROL!$C$28, 0.0003, 0)</f>
        <v>15.8324</v>
      </c>
      <c r="D137" s="4">
        <f>21.2648 * CHOOSE(CONTROL!$C$9, $C$13, 100%, $E$13) + CHOOSE(CONTROL!$C$28, 0, 0)</f>
        <v>21.264800000000001</v>
      </c>
      <c r="E137" s="4">
        <f>91.1477385372352 * CHOOSE(CONTROL!$C$9, $C$13, 100%, $E$13) + CHOOSE(CONTROL!$C$28, 0, 0)</f>
        <v>91.147738537235199</v>
      </c>
    </row>
    <row r="138" spans="1:5" ht="15">
      <c r="A138" s="13">
        <v>45689</v>
      </c>
      <c r="B138" s="4">
        <f>16.4834 * CHOOSE(CONTROL!$C$9, $C$13, 100%, $E$13) + CHOOSE(CONTROL!$C$28, 0.0003, 0)</f>
        <v>16.483699999999999</v>
      </c>
      <c r="C138" s="4">
        <f>16.1709 * CHOOSE(CONTROL!$C$9, $C$13, 100%, $E$13) + CHOOSE(CONTROL!$C$28, 0.0003, 0)</f>
        <v>16.171199999999999</v>
      </c>
      <c r="D138" s="4">
        <f>21.9881 * CHOOSE(CONTROL!$C$9, $C$13, 100%, $E$13) + CHOOSE(CONTROL!$C$28, 0, 0)</f>
        <v>21.988099999999999</v>
      </c>
      <c r="E138" s="4">
        <f>93.3119450550925 * CHOOSE(CONTROL!$C$9, $C$13, 100%, $E$13) + CHOOSE(CONTROL!$C$28, 0, 0)</f>
        <v>93.311945055092494</v>
      </c>
    </row>
    <row r="139" spans="1:5" ht="15">
      <c r="A139" s="13">
        <v>45717</v>
      </c>
      <c r="B139" s="4">
        <f>17.3732 * CHOOSE(CONTROL!$C$9, $C$13, 100%, $E$13) + CHOOSE(CONTROL!$C$28, 0.0003, 0)</f>
        <v>17.3735</v>
      </c>
      <c r="C139" s="4">
        <f>17.0607 * CHOOSE(CONTROL!$C$9, $C$13, 100%, $E$13) + CHOOSE(CONTROL!$C$28, 0.0003, 0)</f>
        <v>17.061</v>
      </c>
      <c r="D139" s="4">
        <f>23.1205 * CHOOSE(CONTROL!$C$9, $C$13, 100%, $E$13) + CHOOSE(CONTROL!$C$28, 0, 0)</f>
        <v>23.1205</v>
      </c>
      <c r="E139" s="4">
        <f>98.9952663839049 * CHOOSE(CONTROL!$C$9, $C$13, 100%, $E$13) + CHOOSE(CONTROL!$C$28, 0, 0)</f>
        <v>98.995266383904905</v>
      </c>
    </row>
    <row r="140" spans="1:5" ht="15">
      <c r="A140" s="13">
        <v>45748</v>
      </c>
      <c r="B140" s="4">
        <f>18.0054 * CHOOSE(CONTROL!$C$9, $C$13, 100%, $E$13) + CHOOSE(CONTROL!$C$28, 0.0003, 0)</f>
        <v>18.005700000000001</v>
      </c>
      <c r="C140" s="4">
        <f>17.6929 * CHOOSE(CONTROL!$C$9, $C$13, 100%, $E$13) + CHOOSE(CONTROL!$C$28, 0.0003, 0)</f>
        <v>17.693200000000001</v>
      </c>
      <c r="D140" s="4">
        <f>23.7727 * CHOOSE(CONTROL!$C$9, $C$13, 100%, $E$13) + CHOOSE(CONTROL!$C$28, 0, 0)</f>
        <v>23.7727</v>
      </c>
      <c r="E140" s="4">
        <f>103.033341928241 * CHOOSE(CONTROL!$C$9, $C$13, 100%, $E$13) + CHOOSE(CONTROL!$C$28, 0, 0)</f>
        <v>103.033341928241</v>
      </c>
    </row>
    <row r="141" spans="1:5" ht="15">
      <c r="A141" s="13">
        <v>45778</v>
      </c>
      <c r="B141" s="4">
        <f>18.3916 * CHOOSE(CONTROL!$C$9, $C$13, 100%, $E$13) + CHOOSE(CONTROL!$C$28, 0.0276, 0)</f>
        <v>18.4192</v>
      </c>
      <c r="C141" s="4">
        <f>18.0791 * CHOOSE(CONTROL!$C$9, $C$13, 100%, $E$13) + CHOOSE(CONTROL!$C$28, 0.0276, 0)</f>
        <v>18.1067</v>
      </c>
      <c r="D141" s="4">
        <f>23.515 * CHOOSE(CONTROL!$C$9, $C$13, 100%, $E$13) + CHOOSE(CONTROL!$C$28, 0, 0)</f>
        <v>23.515000000000001</v>
      </c>
      <c r="E141" s="4">
        <f>105.500509306667 * CHOOSE(CONTROL!$C$9, $C$13, 100%, $E$13) + CHOOSE(CONTROL!$C$28, 0, 0)</f>
        <v>105.500509306667</v>
      </c>
    </row>
    <row r="142" spans="1:5" ht="15">
      <c r="A142" s="13">
        <v>45809</v>
      </c>
      <c r="B142" s="4">
        <f>18.4439 * CHOOSE(CONTROL!$C$9, $C$13, 100%, $E$13) + CHOOSE(CONTROL!$C$28, 0.0276, 0)</f>
        <v>18.471499999999999</v>
      </c>
      <c r="C142" s="4">
        <f>18.1314 * CHOOSE(CONTROL!$C$9, $C$13, 100%, $E$13) + CHOOSE(CONTROL!$C$28, 0.0276, 0)</f>
        <v>18.158999999999999</v>
      </c>
      <c r="D142" s="4">
        <f>23.7249 * CHOOSE(CONTROL!$C$9, $C$13, 100%, $E$13) + CHOOSE(CONTROL!$C$28, 0, 0)</f>
        <v>23.724900000000002</v>
      </c>
      <c r="E142" s="4">
        <f>105.834327291923 * CHOOSE(CONTROL!$C$9, $C$13, 100%, $E$13) + CHOOSE(CONTROL!$C$28, 0, 0)</f>
        <v>105.834327291923</v>
      </c>
    </row>
    <row r="143" spans="1:5" ht="15">
      <c r="A143" s="13">
        <v>45839</v>
      </c>
      <c r="B143" s="4">
        <f>18.4386 * CHOOSE(CONTROL!$C$9, $C$13, 100%, $E$13) + CHOOSE(CONTROL!$C$28, 0.0276, 0)</f>
        <v>18.466200000000001</v>
      </c>
      <c r="C143" s="4">
        <f>18.1261 * CHOOSE(CONTROL!$C$9, $C$13, 100%, $E$13) + CHOOSE(CONTROL!$C$28, 0.0276, 0)</f>
        <v>18.153700000000001</v>
      </c>
      <c r="D143" s="4">
        <f>24.1037 * CHOOSE(CONTROL!$C$9, $C$13, 100%, $E$13) + CHOOSE(CONTROL!$C$28, 0, 0)</f>
        <v>24.1037</v>
      </c>
      <c r="E143" s="4">
        <f>105.800664974082 * CHOOSE(CONTROL!$C$9, $C$13, 100%, $E$13) + CHOOSE(CONTROL!$C$28, 0, 0)</f>
        <v>105.800664974082</v>
      </c>
    </row>
    <row r="144" spans="1:5" ht="15">
      <c r="A144" s="13">
        <v>45870</v>
      </c>
      <c r="B144" s="4">
        <f>18.8352 * CHOOSE(CONTROL!$C$9, $C$13, 100%, $E$13) + CHOOSE(CONTROL!$C$28, 0.0276, 0)</f>
        <v>18.8628</v>
      </c>
      <c r="C144" s="4">
        <f>18.5227 * CHOOSE(CONTROL!$C$9, $C$13, 100%, $E$13) + CHOOSE(CONTROL!$C$28, 0.0276, 0)</f>
        <v>18.5503</v>
      </c>
      <c r="D144" s="4">
        <f>23.8535 * CHOOSE(CONTROL!$C$9, $C$13, 100%, $E$13) + CHOOSE(CONTROL!$C$28, 0, 0)</f>
        <v>23.8535</v>
      </c>
      <c r="E144" s="4">
        <f>108.333754391613 * CHOOSE(CONTROL!$C$9, $C$13, 100%, $E$13) + CHOOSE(CONTROL!$C$28, 0, 0)</f>
        <v>108.333754391613</v>
      </c>
    </row>
    <row r="145" spans="1:5" ht="15">
      <c r="A145" s="13">
        <v>45901</v>
      </c>
      <c r="B145" s="4">
        <f>18.1593 * CHOOSE(CONTROL!$C$9, $C$13, 100%, $E$13) + CHOOSE(CONTROL!$C$28, 0.0276, 0)</f>
        <v>18.186900000000001</v>
      </c>
      <c r="C145" s="4">
        <f>17.8468 * CHOOSE(CONTROL!$C$9, $C$13, 100%, $E$13) + CHOOSE(CONTROL!$C$28, 0.0276, 0)</f>
        <v>17.874400000000001</v>
      </c>
      <c r="D145" s="4">
        <f>23.7354 * CHOOSE(CONTROL!$C$9, $C$13, 100%, $E$13) + CHOOSE(CONTROL!$C$28, 0, 0)</f>
        <v>23.735399999999998</v>
      </c>
      <c r="E145" s="4">
        <f>104.016562128512 * CHOOSE(CONTROL!$C$9, $C$13, 100%, $E$13) + CHOOSE(CONTROL!$C$28, 0, 0)</f>
        <v>104.01656212851201</v>
      </c>
    </row>
    <row r="146" spans="1:5" ht="15">
      <c r="A146" s="13">
        <v>45931</v>
      </c>
      <c r="B146" s="4">
        <f>17.6182 * CHOOSE(CONTROL!$C$9, $C$13, 100%, $E$13) + CHOOSE(CONTROL!$C$28, 0.0003, 0)</f>
        <v>17.618500000000001</v>
      </c>
      <c r="C146" s="4">
        <f>17.3057 * CHOOSE(CONTROL!$C$9, $C$13, 100%, $E$13) + CHOOSE(CONTROL!$C$28, 0.0003, 0)</f>
        <v>17.306000000000001</v>
      </c>
      <c r="D146" s="4">
        <f>23.4189 * CHOOSE(CONTROL!$C$9, $C$13, 100%, $E$13) + CHOOSE(CONTROL!$C$28, 0, 0)</f>
        <v>23.418900000000001</v>
      </c>
      <c r="E146" s="4">
        <f>100.560564163509 * CHOOSE(CONTROL!$C$9, $C$13, 100%, $E$13) + CHOOSE(CONTROL!$C$28, 0, 0)</f>
        <v>100.560564163509</v>
      </c>
    </row>
    <row r="147" spans="1:5" ht="15">
      <c r="A147" s="13">
        <v>45962</v>
      </c>
      <c r="B147" s="4">
        <f>17.2697 * CHOOSE(CONTROL!$C$9, $C$13, 100%, $E$13) + CHOOSE(CONTROL!$C$28, 0.0003, 0)</f>
        <v>17.27</v>
      </c>
      <c r="C147" s="4">
        <f>16.9572 * CHOOSE(CONTROL!$C$9, $C$13, 100%, $E$13) + CHOOSE(CONTROL!$C$28, 0.0003, 0)</f>
        <v>16.9575</v>
      </c>
      <c r="D147" s="4">
        <f>23.3101 * CHOOSE(CONTROL!$C$9, $C$13, 100%, $E$13) + CHOOSE(CONTROL!$C$28, 0, 0)</f>
        <v>23.310099999999998</v>
      </c>
      <c r="E147" s="4">
        <f>98.3346433962764 * CHOOSE(CONTROL!$C$9, $C$13, 100%, $E$13) + CHOOSE(CONTROL!$C$28, 0, 0)</f>
        <v>98.334643396276405</v>
      </c>
    </row>
    <row r="148" spans="1:5" ht="15">
      <c r="A148" s="13">
        <v>45992</v>
      </c>
      <c r="B148" s="4">
        <f>17.0286 * CHOOSE(CONTROL!$C$9, $C$13, 100%, $E$13) + CHOOSE(CONTROL!$C$28, 0.0003, 0)</f>
        <v>17.0289</v>
      </c>
      <c r="C148" s="4">
        <f>16.7161 * CHOOSE(CONTROL!$C$9, $C$13, 100%, $E$13) + CHOOSE(CONTROL!$C$28, 0.0003, 0)</f>
        <v>16.7164</v>
      </c>
      <c r="D148" s="4">
        <f>22.5092 * CHOOSE(CONTROL!$C$9, $C$13, 100%, $E$13) + CHOOSE(CONTROL!$C$28, 0, 0)</f>
        <v>22.5092</v>
      </c>
      <c r="E148" s="4">
        <f>96.7945923550533 * CHOOSE(CONTROL!$C$9, $C$13, 100%, $E$13) + CHOOSE(CONTROL!$C$28, 0, 0)</f>
        <v>96.794592355053297</v>
      </c>
    </row>
    <row r="149" spans="1:5" ht="15">
      <c r="A149" s="13">
        <v>46023</v>
      </c>
      <c r="B149" s="4">
        <f>16.6458 * CHOOSE(CONTROL!$C$9, $C$13, 100%, $E$13) + CHOOSE(CONTROL!$C$28, 0.0003, 0)</f>
        <v>16.646100000000001</v>
      </c>
      <c r="C149" s="4">
        <f>16.3333 * CHOOSE(CONTROL!$C$9, $C$13, 100%, $E$13) + CHOOSE(CONTROL!$C$28, 0.0003, 0)</f>
        <v>16.333600000000001</v>
      </c>
      <c r="D149" s="4">
        <f>21.958 * CHOOSE(CONTROL!$C$9, $C$13, 100%, $E$13) + CHOOSE(CONTROL!$C$28, 0, 0)</f>
        <v>21.957999999999998</v>
      </c>
      <c r="E149" s="4">
        <f>94.6809476475342 * CHOOSE(CONTROL!$C$9, $C$13, 100%, $E$13) + CHOOSE(CONTROL!$C$28, 0, 0)</f>
        <v>94.680947647534197</v>
      </c>
    </row>
    <row r="150" spans="1:5" ht="15">
      <c r="A150" s="13">
        <v>46054</v>
      </c>
      <c r="B150" s="4">
        <f>16.9966 * CHOOSE(CONTROL!$C$9, $C$13, 100%, $E$13) + CHOOSE(CONTROL!$C$28, 0.0003, 0)</f>
        <v>16.9969</v>
      </c>
      <c r="C150" s="4">
        <f>16.6841 * CHOOSE(CONTROL!$C$9, $C$13, 100%, $E$13) + CHOOSE(CONTROL!$C$28, 0.0003, 0)</f>
        <v>16.6844</v>
      </c>
      <c r="D150" s="4">
        <f>22.7058 * CHOOSE(CONTROL!$C$9, $C$13, 100%, $E$13) + CHOOSE(CONTROL!$C$28, 0, 0)</f>
        <v>22.7058</v>
      </c>
      <c r="E150" s="4">
        <f>96.9290464737271 * CHOOSE(CONTROL!$C$9, $C$13, 100%, $E$13) + CHOOSE(CONTROL!$C$28, 0, 0)</f>
        <v>96.929046473727098</v>
      </c>
    </row>
    <row r="151" spans="1:5" ht="15">
      <c r="A151" s="13">
        <v>46082</v>
      </c>
      <c r="B151" s="4">
        <f>17.9176 * CHOOSE(CONTROL!$C$9, $C$13, 100%, $E$13) + CHOOSE(CONTROL!$C$28, 0.0003, 0)</f>
        <v>17.917899999999999</v>
      </c>
      <c r="C151" s="4">
        <f>17.6051 * CHOOSE(CONTROL!$C$9, $C$13, 100%, $E$13) + CHOOSE(CONTROL!$C$28, 0.0003, 0)</f>
        <v>17.605399999999999</v>
      </c>
      <c r="D151" s="4">
        <f>23.8764 * CHOOSE(CONTROL!$C$9, $C$13, 100%, $E$13) + CHOOSE(CONTROL!$C$28, 0, 0)</f>
        <v>23.8764</v>
      </c>
      <c r="E151" s="4">
        <f>102.832673462537 * CHOOSE(CONTROL!$C$9, $C$13, 100%, $E$13) + CHOOSE(CONTROL!$C$28, 0, 0)</f>
        <v>102.832673462537</v>
      </c>
    </row>
    <row r="152" spans="1:5" ht="15">
      <c r="A152" s="13">
        <v>46113</v>
      </c>
      <c r="B152" s="4">
        <f>18.5719 * CHOOSE(CONTROL!$C$9, $C$13, 100%, $E$13) + CHOOSE(CONTROL!$C$28, 0.0003, 0)</f>
        <v>18.572199999999999</v>
      </c>
      <c r="C152" s="4">
        <f>18.2594 * CHOOSE(CONTROL!$C$9, $C$13, 100%, $E$13) + CHOOSE(CONTROL!$C$28, 0.0003, 0)</f>
        <v>18.259699999999999</v>
      </c>
      <c r="D152" s="4">
        <f>24.5508 * CHOOSE(CONTROL!$C$9, $C$13, 100%, $E$13) + CHOOSE(CONTROL!$C$28, 0, 0)</f>
        <v>24.550799999999999</v>
      </c>
      <c r="E152" s="4">
        <f>107.02727911426 * CHOOSE(CONTROL!$C$9, $C$13, 100%, $E$13) + CHOOSE(CONTROL!$C$28, 0, 0)</f>
        <v>107.02727911426</v>
      </c>
    </row>
    <row r="153" spans="1:5" ht="15">
      <c r="A153" s="13">
        <v>46143</v>
      </c>
      <c r="B153" s="4">
        <f>18.9718 * CHOOSE(CONTROL!$C$9, $C$13, 100%, $E$13) + CHOOSE(CONTROL!$C$28, 0.0276, 0)</f>
        <v>18.999400000000001</v>
      </c>
      <c r="C153" s="4">
        <f>18.6593 * CHOOSE(CONTROL!$C$9, $C$13, 100%, $E$13) + CHOOSE(CONTROL!$C$28, 0.0276, 0)</f>
        <v>18.686900000000001</v>
      </c>
      <c r="D153" s="4">
        <f>24.2843 * CHOOSE(CONTROL!$C$9, $C$13, 100%, $E$13) + CHOOSE(CONTROL!$C$28, 0, 0)</f>
        <v>24.284300000000002</v>
      </c>
      <c r="E153" s="4">
        <f>109.590082636797 * CHOOSE(CONTROL!$C$9, $C$13, 100%, $E$13) + CHOOSE(CONTROL!$C$28, 0, 0)</f>
        <v>109.59008263679701</v>
      </c>
    </row>
    <row r="154" spans="1:5" ht="15">
      <c r="A154" s="13">
        <v>46174</v>
      </c>
      <c r="B154" s="4">
        <f>19.0258 * CHOOSE(CONTROL!$C$9, $C$13, 100%, $E$13) + CHOOSE(CONTROL!$C$28, 0.0276, 0)</f>
        <v>19.0534</v>
      </c>
      <c r="C154" s="4">
        <f>18.7133 * CHOOSE(CONTROL!$C$9, $C$13, 100%, $E$13) + CHOOSE(CONTROL!$C$28, 0.0276, 0)</f>
        <v>18.7409</v>
      </c>
      <c r="D154" s="4">
        <f>24.5013 * CHOOSE(CONTROL!$C$9, $C$13, 100%, $E$13) + CHOOSE(CONTROL!$C$28, 0, 0)</f>
        <v>24.501300000000001</v>
      </c>
      <c r="E154" s="4">
        <f>109.936840589249 * CHOOSE(CONTROL!$C$9, $C$13, 100%, $E$13) + CHOOSE(CONTROL!$C$28, 0, 0)</f>
        <v>109.936840589249</v>
      </c>
    </row>
    <row r="155" spans="1:5" ht="15">
      <c r="A155" s="13">
        <v>46204</v>
      </c>
      <c r="B155" s="4">
        <f>19.0204 * CHOOSE(CONTROL!$C$9, $C$13, 100%, $E$13) + CHOOSE(CONTROL!$C$28, 0.0276, 0)</f>
        <v>19.047999999999998</v>
      </c>
      <c r="C155" s="4">
        <f>18.7079 * CHOOSE(CONTROL!$C$9, $C$13, 100%, $E$13) + CHOOSE(CONTROL!$C$28, 0.0276, 0)</f>
        <v>18.735499999999998</v>
      </c>
      <c r="D155" s="4">
        <f>24.8929 * CHOOSE(CONTROL!$C$9, $C$13, 100%, $E$13) + CHOOSE(CONTROL!$C$28, 0, 0)</f>
        <v>24.892900000000001</v>
      </c>
      <c r="E155" s="4">
        <f>109.901873400766 * CHOOSE(CONTROL!$C$9, $C$13, 100%, $E$13) + CHOOSE(CONTROL!$C$28, 0, 0)</f>
        <v>109.90187340076599</v>
      </c>
    </row>
    <row r="156" spans="1:5" ht="15">
      <c r="A156" s="13">
        <v>46235</v>
      </c>
      <c r="B156" s="4">
        <f>19.4309 * CHOOSE(CONTROL!$C$9, $C$13, 100%, $E$13) + CHOOSE(CONTROL!$C$28, 0.0276, 0)</f>
        <v>19.458500000000001</v>
      </c>
      <c r="C156" s="4">
        <f>19.1184 * CHOOSE(CONTROL!$C$9, $C$13, 100%, $E$13) + CHOOSE(CONTROL!$C$28, 0.0276, 0)</f>
        <v>19.146000000000001</v>
      </c>
      <c r="D156" s="4">
        <f>24.6343 * CHOOSE(CONTROL!$C$9, $C$13, 100%, $E$13) + CHOOSE(CONTROL!$C$28, 0, 0)</f>
        <v>24.6343</v>
      </c>
      <c r="E156" s="4">
        <f>112.533154334081 * CHOOSE(CONTROL!$C$9, $C$13, 100%, $E$13) + CHOOSE(CONTROL!$C$28, 0, 0)</f>
        <v>112.533154334081</v>
      </c>
    </row>
    <row r="157" spans="1:5" ht="15">
      <c r="A157" s="13">
        <v>46266</v>
      </c>
      <c r="B157" s="4">
        <f>18.7313 * CHOOSE(CONTROL!$C$9, $C$13, 100%, $E$13) + CHOOSE(CONTROL!$C$28, 0.0276, 0)</f>
        <v>18.758900000000001</v>
      </c>
      <c r="C157" s="4">
        <f>18.4188 * CHOOSE(CONTROL!$C$9, $C$13, 100%, $E$13) + CHOOSE(CONTROL!$C$28, 0.0276, 0)</f>
        <v>18.446400000000001</v>
      </c>
      <c r="D157" s="4">
        <f>24.5121 * CHOOSE(CONTROL!$C$9, $C$13, 100%, $E$13) + CHOOSE(CONTROL!$C$28, 0, 0)</f>
        <v>24.5121</v>
      </c>
      <c r="E157" s="4">
        <f>108.048612411189 * CHOOSE(CONTROL!$C$9, $C$13, 100%, $E$13) + CHOOSE(CONTROL!$C$28, 0, 0)</f>
        <v>108.048612411189</v>
      </c>
    </row>
    <row r="158" spans="1:5" ht="15">
      <c r="A158" s="13">
        <v>46296</v>
      </c>
      <c r="B158" s="4">
        <f>18.1712 * CHOOSE(CONTROL!$C$9, $C$13, 100%, $E$13) + CHOOSE(CONTROL!$C$28, 0.0003, 0)</f>
        <v>18.171499999999998</v>
      </c>
      <c r="C158" s="4">
        <f>17.8587 * CHOOSE(CONTROL!$C$9, $C$13, 100%, $E$13) + CHOOSE(CONTROL!$C$28, 0.0003, 0)</f>
        <v>17.858999999999998</v>
      </c>
      <c r="D158" s="4">
        <f>24.185 * CHOOSE(CONTROL!$C$9, $C$13, 100%, $E$13) + CHOOSE(CONTROL!$C$28, 0, 0)</f>
        <v>24.184999999999999</v>
      </c>
      <c r="E158" s="4">
        <f>104.458647726977 * CHOOSE(CONTROL!$C$9, $C$13, 100%, $E$13) + CHOOSE(CONTROL!$C$28, 0, 0)</f>
        <v>104.45864772697701</v>
      </c>
    </row>
    <row r="159" spans="1:5" ht="15">
      <c r="A159" s="13">
        <v>46327</v>
      </c>
      <c r="B159" s="4">
        <f>17.8105 * CHOOSE(CONTROL!$C$9, $C$13, 100%, $E$13) + CHOOSE(CONTROL!$C$28, 0.0003, 0)</f>
        <v>17.8108</v>
      </c>
      <c r="C159" s="4">
        <f>17.498 * CHOOSE(CONTROL!$C$9, $C$13, 100%, $E$13) + CHOOSE(CONTROL!$C$28, 0.0003, 0)</f>
        <v>17.4983</v>
      </c>
      <c r="D159" s="4">
        <f>24.0725 * CHOOSE(CONTROL!$C$9, $C$13, 100%, $E$13) + CHOOSE(CONTROL!$C$28, 0, 0)</f>
        <v>24.072500000000002</v>
      </c>
      <c r="E159" s="4">
        <f>102.146442388566 * CHOOSE(CONTROL!$C$9, $C$13, 100%, $E$13) + CHOOSE(CONTROL!$C$28, 0, 0)</f>
        <v>102.146442388566</v>
      </c>
    </row>
    <row r="160" spans="1:5" ht="15">
      <c r="A160" s="13">
        <v>46357</v>
      </c>
      <c r="B160" s="4">
        <f>17.5609 * CHOOSE(CONTROL!$C$9, $C$13, 100%, $E$13) + CHOOSE(CONTROL!$C$28, 0.0003, 0)</f>
        <v>17.561199999999999</v>
      </c>
      <c r="C160" s="4">
        <f>17.2484 * CHOOSE(CONTROL!$C$9, $C$13, 100%, $E$13) + CHOOSE(CONTROL!$C$28, 0.0003, 0)</f>
        <v>17.248699999999999</v>
      </c>
      <c r="D160" s="4">
        <f>23.2445 * CHOOSE(CONTROL!$C$9, $C$13, 100%, $E$13) + CHOOSE(CONTROL!$C$28, 0, 0)</f>
        <v>23.244499999999999</v>
      </c>
      <c r="E160" s="4">
        <f>100.546693515488 * CHOOSE(CONTROL!$C$9, $C$13, 100%, $E$13) + CHOOSE(CONTROL!$C$28, 0, 0)</f>
        <v>100.546693515488</v>
      </c>
    </row>
    <row r="161" spans="1:5" ht="15">
      <c r="A161" s="13">
        <v>46388</v>
      </c>
      <c r="B161" s="4">
        <f>17.1847 * CHOOSE(CONTROL!$C$9, $C$13, 100%, $E$13) + CHOOSE(CONTROL!$C$28, 0.0003, 0)</f>
        <v>17.184999999999999</v>
      </c>
      <c r="C161" s="4">
        <f>16.8722 * CHOOSE(CONTROL!$C$9, $C$13, 100%, $E$13) + CHOOSE(CONTROL!$C$28, 0.0003, 0)</f>
        <v>16.872499999999999</v>
      </c>
      <c r="D161" s="4">
        <f>22.6454 * CHOOSE(CONTROL!$C$9, $C$13, 100%, $E$13) + CHOOSE(CONTROL!$C$28, 0, 0)</f>
        <v>22.645399999999999</v>
      </c>
      <c r="E161" s="4">
        <f>98.1885850346518 * CHOOSE(CONTROL!$C$9, $C$13, 100%, $E$13) + CHOOSE(CONTROL!$C$28, 0, 0)</f>
        <v>98.188585034651794</v>
      </c>
    </row>
    <row r="162" spans="1:5" ht="15">
      <c r="A162" s="13">
        <v>46419</v>
      </c>
      <c r="B162" s="4">
        <f>17.5482 * CHOOSE(CONTROL!$C$9, $C$13, 100%, $E$13) + CHOOSE(CONTROL!$C$28, 0.0003, 0)</f>
        <v>17.548500000000001</v>
      </c>
      <c r="C162" s="4">
        <f>17.2357 * CHOOSE(CONTROL!$C$9, $C$13, 100%, $E$13) + CHOOSE(CONTROL!$C$28, 0.0003, 0)</f>
        <v>17.236000000000001</v>
      </c>
      <c r="D162" s="4">
        <f>23.4174 * CHOOSE(CONTROL!$C$9, $C$13, 100%, $E$13) + CHOOSE(CONTROL!$C$28, 0, 0)</f>
        <v>23.417400000000001</v>
      </c>
      <c r="E162" s="4">
        <f>100.519968995696 * CHOOSE(CONTROL!$C$9, $C$13, 100%, $E$13) + CHOOSE(CONTROL!$C$28, 0, 0)</f>
        <v>100.519968995696</v>
      </c>
    </row>
    <row r="163" spans="1:5" ht="15">
      <c r="A163" s="13">
        <v>46447</v>
      </c>
      <c r="B163" s="4">
        <f>18.5028 * CHOOSE(CONTROL!$C$9, $C$13, 100%, $E$13) + CHOOSE(CONTROL!$C$28, 0.0003, 0)</f>
        <v>18.5031</v>
      </c>
      <c r="C163" s="4">
        <f>18.1903 * CHOOSE(CONTROL!$C$9, $C$13, 100%, $E$13) + CHOOSE(CONTROL!$C$28, 0.0003, 0)</f>
        <v>18.1906</v>
      </c>
      <c r="D163" s="4">
        <f>24.6261 * CHOOSE(CONTROL!$C$9, $C$13, 100%, $E$13) + CHOOSE(CONTROL!$C$28, 0, 0)</f>
        <v>24.626100000000001</v>
      </c>
      <c r="E163" s="4">
        <f>106.642307174667 * CHOOSE(CONTROL!$C$9, $C$13, 100%, $E$13) + CHOOSE(CONTROL!$C$28, 0, 0)</f>
        <v>106.642307174667</v>
      </c>
    </row>
    <row r="164" spans="1:5" ht="15">
      <c r="A164" s="13">
        <v>46478</v>
      </c>
      <c r="B164" s="4">
        <f>19.1811 * CHOOSE(CONTROL!$C$9, $C$13, 100%, $E$13) + CHOOSE(CONTROL!$C$28, 0.0003, 0)</f>
        <v>19.1814</v>
      </c>
      <c r="C164" s="4">
        <f>18.8686 * CHOOSE(CONTROL!$C$9, $C$13, 100%, $E$13) + CHOOSE(CONTROL!$C$28, 0.0003, 0)</f>
        <v>18.8689</v>
      </c>
      <c r="D164" s="4">
        <f>25.3223 * CHOOSE(CONTROL!$C$9, $C$13, 100%, $E$13) + CHOOSE(CONTROL!$C$28, 0, 0)</f>
        <v>25.322299999999998</v>
      </c>
      <c r="E164" s="4">
        <f>110.992310041709 * CHOOSE(CONTROL!$C$9, $C$13, 100%, $E$13) + CHOOSE(CONTROL!$C$28, 0, 0)</f>
        <v>110.992310041709</v>
      </c>
    </row>
    <row r="165" spans="1:5" ht="15">
      <c r="A165" s="13">
        <v>46508</v>
      </c>
      <c r="B165" s="4">
        <f>19.5955 * CHOOSE(CONTROL!$C$9, $C$13, 100%, $E$13) + CHOOSE(CONTROL!$C$28, 0.0276, 0)</f>
        <v>19.623100000000001</v>
      </c>
      <c r="C165" s="4">
        <f>19.283 * CHOOSE(CONTROL!$C$9, $C$13, 100%, $E$13) + CHOOSE(CONTROL!$C$28, 0.0276, 0)</f>
        <v>19.310600000000001</v>
      </c>
      <c r="D165" s="4">
        <f>25.0472 * CHOOSE(CONTROL!$C$9, $C$13, 100%, $E$13) + CHOOSE(CONTROL!$C$28, 0, 0)</f>
        <v>25.0472</v>
      </c>
      <c r="E165" s="4">
        <f>113.650057538454 * CHOOSE(CONTROL!$C$9, $C$13, 100%, $E$13) + CHOOSE(CONTROL!$C$28, 0, 0)</f>
        <v>113.65005753845401</v>
      </c>
    </row>
    <row r="166" spans="1:5" ht="15">
      <c r="A166" s="13">
        <v>46539</v>
      </c>
      <c r="B166" s="4">
        <f>19.6516 * CHOOSE(CONTROL!$C$9, $C$13, 100%, $E$13) + CHOOSE(CONTROL!$C$28, 0.0276, 0)</f>
        <v>19.679199999999998</v>
      </c>
      <c r="C166" s="4">
        <f>19.3391 * CHOOSE(CONTROL!$C$9, $C$13, 100%, $E$13) + CHOOSE(CONTROL!$C$28, 0.0276, 0)</f>
        <v>19.366699999999998</v>
      </c>
      <c r="D166" s="4">
        <f>25.2712 * CHOOSE(CONTROL!$C$9, $C$13, 100%, $E$13) + CHOOSE(CONTROL!$C$28, 0, 0)</f>
        <v>25.2712</v>
      </c>
      <c r="E166" s="4">
        <f>114.009661804642 * CHOOSE(CONTROL!$C$9, $C$13, 100%, $E$13) + CHOOSE(CONTROL!$C$28, 0, 0)</f>
        <v>114.00966180464199</v>
      </c>
    </row>
    <row r="167" spans="1:5" ht="15">
      <c r="A167" s="13">
        <v>46569</v>
      </c>
      <c r="B167" s="4">
        <f>19.6459 * CHOOSE(CONTROL!$C$9, $C$13, 100%, $E$13) + CHOOSE(CONTROL!$C$28, 0.0276, 0)</f>
        <v>19.673500000000001</v>
      </c>
      <c r="C167" s="4">
        <f>19.3334 * CHOOSE(CONTROL!$C$9, $C$13, 100%, $E$13) + CHOOSE(CONTROL!$C$28, 0.0276, 0)</f>
        <v>19.361000000000001</v>
      </c>
      <c r="D167" s="4">
        <f>25.6755 * CHOOSE(CONTROL!$C$9, $C$13, 100%, $E$13) + CHOOSE(CONTROL!$C$28, 0, 0)</f>
        <v>25.6755</v>
      </c>
      <c r="E167" s="4">
        <f>113.973399189565 * CHOOSE(CONTROL!$C$9, $C$13, 100%, $E$13) + CHOOSE(CONTROL!$C$28, 0, 0)</f>
        <v>113.973399189565</v>
      </c>
    </row>
    <row r="168" spans="1:5" ht="15">
      <c r="A168" s="13">
        <v>46600</v>
      </c>
      <c r="B168" s="4">
        <f>20.0714 * CHOOSE(CONTROL!$C$9, $C$13, 100%, $E$13) + CHOOSE(CONTROL!$C$28, 0.0276, 0)</f>
        <v>20.099</v>
      </c>
      <c r="C168" s="4">
        <f>19.7589 * CHOOSE(CONTROL!$C$9, $C$13, 100%, $E$13) + CHOOSE(CONTROL!$C$28, 0.0276, 0)</f>
        <v>19.7865</v>
      </c>
      <c r="D168" s="4">
        <f>25.4085 * CHOOSE(CONTROL!$C$9, $C$13, 100%, $E$13) + CHOOSE(CONTROL!$C$28, 0, 0)</f>
        <v>25.4085</v>
      </c>
      <c r="E168" s="4">
        <f>116.70216097417 * CHOOSE(CONTROL!$C$9, $C$13, 100%, $E$13) + CHOOSE(CONTROL!$C$28, 0, 0)</f>
        <v>116.70216097417</v>
      </c>
    </row>
    <row r="169" spans="1:5" ht="15">
      <c r="A169" s="13">
        <v>46631</v>
      </c>
      <c r="B169" s="4">
        <f>19.3462 * CHOOSE(CONTROL!$C$9, $C$13, 100%, $E$13) + CHOOSE(CONTROL!$C$28, 0.0276, 0)</f>
        <v>19.373799999999999</v>
      </c>
      <c r="C169" s="4">
        <f>19.0337 * CHOOSE(CONTROL!$C$9, $C$13, 100%, $E$13) + CHOOSE(CONTROL!$C$28, 0.0276, 0)</f>
        <v>19.061299999999999</v>
      </c>
      <c r="D169" s="4">
        <f>25.2823 * CHOOSE(CONTROL!$C$9, $C$13, 100%, $E$13) + CHOOSE(CONTROL!$C$28, 0, 0)</f>
        <v>25.282299999999999</v>
      </c>
      <c r="E169" s="4">
        <f>112.051480590441 * CHOOSE(CONTROL!$C$9, $C$13, 100%, $E$13) + CHOOSE(CONTROL!$C$28, 0, 0)</f>
        <v>112.051480590441</v>
      </c>
    </row>
    <row r="170" spans="1:5" ht="15">
      <c r="A170" s="13">
        <v>46661</v>
      </c>
      <c r="B170" s="4">
        <f>18.7657 * CHOOSE(CONTROL!$C$9, $C$13, 100%, $E$13) + CHOOSE(CONTROL!$C$28, 0.0003, 0)</f>
        <v>18.765999999999998</v>
      </c>
      <c r="C170" s="4">
        <f>18.4532 * CHOOSE(CONTROL!$C$9, $C$13, 100%, $E$13) + CHOOSE(CONTROL!$C$28, 0.0003, 0)</f>
        <v>18.453499999999998</v>
      </c>
      <c r="D170" s="4">
        <f>24.9446 * CHOOSE(CONTROL!$C$9, $C$13, 100%, $E$13) + CHOOSE(CONTROL!$C$28, 0, 0)</f>
        <v>24.944600000000001</v>
      </c>
      <c r="E170" s="4">
        <f>108.328518775785 * CHOOSE(CONTROL!$C$9, $C$13, 100%, $E$13) + CHOOSE(CONTROL!$C$28, 0, 0)</f>
        <v>108.328518775785</v>
      </c>
    </row>
    <row r="171" spans="1:5" ht="15">
      <c r="A171" s="13">
        <v>46692</v>
      </c>
      <c r="B171" s="4">
        <f>18.3919 * CHOOSE(CONTROL!$C$9, $C$13, 100%, $E$13) + CHOOSE(CONTROL!$C$28, 0.0003, 0)</f>
        <v>18.392199999999999</v>
      </c>
      <c r="C171" s="4">
        <f>18.0794 * CHOOSE(CONTROL!$C$9, $C$13, 100%, $E$13) + CHOOSE(CONTROL!$C$28, 0.0003, 0)</f>
        <v>18.079699999999999</v>
      </c>
      <c r="D171" s="4">
        <f>24.8285 * CHOOSE(CONTROL!$C$9, $C$13, 100%, $E$13) + CHOOSE(CONTROL!$C$28, 0, 0)</f>
        <v>24.828499999999998</v>
      </c>
      <c r="E171" s="4">
        <f>105.930653353765 * CHOOSE(CONTROL!$C$9, $C$13, 100%, $E$13) + CHOOSE(CONTROL!$C$28, 0, 0)</f>
        <v>105.930653353765</v>
      </c>
    </row>
    <row r="172" spans="1:5" ht="15">
      <c r="A172" s="13">
        <v>46722</v>
      </c>
      <c r="B172" s="4">
        <f>18.1332 * CHOOSE(CONTROL!$C$9, $C$13, 100%, $E$13) + CHOOSE(CONTROL!$C$28, 0.0003, 0)</f>
        <v>18.133499999999998</v>
      </c>
      <c r="C172" s="4">
        <f>17.8207 * CHOOSE(CONTROL!$C$9, $C$13, 100%, $E$13) + CHOOSE(CONTROL!$C$28, 0.0003, 0)</f>
        <v>17.820999999999998</v>
      </c>
      <c r="D172" s="4">
        <f>23.9736 * CHOOSE(CONTROL!$C$9, $C$13, 100%, $E$13) + CHOOSE(CONTROL!$C$28, 0, 0)</f>
        <v>23.973600000000001</v>
      </c>
      <c r="E172" s="4">
        <f>104.271638713955 * CHOOSE(CONTROL!$C$9, $C$13, 100%, $E$13) + CHOOSE(CONTROL!$C$28, 0, 0)</f>
        <v>104.271638713955</v>
      </c>
    </row>
    <row r="173" spans="1:5" ht="15">
      <c r="A173" s="13">
        <v>46753</v>
      </c>
      <c r="B173" s="4">
        <f>17.7453 * CHOOSE(CONTROL!$C$9, $C$13, 100%, $E$13) + CHOOSE(CONTROL!$C$28, 0.0003, 0)</f>
        <v>17.7456</v>
      </c>
      <c r="C173" s="4">
        <f>17.4328 * CHOOSE(CONTROL!$C$9, $C$13, 100%, $E$13) + CHOOSE(CONTROL!$C$28, 0.0003, 0)</f>
        <v>17.4331</v>
      </c>
      <c r="D173" s="4">
        <f>23.3108 * CHOOSE(CONTROL!$C$9, $C$13, 100%, $E$13) + CHOOSE(CONTROL!$C$28, 0, 0)</f>
        <v>23.3108</v>
      </c>
      <c r="E173" s="4">
        <f>101.884983474545 * CHOOSE(CONTROL!$C$9, $C$13, 100%, $E$13) + CHOOSE(CONTROL!$C$28, 0, 0)</f>
        <v>101.884983474545</v>
      </c>
    </row>
    <row r="174" spans="1:5" ht="15">
      <c r="A174" s="13">
        <v>46784</v>
      </c>
      <c r="B174" s="4">
        <f>18.1222 * CHOOSE(CONTROL!$C$9, $C$13, 100%, $E$13) + CHOOSE(CONTROL!$C$28, 0.0003, 0)</f>
        <v>18.122499999999999</v>
      </c>
      <c r="C174" s="4">
        <f>17.8097 * CHOOSE(CONTROL!$C$9, $C$13, 100%, $E$13) + CHOOSE(CONTROL!$C$28, 0.0003, 0)</f>
        <v>17.809999999999999</v>
      </c>
      <c r="D174" s="4">
        <f>24.1063 * CHOOSE(CONTROL!$C$9, $C$13, 100%, $E$13) + CHOOSE(CONTROL!$C$28, 0, 0)</f>
        <v>24.106300000000001</v>
      </c>
      <c r="E174" s="4">
        <f>104.304134501724 * CHOOSE(CONTROL!$C$9, $C$13, 100%, $E$13) + CHOOSE(CONTROL!$C$28, 0, 0)</f>
        <v>104.30413450172399</v>
      </c>
    </row>
    <row r="175" spans="1:5" ht="15">
      <c r="A175" s="13">
        <v>46813</v>
      </c>
      <c r="B175" s="4">
        <f>19.1117 * CHOOSE(CONTROL!$C$9, $C$13, 100%, $E$13) + CHOOSE(CONTROL!$C$28, 0.0003, 0)</f>
        <v>19.111999999999998</v>
      </c>
      <c r="C175" s="4">
        <f>18.7992 * CHOOSE(CONTROL!$C$9, $C$13, 100%, $E$13) + CHOOSE(CONTROL!$C$28, 0.0003, 0)</f>
        <v>18.799499999999998</v>
      </c>
      <c r="D175" s="4">
        <f>25.3517 * CHOOSE(CONTROL!$C$9, $C$13, 100%, $E$13) + CHOOSE(CONTROL!$C$28, 0, 0)</f>
        <v>25.351700000000001</v>
      </c>
      <c r="E175" s="4">
        <f>110.656953660589 * CHOOSE(CONTROL!$C$9, $C$13, 100%, $E$13) + CHOOSE(CONTROL!$C$28, 0, 0)</f>
        <v>110.656953660589</v>
      </c>
    </row>
    <row r="176" spans="1:5" ht="15">
      <c r="A176" s="13">
        <v>46844</v>
      </c>
      <c r="B176" s="4">
        <f>19.8148 * CHOOSE(CONTROL!$C$9, $C$13, 100%, $E$13) + CHOOSE(CONTROL!$C$28, 0.0003, 0)</f>
        <v>19.815100000000001</v>
      </c>
      <c r="C176" s="4">
        <f>19.5023 * CHOOSE(CONTROL!$C$9, $C$13, 100%, $E$13) + CHOOSE(CONTROL!$C$28, 0.0003, 0)</f>
        <v>19.502600000000001</v>
      </c>
      <c r="D176" s="4">
        <f>26.0691 * CHOOSE(CONTROL!$C$9, $C$13, 100%, $E$13) + CHOOSE(CONTROL!$C$28, 0, 0)</f>
        <v>26.069099999999999</v>
      </c>
      <c r="E176" s="4">
        <f>115.17071633541 * CHOOSE(CONTROL!$C$9, $C$13, 100%, $E$13) + CHOOSE(CONTROL!$C$28, 0, 0)</f>
        <v>115.17071633541001</v>
      </c>
    </row>
    <row r="177" spans="1:5" ht="15">
      <c r="A177" s="13">
        <v>46874</v>
      </c>
      <c r="B177" s="4">
        <f>20.2444 * CHOOSE(CONTROL!$C$9, $C$13, 100%, $E$13) + CHOOSE(CONTROL!$C$28, 0.0276, 0)</f>
        <v>20.271999999999998</v>
      </c>
      <c r="C177" s="4">
        <f>19.9319 * CHOOSE(CONTROL!$C$9, $C$13, 100%, $E$13) + CHOOSE(CONTROL!$C$28, 0.0276, 0)</f>
        <v>19.959499999999998</v>
      </c>
      <c r="D177" s="4">
        <f>25.7856 * CHOOSE(CONTROL!$C$9, $C$13, 100%, $E$13) + CHOOSE(CONTROL!$C$28, 0, 0)</f>
        <v>25.785599999999999</v>
      </c>
      <c r="E177" s="4">
        <f>117.928517149932 * CHOOSE(CONTROL!$C$9, $C$13, 100%, $E$13) + CHOOSE(CONTROL!$C$28, 0, 0)</f>
        <v>117.92851714993201</v>
      </c>
    </row>
    <row r="178" spans="1:5" ht="15">
      <c r="A178" s="13">
        <v>46905</v>
      </c>
      <c r="B178" s="4">
        <f>20.3025 * CHOOSE(CONTROL!$C$9, $C$13, 100%, $E$13) + CHOOSE(CONTROL!$C$28, 0.0276, 0)</f>
        <v>20.330099999999998</v>
      </c>
      <c r="C178" s="4">
        <f>19.99 * CHOOSE(CONTROL!$C$9, $C$13, 100%, $E$13) + CHOOSE(CONTROL!$C$28, 0.0276, 0)</f>
        <v>20.017599999999998</v>
      </c>
      <c r="D178" s="4">
        <f>26.0165 * CHOOSE(CONTROL!$C$9, $C$13, 100%, $E$13) + CHOOSE(CONTROL!$C$28, 0, 0)</f>
        <v>26.016500000000001</v>
      </c>
      <c r="E178" s="4">
        <f>118.301659045246 * CHOOSE(CONTROL!$C$9, $C$13, 100%, $E$13) + CHOOSE(CONTROL!$C$28, 0, 0)</f>
        <v>118.301659045246</v>
      </c>
    </row>
    <row r="179" spans="1:5" ht="15">
      <c r="A179" s="13">
        <v>46935</v>
      </c>
      <c r="B179" s="4">
        <f>20.2967 * CHOOSE(CONTROL!$C$9, $C$13, 100%, $E$13) + CHOOSE(CONTROL!$C$28, 0.0276, 0)</f>
        <v>20.324300000000001</v>
      </c>
      <c r="C179" s="4">
        <f>19.9842 * CHOOSE(CONTROL!$C$9, $C$13, 100%, $E$13) + CHOOSE(CONTROL!$C$28, 0.0276, 0)</f>
        <v>20.011800000000001</v>
      </c>
      <c r="D179" s="4">
        <f>26.4331 * CHOOSE(CONTROL!$C$9, $C$13, 100%, $E$13) + CHOOSE(CONTROL!$C$28, 0, 0)</f>
        <v>26.4331</v>
      </c>
      <c r="E179" s="4">
        <f>118.264031291096 * CHOOSE(CONTROL!$C$9, $C$13, 100%, $E$13) + CHOOSE(CONTROL!$C$28, 0, 0)</f>
        <v>118.264031291096</v>
      </c>
    </row>
    <row r="180" spans="1:5" ht="15">
      <c r="A180" s="13">
        <v>46966</v>
      </c>
      <c r="B180" s="4">
        <f>20.7377 * CHOOSE(CONTROL!$C$9, $C$13, 100%, $E$13) + CHOOSE(CONTROL!$C$28, 0.0276, 0)</f>
        <v>20.7653</v>
      </c>
      <c r="C180" s="4">
        <f>20.4252 * CHOOSE(CONTROL!$C$9, $C$13, 100%, $E$13) + CHOOSE(CONTROL!$C$28, 0.0276, 0)</f>
        <v>20.4528</v>
      </c>
      <c r="D180" s="4">
        <f>26.158 * CHOOSE(CONTROL!$C$9, $C$13, 100%, $E$13) + CHOOSE(CONTROL!$C$28, 0, 0)</f>
        <v>26.158000000000001</v>
      </c>
      <c r="E180" s="4">
        <f>121.095519790827 * CHOOSE(CONTROL!$C$9, $C$13, 100%, $E$13) + CHOOSE(CONTROL!$C$28, 0, 0)</f>
        <v>121.095519790827</v>
      </c>
    </row>
    <row r="181" spans="1:5" ht="15">
      <c r="A181" s="13">
        <v>46997</v>
      </c>
      <c r="B181" s="4">
        <f>19.986 * CHOOSE(CONTROL!$C$9, $C$13, 100%, $E$13) + CHOOSE(CONTROL!$C$28, 0.0276, 0)</f>
        <v>20.0136</v>
      </c>
      <c r="C181" s="4">
        <f>19.6735 * CHOOSE(CONTROL!$C$9, $C$13, 100%, $E$13) + CHOOSE(CONTROL!$C$28, 0.0276, 0)</f>
        <v>19.7011</v>
      </c>
      <c r="D181" s="4">
        <f>26.028 * CHOOSE(CONTROL!$C$9, $C$13, 100%, $E$13) + CHOOSE(CONTROL!$C$28, 0, 0)</f>
        <v>26.027999999999999</v>
      </c>
      <c r="E181" s="4">
        <f>116.269760321186 * CHOOSE(CONTROL!$C$9, $C$13, 100%, $E$13) + CHOOSE(CONTROL!$C$28, 0, 0)</f>
        <v>116.269760321186</v>
      </c>
    </row>
    <row r="182" spans="1:5" ht="15">
      <c r="A182" s="13">
        <v>47027</v>
      </c>
      <c r="B182" s="4">
        <f>19.3843 * CHOOSE(CONTROL!$C$9, $C$13, 100%, $E$13) + CHOOSE(CONTROL!$C$28, 0.0003, 0)</f>
        <v>19.384599999999999</v>
      </c>
      <c r="C182" s="4">
        <f>19.0718 * CHOOSE(CONTROL!$C$9, $C$13, 100%, $E$13) + CHOOSE(CONTROL!$C$28, 0.0003, 0)</f>
        <v>19.072099999999999</v>
      </c>
      <c r="D182" s="4">
        <f>25.68 * CHOOSE(CONTROL!$C$9, $C$13, 100%, $E$13) + CHOOSE(CONTROL!$C$28, 0, 0)</f>
        <v>25.68</v>
      </c>
      <c r="E182" s="4">
        <f>112.40664422853 * CHOOSE(CONTROL!$C$9, $C$13, 100%, $E$13) + CHOOSE(CONTROL!$C$28, 0, 0)</f>
        <v>112.40664422853</v>
      </c>
    </row>
    <row r="183" spans="1:5" ht="15">
      <c r="A183" s="13">
        <v>47058</v>
      </c>
      <c r="B183" s="4">
        <f>18.9967 * CHOOSE(CONTROL!$C$9, $C$13, 100%, $E$13) + CHOOSE(CONTROL!$C$28, 0.0003, 0)</f>
        <v>18.997</v>
      </c>
      <c r="C183" s="4">
        <f>18.6842 * CHOOSE(CONTROL!$C$9, $C$13, 100%, $E$13) + CHOOSE(CONTROL!$C$28, 0.0003, 0)</f>
        <v>18.6845</v>
      </c>
      <c r="D183" s="4">
        <f>25.5603 * CHOOSE(CONTROL!$C$9, $C$13, 100%, $E$13) + CHOOSE(CONTROL!$C$28, 0, 0)</f>
        <v>25.560300000000002</v>
      </c>
      <c r="E183" s="4">
        <f>109.91850898541 * CHOOSE(CONTROL!$C$9, $C$13, 100%, $E$13) + CHOOSE(CONTROL!$C$28, 0, 0)</f>
        <v>109.91850898541</v>
      </c>
    </row>
    <row r="184" spans="1:5" ht="15">
      <c r="A184" s="13">
        <v>47088</v>
      </c>
      <c r="B184" s="4">
        <f>18.7286 * CHOOSE(CONTROL!$C$9, $C$13, 100%, $E$13) + CHOOSE(CONTROL!$C$28, 0.0003, 0)</f>
        <v>18.728899999999999</v>
      </c>
      <c r="C184" s="4">
        <f>18.4161 * CHOOSE(CONTROL!$C$9, $C$13, 100%, $E$13) + CHOOSE(CONTROL!$C$28, 0.0003, 0)</f>
        <v>18.416399999999999</v>
      </c>
      <c r="D184" s="4">
        <f>24.6794 * CHOOSE(CONTROL!$C$9, $C$13, 100%, $E$13) + CHOOSE(CONTROL!$C$28, 0, 0)</f>
        <v>24.679400000000001</v>
      </c>
      <c r="E184" s="4">
        <f>108.197039233082 * CHOOSE(CONTROL!$C$9, $C$13, 100%, $E$13) + CHOOSE(CONTROL!$C$28, 0, 0)</f>
        <v>108.19703923308199</v>
      </c>
    </row>
    <row r="185" spans="1:5" ht="15">
      <c r="A185" s="13">
        <v>47119</v>
      </c>
      <c r="B185" s="4">
        <f>18.3377 * CHOOSE(CONTROL!$C$9, $C$13, 100%, $E$13) + CHOOSE(CONTROL!$C$28, 0.0003, 0)</f>
        <v>18.338000000000001</v>
      </c>
      <c r="C185" s="4">
        <f>18.0252 * CHOOSE(CONTROL!$C$9, $C$13, 100%, $E$13) + CHOOSE(CONTROL!$C$28, 0.0003, 0)</f>
        <v>18.025500000000001</v>
      </c>
      <c r="D185" s="4">
        <f>23.9496 * CHOOSE(CONTROL!$C$9, $C$13, 100%, $E$13) + CHOOSE(CONTROL!$C$28, 0, 0)</f>
        <v>23.9496</v>
      </c>
      <c r="E185" s="4">
        <f>105.693971876887 * CHOOSE(CONTROL!$C$9, $C$13, 100%, $E$13) + CHOOSE(CONTROL!$C$28, 0, 0)</f>
        <v>105.69397187688701</v>
      </c>
    </row>
    <row r="186" spans="1:5" ht="15">
      <c r="A186" s="13">
        <v>47150</v>
      </c>
      <c r="B186" s="4">
        <f>18.7286 * CHOOSE(CONTROL!$C$9, $C$13, 100%, $E$13) + CHOOSE(CONTROL!$C$28, 0.0003, 0)</f>
        <v>18.728899999999999</v>
      </c>
      <c r="C186" s="4">
        <f>18.4161 * CHOOSE(CONTROL!$C$9, $C$13, 100%, $E$13) + CHOOSE(CONTROL!$C$28, 0.0003, 0)</f>
        <v>18.416399999999999</v>
      </c>
      <c r="D186" s="4">
        <f>24.7677 * CHOOSE(CONTROL!$C$9, $C$13, 100%, $E$13) + CHOOSE(CONTROL!$C$28, 0, 0)</f>
        <v>24.767700000000001</v>
      </c>
      <c r="E186" s="4">
        <f>108.203563299616 * CHOOSE(CONTROL!$C$9, $C$13, 100%, $E$13) + CHOOSE(CONTROL!$C$28, 0, 0)</f>
        <v>108.20356329961599</v>
      </c>
    </row>
    <row r="187" spans="1:5" ht="15">
      <c r="A187" s="13">
        <v>47178</v>
      </c>
      <c r="B187" s="4">
        <f>19.7551 * CHOOSE(CONTROL!$C$9, $C$13, 100%, $E$13) + CHOOSE(CONTROL!$C$28, 0.0003, 0)</f>
        <v>19.755399999999998</v>
      </c>
      <c r="C187" s="4">
        <f>19.4426 * CHOOSE(CONTROL!$C$9, $C$13, 100%, $E$13) + CHOOSE(CONTROL!$C$28, 0.0003, 0)</f>
        <v>19.442899999999998</v>
      </c>
      <c r="D187" s="4">
        <f>26.0484 * CHOOSE(CONTROL!$C$9, $C$13, 100%, $E$13) + CHOOSE(CONTROL!$C$28, 0, 0)</f>
        <v>26.048400000000001</v>
      </c>
      <c r="E187" s="4">
        <f>114.79388374349 * CHOOSE(CONTROL!$C$9, $C$13, 100%, $E$13) + CHOOSE(CONTROL!$C$28, 0, 0)</f>
        <v>114.79388374349</v>
      </c>
    </row>
    <row r="188" spans="1:5" ht="15">
      <c r="A188" s="13">
        <v>47209</v>
      </c>
      <c r="B188" s="4">
        <f>20.4844 * CHOOSE(CONTROL!$C$9, $C$13, 100%, $E$13) + CHOOSE(CONTROL!$C$28, 0.0003, 0)</f>
        <v>20.4847</v>
      </c>
      <c r="C188" s="4">
        <f>20.1719 * CHOOSE(CONTROL!$C$9, $C$13, 100%, $E$13) + CHOOSE(CONTROL!$C$28, 0.0003, 0)</f>
        <v>20.1722</v>
      </c>
      <c r="D188" s="4">
        <f>26.7861 * CHOOSE(CONTROL!$C$9, $C$13, 100%, $E$13) + CHOOSE(CONTROL!$C$28, 0, 0)</f>
        <v>26.786100000000001</v>
      </c>
      <c r="E188" s="4">
        <f>119.47639424643 * CHOOSE(CONTROL!$C$9, $C$13, 100%, $E$13) + CHOOSE(CONTROL!$C$28, 0, 0)</f>
        <v>119.47639424643</v>
      </c>
    </row>
    <row r="189" spans="1:5" ht="15">
      <c r="A189" s="13">
        <v>47239</v>
      </c>
      <c r="B189" s="4">
        <f>20.93 * CHOOSE(CONTROL!$C$9, $C$13, 100%, $E$13) + CHOOSE(CONTROL!$C$28, 0.0276, 0)</f>
        <v>20.957599999999999</v>
      </c>
      <c r="C189" s="4">
        <f>20.6175 * CHOOSE(CONTROL!$C$9, $C$13, 100%, $E$13) + CHOOSE(CONTROL!$C$28, 0.0276, 0)</f>
        <v>20.645099999999999</v>
      </c>
      <c r="D189" s="4">
        <f>26.4946 * CHOOSE(CONTROL!$C$9, $C$13, 100%, $E$13) + CHOOSE(CONTROL!$C$28, 0, 0)</f>
        <v>26.494599999999998</v>
      </c>
      <c r="E189" s="4">
        <f>122.337295939612 * CHOOSE(CONTROL!$C$9, $C$13, 100%, $E$13) + CHOOSE(CONTROL!$C$28, 0, 0)</f>
        <v>122.33729593961201</v>
      </c>
    </row>
    <row r="190" spans="1:5" ht="15">
      <c r="A190" s="13">
        <v>47270</v>
      </c>
      <c r="B190" s="4">
        <f>20.9903 * CHOOSE(CONTROL!$C$9, $C$13, 100%, $E$13) + CHOOSE(CONTROL!$C$28, 0.0276, 0)</f>
        <v>21.017900000000001</v>
      </c>
      <c r="C190" s="4">
        <f>20.6778 * CHOOSE(CONTROL!$C$9, $C$13, 100%, $E$13) + CHOOSE(CONTROL!$C$28, 0.0276, 0)</f>
        <v>20.705400000000001</v>
      </c>
      <c r="D190" s="4">
        <f>26.732 * CHOOSE(CONTROL!$C$9, $C$13, 100%, $E$13) + CHOOSE(CONTROL!$C$28, 0, 0)</f>
        <v>26.731999999999999</v>
      </c>
      <c r="E190" s="4">
        <f>122.724387811685 * CHOOSE(CONTROL!$C$9, $C$13, 100%, $E$13) + CHOOSE(CONTROL!$C$28, 0, 0)</f>
        <v>122.72438781168501</v>
      </c>
    </row>
    <row r="191" spans="1:5" ht="15">
      <c r="A191" s="13">
        <v>47300</v>
      </c>
      <c r="B191" s="4">
        <f>20.9842 * CHOOSE(CONTROL!$C$9, $C$13, 100%, $E$13) + CHOOSE(CONTROL!$C$28, 0.0276, 0)</f>
        <v>21.011800000000001</v>
      </c>
      <c r="C191" s="4">
        <f>20.6717 * CHOOSE(CONTROL!$C$9, $C$13, 100%, $E$13) + CHOOSE(CONTROL!$C$28, 0.0276, 0)</f>
        <v>20.699300000000001</v>
      </c>
      <c r="D191" s="4">
        <f>27.1604 * CHOOSE(CONTROL!$C$9, $C$13, 100%, $E$13) + CHOOSE(CONTROL!$C$28, 0, 0)</f>
        <v>27.160399999999999</v>
      </c>
      <c r="E191" s="4">
        <f>122.685353337191 * CHOOSE(CONTROL!$C$9, $C$13, 100%, $E$13) + CHOOSE(CONTROL!$C$28, 0, 0)</f>
        <v>122.685353337191</v>
      </c>
    </row>
    <row r="192" spans="1:5" ht="15">
      <c r="A192" s="13">
        <v>47331</v>
      </c>
      <c r="B192" s="4">
        <f>21.4417 * CHOOSE(CONTROL!$C$9, $C$13, 100%, $E$13) + CHOOSE(CONTROL!$C$28, 0.0276, 0)</f>
        <v>21.4693</v>
      </c>
      <c r="C192" s="4">
        <f>21.1292 * CHOOSE(CONTROL!$C$9, $C$13, 100%, $E$13) + CHOOSE(CONTROL!$C$28, 0.0276, 0)</f>
        <v>21.1568</v>
      </c>
      <c r="D192" s="4">
        <f>26.8775 * CHOOSE(CONTROL!$C$9, $C$13, 100%, $E$13) + CHOOSE(CONTROL!$C$28, 0, 0)</f>
        <v>26.877500000000001</v>
      </c>
      <c r="E192" s="4">
        <f>125.622697542925 * CHOOSE(CONTROL!$C$9, $C$13, 100%, $E$13) + CHOOSE(CONTROL!$C$28, 0, 0)</f>
        <v>125.622697542925</v>
      </c>
    </row>
    <row r="193" spans="1:5" ht="15">
      <c r="A193" s="13">
        <v>47362</v>
      </c>
      <c r="B193" s="4">
        <f>20.662 * CHOOSE(CONTROL!$C$9, $C$13, 100%, $E$13) + CHOOSE(CONTROL!$C$28, 0.0276, 0)</f>
        <v>20.689599999999999</v>
      </c>
      <c r="C193" s="4">
        <f>20.3495 * CHOOSE(CONTROL!$C$9, $C$13, 100%, $E$13) + CHOOSE(CONTROL!$C$28, 0.0276, 0)</f>
        <v>20.377099999999999</v>
      </c>
      <c r="D193" s="4">
        <f>26.7438 * CHOOSE(CONTROL!$C$9, $C$13, 100%, $E$13) + CHOOSE(CONTROL!$C$28, 0, 0)</f>
        <v>26.7438</v>
      </c>
      <c r="E193" s="4">
        <f>120.616526188966 * CHOOSE(CONTROL!$C$9, $C$13, 100%, $E$13) + CHOOSE(CONTROL!$C$28, 0, 0)</f>
        <v>120.61652618896601</v>
      </c>
    </row>
    <row r="194" spans="1:5" ht="15">
      <c r="A194" s="13">
        <v>47392</v>
      </c>
      <c r="B194" s="4">
        <f>20.0378 * CHOOSE(CONTROL!$C$9, $C$13, 100%, $E$13) + CHOOSE(CONTROL!$C$28, 0.0003, 0)</f>
        <v>20.0381</v>
      </c>
      <c r="C194" s="4">
        <f>19.7253 * CHOOSE(CONTROL!$C$9, $C$13, 100%, $E$13) + CHOOSE(CONTROL!$C$28, 0.0003, 0)</f>
        <v>19.7256</v>
      </c>
      <c r="D194" s="4">
        <f>26.3859 * CHOOSE(CONTROL!$C$9, $C$13, 100%, $E$13) + CHOOSE(CONTROL!$C$28, 0, 0)</f>
        <v>26.385899999999999</v>
      </c>
      <c r="E194" s="4">
        <f>116.608986807498 * CHOOSE(CONTROL!$C$9, $C$13, 100%, $E$13) + CHOOSE(CONTROL!$C$28, 0, 0)</f>
        <v>116.608986807498</v>
      </c>
    </row>
    <row r="195" spans="1:5" ht="15">
      <c r="A195" s="13">
        <v>47423</v>
      </c>
      <c r="B195" s="4">
        <f>19.6357 * CHOOSE(CONTROL!$C$9, $C$13, 100%, $E$13) + CHOOSE(CONTROL!$C$28, 0.0003, 0)</f>
        <v>19.635999999999999</v>
      </c>
      <c r="C195" s="4">
        <f>19.3232 * CHOOSE(CONTROL!$C$9, $C$13, 100%, $E$13) + CHOOSE(CONTROL!$C$28, 0.0003, 0)</f>
        <v>19.323499999999999</v>
      </c>
      <c r="D195" s="4">
        <f>26.2629 * CHOOSE(CONTROL!$C$9, $C$13, 100%, $E$13) + CHOOSE(CONTROL!$C$28, 0, 0)</f>
        <v>26.262899999999998</v>
      </c>
      <c r="E195" s="4">
        <f>114.027832181529 * CHOOSE(CONTROL!$C$9, $C$13, 100%, $E$13) + CHOOSE(CONTROL!$C$28, 0, 0)</f>
        <v>114.02783218152901</v>
      </c>
    </row>
    <row r="196" spans="1:5" ht="15">
      <c r="A196" s="13">
        <v>47453</v>
      </c>
      <c r="B196" s="4">
        <f>19.3576 * CHOOSE(CONTROL!$C$9, $C$13, 100%, $E$13) + CHOOSE(CONTROL!$C$28, 0.0003, 0)</f>
        <v>19.357900000000001</v>
      </c>
      <c r="C196" s="4">
        <f>19.0451 * CHOOSE(CONTROL!$C$9, $C$13, 100%, $E$13) + CHOOSE(CONTROL!$C$28, 0.0003, 0)</f>
        <v>19.045400000000001</v>
      </c>
      <c r="D196" s="4">
        <f>25.357 * CHOOSE(CONTROL!$C$9, $C$13, 100%, $E$13) + CHOOSE(CONTROL!$C$28, 0, 0)</f>
        <v>25.356999999999999</v>
      </c>
      <c r="E196" s="4">
        <f>112.242004973391 * CHOOSE(CONTROL!$C$9, $C$13, 100%, $E$13) + CHOOSE(CONTROL!$C$28, 0, 0)</f>
        <v>112.242004973391</v>
      </c>
    </row>
    <row r="197" spans="1:5" ht="15">
      <c r="A197" s="13">
        <v>47484</v>
      </c>
      <c r="B197" s="4">
        <f>18.9384 * CHOOSE(CONTROL!$C$9, $C$13, 100%, $E$13) + CHOOSE(CONTROL!$C$28, 0.0003, 0)</f>
        <v>18.938700000000001</v>
      </c>
      <c r="C197" s="4">
        <f>18.6259 * CHOOSE(CONTROL!$C$9, $C$13, 100%, $E$13) + CHOOSE(CONTROL!$C$28, 0.0003, 0)</f>
        <v>18.626200000000001</v>
      </c>
      <c r="D197" s="4">
        <f>24.6048 * CHOOSE(CONTROL!$C$9, $C$13, 100%, $E$13) + CHOOSE(CONTROL!$C$28, 0, 0)</f>
        <v>24.604800000000001</v>
      </c>
      <c r="E197" s="4">
        <f>109.569103782981 * CHOOSE(CONTROL!$C$9, $C$13, 100%, $E$13) + CHOOSE(CONTROL!$C$28, 0, 0)</f>
        <v>109.569103782981</v>
      </c>
    </row>
    <row r="198" spans="1:5" ht="15">
      <c r="A198" s="13">
        <v>47515</v>
      </c>
      <c r="B198" s="4">
        <f>19.3435 * CHOOSE(CONTROL!$C$9, $C$13, 100%, $E$13) + CHOOSE(CONTROL!$C$28, 0.0003, 0)</f>
        <v>19.343799999999998</v>
      </c>
      <c r="C198" s="4">
        <f>19.031 * CHOOSE(CONTROL!$C$9, $C$13, 100%, $E$13) + CHOOSE(CONTROL!$C$28, 0.0003, 0)</f>
        <v>19.031299999999998</v>
      </c>
      <c r="D198" s="4">
        <f>25.446 * CHOOSE(CONTROL!$C$9, $C$13, 100%, $E$13) + CHOOSE(CONTROL!$C$28, 0, 0)</f>
        <v>25.446000000000002</v>
      </c>
      <c r="E198" s="4">
        <f>112.170706108705 * CHOOSE(CONTROL!$C$9, $C$13, 100%, $E$13) + CHOOSE(CONTROL!$C$28, 0, 0)</f>
        <v>112.17070610870501</v>
      </c>
    </row>
    <row r="199" spans="1:5" ht="15">
      <c r="A199" s="13">
        <v>47543</v>
      </c>
      <c r="B199" s="4">
        <f>20.4075 * CHOOSE(CONTROL!$C$9, $C$13, 100%, $E$13) + CHOOSE(CONTROL!$C$28, 0.0003, 0)</f>
        <v>20.407799999999998</v>
      </c>
      <c r="C199" s="4">
        <f>20.095 * CHOOSE(CONTROL!$C$9, $C$13, 100%, $E$13) + CHOOSE(CONTROL!$C$28, 0.0003, 0)</f>
        <v>20.095299999999998</v>
      </c>
      <c r="D199" s="4">
        <f>26.7629 * CHOOSE(CONTROL!$C$9, $C$13, 100%, $E$13) + CHOOSE(CONTROL!$C$28, 0, 0)</f>
        <v>26.762899999999998</v>
      </c>
      <c r="E199" s="4">
        <f>119.002652073599 * CHOOSE(CONTROL!$C$9, $C$13, 100%, $E$13) + CHOOSE(CONTROL!$C$28, 0, 0)</f>
        <v>119.00265207359899</v>
      </c>
    </row>
    <row r="200" spans="1:5" ht="15">
      <c r="A200" s="13">
        <v>47574</v>
      </c>
      <c r="B200" s="4">
        <f>21.1634 * CHOOSE(CONTROL!$C$9, $C$13, 100%, $E$13) + CHOOSE(CONTROL!$C$28, 0.0003, 0)</f>
        <v>21.163699999999999</v>
      </c>
      <c r="C200" s="4">
        <f>20.8509 * CHOOSE(CONTROL!$C$9, $C$13, 100%, $E$13) + CHOOSE(CONTROL!$C$28, 0.0003, 0)</f>
        <v>20.851199999999999</v>
      </c>
      <c r="D200" s="4">
        <f>27.5215 * CHOOSE(CONTROL!$C$9, $C$13, 100%, $E$13) + CHOOSE(CONTROL!$C$28, 0, 0)</f>
        <v>27.5215</v>
      </c>
      <c r="E200" s="4">
        <f>123.856840729307 * CHOOSE(CONTROL!$C$9, $C$13, 100%, $E$13) + CHOOSE(CONTROL!$C$28, 0, 0)</f>
        <v>123.856840729307</v>
      </c>
    </row>
    <row r="201" spans="1:5" ht="15">
      <c r="A201" s="13">
        <v>47604</v>
      </c>
      <c r="B201" s="4">
        <f>21.6253 * CHOOSE(CONTROL!$C$9, $C$13, 100%, $E$13) + CHOOSE(CONTROL!$C$28, 0.0276, 0)</f>
        <v>21.652899999999999</v>
      </c>
      <c r="C201" s="4">
        <f>21.3128 * CHOOSE(CONTROL!$C$9, $C$13, 100%, $E$13) + CHOOSE(CONTROL!$C$28, 0.0276, 0)</f>
        <v>21.340399999999999</v>
      </c>
      <c r="D201" s="4">
        <f>27.2217 * CHOOSE(CONTROL!$C$9, $C$13, 100%, $E$13) + CHOOSE(CONTROL!$C$28, 0, 0)</f>
        <v>27.221699999999998</v>
      </c>
      <c r="E201" s="4">
        <f>126.82263365928 * CHOOSE(CONTROL!$C$9, $C$13, 100%, $E$13) + CHOOSE(CONTROL!$C$28, 0, 0)</f>
        <v>126.82263365928</v>
      </c>
    </row>
    <row r="202" spans="1:5" ht="15">
      <c r="A202" s="13">
        <v>47635</v>
      </c>
      <c r="B202" s="4">
        <f>21.6878 * CHOOSE(CONTROL!$C$9, $C$13, 100%, $E$13) + CHOOSE(CONTROL!$C$28, 0.0276, 0)</f>
        <v>21.715399999999999</v>
      </c>
      <c r="C202" s="4">
        <f>21.3753 * CHOOSE(CONTROL!$C$9, $C$13, 100%, $E$13) + CHOOSE(CONTROL!$C$28, 0.0276, 0)</f>
        <v>21.402899999999999</v>
      </c>
      <c r="D202" s="4">
        <f>27.4659 * CHOOSE(CONTROL!$C$9, $C$13, 100%, $E$13) + CHOOSE(CONTROL!$C$28, 0, 0)</f>
        <v>27.465900000000001</v>
      </c>
      <c r="E202" s="4">
        <f>127.223917750999 * CHOOSE(CONTROL!$C$9, $C$13, 100%, $E$13) + CHOOSE(CONTROL!$C$28, 0, 0)</f>
        <v>127.22391775099899</v>
      </c>
    </row>
    <row r="203" spans="1:5" ht="15">
      <c r="A203" s="13">
        <v>47665</v>
      </c>
      <c r="B203" s="4">
        <f>21.6815 * CHOOSE(CONTROL!$C$9, $C$13, 100%, $E$13) + CHOOSE(CONTROL!$C$28, 0.0276, 0)</f>
        <v>21.709099999999999</v>
      </c>
      <c r="C203" s="4">
        <f>21.369 * CHOOSE(CONTROL!$C$9, $C$13, 100%, $E$13) + CHOOSE(CONTROL!$C$28, 0.0276, 0)</f>
        <v>21.396599999999999</v>
      </c>
      <c r="D203" s="4">
        <f>27.9064 * CHOOSE(CONTROL!$C$9, $C$13, 100%, $E$13) + CHOOSE(CONTROL!$C$28, 0, 0)</f>
        <v>27.906400000000001</v>
      </c>
      <c r="E203" s="4">
        <f>127.183452128304 * CHOOSE(CONTROL!$C$9, $C$13, 100%, $E$13) + CHOOSE(CONTROL!$C$28, 0, 0)</f>
        <v>127.183452128304</v>
      </c>
    </row>
    <row r="204" spans="1:5" ht="15">
      <c r="A204" s="13">
        <v>47696</v>
      </c>
      <c r="B204" s="4">
        <f>22.1557 * CHOOSE(CONTROL!$C$9, $C$13, 100%, $E$13) + CHOOSE(CONTROL!$C$28, 0.0276, 0)</f>
        <v>22.183299999999999</v>
      </c>
      <c r="C204" s="4">
        <f>21.8432 * CHOOSE(CONTROL!$C$9, $C$13, 100%, $E$13) + CHOOSE(CONTROL!$C$28, 0.0276, 0)</f>
        <v>21.870799999999999</v>
      </c>
      <c r="D204" s="4">
        <f>27.6155 * CHOOSE(CONTROL!$C$9, $C$13, 100%, $E$13) + CHOOSE(CONTROL!$C$28, 0, 0)</f>
        <v>27.615500000000001</v>
      </c>
      <c r="E204" s="4">
        <f>130.228490236053 * CHOOSE(CONTROL!$C$9, $C$13, 100%, $E$13) + CHOOSE(CONTROL!$C$28, 0, 0)</f>
        <v>130.22849023605301</v>
      </c>
    </row>
    <row r="205" spans="1:5" ht="15">
      <c r="A205" s="13">
        <v>47727</v>
      </c>
      <c r="B205" s="4">
        <f>21.3475 * CHOOSE(CONTROL!$C$9, $C$13, 100%, $E$13) + CHOOSE(CONTROL!$C$28, 0.0276, 0)</f>
        <v>21.3751</v>
      </c>
      <c r="C205" s="4">
        <f>21.035 * CHOOSE(CONTROL!$C$9, $C$13, 100%, $E$13) + CHOOSE(CONTROL!$C$28, 0.0276, 0)</f>
        <v>21.0626</v>
      </c>
      <c r="D205" s="4">
        <f>27.478 * CHOOSE(CONTROL!$C$9, $C$13, 100%, $E$13) + CHOOSE(CONTROL!$C$28, 0, 0)</f>
        <v>27.478000000000002</v>
      </c>
      <c r="E205" s="4">
        <f>125.038774125504 * CHOOSE(CONTROL!$C$9, $C$13, 100%, $E$13) + CHOOSE(CONTROL!$C$28, 0, 0)</f>
        <v>125.03877412550401</v>
      </c>
    </row>
    <row r="206" spans="1:5" ht="15">
      <c r="A206" s="13">
        <v>47757</v>
      </c>
      <c r="B206" s="4">
        <f>20.7005 * CHOOSE(CONTROL!$C$9, $C$13, 100%, $E$13) + CHOOSE(CONTROL!$C$28, 0.0003, 0)</f>
        <v>20.700800000000001</v>
      </c>
      <c r="C206" s="4">
        <f>20.388 * CHOOSE(CONTROL!$C$9, $C$13, 100%, $E$13) + CHOOSE(CONTROL!$C$28, 0.0003, 0)</f>
        <v>20.388300000000001</v>
      </c>
      <c r="D206" s="4">
        <f>27.11 * CHOOSE(CONTROL!$C$9, $C$13, 100%, $E$13) + CHOOSE(CONTROL!$C$28, 0, 0)</f>
        <v>27.11</v>
      </c>
      <c r="E206" s="4">
        <f>120.884303528886 * CHOOSE(CONTROL!$C$9, $C$13, 100%, $E$13) + CHOOSE(CONTROL!$C$28, 0, 0)</f>
        <v>120.88430352888599</v>
      </c>
    </row>
    <row r="207" spans="1:5" ht="15">
      <c r="A207" s="13">
        <v>47788</v>
      </c>
      <c r="B207" s="4">
        <f>20.2838 * CHOOSE(CONTROL!$C$9, $C$13, 100%, $E$13) + CHOOSE(CONTROL!$C$28, 0.0003, 0)</f>
        <v>20.284099999999999</v>
      </c>
      <c r="C207" s="4">
        <f>19.9713 * CHOOSE(CONTROL!$C$9, $C$13, 100%, $E$13) + CHOOSE(CONTROL!$C$28, 0.0003, 0)</f>
        <v>19.971599999999999</v>
      </c>
      <c r="D207" s="4">
        <f>26.9835 * CHOOSE(CONTROL!$C$9, $C$13, 100%, $E$13) + CHOOSE(CONTROL!$C$28, 0, 0)</f>
        <v>26.983499999999999</v>
      </c>
      <c r="E207" s="4">
        <f>118.208514228222 * CHOOSE(CONTROL!$C$9, $C$13, 100%, $E$13) + CHOOSE(CONTROL!$C$28, 0, 0)</f>
        <v>118.208514228222</v>
      </c>
    </row>
    <row r="208" spans="1:5" ht="15">
      <c r="A208" s="13">
        <v>47818</v>
      </c>
      <c r="B208" s="4">
        <f>19.9955 * CHOOSE(CONTROL!$C$9, $C$13, 100%, $E$13) + CHOOSE(CONTROL!$C$28, 0.0003, 0)</f>
        <v>19.995799999999999</v>
      </c>
      <c r="C208" s="4">
        <f>19.683 * CHOOSE(CONTROL!$C$9, $C$13, 100%, $E$13) + CHOOSE(CONTROL!$C$28, 0.0003, 0)</f>
        <v>19.683299999999999</v>
      </c>
      <c r="D208" s="4">
        <f>26.052 * CHOOSE(CONTROL!$C$9, $C$13, 100%, $E$13) + CHOOSE(CONTROL!$C$28, 0, 0)</f>
        <v>26.052</v>
      </c>
      <c r="E208" s="4">
        <f>116.357211989957 * CHOOSE(CONTROL!$C$9, $C$13, 100%, $E$13) + CHOOSE(CONTROL!$C$28, 0, 0)</f>
        <v>116.35721198995699</v>
      </c>
    </row>
    <row r="209" spans="1:5" ht="15">
      <c r="A209" s="13">
        <v>47849</v>
      </c>
      <c r="B209" s="4">
        <f>19.2683 * CHOOSE(CONTROL!$C$9, $C$13, 100%, $E$13) + CHOOSE(CONTROL!$C$28, 0.0003, 0)</f>
        <v>19.268599999999999</v>
      </c>
      <c r="C209" s="4">
        <f>18.9558 * CHOOSE(CONTROL!$C$9, $C$13, 100%, $E$13) + CHOOSE(CONTROL!$C$28, 0.0003, 0)</f>
        <v>18.956099999999999</v>
      </c>
      <c r="D209" s="4">
        <f>24.9709 * CHOOSE(CONTROL!$C$9, $C$13, 100%, $E$13) + CHOOSE(CONTROL!$C$28, 0, 0)</f>
        <v>24.9709</v>
      </c>
      <c r="E209" s="4">
        <f>111.751164473115 * CHOOSE(CONTROL!$C$9, $C$13, 100%, $E$13) + CHOOSE(CONTROL!$C$28, 0, 0)</f>
        <v>111.751164473115</v>
      </c>
    </row>
    <row r="210" spans="1:5" ht="15">
      <c r="A210" s="13">
        <v>47880</v>
      </c>
      <c r="B210" s="4">
        <f>19.6812 * CHOOSE(CONTROL!$C$9, $C$13, 100%, $E$13) + CHOOSE(CONTROL!$C$28, 0.0003, 0)</f>
        <v>19.6815</v>
      </c>
      <c r="C210" s="4">
        <f>19.3687 * CHOOSE(CONTROL!$C$9, $C$13, 100%, $E$13) + CHOOSE(CONTROL!$C$28, 0.0003, 0)</f>
        <v>19.369</v>
      </c>
      <c r="D210" s="4">
        <f>25.8251 * CHOOSE(CONTROL!$C$9, $C$13, 100%, $E$13) + CHOOSE(CONTROL!$C$28, 0, 0)</f>
        <v>25.825099999999999</v>
      </c>
      <c r="E210" s="4">
        <f>114.404577518926 * CHOOSE(CONTROL!$C$9, $C$13, 100%, $E$13) + CHOOSE(CONTROL!$C$28, 0, 0)</f>
        <v>114.404577518926</v>
      </c>
    </row>
    <row r="211" spans="1:5" ht="15">
      <c r="A211" s="13">
        <v>47908</v>
      </c>
      <c r="B211" s="4">
        <f>20.7658 * CHOOSE(CONTROL!$C$9, $C$13, 100%, $E$13) + CHOOSE(CONTROL!$C$28, 0.0003, 0)</f>
        <v>20.766099999999998</v>
      </c>
      <c r="C211" s="4">
        <f>20.4533 * CHOOSE(CONTROL!$C$9, $C$13, 100%, $E$13) + CHOOSE(CONTROL!$C$28, 0.0003, 0)</f>
        <v>20.453599999999998</v>
      </c>
      <c r="D211" s="4">
        <f>27.1622 * CHOOSE(CONTROL!$C$9, $C$13, 100%, $E$13) + CHOOSE(CONTROL!$C$28, 0, 0)</f>
        <v>27.162199999999999</v>
      </c>
      <c r="E211" s="4">
        <f>121.372581188158 * CHOOSE(CONTROL!$C$9, $C$13, 100%, $E$13) + CHOOSE(CONTROL!$C$28, 0, 0)</f>
        <v>121.37258118815799</v>
      </c>
    </row>
    <row r="212" spans="1:5" ht="15">
      <c r="A212" s="13">
        <v>47939</v>
      </c>
      <c r="B212" s="4">
        <f>21.5363 * CHOOSE(CONTROL!$C$9, $C$13, 100%, $E$13) + CHOOSE(CONTROL!$C$28, 0.0003, 0)</f>
        <v>21.5366</v>
      </c>
      <c r="C212" s="4">
        <f>21.2238 * CHOOSE(CONTROL!$C$9, $C$13, 100%, $E$13) + CHOOSE(CONTROL!$C$28, 0.0003, 0)</f>
        <v>21.2241</v>
      </c>
      <c r="D212" s="4">
        <f>27.9324 * CHOOSE(CONTROL!$C$9, $C$13, 100%, $E$13) + CHOOSE(CONTROL!$C$28, 0, 0)</f>
        <v>27.932400000000001</v>
      </c>
      <c r="E212" s="4">
        <f>126.323440656006 * CHOOSE(CONTROL!$C$9, $C$13, 100%, $E$13) + CHOOSE(CONTROL!$C$28, 0, 0)</f>
        <v>126.323440656006</v>
      </c>
    </row>
    <row r="213" spans="1:5" ht="15">
      <c r="A213" s="13">
        <v>47969</v>
      </c>
      <c r="B213" s="4">
        <f>22.0071 * CHOOSE(CONTROL!$C$9, $C$13, 100%, $E$13) + CHOOSE(CONTROL!$C$28, 0.0276, 0)</f>
        <v>22.034700000000001</v>
      </c>
      <c r="C213" s="4">
        <f>21.6946 * CHOOSE(CONTROL!$C$9, $C$13, 100%, $E$13) + CHOOSE(CONTROL!$C$28, 0.0276, 0)</f>
        <v>21.722200000000001</v>
      </c>
      <c r="D213" s="4">
        <f>27.6281 * CHOOSE(CONTROL!$C$9, $C$13, 100%, $E$13) + CHOOSE(CONTROL!$C$28, 0, 0)</f>
        <v>27.6281</v>
      </c>
      <c r="E213" s="4">
        <f>129.34829713532 * CHOOSE(CONTROL!$C$9, $C$13, 100%, $E$13) + CHOOSE(CONTROL!$C$28, 0, 0)</f>
        <v>129.34829713532</v>
      </c>
    </row>
    <row r="214" spans="1:5" ht="15">
      <c r="A214" s="13">
        <v>48000</v>
      </c>
      <c r="B214" s="4">
        <f>22.0708 * CHOOSE(CONTROL!$C$9, $C$13, 100%, $E$13) + CHOOSE(CONTROL!$C$28, 0.0276, 0)</f>
        <v>22.098399999999998</v>
      </c>
      <c r="C214" s="4">
        <f>21.7583 * CHOOSE(CONTROL!$C$9, $C$13, 100%, $E$13) + CHOOSE(CONTROL!$C$28, 0.0276, 0)</f>
        <v>21.785899999999998</v>
      </c>
      <c r="D214" s="4">
        <f>27.876 * CHOOSE(CONTROL!$C$9, $C$13, 100%, $E$13) + CHOOSE(CONTROL!$C$28, 0, 0)</f>
        <v>27.876000000000001</v>
      </c>
      <c r="E214" s="4">
        <f>129.757572770384 * CHOOSE(CONTROL!$C$9, $C$13, 100%, $E$13) + CHOOSE(CONTROL!$C$28, 0, 0)</f>
        <v>129.757572770384</v>
      </c>
    </row>
    <row r="215" spans="1:5" ht="15">
      <c r="A215" s="13">
        <v>48030</v>
      </c>
      <c r="B215" s="4">
        <f>22.0644 * CHOOSE(CONTROL!$C$9, $C$13, 100%, $E$13) + CHOOSE(CONTROL!$C$28, 0.0276, 0)</f>
        <v>22.091999999999999</v>
      </c>
      <c r="C215" s="4">
        <f>21.7519 * CHOOSE(CONTROL!$C$9, $C$13, 100%, $E$13) + CHOOSE(CONTROL!$C$28, 0.0276, 0)</f>
        <v>21.779499999999999</v>
      </c>
      <c r="D215" s="4">
        <f>28.3232 * CHOOSE(CONTROL!$C$9, $C$13, 100%, $E$13) + CHOOSE(CONTROL!$C$28, 0, 0)</f>
        <v>28.3232</v>
      </c>
      <c r="E215" s="4">
        <f>129.716301277772 * CHOOSE(CONTROL!$C$9, $C$13, 100%, $E$13) + CHOOSE(CONTROL!$C$28, 0, 0)</f>
        <v>129.716301277772</v>
      </c>
    </row>
    <row r="216" spans="1:5" ht="15">
      <c r="A216" s="13">
        <v>48061</v>
      </c>
      <c r="B216" s="4">
        <f>22.5478 * CHOOSE(CONTROL!$C$9, $C$13, 100%, $E$13) + CHOOSE(CONTROL!$C$28, 0.0276, 0)</f>
        <v>22.575399999999998</v>
      </c>
      <c r="C216" s="4">
        <f>22.2353 * CHOOSE(CONTROL!$C$9, $C$13, 100%, $E$13) + CHOOSE(CONTROL!$C$28, 0.0276, 0)</f>
        <v>22.262899999999998</v>
      </c>
      <c r="D216" s="4">
        <f>28.0278 * CHOOSE(CONTROL!$C$9, $C$13, 100%, $E$13) + CHOOSE(CONTROL!$C$28, 0, 0)</f>
        <v>28.027799999999999</v>
      </c>
      <c r="E216" s="4">
        <f>132.821981096783 * CHOOSE(CONTROL!$C$9, $C$13, 100%, $E$13) + CHOOSE(CONTROL!$C$28, 0, 0)</f>
        <v>132.82198109678299</v>
      </c>
    </row>
    <row r="217" spans="1:5" ht="15">
      <c r="A217" s="13">
        <v>48092</v>
      </c>
      <c r="B217" s="4">
        <f>21.724 * CHOOSE(CONTROL!$C$9, $C$13, 100%, $E$13) + CHOOSE(CONTROL!$C$28, 0.0276, 0)</f>
        <v>21.7516</v>
      </c>
      <c r="C217" s="4">
        <f>21.4115 * CHOOSE(CONTROL!$C$9, $C$13, 100%, $E$13) + CHOOSE(CONTROL!$C$28, 0.0276, 0)</f>
        <v>21.4391</v>
      </c>
      <c r="D217" s="4">
        <f>27.8883 * CHOOSE(CONTROL!$C$9, $C$13, 100%, $E$13) + CHOOSE(CONTROL!$C$28, 0, 0)</f>
        <v>27.888300000000001</v>
      </c>
      <c r="E217" s="4">
        <f>127.528912169366 * CHOOSE(CONTROL!$C$9, $C$13, 100%, $E$13) + CHOOSE(CONTROL!$C$28, 0, 0)</f>
        <v>127.528912169366</v>
      </c>
    </row>
    <row r="218" spans="1:5" ht="15">
      <c r="A218" s="13">
        <v>48122</v>
      </c>
      <c r="B218" s="4">
        <f>21.0645 * CHOOSE(CONTROL!$C$9, $C$13, 100%, $E$13) + CHOOSE(CONTROL!$C$28, 0.0003, 0)</f>
        <v>21.064799999999998</v>
      </c>
      <c r="C218" s="4">
        <f>20.752 * CHOOSE(CONTROL!$C$9, $C$13, 100%, $E$13) + CHOOSE(CONTROL!$C$28, 0.0003, 0)</f>
        <v>20.752299999999998</v>
      </c>
      <c r="D218" s="4">
        <f>27.5146 * CHOOSE(CONTROL!$C$9, $C$13, 100%, $E$13) + CHOOSE(CONTROL!$C$28, 0, 0)</f>
        <v>27.514600000000002</v>
      </c>
      <c r="E218" s="4">
        <f>123.291705594591 * CHOOSE(CONTROL!$C$9, $C$13, 100%, $E$13) + CHOOSE(CONTROL!$C$28, 0, 0)</f>
        <v>123.29170559459099</v>
      </c>
    </row>
    <row r="219" spans="1:5" ht="15">
      <c r="A219" s="13">
        <v>48153</v>
      </c>
      <c r="B219" s="4">
        <f>20.6397 * CHOOSE(CONTROL!$C$9, $C$13, 100%, $E$13) + CHOOSE(CONTROL!$C$28, 0.0003, 0)</f>
        <v>20.64</v>
      </c>
      <c r="C219" s="4">
        <f>20.3272 * CHOOSE(CONTROL!$C$9, $C$13, 100%, $E$13) + CHOOSE(CONTROL!$C$28, 0.0003, 0)</f>
        <v>20.327500000000001</v>
      </c>
      <c r="D219" s="4">
        <f>27.3862 * CHOOSE(CONTROL!$C$9, $C$13, 100%, $E$13) + CHOOSE(CONTROL!$C$28, 0, 0)</f>
        <v>27.386199999999999</v>
      </c>
      <c r="E219" s="4">
        <f>120.562628145659 * CHOOSE(CONTROL!$C$9, $C$13, 100%, $E$13) + CHOOSE(CONTROL!$C$28, 0, 0)</f>
        <v>120.562628145659</v>
      </c>
    </row>
    <row r="220" spans="1:5" ht="15">
      <c r="A220" s="13">
        <v>48183</v>
      </c>
      <c r="B220" s="4">
        <f>20.3458 * CHOOSE(CONTROL!$C$9, $C$13, 100%, $E$13) + CHOOSE(CONTROL!$C$28, 0.0003, 0)</f>
        <v>20.3461</v>
      </c>
      <c r="C220" s="4">
        <f>20.0333 * CHOOSE(CONTROL!$C$9, $C$13, 100%, $E$13) + CHOOSE(CONTROL!$C$28, 0.0003, 0)</f>
        <v>20.0336</v>
      </c>
      <c r="D220" s="4">
        <f>26.4404 * CHOOSE(CONTROL!$C$9, $C$13, 100%, $E$13) + CHOOSE(CONTROL!$C$28, 0, 0)</f>
        <v>26.4404</v>
      </c>
      <c r="E220" s="4">
        <f>118.674457358685 * CHOOSE(CONTROL!$C$9, $C$13, 100%, $E$13) + CHOOSE(CONTROL!$C$28, 0, 0)</f>
        <v>118.674457358685</v>
      </c>
    </row>
    <row r="221" spans="1:5" ht="15">
      <c r="A221" s="13">
        <v>48214</v>
      </c>
      <c r="B221" s="4">
        <f>19.6195 * CHOOSE(CONTROL!$C$9, $C$13, 100%, $E$13) + CHOOSE(CONTROL!$C$28, 0.0003, 0)</f>
        <v>19.619799999999998</v>
      </c>
      <c r="C221" s="4">
        <f>19.307 * CHOOSE(CONTROL!$C$9, $C$13, 100%, $E$13) + CHOOSE(CONTROL!$C$28, 0.0003, 0)</f>
        <v>19.307299999999998</v>
      </c>
      <c r="D221" s="4">
        <f>25.3451 * CHOOSE(CONTROL!$C$9, $C$13, 100%, $E$13) + CHOOSE(CONTROL!$C$28, 0, 0)</f>
        <v>25.345099999999999</v>
      </c>
      <c r="E221" s="4">
        <f>113.968087555585 * CHOOSE(CONTROL!$C$9, $C$13, 100%, $E$13) + CHOOSE(CONTROL!$C$28, 0, 0)</f>
        <v>113.968087555585</v>
      </c>
    </row>
    <row r="222" spans="1:5" ht="15">
      <c r="A222" s="13">
        <v>48245</v>
      </c>
      <c r="B222" s="4">
        <f>20.0408 * CHOOSE(CONTROL!$C$9, $C$13, 100%, $E$13) + CHOOSE(CONTROL!$C$28, 0.0003, 0)</f>
        <v>20.0411</v>
      </c>
      <c r="C222" s="4">
        <f>19.7283 * CHOOSE(CONTROL!$C$9, $C$13, 100%, $E$13) + CHOOSE(CONTROL!$C$28, 0.0003, 0)</f>
        <v>19.7286</v>
      </c>
      <c r="D222" s="4">
        <f>26.2125 * CHOOSE(CONTROL!$C$9, $C$13, 100%, $E$13) + CHOOSE(CONTROL!$C$28, 0, 0)</f>
        <v>26.212499999999999</v>
      </c>
      <c r="E222" s="4">
        <f>116.674139092067 * CHOOSE(CONTROL!$C$9, $C$13, 100%, $E$13) + CHOOSE(CONTROL!$C$28, 0, 0)</f>
        <v>116.67413909206699</v>
      </c>
    </row>
    <row r="223" spans="1:5" ht="15">
      <c r="A223" s="13">
        <v>48274</v>
      </c>
      <c r="B223" s="4">
        <f>21.1472 * CHOOSE(CONTROL!$C$9, $C$13, 100%, $E$13) + CHOOSE(CONTROL!$C$28, 0.0003, 0)</f>
        <v>21.147500000000001</v>
      </c>
      <c r="C223" s="4">
        <f>20.8347 * CHOOSE(CONTROL!$C$9, $C$13, 100%, $E$13) + CHOOSE(CONTROL!$C$28, 0.0003, 0)</f>
        <v>20.835000000000001</v>
      </c>
      <c r="D223" s="4">
        <f>27.5703 * CHOOSE(CONTROL!$C$9, $C$13, 100%, $E$13) + CHOOSE(CONTROL!$C$28, 0, 0)</f>
        <v>27.5703</v>
      </c>
      <c r="E223" s="4">
        <f>123.780374235181 * CHOOSE(CONTROL!$C$9, $C$13, 100%, $E$13) + CHOOSE(CONTROL!$C$28, 0, 0)</f>
        <v>123.780374235181</v>
      </c>
    </row>
    <row r="224" spans="1:5" ht="15">
      <c r="A224" s="13">
        <v>48305</v>
      </c>
      <c r="B224" s="4">
        <f>21.9333 * CHOOSE(CONTROL!$C$9, $C$13, 100%, $E$13) + CHOOSE(CONTROL!$C$28, 0.0003, 0)</f>
        <v>21.933599999999998</v>
      </c>
      <c r="C224" s="4">
        <f>21.6208 * CHOOSE(CONTROL!$C$9, $C$13, 100%, $E$13) + CHOOSE(CONTROL!$C$28, 0.0003, 0)</f>
        <v>21.621099999999998</v>
      </c>
      <c r="D224" s="4">
        <f>28.3524 * CHOOSE(CONTROL!$C$9, $C$13, 100%, $E$13) + CHOOSE(CONTROL!$C$28, 0, 0)</f>
        <v>28.352399999999999</v>
      </c>
      <c r="E224" s="4">
        <f>128.829449007398 * CHOOSE(CONTROL!$C$9, $C$13, 100%, $E$13) + CHOOSE(CONTROL!$C$28, 0, 0)</f>
        <v>128.82944900739801</v>
      </c>
    </row>
    <row r="225" spans="1:5" ht="15">
      <c r="A225" s="13">
        <v>48335</v>
      </c>
      <c r="B225" s="4">
        <f>22.4136 * CHOOSE(CONTROL!$C$9, $C$13, 100%, $E$13) + CHOOSE(CONTROL!$C$28, 0.0276, 0)</f>
        <v>22.441199999999998</v>
      </c>
      <c r="C225" s="4">
        <f>22.1011 * CHOOSE(CONTROL!$C$9, $C$13, 100%, $E$13) + CHOOSE(CONTROL!$C$28, 0.0276, 0)</f>
        <v>22.128699999999998</v>
      </c>
      <c r="D225" s="4">
        <f>28.0433 * CHOOSE(CONTROL!$C$9, $C$13, 100%, $E$13) + CHOOSE(CONTROL!$C$28, 0, 0)</f>
        <v>28.043299999999999</v>
      </c>
      <c r="E225" s="4">
        <f>131.914312683789 * CHOOSE(CONTROL!$C$9, $C$13, 100%, $E$13) + CHOOSE(CONTROL!$C$28, 0, 0)</f>
        <v>131.91431268378901</v>
      </c>
    </row>
    <row r="226" spans="1:5" ht="15">
      <c r="A226" s="13">
        <v>48366</v>
      </c>
      <c r="B226" s="4">
        <f>22.4786 * CHOOSE(CONTROL!$C$9, $C$13, 100%, $E$13) + CHOOSE(CONTROL!$C$28, 0.0276, 0)</f>
        <v>22.5062</v>
      </c>
      <c r="C226" s="4">
        <f>22.1661 * CHOOSE(CONTROL!$C$9, $C$13, 100%, $E$13) + CHOOSE(CONTROL!$C$28, 0.0276, 0)</f>
        <v>22.1937</v>
      </c>
      <c r="D226" s="4">
        <f>28.295 * CHOOSE(CONTROL!$C$9, $C$13, 100%, $E$13) + CHOOSE(CONTROL!$C$28, 0, 0)</f>
        <v>28.295000000000002</v>
      </c>
      <c r="E226" s="4">
        <f>132.331707541652 * CHOOSE(CONTROL!$C$9, $C$13, 100%, $E$13) + CHOOSE(CONTROL!$C$28, 0, 0)</f>
        <v>132.33170754165201</v>
      </c>
    </row>
    <row r="227" spans="1:5" ht="15">
      <c r="A227" s="13">
        <v>48396</v>
      </c>
      <c r="B227" s="4">
        <f>22.4721 * CHOOSE(CONTROL!$C$9, $C$13, 100%, $E$13) + CHOOSE(CONTROL!$C$28, 0.0276, 0)</f>
        <v>22.499700000000001</v>
      </c>
      <c r="C227" s="4">
        <f>22.1596 * CHOOSE(CONTROL!$C$9, $C$13, 100%, $E$13) + CHOOSE(CONTROL!$C$28, 0.0276, 0)</f>
        <v>22.187200000000001</v>
      </c>
      <c r="D227" s="4">
        <f>28.7492 * CHOOSE(CONTROL!$C$9, $C$13, 100%, $E$13) + CHOOSE(CONTROL!$C$28, 0, 0)</f>
        <v>28.749199999999998</v>
      </c>
      <c r="E227" s="4">
        <f>132.289617303884 * CHOOSE(CONTROL!$C$9, $C$13, 100%, $E$13) + CHOOSE(CONTROL!$C$28, 0, 0)</f>
        <v>132.289617303884</v>
      </c>
    </row>
    <row r="228" spans="1:5" ht="15">
      <c r="A228" s="13">
        <v>48427</v>
      </c>
      <c r="B228" s="4">
        <f>22.9652 * CHOOSE(CONTROL!$C$9, $C$13, 100%, $E$13) + CHOOSE(CONTROL!$C$28, 0.0276, 0)</f>
        <v>22.992799999999999</v>
      </c>
      <c r="C228" s="4">
        <f>22.6527 * CHOOSE(CONTROL!$C$9, $C$13, 100%, $E$13) + CHOOSE(CONTROL!$C$28, 0.0276, 0)</f>
        <v>22.680299999999999</v>
      </c>
      <c r="D228" s="4">
        <f>28.4493 * CHOOSE(CONTROL!$C$9, $C$13, 100%, $E$13) + CHOOSE(CONTROL!$C$28, 0, 0)</f>
        <v>28.449300000000001</v>
      </c>
      <c r="E228" s="4">
        <f>135.456907695904 * CHOOSE(CONTROL!$C$9, $C$13, 100%, $E$13) + CHOOSE(CONTROL!$C$28, 0, 0)</f>
        <v>135.45690769590399</v>
      </c>
    </row>
    <row r="229" spans="1:5" ht="15">
      <c r="A229" s="13">
        <v>48458</v>
      </c>
      <c r="B229" s="4">
        <f>22.1248 * CHOOSE(CONTROL!$C$9, $C$13, 100%, $E$13) + CHOOSE(CONTROL!$C$28, 0.0276, 0)</f>
        <v>22.1524</v>
      </c>
      <c r="C229" s="4">
        <f>21.8123 * CHOOSE(CONTROL!$C$9, $C$13, 100%, $E$13) + CHOOSE(CONTROL!$C$28, 0.0276, 0)</f>
        <v>21.8399</v>
      </c>
      <c r="D229" s="4">
        <f>28.3076 * CHOOSE(CONTROL!$C$9, $C$13, 100%, $E$13) + CHOOSE(CONTROL!$C$28, 0, 0)</f>
        <v>28.307600000000001</v>
      </c>
      <c r="E229" s="4">
        <f>130.058834702196 * CHOOSE(CONTROL!$C$9, $C$13, 100%, $E$13) + CHOOSE(CONTROL!$C$28, 0, 0)</f>
        <v>130.05883470219601</v>
      </c>
    </row>
    <row r="230" spans="1:5" ht="15">
      <c r="A230" s="13">
        <v>48488</v>
      </c>
      <c r="B230" s="4">
        <f>21.4519 * CHOOSE(CONTROL!$C$9, $C$13, 100%, $E$13) + CHOOSE(CONTROL!$C$28, 0.0003, 0)</f>
        <v>21.452199999999998</v>
      </c>
      <c r="C230" s="4">
        <f>21.1394 * CHOOSE(CONTROL!$C$9, $C$13, 100%, $E$13) + CHOOSE(CONTROL!$C$28, 0.0003, 0)</f>
        <v>21.139699999999998</v>
      </c>
      <c r="D230" s="4">
        <f>27.9281 * CHOOSE(CONTROL!$C$9, $C$13, 100%, $E$13) + CHOOSE(CONTROL!$C$28, 0, 0)</f>
        <v>27.928100000000001</v>
      </c>
      <c r="E230" s="4">
        <f>125.737570291379 * CHOOSE(CONTROL!$C$9, $C$13, 100%, $E$13) + CHOOSE(CONTROL!$C$28, 0, 0)</f>
        <v>125.737570291379</v>
      </c>
    </row>
    <row r="231" spans="1:5" ht="15">
      <c r="A231" s="13">
        <v>48519</v>
      </c>
      <c r="B231" s="4">
        <f>21.0186 * CHOOSE(CONTROL!$C$9, $C$13, 100%, $E$13) + CHOOSE(CONTROL!$C$28, 0.0003, 0)</f>
        <v>21.018899999999999</v>
      </c>
      <c r="C231" s="4">
        <f>20.7061 * CHOOSE(CONTROL!$C$9, $C$13, 100%, $E$13) + CHOOSE(CONTROL!$C$28, 0.0003, 0)</f>
        <v>20.706399999999999</v>
      </c>
      <c r="D231" s="4">
        <f>27.7977 * CHOOSE(CONTROL!$C$9, $C$13, 100%, $E$13) + CHOOSE(CONTROL!$C$28, 0, 0)</f>
        <v>27.797699999999999</v>
      </c>
      <c r="E231" s="4">
        <f>122.954353318989 * CHOOSE(CONTROL!$C$9, $C$13, 100%, $E$13) + CHOOSE(CONTROL!$C$28, 0, 0)</f>
        <v>122.95435331898901</v>
      </c>
    </row>
    <row r="232" spans="1:5" ht="15">
      <c r="A232" s="13">
        <v>48549</v>
      </c>
      <c r="B232" s="4">
        <f>20.7188 * CHOOSE(CONTROL!$C$9, $C$13, 100%, $E$13) + CHOOSE(CONTROL!$C$28, 0.0003, 0)</f>
        <v>20.719100000000001</v>
      </c>
      <c r="C232" s="4">
        <f>20.4063 * CHOOSE(CONTROL!$C$9, $C$13, 100%, $E$13) + CHOOSE(CONTROL!$C$28, 0.0003, 0)</f>
        <v>20.406600000000001</v>
      </c>
      <c r="D232" s="4">
        <f>26.8373 * CHOOSE(CONTROL!$C$9, $C$13, 100%, $E$13) + CHOOSE(CONTROL!$C$28, 0, 0)</f>
        <v>26.837299999999999</v>
      </c>
      <c r="E232" s="4">
        <f>121.028724941117 * CHOOSE(CONTROL!$C$9, $C$13, 100%, $E$13) + CHOOSE(CONTROL!$C$28, 0, 0)</f>
        <v>121.02872494111701</v>
      </c>
    </row>
    <row r="233" spans="1:5" ht="15">
      <c r="A233" s="13">
        <v>48580</v>
      </c>
      <c r="B233" s="4">
        <f>19.9747 * CHOOSE(CONTROL!$C$9, $C$13, 100%, $E$13) + CHOOSE(CONTROL!$C$28, 0.0003, 0)</f>
        <v>19.974999999999998</v>
      </c>
      <c r="C233" s="4">
        <f>19.6622 * CHOOSE(CONTROL!$C$9, $C$13, 100%, $E$13) + CHOOSE(CONTROL!$C$28, 0.0003, 0)</f>
        <v>19.662499999999998</v>
      </c>
      <c r="D233" s="4">
        <f>25.7238 * CHOOSE(CONTROL!$C$9, $C$13, 100%, $E$13) + CHOOSE(CONTROL!$C$28, 0, 0)</f>
        <v>25.723800000000001</v>
      </c>
      <c r="E233" s="4">
        <f>116.221050720848 * CHOOSE(CONTROL!$C$9, $C$13, 100%, $E$13) + CHOOSE(CONTROL!$C$28, 0, 0)</f>
        <v>116.221050720848</v>
      </c>
    </row>
    <row r="234" spans="1:5" ht="15">
      <c r="A234" s="13">
        <v>48611</v>
      </c>
      <c r="B234" s="4">
        <f>20.4045 * CHOOSE(CONTROL!$C$9, $C$13, 100%, $E$13) + CHOOSE(CONTROL!$C$28, 0.0003, 0)</f>
        <v>20.404799999999998</v>
      </c>
      <c r="C234" s="4">
        <f>20.092 * CHOOSE(CONTROL!$C$9, $C$13, 100%, $E$13) + CHOOSE(CONTROL!$C$28, 0.0003, 0)</f>
        <v>20.092299999999998</v>
      </c>
      <c r="D234" s="4">
        <f>26.6045 * CHOOSE(CONTROL!$C$9, $C$13, 100%, $E$13) + CHOOSE(CONTROL!$C$28, 0, 0)</f>
        <v>26.604500000000002</v>
      </c>
      <c r="E234" s="4">
        <f>118.980596481597 * CHOOSE(CONTROL!$C$9, $C$13, 100%, $E$13) + CHOOSE(CONTROL!$C$28, 0, 0)</f>
        <v>118.980596481597</v>
      </c>
    </row>
    <row r="235" spans="1:5" ht="15">
      <c r="A235" s="13">
        <v>48639</v>
      </c>
      <c r="B235" s="4">
        <f>21.5331 * CHOOSE(CONTROL!$C$9, $C$13, 100%, $E$13) + CHOOSE(CONTROL!$C$28, 0.0003, 0)</f>
        <v>21.5334</v>
      </c>
      <c r="C235" s="4">
        <f>21.2206 * CHOOSE(CONTROL!$C$9, $C$13, 100%, $E$13) + CHOOSE(CONTROL!$C$28, 0.0003, 0)</f>
        <v>21.2209</v>
      </c>
      <c r="D235" s="4">
        <f>27.9832 * CHOOSE(CONTROL!$C$9, $C$13, 100%, $E$13) + CHOOSE(CONTROL!$C$28, 0, 0)</f>
        <v>27.9832</v>
      </c>
      <c r="E235" s="4">
        <f>126.227310300492 * CHOOSE(CONTROL!$C$9, $C$13, 100%, $E$13) + CHOOSE(CONTROL!$C$28, 0, 0)</f>
        <v>126.22731030049199</v>
      </c>
    </row>
    <row r="236" spans="1:5" ht="15">
      <c r="A236" s="13">
        <v>48670</v>
      </c>
      <c r="B236" s="4">
        <f>22.3349 * CHOOSE(CONTROL!$C$9, $C$13, 100%, $E$13) + CHOOSE(CONTROL!$C$28, 0.0003, 0)</f>
        <v>22.3352</v>
      </c>
      <c r="C236" s="4">
        <f>22.0224 * CHOOSE(CONTROL!$C$9, $C$13, 100%, $E$13) + CHOOSE(CONTROL!$C$28, 0.0003, 0)</f>
        <v>22.0227</v>
      </c>
      <c r="D236" s="4">
        <f>28.7774 * CHOOSE(CONTROL!$C$9, $C$13, 100%, $E$13) + CHOOSE(CONTROL!$C$28, 0, 0)</f>
        <v>28.7774</v>
      </c>
      <c r="E236" s="4">
        <f>131.376197043976 * CHOOSE(CONTROL!$C$9, $C$13, 100%, $E$13) + CHOOSE(CONTROL!$C$28, 0, 0)</f>
        <v>131.37619704397599</v>
      </c>
    </row>
    <row r="237" spans="1:5" ht="15">
      <c r="A237" s="13">
        <v>48700</v>
      </c>
      <c r="B237" s="4">
        <f>22.8249 * CHOOSE(CONTROL!$C$9, $C$13, 100%, $E$13) + CHOOSE(CONTROL!$C$28, 0.0276, 0)</f>
        <v>22.852499999999999</v>
      </c>
      <c r="C237" s="4">
        <f>22.5124 * CHOOSE(CONTROL!$C$9, $C$13, 100%, $E$13) + CHOOSE(CONTROL!$C$28, 0.0276, 0)</f>
        <v>22.54</v>
      </c>
      <c r="D237" s="4">
        <f>28.4636 * CHOOSE(CONTROL!$C$9, $C$13, 100%, $E$13) + CHOOSE(CONTROL!$C$28, 0, 0)</f>
        <v>28.4636</v>
      </c>
      <c r="E237" s="4">
        <f>134.522043442652 * CHOOSE(CONTROL!$C$9, $C$13, 100%, $E$13) + CHOOSE(CONTROL!$C$28, 0, 0)</f>
        <v>134.52204344265201</v>
      </c>
    </row>
    <row r="238" spans="1:5" ht="15">
      <c r="A238" s="13">
        <v>48731</v>
      </c>
      <c r="B238" s="4">
        <f>22.8911 * CHOOSE(CONTROL!$C$9, $C$13, 100%, $E$13) + CHOOSE(CONTROL!$C$28, 0.0276, 0)</f>
        <v>22.918700000000001</v>
      </c>
      <c r="C238" s="4">
        <f>22.5786 * CHOOSE(CONTROL!$C$9, $C$13, 100%, $E$13) + CHOOSE(CONTROL!$C$28, 0.0276, 0)</f>
        <v>22.606200000000001</v>
      </c>
      <c r="D238" s="4">
        <f>28.7192 * CHOOSE(CONTROL!$C$9, $C$13, 100%, $E$13) + CHOOSE(CONTROL!$C$28, 0, 0)</f>
        <v>28.719200000000001</v>
      </c>
      <c r="E238" s="4">
        <f>134.947689515924 * CHOOSE(CONTROL!$C$9, $C$13, 100%, $E$13) + CHOOSE(CONTROL!$C$28, 0, 0)</f>
        <v>134.947689515924</v>
      </c>
    </row>
    <row r="239" spans="1:5" ht="15">
      <c r="A239" s="13">
        <v>48761</v>
      </c>
      <c r="B239" s="4">
        <f>22.8845 * CHOOSE(CONTROL!$C$9, $C$13, 100%, $E$13) + CHOOSE(CONTROL!$C$28, 0.0276, 0)</f>
        <v>22.912099999999999</v>
      </c>
      <c r="C239" s="4">
        <f>22.572 * CHOOSE(CONTROL!$C$9, $C$13, 100%, $E$13) + CHOOSE(CONTROL!$C$28, 0.0276, 0)</f>
        <v>22.599599999999999</v>
      </c>
      <c r="D239" s="4">
        <f>29.1803 * CHOOSE(CONTROL!$C$9, $C$13, 100%, $E$13) + CHOOSE(CONTROL!$C$28, 0, 0)</f>
        <v>29.180299999999999</v>
      </c>
      <c r="E239" s="4">
        <f>134.904767222821 * CHOOSE(CONTROL!$C$9, $C$13, 100%, $E$13) + CHOOSE(CONTROL!$C$28, 0, 0)</f>
        <v>134.90476722282099</v>
      </c>
    </row>
    <row r="240" spans="1:5" ht="15">
      <c r="A240" s="13">
        <v>48792</v>
      </c>
      <c r="B240" s="4">
        <f>23.3875 * CHOOSE(CONTROL!$C$9, $C$13, 100%, $E$13) + CHOOSE(CONTROL!$C$28, 0.0276, 0)</f>
        <v>23.415099999999999</v>
      </c>
      <c r="C240" s="4">
        <f>23.075 * CHOOSE(CONTROL!$C$9, $C$13, 100%, $E$13) + CHOOSE(CONTROL!$C$28, 0.0276, 0)</f>
        <v>23.102599999999999</v>
      </c>
      <c r="D240" s="4">
        <f>28.8758 * CHOOSE(CONTROL!$C$9, $C$13, 100%, $E$13) + CHOOSE(CONTROL!$C$28, 0, 0)</f>
        <v>28.875800000000002</v>
      </c>
      <c r="E240" s="4">
        <f>138.134669778824 * CHOOSE(CONTROL!$C$9, $C$13, 100%, $E$13) + CHOOSE(CONTROL!$C$28, 0, 0)</f>
        <v>138.13466977882399</v>
      </c>
    </row>
    <row r="241" spans="1:5" ht="15">
      <c r="A241" s="13">
        <v>48823</v>
      </c>
      <c r="B241" s="4">
        <f>22.5302 * CHOOSE(CONTROL!$C$9, $C$13, 100%, $E$13) + CHOOSE(CONTROL!$C$28, 0.0276, 0)</f>
        <v>22.5578</v>
      </c>
      <c r="C241" s="4">
        <f>22.2177 * CHOOSE(CONTROL!$C$9, $C$13, 100%, $E$13) + CHOOSE(CONTROL!$C$28, 0.0276, 0)</f>
        <v>22.2453</v>
      </c>
      <c r="D241" s="4">
        <f>28.7319 * CHOOSE(CONTROL!$C$9, $C$13, 100%, $E$13) + CHOOSE(CONTROL!$C$28, 0, 0)</f>
        <v>28.7319</v>
      </c>
      <c r="E241" s="4">
        <f>132.62988568836 * CHOOSE(CONTROL!$C$9, $C$13, 100%, $E$13) + CHOOSE(CONTROL!$C$28, 0, 0)</f>
        <v>132.62988568835999</v>
      </c>
    </row>
    <row r="242" spans="1:5" ht="15">
      <c r="A242" s="13">
        <v>48853</v>
      </c>
      <c r="B242" s="4">
        <f>21.8439 * CHOOSE(CONTROL!$C$9, $C$13, 100%, $E$13) + CHOOSE(CONTROL!$C$28, 0.0003, 0)</f>
        <v>21.844200000000001</v>
      </c>
      <c r="C242" s="4">
        <f>21.5314 * CHOOSE(CONTROL!$C$9, $C$13, 100%, $E$13) + CHOOSE(CONTROL!$C$28, 0.0003, 0)</f>
        <v>21.531700000000001</v>
      </c>
      <c r="D242" s="4">
        <f>28.3466 * CHOOSE(CONTROL!$C$9, $C$13, 100%, $E$13) + CHOOSE(CONTROL!$C$28, 0, 0)</f>
        <v>28.346599999999999</v>
      </c>
      <c r="E242" s="4">
        <f>128.223196929782 * CHOOSE(CONTROL!$C$9, $C$13, 100%, $E$13) + CHOOSE(CONTROL!$C$28, 0, 0)</f>
        <v>128.22319692978201</v>
      </c>
    </row>
    <row r="243" spans="1:5" ht="15">
      <c r="A243" s="13">
        <v>48884</v>
      </c>
      <c r="B243" s="4">
        <f>21.4019 * CHOOSE(CONTROL!$C$9, $C$13, 100%, $E$13) + CHOOSE(CONTROL!$C$28, 0.0003, 0)</f>
        <v>21.402200000000001</v>
      </c>
      <c r="C243" s="4">
        <f>21.0894 * CHOOSE(CONTROL!$C$9, $C$13, 100%, $E$13) + CHOOSE(CONTROL!$C$28, 0.0003, 0)</f>
        <v>21.089700000000001</v>
      </c>
      <c r="D243" s="4">
        <f>28.2141 * CHOOSE(CONTROL!$C$9, $C$13, 100%, $E$13) + CHOOSE(CONTROL!$C$28, 0, 0)</f>
        <v>28.214099999999998</v>
      </c>
      <c r="E243" s="4">
        <f>125.384960298345 * CHOOSE(CONTROL!$C$9, $C$13, 100%, $E$13) + CHOOSE(CONTROL!$C$28, 0, 0)</f>
        <v>125.38496029834501</v>
      </c>
    </row>
    <row r="244" spans="1:5" ht="15">
      <c r="A244" s="13">
        <v>48914</v>
      </c>
      <c r="B244" s="4">
        <f>21.0961 * CHOOSE(CONTROL!$C$9, $C$13, 100%, $E$13) + CHOOSE(CONTROL!$C$28, 0.0003, 0)</f>
        <v>21.096399999999999</v>
      </c>
      <c r="C244" s="4">
        <f>20.7836 * CHOOSE(CONTROL!$C$9, $C$13, 100%, $E$13) + CHOOSE(CONTROL!$C$28, 0.0003, 0)</f>
        <v>20.783899999999999</v>
      </c>
      <c r="D244" s="4">
        <f>27.2389 * CHOOSE(CONTROL!$C$9, $C$13, 100%, $E$13) + CHOOSE(CONTROL!$C$28, 0, 0)</f>
        <v>27.238900000000001</v>
      </c>
      <c r="E244" s="4">
        <f>123.421265388881 * CHOOSE(CONTROL!$C$9, $C$13, 100%, $E$13) + CHOOSE(CONTROL!$C$28, 0, 0)</f>
        <v>123.421265388881</v>
      </c>
    </row>
    <row r="245" spans="1:5" ht="15">
      <c r="A245" s="13">
        <v>48945</v>
      </c>
      <c r="B245" s="4">
        <f>20.3361 * CHOOSE(CONTROL!$C$9, $C$13, 100%, $E$13) + CHOOSE(CONTROL!$C$28, 0.0003, 0)</f>
        <v>20.336399999999998</v>
      </c>
      <c r="C245" s="4">
        <f>20.0236 * CHOOSE(CONTROL!$C$9, $C$13, 100%, $E$13) + CHOOSE(CONTROL!$C$28, 0.0003, 0)</f>
        <v>20.023899999999998</v>
      </c>
      <c r="D245" s="4">
        <f>26.1093 * CHOOSE(CONTROL!$C$9, $C$13, 100%, $E$13) + CHOOSE(CONTROL!$C$28, 0, 0)</f>
        <v>26.109300000000001</v>
      </c>
      <c r="E245" s="4">
        <f>118.517863916139 * CHOOSE(CONTROL!$C$9, $C$13, 100%, $E$13) + CHOOSE(CONTROL!$C$28, 0, 0)</f>
        <v>118.51786391613901</v>
      </c>
    </row>
    <row r="246" spans="1:5" ht="15">
      <c r="A246" s="13">
        <v>48976</v>
      </c>
      <c r="B246" s="4">
        <f>20.7745 * CHOOSE(CONTROL!$C$9, $C$13, 100%, $E$13) + CHOOSE(CONTROL!$C$28, 0.0003, 0)</f>
        <v>20.774799999999999</v>
      </c>
      <c r="C246" s="4">
        <f>20.462 * CHOOSE(CONTROL!$C$9, $C$13, 100%, $E$13) + CHOOSE(CONTROL!$C$28, 0.0003, 0)</f>
        <v>20.462299999999999</v>
      </c>
      <c r="D246" s="4">
        <f>27.0036 * CHOOSE(CONTROL!$C$9, $C$13, 100%, $E$13) + CHOOSE(CONTROL!$C$28, 0, 0)</f>
        <v>27.003599999999999</v>
      </c>
      <c r="E246" s="4">
        <f>121.331945073677 * CHOOSE(CONTROL!$C$9, $C$13, 100%, $E$13) + CHOOSE(CONTROL!$C$28, 0, 0)</f>
        <v>121.33194507367701</v>
      </c>
    </row>
    <row r="247" spans="1:5" ht="15">
      <c r="A247" s="13">
        <v>49004</v>
      </c>
      <c r="B247" s="4">
        <f>21.9256 * CHOOSE(CONTROL!$C$9, $C$13, 100%, $E$13) + CHOOSE(CONTROL!$C$28, 0.0003, 0)</f>
        <v>21.925899999999999</v>
      </c>
      <c r="C247" s="4">
        <f>21.6131 * CHOOSE(CONTROL!$C$9, $C$13, 100%, $E$13) + CHOOSE(CONTROL!$C$28, 0.0003, 0)</f>
        <v>21.613399999999999</v>
      </c>
      <c r="D247" s="4">
        <f>28.4036 * CHOOSE(CONTROL!$C$9, $C$13, 100%, $E$13) + CHOOSE(CONTROL!$C$28, 0, 0)</f>
        <v>28.403600000000001</v>
      </c>
      <c r="E247" s="4">
        <f>128.721871742727 * CHOOSE(CONTROL!$C$9, $C$13, 100%, $E$13) + CHOOSE(CONTROL!$C$28, 0, 0)</f>
        <v>128.72187174272699</v>
      </c>
    </row>
    <row r="248" spans="1:5" ht="15">
      <c r="A248" s="13">
        <v>49035</v>
      </c>
      <c r="B248" s="4">
        <f>22.7434 * CHOOSE(CONTROL!$C$9, $C$13, 100%, $E$13) + CHOOSE(CONTROL!$C$28, 0.0003, 0)</f>
        <v>22.7437</v>
      </c>
      <c r="C248" s="4">
        <f>22.4309 * CHOOSE(CONTROL!$C$9, $C$13, 100%, $E$13) + CHOOSE(CONTROL!$C$28, 0.0003, 0)</f>
        <v>22.4312</v>
      </c>
      <c r="D248" s="4">
        <f>29.2101 * CHOOSE(CONTROL!$C$9, $C$13, 100%, $E$13) + CHOOSE(CONTROL!$C$28, 0, 0)</f>
        <v>29.210100000000001</v>
      </c>
      <c r="E248" s="4">
        <f>133.972513124808 * CHOOSE(CONTROL!$C$9, $C$13, 100%, $E$13) + CHOOSE(CONTROL!$C$28, 0, 0)</f>
        <v>133.97251312480799</v>
      </c>
    </row>
    <row r="249" spans="1:5" ht="15">
      <c r="A249" s="13">
        <v>49065</v>
      </c>
      <c r="B249" s="4">
        <f>23.2431 * CHOOSE(CONTROL!$C$9, $C$13, 100%, $E$13) + CHOOSE(CONTROL!$C$28, 0.0276, 0)</f>
        <v>23.270699999999998</v>
      </c>
      <c r="C249" s="4">
        <f>22.9306 * CHOOSE(CONTROL!$C$9, $C$13, 100%, $E$13) + CHOOSE(CONTROL!$C$28, 0.0276, 0)</f>
        <v>22.958199999999998</v>
      </c>
      <c r="D249" s="4">
        <f>28.8914 * CHOOSE(CONTROL!$C$9, $C$13, 100%, $E$13) + CHOOSE(CONTROL!$C$28, 0, 0)</f>
        <v>28.891400000000001</v>
      </c>
      <c r="E249" s="4">
        <f>137.180529168949 * CHOOSE(CONTROL!$C$9, $C$13, 100%, $E$13) + CHOOSE(CONTROL!$C$28, 0, 0)</f>
        <v>137.18052916894899</v>
      </c>
    </row>
    <row r="250" spans="1:5" ht="15">
      <c r="A250" s="13">
        <v>49096</v>
      </c>
      <c r="B250" s="4">
        <f>23.3108 * CHOOSE(CONTROL!$C$9, $C$13, 100%, $E$13) + CHOOSE(CONTROL!$C$28, 0.0276, 0)</f>
        <v>23.3384</v>
      </c>
      <c r="C250" s="4">
        <f>22.9983 * CHOOSE(CONTROL!$C$9, $C$13, 100%, $E$13) + CHOOSE(CONTROL!$C$28, 0.0276, 0)</f>
        <v>23.0259</v>
      </c>
      <c r="D250" s="4">
        <f>29.1509 * CHOOSE(CONTROL!$C$9, $C$13, 100%, $E$13) + CHOOSE(CONTROL!$C$28, 0, 0)</f>
        <v>29.1509</v>
      </c>
      <c r="E250" s="4">
        <f>137.614587053261 * CHOOSE(CONTROL!$C$9, $C$13, 100%, $E$13) + CHOOSE(CONTROL!$C$28, 0, 0)</f>
        <v>137.614587053261</v>
      </c>
    </row>
    <row r="251" spans="1:5" ht="15">
      <c r="A251" s="13">
        <v>49126</v>
      </c>
      <c r="B251" s="4">
        <f>23.3039 * CHOOSE(CONTROL!$C$9, $C$13, 100%, $E$13) + CHOOSE(CONTROL!$C$28, 0.0276, 0)</f>
        <v>23.331499999999998</v>
      </c>
      <c r="C251" s="4">
        <f>22.9914 * CHOOSE(CONTROL!$C$9, $C$13, 100%, $E$13) + CHOOSE(CONTROL!$C$28, 0.0276, 0)</f>
        <v>23.018999999999998</v>
      </c>
      <c r="D251" s="4">
        <f>29.6192 * CHOOSE(CONTROL!$C$9, $C$13, 100%, $E$13) + CHOOSE(CONTROL!$C$28, 0, 0)</f>
        <v>29.619199999999999</v>
      </c>
      <c r="E251" s="4">
        <f>137.570816510305 * CHOOSE(CONTROL!$C$9, $C$13, 100%, $E$13) + CHOOSE(CONTROL!$C$28, 0, 0)</f>
        <v>137.57081651030501</v>
      </c>
    </row>
    <row r="252" spans="1:5" ht="15">
      <c r="A252" s="13">
        <v>49157</v>
      </c>
      <c r="B252" s="4">
        <f>23.817 * CHOOSE(CONTROL!$C$9, $C$13, 100%, $E$13) + CHOOSE(CONTROL!$C$28, 0.0276, 0)</f>
        <v>23.8446</v>
      </c>
      <c r="C252" s="4">
        <f>23.5045 * CHOOSE(CONTROL!$C$9, $C$13, 100%, $E$13) + CHOOSE(CONTROL!$C$28, 0.0276, 0)</f>
        <v>23.5321</v>
      </c>
      <c r="D252" s="4">
        <f>29.31 * CHOOSE(CONTROL!$C$9, $C$13, 100%, $E$13) + CHOOSE(CONTROL!$C$28, 0, 0)</f>
        <v>29.31</v>
      </c>
      <c r="E252" s="4">
        <f>140.864549867735 * CHOOSE(CONTROL!$C$9, $C$13, 100%, $E$13) + CHOOSE(CONTROL!$C$28, 0, 0)</f>
        <v>140.86454986773501</v>
      </c>
    </row>
    <row r="253" spans="1:5" ht="15">
      <c r="A253" s="13">
        <v>49188</v>
      </c>
      <c r="B253" s="4">
        <f>22.9426 * CHOOSE(CONTROL!$C$9, $C$13, 100%, $E$13) + CHOOSE(CONTROL!$C$28, 0.0276, 0)</f>
        <v>22.970199999999998</v>
      </c>
      <c r="C253" s="4">
        <f>22.6301 * CHOOSE(CONTROL!$C$9, $C$13, 100%, $E$13) + CHOOSE(CONTROL!$C$28, 0.0276, 0)</f>
        <v>22.657699999999998</v>
      </c>
      <c r="D253" s="4">
        <f>29.1638 * CHOOSE(CONTROL!$C$9, $C$13, 100%, $E$13) + CHOOSE(CONTROL!$C$28, 0, 0)</f>
        <v>29.163799999999998</v>
      </c>
      <c r="E253" s="4">
        <f>135.250977733644 * CHOOSE(CONTROL!$C$9, $C$13, 100%, $E$13) + CHOOSE(CONTROL!$C$28, 0, 0)</f>
        <v>135.25097773364399</v>
      </c>
    </row>
    <row r="254" spans="1:5" ht="15">
      <c r="A254" s="13">
        <v>49218</v>
      </c>
      <c r="B254" s="4">
        <f>22.2426 * CHOOSE(CONTROL!$C$9, $C$13, 100%, $E$13) + CHOOSE(CONTROL!$C$28, 0.0003, 0)</f>
        <v>22.242899999999999</v>
      </c>
      <c r="C254" s="4">
        <f>21.9301 * CHOOSE(CONTROL!$C$9, $C$13, 100%, $E$13) + CHOOSE(CONTROL!$C$28, 0.0003, 0)</f>
        <v>21.930399999999999</v>
      </c>
      <c r="D254" s="4">
        <f>28.7726 * CHOOSE(CONTROL!$C$9, $C$13, 100%, $E$13) + CHOOSE(CONTROL!$C$28, 0, 0)</f>
        <v>28.772600000000001</v>
      </c>
      <c r="E254" s="4">
        <f>130.757201990175 * CHOOSE(CONTROL!$C$9, $C$13, 100%, $E$13) + CHOOSE(CONTROL!$C$28, 0, 0)</f>
        <v>130.75720199017499</v>
      </c>
    </row>
    <row r="255" spans="1:5" ht="15">
      <c r="A255" s="13">
        <v>49249</v>
      </c>
      <c r="B255" s="4">
        <f>21.7918 * CHOOSE(CONTROL!$C$9, $C$13, 100%, $E$13) + CHOOSE(CONTROL!$C$28, 0.0003, 0)</f>
        <v>21.792099999999998</v>
      </c>
      <c r="C255" s="4">
        <f>21.4793 * CHOOSE(CONTROL!$C$9, $C$13, 100%, $E$13) + CHOOSE(CONTROL!$C$28, 0.0003, 0)</f>
        <v>21.479599999999998</v>
      </c>
      <c r="D255" s="4">
        <f>28.6381 * CHOOSE(CONTROL!$C$9, $C$13, 100%, $E$13) + CHOOSE(CONTROL!$C$28, 0, 0)</f>
        <v>28.638100000000001</v>
      </c>
      <c r="E255" s="4">
        <f>127.862874837218 * CHOOSE(CONTROL!$C$9, $C$13, 100%, $E$13) + CHOOSE(CONTROL!$C$28, 0, 0)</f>
        <v>127.862874837218</v>
      </c>
    </row>
    <row r="256" spans="1:5" ht="15">
      <c r="A256" s="13">
        <v>49279</v>
      </c>
      <c r="B256" s="4">
        <f>21.4798 * CHOOSE(CONTROL!$C$9, $C$13, 100%, $E$13) + CHOOSE(CONTROL!$C$28, 0.0003, 0)</f>
        <v>21.4801</v>
      </c>
      <c r="C256" s="4">
        <f>21.1673 * CHOOSE(CONTROL!$C$9, $C$13, 100%, $E$13) + CHOOSE(CONTROL!$C$28, 0.0003, 0)</f>
        <v>21.1676</v>
      </c>
      <c r="D256" s="4">
        <f>27.6478 * CHOOSE(CONTROL!$C$9, $C$13, 100%, $E$13) + CHOOSE(CONTROL!$C$28, 0, 0)</f>
        <v>27.6478</v>
      </c>
      <c r="E256" s="4">
        <f>125.860372496987 * CHOOSE(CONTROL!$C$9, $C$13, 100%, $E$13) + CHOOSE(CONTROL!$C$28, 0, 0)</f>
        <v>125.860372496987</v>
      </c>
    </row>
    <row r="257" spans="1:5" ht="15">
      <c r="A257" s="13">
        <v>49310</v>
      </c>
      <c r="B257" s="4">
        <f>20.7054 * CHOOSE(CONTROL!$C$9, $C$13, 100%, $E$13) + CHOOSE(CONTROL!$C$28, 0.0003, 0)</f>
        <v>20.7057</v>
      </c>
      <c r="C257" s="4">
        <f>20.3929 * CHOOSE(CONTROL!$C$9, $C$13, 100%, $E$13) + CHOOSE(CONTROL!$C$28, 0.0003, 0)</f>
        <v>20.3932</v>
      </c>
      <c r="D257" s="4">
        <f>26.5286 * CHOOSE(CONTROL!$C$9, $C$13, 100%, $E$13) + CHOOSE(CONTROL!$C$28, 0, 0)</f>
        <v>26.528600000000001</v>
      </c>
      <c r="E257" s="4">
        <f>120.861853600467 * CHOOSE(CONTROL!$C$9, $C$13, 100%, $E$13) + CHOOSE(CONTROL!$C$28, 0, 0)</f>
        <v>120.861853600467</v>
      </c>
    </row>
    <row r="258" spans="1:5" ht="15">
      <c r="A258" s="13">
        <v>49341</v>
      </c>
      <c r="B258" s="4">
        <f>21.1525 * CHOOSE(CONTROL!$C$9, $C$13, 100%, $E$13) + CHOOSE(CONTROL!$C$28, 0.0003, 0)</f>
        <v>21.152799999999999</v>
      </c>
      <c r="C258" s="4">
        <f>20.84 * CHOOSE(CONTROL!$C$9, $C$13, 100%, $E$13) + CHOOSE(CONTROL!$C$28, 0.0003, 0)</f>
        <v>20.840299999999999</v>
      </c>
      <c r="D258" s="4">
        <f>27.4377 * CHOOSE(CONTROL!$C$9, $C$13, 100%, $E$13) + CHOOSE(CONTROL!$C$28, 0, 0)</f>
        <v>27.4377</v>
      </c>
      <c r="E258" s="4">
        <f>123.731590310562 * CHOOSE(CONTROL!$C$9, $C$13, 100%, $E$13) + CHOOSE(CONTROL!$C$28, 0, 0)</f>
        <v>123.731590310562</v>
      </c>
    </row>
    <row r="259" spans="1:5" ht="15">
      <c r="A259" s="13">
        <v>49369</v>
      </c>
      <c r="B259" s="4">
        <f>22.3266 * CHOOSE(CONTROL!$C$9, $C$13, 100%, $E$13) + CHOOSE(CONTROL!$C$28, 0.0003, 0)</f>
        <v>22.326899999999998</v>
      </c>
      <c r="C259" s="4">
        <f>22.0141 * CHOOSE(CONTROL!$C$9, $C$13, 100%, $E$13) + CHOOSE(CONTROL!$C$28, 0.0003, 0)</f>
        <v>22.014399999999998</v>
      </c>
      <c r="D259" s="4">
        <f>28.8609 * CHOOSE(CONTROL!$C$9, $C$13, 100%, $E$13) + CHOOSE(CONTROL!$C$28, 0, 0)</f>
        <v>28.860900000000001</v>
      </c>
      <c r="E259" s="4">
        <f>131.267671418342 * CHOOSE(CONTROL!$C$9, $C$13, 100%, $E$13) + CHOOSE(CONTROL!$C$28, 0, 0)</f>
        <v>131.26767141834199</v>
      </c>
    </row>
    <row r="260" spans="1:5" ht="15">
      <c r="A260" s="13">
        <v>49400</v>
      </c>
      <c r="B260" s="4">
        <f>23.1609 * CHOOSE(CONTROL!$C$9, $C$13, 100%, $E$13) + CHOOSE(CONTROL!$C$28, 0.0003, 0)</f>
        <v>23.161200000000001</v>
      </c>
      <c r="C260" s="4">
        <f>22.8484 * CHOOSE(CONTROL!$C$9, $C$13, 100%, $E$13) + CHOOSE(CONTROL!$C$28, 0.0003, 0)</f>
        <v>22.848700000000001</v>
      </c>
      <c r="D260" s="4">
        <f>29.6807 * CHOOSE(CONTROL!$C$9, $C$13, 100%, $E$13) + CHOOSE(CONTROL!$C$28, 0, 0)</f>
        <v>29.680700000000002</v>
      </c>
      <c r="E260" s="4">
        <f>136.622157476905 * CHOOSE(CONTROL!$C$9, $C$13, 100%, $E$13) + CHOOSE(CONTROL!$C$28, 0, 0)</f>
        <v>136.62215747690499</v>
      </c>
    </row>
    <row r="261" spans="1:5" ht="15">
      <c r="A261" s="13">
        <v>49430</v>
      </c>
      <c r="B261" s="4">
        <f>23.6706 * CHOOSE(CONTROL!$C$9, $C$13, 100%, $E$13) + CHOOSE(CONTROL!$C$28, 0.0276, 0)</f>
        <v>23.6982</v>
      </c>
      <c r="C261" s="4">
        <f>23.3581 * CHOOSE(CONTROL!$C$9, $C$13, 100%, $E$13) + CHOOSE(CONTROL!$C$28, 0.0276, 0)</f>
        <v>23.3857</v>
      </c>
      <c r="D261" s="4">
        <f>29.3568 * CHOOSE(CONTROL!$C$9, $C$13, 100%, $E$13) + CHOOSE(CONTROL!$C$28, 0, 0)</f>
        <v>29.3568</v>
      </c>
      <c r="E261" s="4">
        <f>139.893620129567 * CHOOSE(CONTROL!$C$9, $C$13, 100%, $E$13) + CHOOSE(CONTROL!$C$28, 0, 0)</f>
        <v>139.89362012956701</v>
      </c>
    </row>
    <row r="262" spans="1:5" ht="15">
      <c r="A262" s="14">
        <v>49461</v>
      </c>
      <c r="B262" s="4">
        <f>23.7395 * CHOOSE(CONTROL!$C$9, $C$13, 100%, $E$13) + CHOOSE(CONTROL!$C$28, 0.0276, 0)</f>
        <v>23.767099999999999</v>
      </c>
      <c r="C262" s="4">
        <f>23.427 * CHOOSE(CONTROL!$C$9, $C$13, 100%, $E$13) + CHOOSE(CONTROL!$C$28, 0.0276, 0)</f>
        <v>23.454599999999999</v>
      </c>
      <c r="D262" s="4">
        <f>29.6206 * CHOOSE(CONTROL!$C$9, $C$13, 100%, $E$13) + CHOOSE(CONTROL!$C$28, 0, 0)</f>
        <v>29.6206</v>
      </c>
      <c r="E262" s="4">
        <f>140.336262603321 * CHOOSE(CONTROL!$C$9, $C$13, 100%, $E$13) + CHOOSE(CONTROL!$C$28, 0, 0)</f>
        <v>140.33626260332099</v>
      </c>
    </row>
    <row r="263" spans="1:5" ht="15">
      <c r="A263" s="14">
        <v>49491</v>
      </c>
      <c r="B263" s="4">
        <f>23.7326 * CHOOSE(CONTROL!$C$9, $C$13, 100%, $E$13) + CHOOSE(CONTROL!$C$28, 0.0276, 0)</f>
        <v>23.760200000000001</v>
      </c>
      <c r="C263" s="4">
        <f>23.4201 * CHOOSE(CONTROL!$C$9, $C$13, 100%, $E$13) + CHOOSE(CONTROL!$C$28, 0.0276, 0)</f>
        <v>23.447700000000001</v>
      </c>
      <c r="D263" s="4">
        <f>30.0966 * CHOOSE(CONTROL!$C$9, $C$13, 100%, $E$13) + CHOOSE(CONTROL!$C$28, 0, 0)</f>
        <v>30.096599999999999</v>
      </c>
      <c r="E263" s="4">
        <f>140.29162638748 * CHOOSE(CONTROL!$C$9, $C$13, 100%, $E$13) + CHOOSE(CONTROL!$C$28, 0, 0)</f>
        <v>140.29162638747999</v>
      </c>
    </row>
    <row r="264" spans="1:5" ht="15">
      <c r="A264" s="14">
        <v>49522</v>
      </c>
      <c r="B264" s="4">
        <f>24.2559 * CHOOSE(CONTROL!$C$9, $C$13, 100%, $E$13) + CHOOSE(CONTROL!$C$28, 0.0276, 0)</f>
        <v>24.2835</v>
      </c>
      <c r="C264" s="4">
        <f>23.9434 * CHOOSE(CONTROL!$C$9, $C$13, 100%, $E$13) + CHOOSE(CONTROL!$C$28, 0.0276, 0)</f>
        <v>23.971</v>
      </c>
      <c r="D264" s="4">
        <f>29.7822 * CHOOSE(CONTROL!$C$9, $C$13, 100%, $E$13) + CHOOSE(CONTROL!$C$28, 0, 0)</f>
        <v>29.7822</v>
      </c>
      <c r="E264" s="4">
        <f>143.650501629497 * CHOOSE(CONTROL!$C$9, $C$13, 100%, $E$13) + CHOOSE(CONTROL!$C$28, 0, 0)</f>
        <v>143.650501629497</v>
      </c>
    </row>
    <row r="265" spans="1:5" ht="15">
      <c r="A265" s="14">
        <v>49553</v>
      </c>
      <c r="B265" s="4">
        <f>23.364 * CHOOSE(CONTROL!$C$9, $C$13, 100%, $E$13) + CHOOSE(CONTROL!$C$28, 0.0276, 0)</f>
        <v>23.3916</v>
      </c>
      <c r="C265" s="4">
        <f>23.0515 * CHOOSE(CONTROL!$C$9, $C$13, 100%, $E$13) + CHOOSE(CONTROL!$C$28, 0.0276, 0)</f>
        <v>23.0791</v>
      </c>
      <c r="D265" s="4">
        <f>29.6337 * CHOOSE(CONTROL!$C$9, $C$13, 100%, $E$13) + CHOOSE(CONTROL!$C$28, 0, 0)</f>
        <v>29.633700000000001</v>
      </c>
      <c r="E265" s="4">
        <f>137.925906947921 * CHOOSE(CONTROL!$C$9, $C$13, 100%, $E$13) + CHOOSE(CONTROL!$C$28, 0, 0)</f>
        <v>137.92590694792099</v>
      </c>
    </row>
    <row r="266" spans="1:5" ht="15">
      <c r="A266" s="14">
        <v>49583</v>
      </c>
      <c r="B266" s="4">
        <f>22.65 * CHOOSE(CONTROL!$C$9, $C$13, 100%, $E$13) + CHOOSE(CONTROL!$C$28, 0.0003, 0)</f>
        <v>22.650299999999998</v>
      </c>
      <c r="C266" s="4">
        <f>22.3375 * CHOOSE(CONTROL!$C$9, $C$13, 100%, $E$13) + CHOOSE(CONTROL!$C$28, 0.0003, 0)</f>
        <v>22.337799999999998</v>
      </c>
      <c r="D266" s="4">
        <f>29.236 * CHOOSE(CONTROL!$C$9, $C$13, 100%, $E$13) + CHOOSE(CONTROL!$C$28, 0, 0)</f>
        <v>29.236000000000001</v>
      </c>
      <c r="E266" s="4">
        <f>133.343255454937 * CHOOSE(CONTROL!$C$9, $C$13, 100%, $E$13) + CHOOSE(CONTROL!$C$28, 0, 0)</f>
        <v>133.34325545493701</v>
      </c>
    </row>
    <row r="267" spans="1:5" ht="15">
      <c r="A267" s="14">
        <v>49614</v>
      </c>
      <c r="B267" s="4">
        <f>22.1901 * CHOOSE(CONTROL!$C$9, $C$13, 100%, $E$13) + CHOOSE(CONTROL!$C$28, 0.0003, 0)</f>
        <v>22.1904</v>
      </c>
      <c r="C267" s="4">
        <f>21.8776 * CHOOSE(CONTROL!$C$9, $C$13, 100%, $E$13) + CHOOSE(CONTROL!$C$28, 0.0003, 0)</f>
        <v>21.8779</v>
      </c>
      <c r="D267" s="4">
        <f>29.0993 * CHOOSE(CONTROL!$C$9, $C$13, 100%, $E$13) + CHOOSE(CONTROL!$C$28, 0, 0)</f>
        <v>29.099299999999999</v>
      </c>
      <c r="E267" s="4">
        <f>130.391685682467 * CHOOSE(CONTROL!$C$9, $C$13, 100%, $E$13) + CHOOSE(CONTROL!$C$28, 0, 0)</f>
        <v>130.391685682467</v>
      </c>
    </row>
    <row r="268" spans="1:5" ht="15">
      <c r="A268" s="14">
        <v>49644</v>
      </c>
      <c r="B268" s="4">
        <f>21.872 * CHOOSE(CONTROL!$C$9, $C$13, 100%, $E$13) + CHOOSE(CONTROL!$C$28, 0.0003, 0)</f>
        <v>21.872299999999999</v>
      </c>
      <c r="C268" s="4">
        <f>21.5595 * CHOOSE(CONTROL!$C$9, $C$13, 100%, $E$13) + CHOOSE(CONTROL!$C$28, 0.0003, 0)</f>
        <v>21.559799999999999</v>
      </c>
      <c r="D268" s="4">
        <f>28.0926 * CHOOSE(CONTROL!$C$9, $C$13, 100%, $E$13) + CHOOSE(CONTROL!$C$28, 0, 0)</f>
        <v>28.092600000000001</v>
      </c>
      <c r="E268" s="4">
        <f>128.349578807753 * CHOOSE(CONTROL!$C$9, $C$13, 100%, $E$13) + CHOOSE(CONTROL!$C$28, 0, 0)</f>
        <v>128.34957880775301</v>
      </c>
    </row>
    <row r="269" spans="1:5" ht="15">
      <c r="A269" s="14">
        <v>49675</v>
      </c>
      <c r="B269" s="4">
        <f>21.355 * CHOOSE(CONTROL!$C$9, $C$13, 100%, $E$13) + CHOOSE(CONTROL!$C$28, 0.0003, 0)</f>
        <v>21.3553</v>
      </c>
      <c r="C269" s="4">
        <f>21.0425 * CHOOSE(CONTROL!$C$9, $C$13, 100%, $E$13) + CHOOSE(CONTROL!$C$28, 0.0003, 0)</f>
        <v>21.0428</v>
      </c>
      <c r="D269" s="4">
        <f>27.1674 * CHOOSE(CONTROL!$C$9, $C$13, 100%, $E$13) + CHOOSE(CONTROL!$C$28, 0, 0)</f>
        <v>27.167400000000001</v>
      </c>
      <c r="E269" s="4">
        <f>124.669001988882 * CHOOSE(CONTROL!$C$9, $C$13, 100%, $E$13) + CHOOSE(CONTROL!$C$28, 0, 0)</f>
        <v>124.669001988882</v>
      </c>
    </row>
    <row r="270" spans="1:5" ht="15">
      <c r="A270" s="14">
        <v>49706</v>
      </c>
      <c r="B270" s="4">
        <f>21.8176 * CHOOSE(CONTROL!$C$9, $C$13, 100%, $E$13) + CHOOSE(CONTROL!$C$28, 0.0003, 0)</f>
        <v>21.817899999999998</v>
      </c>
      <c r="C270" s="4">
        <f>21.5051 * CHOOSE(CONTROL!$C$9, $C$13, 100%, $E$13) + CHOOSE(CONTROL!$C$28, 0.0003, 0)</f>
        <v>21.505399999999998</v>
      </c>
      <c r="D270" s="4">
        <f>28.0991 * CHOOSE(CONTROL!$C$9, $C$13, 100%, $E$13) + CHOOSE(CONTROL!$C$28, 0, 0)</f>
        <v>28.0991</v>
      </c>
      <c r="E270" s="4">
        <f>127.629135405344 * CHOOSE(CONTROL!$C$9, $C$13, 100%, $E$13) + CHOOSE(CONTROL!$C$28, 0, 0)</f>
        <v>127.629135405344</v>
      </c>
    </row>
    <row r="271" spans="1:5" ht="15">
      <c r="A271" s="14">
        <v>49735</v>
      </c>
      <c r="B271" s="4">
        <f>23.0322 * CHOOSE(CONTROL!$C$9, $C$13, 100%, $E$13) + CHOOSE(CONTROL!$C$28, 0.0003, 0)</f>
        <v>23.032499999999999</v>
      </c>
      <c r="C271" s="4">
        <f>22.7197 * CHOOSE(CONTROL!$C$9, $C$13, 100%, $E$13) + CHOOSE(CONTROL!$C$28, 0.0003, 0)</f>
        <v>22.72</v>
      </c>
      <c r="D271" s="4">
        <f>29.5576 * CHOOSE(CONTROL!$C$9, $C$13, 100%, $E$13) + CHOOSE(CONTROL!$C$28, 0, 0)</f>
        <v>29.557600000000001</v>
      </c>
      <c r="E271" s="4">
        <f>135.40260306802 * CHOOSE(CONTROL!$C$9, $C$13, 100%, $E$13) + CHOOSE(CONTROL!$C$28, 0, 0)</f>
        <v>135.40260306802</v>
      </c>
    </row>
    <row r="272" spans="1:5" ht="15">
      <c r="A272" s="14">
        <v>49766</v>
      </c>
      <c r="B272" s="4">
        <f>23.8952 * CHOOSE(CONTROL!$C$9, $C$13, 100%, $E$13) + CHOOSE(CONTROL!$C$28, 0.0003, 0)</f>
        <v>23.895499999999998</v>
      </c>
      <c r="C272" s="4">
        <f>23.5827 * CHOOSE(CONTROL!$C$9, $C$13, 100%, $E$13) + CHOOSE(CONTROL!$C$28, 0.0003, 0)</f>
        <v>23.582999999999998</v>
      </c>
      <c r="D272" s="4">
        <f>30.3977 * CHOOSE(CONTROL!$C$9, $C$13, 100%, $E$13) + CHOOSE(CONTROL!$C$28, 0, 0)</f>
        <v>30.3977</v>
      </c>
      <c r="E272" s="4">
        <f>140.925755437428 * CHOOSE(CONTROL!$C$9, $C$13, 100%, $E$13) + CHOOSE(CONTROL!$C$28, 0, 0)</f>
        <v>140.92575543742799</v>
      </c>
    </row>
    <row r="273" spans="1:5" ht="15">
      <c r="A273" s="14">
        <v>49796</v>
      </c>
      <c r="B273" s="4">
        <f>24.4225 * CHOOSE(CONTROL!$C$9, $C$13, 100%, $E$13) + CHOOSE(CONTROL!$C$28, 0.0276, 0)</f>
        <v>24.450099999999999</v>
      </c>
      <c r="C273" s="4">
        <f>24.11 * CHOOSE(CONTROL!$C$9, $C$13, 100%, $E$13) + CHOOSE(CONTROL!$C$28, 0.0276, 0)</f>
        <v>24.137599999999999</v>
      </c>
      <c r="D273" s="4">
        <f>30.0657 * CHOOSE(CONTROL!$C$9, $C$13, 100%, $E$13) + CHOOSE(CONTROL!$C$28, 0, 0)</f>
        <v>30.0657</v>
      </c>
      <c r="E273" s="4">
        <f>144.300269163648 * CHOOSE(CONTROL!$C$9, $C$13, 100%, $E$13) + CHOOSE(CONTROL!$C$28, 0, 0)</f>
        <v>144.30026916364801</v>
      </c>
    </row>
    <row r="274" spans="1:5" ht="15">
      <c r="A274" s="14">
        <v>49827</v>
      </c>
      <c r="B274" s="4">
        <f>24.4938 * CHOOSE(CONTROL!$C$9, $C$13, 100%, $E$13) + CHOOSE(CONTROL!$C$28, 0.0276, 0)</f>
        <v>24.5214</v>
      </c>
      <c r="C274" s="4">
        <f>24.1813 * CHOOSE(CONTROL!$C$9, $C$13, 100%, $E$13) + CHOOSE(CONTROL!$C$28, 0.0276, 0)</f>
        <v>24.2089</v>
      </c>
      <c r="D274" s="4">
        <f>30.3361 * CHOOSE(CONTROL!$C$9, $C$13, 100%, $E$13) + CHOOSE(CONTROL!$C$28, 0, 0)</f>
        <v>30.336099999999998</v>
      </c>
      <c r="E274" s="4">
        <f>144.756854875326 * CHOOSE(CONTROL!$C$9, $C$13, 100%, $E$13) + CHOOSE(CONTROL!$C$28, 0, 0)</f>
        <v>144.75685487532601</v>
      </c>
    </row>
    <row r="275" spans="1:5" ht="15">
      <c r="A275" s="14">
        <v>49857</v>
      </c>
      <c r="B275" s="4">
        <f>24.4867 * CHOOSE(CONTROL!$C$9, $C$13, 100%, $E$13) + CHOOSE(CONTROL!$C$28, 0.0276, 0)</f>
        <v>24.514299999999999</v>
      </c>
      <c r="C275" s="4">
        <f>24.1742 * CHOOSE(CONTROL!$C$9, $C$13, 100%, $E$13) + CHOOSE(CONTROL!$C$28, 0.0276, 0)</f>
        <v>24.201799999999999</v>
      </c>
      <c r="D275" s="4">
        <f>30.8239 * CHOOSE(CONTROL!$C$9, $C$13, 100%, $E$13) + CHOOSE(CONTROL!$C$28, 0, 0)</f>
        <v>30.823899999999998</v>
      </c>
      <c r="E275" s="4">
        <f>144.710812618686 * CHOOSE(CONTROL!$C$9, $C$13, 100%, $E$13) + CHOOSE(CONTROL!$C$28, 0, 0)</f>
        <v>144.71081261868599</v>
      </c>
    </row>
    <row r="276" spans="1:5" ht="15">
      <c r="A276" s="14">
        <v>49888</v>
      </c>
      <c r="B276" s="4">
        <f>25.028 * CHOOSE(CONTROL!$C$9, $C$13, 100%, $E$13) + CHOOSE(CONTROL!$C$28, 0.0276, 0)</f>
        <v>25.055599999999998</v>
      </c>
      <c r="C276" s="4">
        <f>24.7155 * CHOOSE(CONTROL!$C$9, $C$13, 100%, $E$13) + CHOOSE(CONTROL!$C$28, 0.0276, 0)</f>
        <v>24.743099999999998</v>
      </c>
      <c r="D276" s="4">
        <f>30.5018 * CHOOSE(CONTROL!$C$9, $C$13, 100%, $E$13) + CHOOSE(CONTROL!$C$28, 0, 0)</f>
        <v>30.501799999999999</v>
      </c>
      <c r="E276" s="4">
        <f>148.175492430826 * CHOOSE(CONTROL!$C$9, $C$13, 100%, $E$13) + CHOOSE(CONTROL!$C$28, 0, 0)</f>
        <v>148.17549243082601</v>
      </c>
    </row>
    <row r="277" spans="1:5" ht="15">
      <c r="A277" s="14">
        <v>49919</v>
      </c>
      <c r="B277" s="4">
        <f>24.1054 * CHOOSE(CONTROL!$C$9, $C$13, 100%, $E$13) + CHOOSE(CONTROL!$C$28, 0.0276, 0)</f>
        <v>24.132999999999999</v>
      </c>
      <c r="C277" s="4">
        <f>23.7929 * CHOOSE(CONTROL!$C$9, $C$13, 100%, $E$13) + CHOOSE(CONTROL!$C$28, 0.0276, 0)</f>
        <v>23.820499999999999</v>
      </c>
      <c r="D277" s="4">
        <f>30.3495 * CHOOSE(CONTROL!$C$9, $C$13, 100%, $E$13) + CHOOSE(CONTROL!$C$28, 0, 0)</f>
        <v>30.349499999999999</v>
      </c>
      <c r="E277" s="4">
        <f>142.27057301678 * CHOOSE(CONTROL!$C$9, $C$13, 100%, $E$13) + CHOOSE(CONTROL!$C$28, 0, 0)</f>
        <v>142.27057301677999</v>
      </c>
    </row>
    <row r="278" spans="1:5" ht="15">
      <c r="A278" s="14">
        <v>49949</v>
      </c>
      <c r="B278" s="4">
        <f>23.3667 * CHOOSE(CONTROL!$C$9, $C$13, 100%, $E$13) + CHOOSE(CONTROL!$C$28, 0.0003, 0)</f>
        <v>23.367000000000001</v>
      </c>
      <c r="C278" s="4">
        <f>23.0542 * CHOOSE(CONTROL!$C$9, $C$13, 100%, $E$13) + CHOOSE(CONTROL!$C$28, 0.0003, 0)</f>
        <v>23.054500000000001</v>
      </c>
      <c r="D278" s="4">
        <f>29.942 * CHOOSE(CONTROL!$C$9, $C$13, 100%, $E$13) + CHOOSE(CONTROL!$C$28, 0, 0)</f>
        <v>29.942</v>
      </c>
      <c r="E278" s="4">
        <f>137.543568001767 * CHOOSE(CONTROL!$C$9, $C$13, 100%, $E$13) + CHOOSE(CONTROL!$C$28, 0, 0)</f>
        <v>137.543568001767</v>
      </c>
    </row>
    <row r="279" spans="1:5" ht="15">
      <c r="A279" s="14">
        <v>49980</v>
      </c>
      <c r="B279" s="4">
        <f>22.891 * CHOOSE(CONTROL!$C$9, $C$13, 100%, $E$13) + CHOOSE(CONTROL!$C$28, 0.0003, 0)</f>
        <v>22.891299999999998</v>
      </c>
      <c r="C279" s="4">
        <f>22.5785 * CHOOSE(CONTROL!$C$9, $C$13, 100%, $E$13) + CHOOSE(CONTROL!$C$28, 0.0003, 0)</f>
        <v>22.578799999999998</v>
      </c>
      <c r="D279" s="4">
        <f>29.8018 * CHOOSE(CONTROL!$C$9, $C$13, 100%, $E$13) + CHOOSE(CONTROL!$C$28, 0, 0)</f>
        <v>29.8018</v>
      </c>
      <c r="E279" s="4">
        <f>134.499023781465 * CHOOSE(CONTROL!$C$9, $C$13, 100%, $E$13) + CHOOSE(CONTROL!$C$28, 0, 0)</f>
        <v>134.49902378146501</v>
      </c>
    </row>
    <row r="280" spans="1:5" ht="15">
      <c r="A280" s="14">
        <v>50010</v>
      </c>
      <c r="B280" s="4">
        <f>22.5619 * CHOOSE(CONTROL!$C$9, $C$13, 100%, $E$13) + CHOOSE(CONTROL!$C$28, 0.0003, 0)</f>
        <v>22.562200000000001</v>
      </c>
      <c r="C280" s="4">
        <f>22.2494 * CHOOSE(CONTROL!$C$9, $C$13, 100%, $E$13) + CHOOSE(CONTROL!$C$28, 0.0003, 0)</f>
        <v>22.249700000000001</v>
      </c>
      <c r="D280" s="4">
        <f>28.7702 * CHOOSE(CONTROL!$C$9, $C$13, 100%, $E$13) + CHOOSE(CONTROL!$C$28, 0, 0)</f>
        <v>28.770199999999999</v>
      </c>
      <c r="E280" s="4">
        <f>132.392590540197 * CHOOSE(CONTROL!$C$9, $C$13, 100%, $E$13) + CHOOSE(CONTROL!$C$28, 0, 0)</f>
        <v>132.39259054019701</v>
      </c>
    </row>
    <row r="281" spans="1:5" ht="15">
      <c r="A281" s="14">
        <v>50041</v>
      </c>
      <c r="B281" s="4">
        <f>22.0271 * CHOOSE(CONTROL!$C$9, $C$13, 100%, $E$13) + CHOOSE(CONTROL!$C$28, 0.0003, 0)</f>
        <v>22.0274</v>
      </c>
      <c r="C281" s="4">
        <f>21.7146 * CHOOSE(CONTROL!$C$9, $C$13, 100%, $E$13) + CHOOSE(CONTROL!$C$28, 0.0003, 0)</f>
        <v>21.7149</v>
      </c>
      <c r="D281" s="4">
        <f>27.8221 * CHOOSE(CONTROL!$C$9, $C$13, 100%, $E$13) + CHOOSE(CONTROL!$C$28, 0, 0)</f>
        <v>27.822099999999999</v>
      </c>
      <c r="E281" s="4">
        <f>128.596075551531 * CHOOSE(CONTROL!$C$9, $C$13, 100%, $E$13) + CHOOSE(CONTROL!$C$28, 0, 0)</f>
        <v>128.59607555153099</v>
      </c>
    </row>
    <row r="282" spans="1:5" ht="15">
      <c r="A282" s="14">
        <v>50072</v>
      </c>
      <c r="B282" s="4">
        <f>22.5056 * CHOOSE(CONTROL!$C$9, $C$13, 100%, $E$13) + CHOOSE(CONTROL!$C$28, 0.0003, 0)</f>
        <v>22.5059</v>
      </c>
      <c r="C282" s="4">
        <f>22.1931 * CHOOSE(CONTROL!$C$9, $C$13, 100%, $E$13) + CHOOSE(CONTROL!$C$28, 0.0003, 0)</f>
        <v>22.1934</v>
      </c>
      <c r="D282" s="4">
        <f>28.7769 * CHOOSE(CONTROL!$C$9, $C$13, 100%, $E$13) + CHOOSE(CONTROL!$C$28, 0, 0)</f>
        <v>28.776900000000001</v>
      </c>
      <c r="E282" s="4">
        <f>131.649453170613 * CHOOSE(CONTROL!$C$9, $C$13, 100%, $E$13) + CHOOSE(CONTROL!$C$28, 0, 0)</f>
        <v>131.64945317061299</v>
      </c>
    </row>
    <row r="283" spans="1:5" ht="15">
      <c r="A283" s="14">
        <v>50100</v>
      </c>
      <c r="B283" s="4">
        <f>23.7621 * CHOOSE(CONTROL!$C$9, $C$13, 100%, $E$13) + CHOOSE(CONTROL!$C$28, 0.0003, 0)</f>
        <v>23.7624</v>
      </c>
      <c r="C283" s="4">
        <f>23.4496 * CHOOSE(CONTROL!$C$9, $C$13, 100%, $E$13) + CHOOSE(CONTROL!$C$28, 0.0003, 0)</f>
        <v>23.4499</v>
      </c>
      <c r="D283" s="4">
        <f>30.2715 * CHOOSE(CONTROL!$C$9, $C$13, 100%, $E$13) + CHOOSE(CONTROL!$C$28, 0, 0)</f>
        <v>30.2715</v>
      </c>
      <c r="E283" s="4">
        <f>139.667785064662 * CHOOSE(CONTROL!$C$9, $C$13, 100%, $E$13) + CHOOSE(CONTROL!$C$28, 0, 0)</f>
        <v>139.66778506466201</v>
      </c>
    </row>
    <row r="284" spans="1:5" ht="15">
      <c r="A284" s="14">
        <v>50131</v>
      </c>
      <c r="B284" s="4">
        <f>24.6549 * CHOOSE(CONTROL!$C$9, $C$13, 100%, $E$13) + CHOOSE(CONTROL!$C$28, 0.0003, 0)</f>
        <v>24.655200000000001</v>
      </c>
      <c r="C284" s="4">
        <f>24.3424 * CHOOSE(CONTROL!$C$9, $C$13, 100%, $E$13) + CHOOSE(CONTROL!$C$28, 0.0003, 0)</f>
        <v>24.342700000000001</v>
      </c>
      <c r="D284" s="4">
        <f>31.1325 * CHOOSE(CONTROL!$C$9, $C$13, 100%, $E$13) + CHOOSE(CONTROL!$C$28, 0, 0)</f>
        <v>31.1325</v>
      </c>
      <c r="E284" s="4">
        <f>145.364916733707 * CHOOSE(CONTROL!$C$9, $C$13, 100%, $E$13) + CHOOSE(CONTROL!$C$28, 0, 0)</f>
        <v>145.36491673370699</v>
      </c>
    </row>
    <row r="285" spans="1:5" ht="15">
      <c r="A285" s="14">
        <v>50161</v>
      </c>
      <c r="B285" s="4">
        <f>25.2004 * CHOOSE(CONTROL!$C$9, $C$13, 100%, $E$13) + CHOOSE(CONTROL!$C$28, 0.0276, 0)</f>
        <v>25.227999999999998</v>
      </c>
      <c r="C285" s="4">
        <f>24.8879 * CHOOSE(CONTROL!$C$9, $C$13, 100%, $E$13) + CHOOSE(CONTROL!$C$28, 0.0276, 0)</f>
        <v>24.915499999999998</v>
      </c>
      <c r="D285" s="4">
        <f>30.7923 * CHOOSE(CONTROL!$C$9, $C$13, 100%, $E$13) + CHOOSE(CONTROL!$C$28, 0, 0)</f>
        <v>30.792300000000001</v>
      </c>
      <c r="E285" s="4">
        <f>148.845727642303 * CHOOSE(CONTROL!$C$9, $C$13, 100%, $E$13) + CHOOSE(CONTROL!$C$28, 0, 0)</f>
        <v>148.84572764230299</v>
      </c>
    </row>
    <row r="286" spans="1:5" ht="15">
      <c r="A286" s="14">
        <v>50192</v>
      </c>
      <c r="B286" s="4">
        <f>25.2742 * CHOOSE(CONTROL!$C$9, $C$13, 100%, $E$13) + CHOOSE(CONTROL!$C$28, 0.0276, 0)</f>
        <v>25.3018</v>
      </c>
      <c r="C286" s="4">
        <f>24.9617 * CHOOSE(CONTROL!$C$9, $C$13, 100%, $E$13) + CHOOSE(CONTROL!$C$28, 0.0276, 0)</f>
        <v>24.9893</v>
      </c>
      <c r="D286" s="4">
        <f>31.0693 * CHOOSE(CONTROL!$C$9, $C$13, 100%, $E$13) + CHOOSE(CONTROL!$C$28, 0, 0)</f>
        <v>31.069299999999998</v>
      </c>
      <c r="E286" s="4">
        <f>149.316695803899 * CHOOSE(CONTROL!$C$9, $C$13, 100%, $E$13) + CHOOSE(CONTROL!$C$28, 0, 0)</f>
        <v>149.31669580389899</v>
      </c>
    </row>
    <row r="287" spans="1:5" ht="15">
      <c r="A287" s="14">
        <v>50222</v>
      </c>
      <c r="B287" s="4">
        <f>25.2668 * CHOOSE(CONTROL!$C$9, $C$13, 100%, $E$13) + CHOOSE(CONTROL!$C$28, 0.0276, 0)</f>
        <v>25.2944</v>
      </c>
      <c r="C287" s="4">
        <f>24.9543 * CHOOSE(CONTROL!$C$9, $C$13, 100%, $E$13) + CHOOSE(CONTROL!$C$28, 0.0276, 0)</f>
        <v>24.9819</v>
      </c>
      <c r="D287" s="4">
        <f>31.5693 * CHOOSE(CONTROL!$C$9, $C$13, 100%, $E$13) + CHOOSE(CONTROL!$C$28, 0, 0)</f>
        <v>31.569299999999998</v>
      </c>
      <c r="E287" s="4">
        <f>149.269203216175 * CHOOSE(CONTROL!$C$9, $C$13, 100%, $E$13) + CHOOSE(CONTROL!$C$28, 0, 0)</f>
        <v>149.26920321617499</v>
      </c>
    </row>
    <row r="288" spans="1:5" ht="15">
      <c r="A288" s="14">
        <v>50253</v>
      </c>
      <c r="B288" s="4">
        <f>25.8268 * CHOOSE(CONTROL!$C$9, $C$13, 100%, $E$13) + CHOOSE(CONTROL!$C$28, 0.0276, 0)</f>
        <v>25.854399999999998</v>
      </c>
      <c r="C288" s="4">
        <f>25.5143 * CHOOSE(CONTROL!$C$9, $C$13, 100%, $E$13) + CHOOSE(CONTROL!$C$28, 0.0276, 0)</f>
        <v>25.541899999999998</v>
      </c>
      <c r="D288" s="4">
        <f>31.2391 * CHOOSE(CONTROL!$C$9, $C$13, 100%, $E$13) + CHOOSE(CONTROL!$C$28, 0, 0)</f>
        <v>31.239100000000001</v>
      </c>
      <c r="E288" s="4">
        <f>152.843020442397 * CHOOSE(CONTROL!$C$9, $C$13, 100%, $E$13) + CHOOSE(CONTROL!$C$28, 0, 0)</f>
        <v>152.84302044239701</v>
      </c>
    </row>
    <row r="289" spans="1:5" ht="15">
      <c r="A289" s="14">
        <v>50284</v>
      </c>
      <c r="B289" s="4">
        <f>24.8723 * CHOOSE(CONTROL!$C$9, $C$13, 100%, $E$13) + CHOOSE(CONTROL!$C$28, 0.0276, 0)</f>
        <v>24.899899999999999</v>
      </c>
      <c r="C289" s="4">
        <f>24.5598 * CHOOSE(CONTROL!$C$9, $C$13, 100%, $E$13) + CHOOSE(CONTROL!$C$28, 0.0276, 0)</f>
        <v>24.587399999999999</v>
      </c>
      <c r="D289" s="4">
        <f>31.0831 * CHOOSE(CONTROL!$C$9, $C$13, 100%, $E$13) + CHOOSE(CONTROL!$C$28, 0, 0)</f>
        <v>31.083100000000002</v>
      </c>
      <c r="E289" s="4">
        <f>146.752096066809 * CHOOSE(CONTROL!$C$9, $C$13, 100%, $E$13) + CHOOSE(CONTROL!$C$28, 0, 0)</f>
        <v>146.752096066809</v>
      </c>
    </row>
    <row r="290" spans="1:5" ht="15">
      <c r="A290" s="14">
        <v>50314</v>
      </c>
      <c r="B290" s="4">
        <f>24.1082 * CHOOSE(CONTROL!$C$9, $C$13, 100%, $E$13) + CHOOSE(CONTROL!$C$28, 0.0003, 0)</f>
        <v>24.108499999999999</v>
      </c>
      <c r="C290" s="4">
        <f>23.7957 * CHOOSE(CONTROL!$C$9, $C$13, 100%, $E$13) + CHOOSE(CONTROL!$C$28, 0.0003, 0)</f>
        <v>23.795999999999999</v>
      </c>
      <c r="D290" s="4">
        <f>30.6654 * CHOOSE(CONTROL!$C$9, $C$13, 100%, $E$13) + CHOOSE(CONTROL!$C$28, 0, 0)</f>
        <v>30.665400000000002</v>
      </c>
      <c r="E290" s="4">
        <f>141.876190393823 * CHOOSE(CONTROL!$C$9, $C$13, 100%, $E$13) + CHOOSE(CONTROL!$C$28, 0, 0)</f>
        <v>141.87619039382301</v>
      </c>
    </row>
    <row r="291" spans="1:5" ht="15">
      <c r="A291" s="14">
        <v>50345</v>
      </c>
      <c r="B291" s="4">
        <f>23.6161 * CHOOSE(CONTROL!$C$9, $C$13, 100%, $E$13) + CHOOSE(CONTROL!$C$28, 0.0003, 0)</f>
        <v>23.616399999999999</v>
      </c>
      <c r="C291" s="4">
        <f>23.3036 * CHOOSE(CONTROL!$C$9, $C$13, 100%, $E$13) + CHOOSE(CONTROL!$C$28, 0.0003, 0)</f>
        <v>23.303899999999999</v>
      </c>
      <c r="D291" s="4">
        <f>30.5218 * CHOOSE(CONTROL!$C$9, $C$13, 100%, $E$13) + CHOOSE(CONTROL!$C$28, 0, 0)</f>
        <v>30.521799999999999</v>
      </c>
      <c r="E291" s="4">
        <f>138.735743030581 * CHOOSE(CONTROL!$C$9, $C$13, 100%, $E$13) + CHOOSE(CONTROL!$C$28, 0, 0)</f>
        <v>138.73574303058101</v>
      </c>
    </row>
    <row r="292" spans="1:5" ht="15">
      <c r="A292" s="14">
        <v>50375</v>
      </c>
      <c r="B292" s="4">
        <f>23.2756 * CHOOSE(CONTROL!$C$9, $C$13, 100%, $E$13) + CHOOSE(CONTROL!$C$28, 0.0003, 0)</f>
        <v>23.2759</v>
      </c>
      <c r="C292" s="4">
        <f>22.9631 * CHOOSE(CONTROL!$C$9, $C$13, 100%, $E$13) + CHOOSE(CONTROL!$C$28, 0.0003, 0)</f>
        <v>22.9634</v>
      </c>
      <c r="D292" s="4">
        <f>29.4646 * CHOOSE(CONTROL!$C$9, $C$13, 100%, $E$13) + CHOOSE(CONTROL!$C$28, 0, 0)</f>
        <v>29.464600000000001</v>
      </c>
      <c r="E292" s="4">
        <f>136.562957142213 * CHOOSE(CONTROL!$C$9, $C$13, 100%, $E$13) + CHOOSE(CONTROL!$C$28, 0, 0)</f>
        <v>136.56295714221301</v>
      </c>
    </row>
    <row r="293" spans="1:5" ht="15">
      <c r="A293" s="13">
        <v>50436</v>
      </c>
      <c r="B293" s="4">
        <f>22.7223 * CHOOSE(CONTROL!$C$9, $C$13, 100%, $E$13) + CHOOSE(CONTROL!$C$28, 0.0003, 0)</f>
        <v>22.7226</v>
      </c>
      <c r="C293" s="4">
        <f>22.4098 * CHOOSE(CONTROL!$C$9, $C$13, 100%, $E$13) + CHOOSE(CONTROL!$C$28, 0.0003, 0)</f>
        <v>22.4101</v>
      </c>
      <c r="D293" s="4">
        <f>28.493 * CHOOSE(CONTROL!$C$9, $C$13, 100%, $E$13) + CHOOSE(CONTROL!$C$28, 0, 0)</f>
        <v>28.492999999999999</v>
      </c>
      <c r="E293" s="4">
        <f>132.646851931405 * CHOOSE(CONTROL!$C$9, $C$13, 100%, $E$13) + CHOOSE(CONTROL!$C$28, 0, 0)</f>
        <v>132.646851931405</v>
      </c>
    </row>
    <row r="294" spans="1:5" ht="15">
      <c r="A294" s="13">
        <v>50464</v>
      </c>
      <c r="B294" s="4">
        <f>23.2173 * CHOOSE(CONTROL!$C$9, $C$13, 100%, $E$13) + CHOOSE(CONTROL!$C$28, 0.0003, 0)</f>
        <v>23.217600000000001</v>
      </c>
      <c r="C294" s="4">
        <f>22.9048 * CHOOSE(CONTROL!$C$9, $C$13, 100%, $E$13) + CHOOSE(CONTROL!$C$28, 0.0003, 0)</f>
        <v>22.905100000000001</v>
      </c>
      <c r="D294" s="4">
        <f>29.4714 * CHOOSE(CONTROL!$C$9, $C$13, 100%, $E$13) + CHOOSE(CONTROL!$C$28, 0, 0)</f>
        <v>29.471399999999999</v>
      </c>
      <c r="E294" s="4">
        <f>135.796410945487 * CHOOSE(CONTROL!$C$9, $C$13, 100%, $E$13) + CHOOSE(CONTROL!$C$28, 0, 0)</f>
        <v>135.796410945487</v>
      </c>
    </row>
    <row r="295" spans="1:5" ht="15">
      <c r="A295" s="13">
        <v>50495</v>
      </c>
      <c r="B295" s="4">
        <f>24.5172 * CHOOSE(CONTROL!$C$9, $C$13, 100%, $E$13) + CHOOSE(CONTROL!$C$28, 0.0003, 0)</f>
        <v>24.517499999999998</v>
      </c>
      <c r="C295" s="4">
        <f>24.2047 * CHOOSE(CONTROL!$C$9, $C$13, 100%, $E$13) + CHOOSE(CONTROL!$C$28, 0.0003, 0)</f>
        <v>24.204999999999998</v>
      </c>
      <c r="D295" s="4">
        <f>31.0032 * CHOOSE(CONTROL!$C$9, $C$13, 100%, $E$13) + CHOOSE(CONTROL!$C$28, 0, 0)</f>
        <v>31.0032</v>
      </c>
      <c r="E295" s="4">
        <f>144.067320294199 * CHOOSE(CONTROL!$C$9, $C$13, 100%, $E$13) + CHOOSE(CONTROL!$C$28, 0, 0)</f>
        <v>144.06732029419899</v>
      </c>
    </row>
    <row r="296" spans="1:5" ht="15">
      <c r="A296" s="13">
        <v>50525</v>
      </c>
      <c r="B296" s="4">
        <f>25.4408 * CHOOSE(CONTROL!$C$9, $C$13, 100%, $E$13) + CHOOSE(CONTROL!$C$28, 0.0003, 0)</f>
        <v>25.441099999999999</v>
      </c>
      <c r="C296" s="4">
        <f>25.1283 * CHOOSE(CONTROL!$C$9, $C$13, 100%, $E$13) + CHOOSE(CONTROL!$C$28, 0.0003, 0)</f>
        <v>25.128599999999999</v>
      </c>
      <c r="D296" s="4">
        <f>31.8855 * CHOOSE(CONTROL!$C$9, $C$13, 100%, $E$13) + CHOOSE(CONTROL!$C$28, 0, 0)</f>
        <v>31.8855</v>
      </c>
      <c r="E296" s="4">
        <f>149.943911610819 * CHOOSE(CONTROL!$C$9, $C$13, 100%, $E$13) + CHOOSE(CONTROL!$C$28, 0, 0)</f>
        <v>149.94391161081899</v>
      </c>
    </row>
    <row r="297" spans="1:5" ht="15">
      <c r="A297" s="13">
        <v>50556</v>
      </c>
      <c r="B297" s="4">
        <f>26.0051 * CHOOSE(CONTROL!$C$9, $C$13, 100%, $E$13) + CHOOSE(CONTROL!$C$28, 0.0276, 0)</f>
        <v>26.032699999999998</v>
      </c>
      <c r="C297" s="4">
        <f>25.6926 * CHOOSE(CONTROL!$C$9, $C$13, 100%, $E$13) + CHOOSE(CONTROL!$C$28, 0.0276, 0)</f>
        <v>25.720199999999998</v>
      </c>
      <c r="D297" s="4">
        <f>31.5368 * CHOOSE(CONTROL!$C$9, $C$13, 100%, $E$13) + CHOOSE(CONTROL!$C$28, 0, 0)</f>
        <v>31.536799999999999</v>
      </c>
      <c r="E297" s="4">
        <f>153.534368063036 * CHOOSE(CONTROL!$C$9, $C$13, 100%, $E$13) + CHOOSE(CONTROL!$C$28, 0, 0)</f>
        <v>153.534368063036</v>
      </c>
    </row>
    <row r="298" spans="1:5" ht="15">
      <c r="A298" s="13">
        <v>50586</v>
      </c>
      <c r="B298" s="4">
        <f>26.0815 * CHOOSE(CONTROL!$C$9, $C$13, 100%, $E$13) + CHOOSE(CONTROL!$C$28, 0.0276, 0)</f>
        <v>26.109099999999998</v>
      </c>
      <c r="C298" s="4">
        <f>25.769 * CHOOSE(CONTROL!$C$9, $C$13, 100%, $E$13) + CHOOSE(CONTROL!$C$28, 0.0276, 0)</f>
        <v>25.796599999999998</v>
      </c>
      <c r="D298" s="4">
        <f>31.8208 * CHOOSE(CONTROL!$C$9, $C$13, 100%, $E$13) + CHOOSE(CONTROL!$C$28, 0, 0)</f>
        <v>31.820799999999998</v>
      </c>
      <c r="E298" s="4">
        <f>154.020171721721 * CHOOSE(CONTROL!$C$9, $C$13, 100%, $E$13) + CHOOSE(CONTROL!$C$28, 0, 0)</f>
        <v>154.020171721721</v>
      </c>
    </row>
    <row r="299" spans="1:5" ht="15">
      <c r="A299" s="13">
        <v>50617</v>
      </c>
      <c r="B299" s="4">
        <f>26.0738 * CHOOSE(CONTROL!$C$9, $C$13, 100%, $E$13) + CHOOSE(CONTROL!$C$28, 0.0276, 0)</f>
        <v>26.101399999999998</v>
      </c>
      <c r="C299" s="4">
        <f>25.7613 * CHOOSE(CONTROL!$C$9, $C$13, 100%, $E$13) + CHOOSE(CONTROL!$C$28, 0.0276, 0)</f>
        <v>25.788899999999998</v>
      </c>
      <c r="D299" s="4">
        <f>32.3331 * CHOOSE(CONTROL!$C$9, $C$13, 100%, $E$13) + CHOOSE(CONTROL!$C$28, 0, 0)</f>
        <v>32.333100000000002</v>
      </c>
      <c r="E299" s="4">
        <f>153.971183117484 * CHOOSE(CONTROL!$C$9, $C$13, 100%, $E$13) + CHOOSE(CONTROL!$C$28, 0, 0)</f>
        <v>153.971183117484</v>
      </c>
    </row>
    <row r="300" spans="1:5" ht="15">
      <c r="A300" s="13">
        <v>50648</v>
      </c>
      <c r="B300" s="4">
        <f>26.6531 * CHOOSE(CONTROL!$C$9, $C$13, 100%, $E$13) + CHOOSE(CONTROL!$C$28, 0.0276, 0)</f>
        <v>26.680699999999998</v>
      </c>
      <c r="C300" s="4">
        <f>26.3406 * CHOOSE(CONTROL!$C$9, $C$13, 100%, $E$13) + CHOOSE(CONTROL!$C$28, 0.0276, 0)</f>
        <v>26.368199999999998</v>
      </c>
      <c r="D300" s="4">
        <f>31.9947 * CHOOSE(CONTROL!$C$9, $C$13, 100%, $E$13) + CHOOSE(CONTROL!$C$28, 0, 0)</f>
        <v>31.994700000000002</v>
      </c>
      <c r="E300" s="4">
        <f>157.657575586333 * CHOOSE(CONTROL!$C$9, $C$13, 100%, $E$13) + CHOOSE(CONTROL!$C$28, 0, 0)</f>
        <v>157.657575586333</v>
      </c>
    </row>
    <row r="301" spans="1:5" ht="15">
      <c r="A301" s="13">
        <v>50678</v>
      </c>
      <c r="B301" s="4">
        <f>25.6657 * CHOOSE(CONTROL!$C$9, $C$13, 100%, $E$13) + CHOOSE(CONTROL!$C$28, 0.0276, 0)</f>
        <v>25.693300000000001</v>
      </c>
      <c r="C301" s="4">
        <f>25.3532 * CHOOSE(CONTROL!$C$9, $C$13, 100%, $E$13) + CHOOSE(CONTROL!$C$28, 0.0276, 0)</f>
        <v>25.380800000000001</v>
      </c>
      <c r="D301" s="4">
        <f>31.8349 * CHOOSE(CONTROL!$C$9, $C$13, 100%, $E$13) + CHOOSE(CONTROL!$C$28, 0, 0)</f>
        <v>31.834900000000001</v>
      </c>
      <c r="E301" s="4">
        <f>151.374787092913 * CHOOSE(CONTROL!$C$9, $C$13, 100%, $E$13) + CHOOSE(CONTROL!$C$28, 0, 0)</f>
        <v>151.37478709291301</v>
      </c>
    </row>
    <row r="302" spans="1:5" ht="15">
      <c r="A302" s="13">
        <v>50709</v>
      </c>
      <c r="B302" s="4">
        <f>24.8753 * CHOOSE(CONTROL!$C$9, $C$13, 100%, $E$13) + CHOOSE(CONTROL!$C$28, 0.0003, 0)</f>
        <v>24.875599999999999</v>
      </c>
      <c r="C302" s="4">
        <f>24.5628 * CHOOSE(CONTROL!$C$9, $C$13, 100%, $E$13) + CHOOSE(CONTROL!$C$28, 0.0003, 0)</f>
        <v>24.563099999999999</v>
      </c>
      <c r="D302" s="4">
        <f>31.4068 * CHOOSE(CONTROL!$C$9, $C$13, 100%, $E$13) + CHOOSE(CONTROL!$C$28, 0, 0)</f>
        <v>31.4068</v>
      </c>
      <c r="E302" s="4">
        <f>146.345290391228 * CHOOSE(CONTROL!$C$9, $C$13, 100%, $E$13) + CHOOSE(CONTROL!$C$28, 0, 0)</f>
        <v>146.34529039122799</v>
      </c>
    </row>
    <row r="303" spans="1:5" ht="15">
      <c r="A303" s="13">
        <v>50739</v>
      </c>
      <c r="B303" s="4">
        <f>24.3661 * CHOOSE(CONTROL!$C$9, $C$13, 100%, $E$13) + CHOOSE(CONTROL!$C$28, 0.0003, 0)</f>
        <v>24.366399999999999</v>
      </c>
      <c r="C303" s="4">
        <f>24.0536 * CHOOSE(CONTROL!$C$9, $C$13, 100%, $E$13) + CHOOSE(CONTROL!$C$28, 0.0003, 0)</f>
        <v>24.053899999999999</v>
      </c>
      <c r="D303" s="4">
        <f>31.2597 * CHOOSE(CONTROL!$C$9, $C$13, 100%, $E$13) + CHOOSE(CONTROL!$C$28, 0, 0)</f>
        <v>31.259699999999999</v>
      </c>
      <c r="E303" s="4">
        <f>143.105918936044 * CHOOSE(CONTROL!$C$9, $C$13, 100%, $E$13) + CHOOSE(CONTROL!$C$28, 0, 0)</f>
        <v>143.10591893604399</v>
      </c>
    </row>
    <row r="304" spans="1:5" ht="15">
      <c r="A304" s="13">
        <v>50770</v>
      </c>
      <c r="B304" s="4">
        <f>24.0139 * CHOOSE(CONTROL!$C$9, $C$13, 100%, $E$13) + CHOOSE(CONTROL!$C$28, 0.0003, 0)</f>
        <v>24.014199999999999</v>
      </c>
      <c r="C304" s="4">
        <f>23.7014 * CHOOSE(CONTROL!$C$9, $C$13, 100%, $E$13) + CHOOSE(CONTROL!$C$28, 0.0003, 0)</f>
        <v>23.701699999999999</v>
      </c>
      <c r="D304" s="4">
        <f>30.1763 * CHOOSE(CONTROL!$C$9, $C$13, 100%, $E$13) + CHOOSE(CONTROL!$C$28, 0, 0)</f>
        <v>30.176300000000001</v>
      </c>
      <c r="E304" s="4">
        <f>140.864690292193 * CHOOSE(CONTROL!$C$9, $C$13, 100%, $E$13) + CHOOSE(CONTROL!$C$28, 0, 0)</f>
        <v>140.86469029219299</v>
      </c>
    </row>
    <row r="305" spans="1:5" ht="15">
      <c r="A305" s="13">
        <v>50801</v>
      </c>
      <c r="B305" s="4">
        <f>23.4416 * CHOOSE(CONTROL!$C$9, $C$13, 100%, $E$13) + CHOOSE(CONTROL!$C$28, 0.0003, 0)</f>
        <v>23.4419</v>
      </c>
      <c r="C305" s="4">
        <f>23.1291 * CHOOSE(CONTROL!$C$9, $C$13, 100%, $E$13) + CHOOSE(CONTROL!$C$28, 0.0003, 0)</f>
        <v>23.1294</v>
      </c>
      <c r="D305" s="4">
        <f>29.1805 * CHOOSE(CONTROL!$C$9, $C$13, 100%, $E$13) + CHOOSE(CONTROL!$C$28, 0, 0)</f>
        <v>29.180499999999999</v>
      </c>
      <c r="E305" s="4">
        <f>136.825227767244 * CHOOSE(CONTROL!$C$9, $C$13, 100%, $E$13) + CHOOSE(CONTROL!$C$28, 0, 0)</f>
        <v>136.825227767244</v>
      </c>
    </row>
    <row r="306" spans="1:5" ht="15">
      <c r="A306" s="13">
        <v>50829</v>
      </c>
      <c r="B306" s="4">
        <f>23.9537 * CHOOSE(CONTROL!$C$9, $C$13, 100%, $E$13) + CHOOSE(CONTROL!$C$28, 0.0003, 0)</f>
        <v>23.954000000000001</v>
      </c>
      <c r="C306" s="4">
        <f>23.6412 * CHOOSE(CONTROL!$C$9, $C$13, 100%, $E$13) + CHOOSE(CONTROL!$C$28, 0.0003, 0)</f>
        <v>23.641500000000001</v>
      </c>
      <c r="D306" s="4">
        <f>30.1832 * CHOOSE(CONTROL!$C$9, $C$13, 100%, $E$13) + CHOOSE(CONTROL!$C$28, 0, 0)</f>
        <v>30.183199999999999</v>
      </c>
      <c r="E306" s="4">
        <f>140.07399789027 * CHOOSE(CONTROL!$C$9, $C$13, 100%, $E$13) + CHOOSE(CONTROL!$C$28, 0, 0)</f>
        <v>140.07399789026999</v>
      </c>
    </row>
    <row r="307" spans="1:5" ht="15">
      <c r="A307" s="13">
        <v>50860</v>
      </c>
      <c r="B307" s="4">
        <f>25.2984 * CHOOSE(CONTROL!$C$9, $C$13, 100%, $E$13) + CHOOSE(CONTROL!$C$28, 0.0003, 0)</f>
        <v>25.2987</v>
      </c>
      <c r="C307" s="4">
        <f>24.9859 * CHOOSE(CONTROL!$C$9, $C$13, 100%, $E$13) + CHOOSE(CONTROL!$C$28, 0.0003, 0)</f>
        <v>24.9862</v>
      </c>
      <c r="D307" s="4">
        <f>31.7529 * CHOOSE(CONTROL!$C$9, $C$13, 100%, $E$13) + CHOOSE(CONTROL!$C$28, 0, 0)</f>
        <v>31.7529</v>
      </c>
      <c r="E307" s="4">
        <f>148.605440883466 * CHOOSE(CONTROL!$C$9, $C$13, 100%, $E$13) + CHOOSE(CONTROL!$C$28, 0, 0)</f>
        <v>148.605440883466</v>
      </c>
    </row>
    <row r="308" spans="1:5" ht="15">
      <c r="A308" s="13">
        <v>50890</v>
      </c>
      <c r="B308" s="4">
        <f>26.2538 * CHOOSE(CONTROL!$C$9, $C$13, 100%, $E$13) + CHOOSE(CONTROL!$C$28, 0.0003, 0)</f>
        <v>26.254099999999998</v>
      </c>
      <c r="C308" s="4">
        <f>25.9413 * CHOOSE(CONTROL!$C$9, $C$13, 100%, $E$13) + CHOOSE(CONTROL!$C$28, 0.0003, 0)</f>
        <v>25.941599999999998</v>
      </c>
      <c r="D308" s="4">
        <f>32.6571 * CHOOSE(CONTROL!$C$9, $C$13, 100%, $E$13) + CHOOSE(CONTROL!$C$28, 0, 0)</f>
        <v>32.6571</v>
      </c>
      <c r="E308" s="4">
        <f>154.667144826559 * CHOOSE(CONTROL!$C$9, $C$13, 100%, $E$13) + CHOOSE(CONTROL!$C$28, 0, 0)</f>
        <v>154.667144826559</v>
      </c>
    </row>
    <row r="309" spans="1:5" ht="15">
      <c r="A309" s="13">
        <v>50921</v>
      </c>
      <c r="B309" s="4">
        <f>26.8376 * CHOOSE(CONTROL!$C$9, $C$13, 100%, $E$13) + CHOOSE(CONTROL!$C$28, 0.0276, 0)</f>
        <v>26.865199999999998</v>
      </c>
      <c r="C309" s="4">
        <f>26.5251 * CHOOSE(CONTROL!$C$9, $C$13, 100%, $E$13) + CHOOSE(CONTROL!$C$28, 0.0276, 0)</f>
        <v>26.552699999999998</v>
      </c>
      <c r="D309" s="4">
        <f>32.2998 * CHOOSE(CONTROL!$C$9, $C$13, 100%, $E$13) + CHOOSE(CONTROL!$C$28, 0, 0)</f>
        <v>32.299799999999998</v>
      </c>
      <c r="E309" s="4">
        <f>158.370700657022 * CHOOSE(CONTROL!$C$9, $C$13, 100%, $E$13) + CHOOSE(CONTROL!$C$28, 0, 0)</f>
        <v>158.37070065702201</v>
      </c>
    </row>
    <row r="310" spans="1:5" ht="15">
      <c r="A310" s="13">
        <v>50951</v>
      </c>
      <c r="B310" s="4">
        <f>26.9166 * CHOOSE(CONTROL!$C$9, $C$13, 100%, $E$13) + CHOOSE(CONTROL!$C$28, 0.0276, 0)</f>
        <v>26.944199999999999</v>
      </c>
      <c r="C310" s="4">
        <f>26.6041 * CHOOSE(CONTROL!$C$9, $C$13, 100%, $E$13) + CHOOSE(CONTROL!$C$28, 0.0276, 0)</f>
        <v>26.631699999999999</v>
      </c>
      <c r="D310" s="4">
        <f>32.5908 * CHOOSE(CONTROL!$C$9, $C$13, 100%, $E$13) + CHOOSE(CONTROL!$C$28, 0, 0)</f>
        <v>32.590800000000002</v>
      </c>
      <c r="E310" s="4">
        <f>158.871807130956 * CHOOSE(CONTROL!$C$9, $C$13, 100%, $E$13) + CHOOSE(CONTROL!$C$28, 0, 0)</f>
        <v>158.871807130956</v>
      </c>
    </row>
    <row r="311" spans="1:5" ht="15">
      <c r="A311" s="13">
        <v>50982</v>
      </c>
      <c r="B311" s="4">
        <f>26.9086 * CHOOSE(CONTROL!$C$9, $C$13, 100%, $E$13) + CHOOSE(CONTROL!$C$28, 0.0276, 0)</f>
        <v>26.936199999999999</v>
      </c>
      <c r="C311" s="4">
        <f>26.5961 * CHOOSE(CONTROL!$C$9, $C$13, 100%, $E$13) + CHOOSE(CONTROL!$C$28, 0.0276, 0)</f>
        <v>26.623699999999999</v>
      </c>
      <c r="D311" s="4">
        <f>33.1159 * CHOOSE(CONTROL!$C$9, $C$13, 100%, $E$13) + CHOOSE(CONTROL!$C$28, 0, 0)</f>
        <v>33.115900000000003</v>
      </c>
      <c r="E311" s="4">
        <f>158.821275385685 * CHOOSE(CONTROL!$C$9, $C$13, 100%, $E$13) + CHOOSE(CONTROL!$C$28, 0, 0)</f>
        <v>158.821275385685</v>
      </c>
    </row>
    <row r="312" spans="1:5" ht="15">
      <c r="A312" s="13">
        <v>51013</v>
      </c>
      <c r="B312" s="4">
        <f>27.508 * CHOOSE(CONTROL!$C$9, $C$13, 100%, $E$13) + CHOOSE(CONTROL!$C$28, 0.0276, 0)</f>
        <v>27.535599999999999</v>
      </c>
      <c r="C312" s="4">
        <f>27.1955 * CHOOSE(CONTROL!$C$9, $C$13, 100%, $E$13) + CHOOSE(CONTROL!$C$28, 0.0276, 0)</f>
        <v>27.223099999999999</v>
      </c>
      <c r="D312" s="4">
        <f>32.7691 * CHOOSE(CONTROL!$C$9, $C$13, 100%, $E$13) + CHOOSE(CONTROL!$C$28, 0, 0)</f>
        <v>32.769100000000002</v>
      </c>
      <c r="E312" s="4">
        <f>162.623789217302 * CHOOSE(CONTROL!$C$9, $C$13, 100%, $E$13) + CHOOSE(CONTROL!$C$28, 0, 0)</f>
        <v>162.623789217302</v>
      </c>
    </row>
    <row r="313" spans="1:5" ht="15">
      <c r="A313" s="13">
        <v>51043</v>
      </c>
      <c r="B313" s="4">
        <f>26.4865 * CHOOSE(CONTROL!$C$9, $C$13, 100%, $E$13) + CHOOSE(CONTROL!$C$28, 0.0276, 0)</f>
        <v>26.514099999999999</v>
      </c>
      <c r="C313" s="4">
        <f>26.174 * CHOOSE(CONTROL!$C$9, $C$13, 100%, $E$13) + CHOOSE(CONTROL!$C$28, 0.0276, 0)</f>
        <v>26.201599999999999</v>
      </c>
      <c r="D313" s="4">
        <f>32.6053 * CHOOSE(CONTROL!$C$9, $C$13, 100%, $E$13) + CHOOSE(CONTROL!$C$28, 0, 0)</f>
        <v>32.6053</v>
      </c>
      <c r="E313" s="4">
        <f>156.14309288634 * CHOOSE(CONTROL!$C$9, $C$13, 100%, $E$13) + CHOOSE(CONTROL!$C$28, 0, 0)</f>
        <v>156.14309288634001</v>
      </c>
    </row>
    <row r="314" spans="1:5" ht="15">
      <c r="A314" s="13">
        <v>51074</v>
      </c>
      <c r="B314" s="4">
        <f>25.6688 * CHOOSE(CONTROL!$C$9, $C$13, 100%, $E$13) + CHOOSE(CONTROL!$C$28, 0.0003, 0)</f>
        <v>25.6691</v>
      </c>
      <c r="C314" s="4">
        <f>25.3563 * CHOOSE(CONTROL!$C$9, $C$13, 100%, $E$13) + CHOOSE(CONTROL!$C$28, 0.0003, 0)</f>
        <v>25.3566</v>
      </c>
      <c r="D314" s="4">
        <f>32.1666 * CHOOSE(CONTROL!$C$9, $C$13, 100%, $E$13) + CHOOSE(CONTROL!$C$28, 0, 0)</f>
        <v>32.166600000000003</v>
      </c>
      <c r="E314" s="4">
        <f>150.955167038552 * CHOOSE(CONTROL!$C$9, $C$13, 100%, $E$13) + CHOOSE(CONTROL!$C$28, 0, 0)</f>
        <v>150.95516703855199</v>
      </c>
    </row>
    <row r="315" spans="1:5" ht="15">
      <c r="A315" s="13">
        <v>51104</v>
      </c>
      <c r="B315" s="4">
        <f>25.1421 * CHOOSE(CONTROL!$C$9, $C$13, 100%, $E$13) + CHOOSE(CONTROL!$C$28, 0.0003, 0)</f>
        <v>25.142399999999999</v>
      </c>
      <c r="C315" s="4">
        <f>24.8296 * CHOOSE(CONTROL!$C$9, $C$13, 100%, $E$13) + CHOOSE(CONTROL!$C$28, 0.0003, 0)</f>
        <v>24.829899999999999</v>
      </c>
      <c r="D315" s="4">
        <f>32.0158 * CHOOSE(CONTROL!$C$9, $C$13, 100%, $E$13) + CHOOSE(CONTROL!$C$28, 0, 0)</f>
        <v>32.015799999999999</v>
      </c>
      <c r="E315" s="4">
        <f>147.61375538253 * CHOOSE(CONTROL!$C$9, $C$13, 100%, $E$13) + CHOOSE(CONTROL!$C$28, 0, 0)</f>
        <v>147.61375538253</v>
      </c>
    </row>
    <row r="316" spans="1:5" ht="15">
      <c r="A316" s="13">
        <v>51135</v>
      </c>
      <c r="B316" s="4">
        <f>24.7777 * CHOOSE(CONTROL!$C$9, $C$13, 100%, $E$13) + CHOOSE(CONTROL!$C$28, 0.0003, 0)</f>
        <v>24.777999999999999</v>
      </c>
      <c r="C316" s="4">
        <f>24.4652 * CHOOSE(CONTROL!$C$9, $C$13, 100%, $E$13) + CHOOSE(CONTROL!$C$28, 0.0003, 0)</f>
        <v>24.465499999999999</v>
      </c>
      <c r="D316" s="4">
        <f>30.9056 * CHOOSE(CONTROL!$C$9, $C$13, 100%, $E$13) + CHOOSE(CONTROL!$C$28, 0, 0)</f>
        <v>30.9056</v>
      </c>
      <c r="E316" s="4">
        <f>145.301928036397 * CHOOSE(CONTROL!$C$9, $C$13, 100%, $E$13) + CHOOSE(CONTROL!$C$28, 0, 0)</f>
        <v>145.30192803639699</v>
      </c>
    </row>
    <row r="317" spans="1:5" ht="15">
      <c r="A317" s="13">
        <v>51166</v>
      </c>
      <c r="B317" s="4">
        <f>24.1856 * CHOOSE(CONTROL!$C$9, $C$13, 100%, $E$13) + CHOOSE(CONTROL!$C$28, 0.0003, 0)</f>
        <v>24.1859</v>
      </c>
      <c r="C317" s="4">
        <f>23.8731 * CHOOSE(CONTROL!$C$9, $C$13, 100%, $E$13) + CHOOSE(CONTROL!$C$28, 0.0003, 0)</f>
        <v>23.8734</v>
      </c>
      <c r="D317" s="4">
        <f>29.8851 * CHOOSE(CONTROL!$C$9, $C$13, 100%, $E$13) + CHOOSE(CONTROL!$C$28, 0, 0)</f>
        <v>29.885100000000001</v>
      </c>
      <c r="E317" s="4">
        <f>141.135222441912 * CHOOSE(CONTROL!$C$9, $C$13, 100%, $E$13) + CHOOSE(CONTROL!$C$28, 0, 0)</f>
        <v>141.13522244191199</v>
      </c>
    </row>
    <row r="318" spans="1:5" ht="15">
      <c r="A318" s="13">
        <v>51194</v>
      </c>
      <c r="B318" s="4">
        <f>24.7154 * CHOOSE(CONTROL!$C$9, $C$13, 100%, $E$13) + CHOOSE(CONTROL!$C$28, 0.0003, 0)</f>
        <v>24.715699999999998</v>
      </c>
      <c r="C318" s="4">
        <f>24.4029 * CHOOSE(CONTROL!$C$9, $C$13, 100%, $E$13) + CHOOSE(CONTROL!$C$28, 0.0003, 0)</f>
        <v>24.403199999999998</v>
      </c>
      <c r="D318" s="4">
        <f>30.9127 * CHOOSE(CONTROL!$C$9, $C$13, 100%, $E$13) + CHOOSE(CONTROL!$C$28, 0, 0)</f>
        <v>30.912700000000001</v>
      </c>
      <c r="E318" s="4">
        <f>144.486328823814 * CHOOSE(CONTROL!$C$9, $C$13, 100%, $E$13) + CHOOSE(CONTROL!$C$28, 0, 0)</f>
        <v>144.48632882381401</v>
      </c>
    </row>
    <row r="319" spans="1:5" ht="15">
      <c r="A319" s="13">
        <v>51226</v>
      </c>
      <c r="B319" s="4">
        <f>26.1065 * CHOOSE(CONTROL!$C$9, $C$13, 100%, $E$13) + CHOOSE(CONTROL!$C$28, 0.0003, 0)</f>
        <v>26.1068</v>
      </c>
      <c r="C319" s="4">
        <f>25.794 * CHOOSE(CONTROL!$C$9, $C$13, 100%, $E$13) + CHOOSE(CONTROL!$C$28, 0.0003, 0)</f>
        <v>25.7943</v>
      </c>
      <c r="D319" s="4">
        <f>32.5213 * CHOOSE(CONTROL!$C$9, $C$13, 100%, $E$13) + CHOOSE(CONTROL!$C$28, 0, 0)</f>
        <v>32.521299999999997</v>
      </c>
      <c r="E319" s="4">
        <f>153.286512271296 * CHOOSE(CONTROL!$C$9, $C$13, 100%, $E$13) + CHOOSE(CONTROL!$C$28, 0, 0)</f>
        <v>153.286512271296</v>
      </c>
    </row>
    <row r="320" spans="1:5" ht="15">
      <c r="A320" s="13">
        <v>51256</v>
      </c>
      <c r="B320" s="4">
        <f>27.0949 * CHOOSE(CONTROL!$C$9, $C$13, 100%, $E$13) + CHOOSE(CONTROL!$C$28, 0.0003, 0)</f>
        <v>27.095199999999998</v>
      </c>
      <c r="C320" s="4">
        <f>26.7824 * CHOOSE(CONTROL!$C$9, $C$13, 100%, $E$13) + CHOOSE(CONTROL!$C$28, 0.0003, 0)</f>
        <v>26.782699999999998</v>
      </c>
      <c r="D320" s="4">
        <f>33.4479 * CHOOSE(CONTROL!$C$9, $C$13, 100%, $E$13) + CHOOSE(CONTROL!$C$28, 0, 0)</f>
        <v>33.447899999999997</v>
      </c>
      <c r="E320" s="4">
        <f>159.539159888596 * CHOOSE(CONTROL!$C$9, $C$13, 100%, $E$13) + CHOOSE(CONTROL!$C$28, 0, 0)</f>
        <v>159.539159888596</v>
      </c>
    </row>
    <row r="321" spans="1:5" ht="15">
      <c r="A321" s="13">
        <v>51287</v>
      </c>
      <c r="B321" s="4">
        <f>27.6988 * CHOOSE(CONTROL!$C$9, $C$13, 100%, $E$13) + CHOOSE(CONTROL!$C$28, 0.0276, 0)</f>
        <v>27.726399999999998</v>
      </c>
      <c r="C321" s="4">
        <f>27.3863 * CHOOSE(CONTROL!$C$9, $C$13, 100%, $E$13) + CHOOSE(CONTROL!$C$28, 0.0276, 0)</f>
        <v>27.413899999999998</v>
      </c>
      <c r="D321" s="4">
        <f>33.0818 * CHOOSE(CONTROL!$C$9, $C$13, 100%, $E$13) + CHOOSE(CONTROL!$C$28, 0, 0)</f>
        <v>33.081800000000001</v>
      </c>
      <c r="E321" s="4">
        <f>163.359377727718 * CHOOSE(CONTROL!$C$9, $C$13, 100%, $E$13) + CHOOSE(CONTROL!$C$28, 0, 0)</f>
        <v>163.359377727718</v>
      </c>
    </row>
    <row r="322" spans="1:5" ht="15">
      <c r="A322" s="13">
        <v>51317</v>
      </c>
      <c r="B322" s="4">
        <f>27.7805 * CHOOSE(CONTROL!$C$9, $C$13, 100%, $E$13) + CHOOSE(CONTROL!$C$28, 0.0276, 0)</f>
        <v>27.8081</v>
      </c>
      <c r="C322" s="4">
        <f>27.468 * CHOOSE(CONTROL!$C$9, $C$13, 100%, $E$13) + CHOOSE(CONTROL!$C$28, 0.0276, 0)</f>
        <v>27.4956</v>
      </c>
      <c r="D322" s="4">
        <f>33.38 * CHOOSE(CONTROL!$C$9, $C$13, 100%, $E$13) + CHOOSE(CONTROL!$C$28, 0, 0)</f>
        <v>33.380000000000003</v>
      </c>
      <c r="E322" s="4">
        <f>163.876269055581 * CHOOSE(CONTROL!$C$9, $C$13, 100%, $E$13) + CHOOSE(CONTROL!$C$28, 0, 0)</f>
        <v>163.87626905558099</v>
      </c>
    </row>
    <row r="323" spans="1:5" ht="15">
      <c r="A323" s="13">
        <v>51348</v>
      </c>
      <c r="B323" s="4">
        <f>27.7723 * CHOOSE(CONTROL!$C$9, $C$13, 100%, $E$13) + CHOOSE(CONTROL!$C$28, 0.0276, 0)</f>
        <v>27.799900000000001</v>
      </c>
      <c r="C323" s="4">
        <f>27.4598 * CHOOSE(CONTROL!$C$9, $C$13, 100%, $E$13) + CHOOSE(CONTROL!$C$28, 0.0276, 0)</f>
        <v>27.487400000000001</v>
      </c>
      <c r="D323" s="4">
        <f>33.9181 * CHOOSE(CONTROL!$C$9, $C$13, 100%, $E$13) + CHOOSE(CONTROL!$C$28, 0, 0)</f>
        <v>33.918100000000003</v>
      </c>
      <c r="E323" s="4">
        <f>163.824145560334 * CHOOSE(CONTROL!$C$9, $C$13, 100%, $E$13) + CHOOSE(CONTROL!$C$28, 0, 0)</f>
        <v>163.82414556033399</v>
      </c>
    </row>
    <row r="324" spans="1:5" ht="15">
      <c r="A324" s="13">
        <v>51379</v>
      </c>
      <c r="B324" s="4">
        <f>28.3923 * CHOOSE(CONTROL!$C$9, $C$13, 100%, $E$13) + CHOOSE(CONTROL!$C$28, 0.0276, 0)</f>
        <v>28.419899999999998</v>
      </c>
      <c r="C324" s="4">
        <f>28.0798 * CHOOSE(CONTROL!$C$9, $C$13, 100%, $E$13) + CHOOSE(CONTROL!$C$28, 0.0276, 0)</f>
        <v>28.107399999999998</v>
      </c>
      <c r="D324" s="4">
        <f>33.5627 * CHOOSE(CONTROL!$C$9, $C$13, 100%, $E$13) + CHOOSE(CONTROL!$C$28, 0, 0)</f>
        <v>33.5627</v>
      </c>
      <c r="E324" s="4">
        <f>167.746438577647 * CHOOSE(CONTROL!$C$9, $C$13, 100%, $E$13) + CHOOSE(CONTROL!$C$28, 0, 0)</f>
        <v>167.74643857764701</v>
      </c>
    </row>
    <row r="325" spans="1:5" ht="15">
      <c r="A325" s="13">
        <v>51409</v>
      </c>
      <c r="B325" s="4">
        <f>27.3356 * CHOOSE(CONTROL!$C$9, $C$13, 100%, $E$13) + CHOOSE(CONTROL!$C$28, 0.0276, 0)</f>
        <v>27.363199999999999</v>
      </c>
      <c r="C325" s="4">
        <f>27.0231 * CHOOSE(CONTROL!$C$9, $C$13, 100%, $E$13) + CHOOSE(CONTROL!$C$28, 0.0276, 0)</f>
        <v>27.050699999999999</v>
      </c>
      <c r="D325" s="4">
        <f>33.3948 * CHOOSE(CONTROL!$C$9, $C$13, 100%, $E$13) + CHOOSE(CONTROL!$C$28, 0, 0)</f>
        <v>33.394799999999996</v>
      </c>
      <c r="E325" s="4">
        <f>161.06160031226 * CHOOSE(CONTROL!$C$9, $C$13, 100%, $E$13) + CHOOSE(CONTROL!$C$28, 0, 0)</f>
        <v>161.06160031226</v>
      </c>
    </row>
    <row r="326" spans="1:5" ht="15">
      <c r="A326" s="13">
        <v>51440</v>
      </c>
      <c r="B326" s="4">
        <f>26.4896 * CHOOSE(CONTROL!$C$9, $C$13, 100%, $E$13) + CHOOSE(CONTROL!$C$28, 0.0003, 0)</f>
        <v>26.489899999999999</v>
      </c>
      <c r="C326" s="4">
        <f>26.1771 * CHOOSE(CONTROL!$C$9, $C$13, 100%, $E$13) + CHOOSE(CONTROL!$C$28, 0.0003, 0)</f>
        <v>26.177399999999999</v>
      </c>
      <c r="D326" s="4">
        <f>32.9453 * CHOOSE(CONTROL!$C$9, $C$13, 100%, $E$13) + CHOOSE(CONTROL!$C$28, 0, 0)</f>
        <v>32.945300000000003</v>
      </c>
      <c r="E326" s="4">
        <f>155.710254800267 * CHOOSE(CONTROL!$C$9, $C$13, 100%, $E$13) + CHOOSE(CONTROL!$C$28, 0, 0)</f>
        <v>155.71025480026699</v>
      </c>
    </row>
    <row r="327" spans="1:5" ht="15">
      <c r="A327" s="13">
        <v>51470</v>
      </c>
      <c r="B327" s="4">
        <f>25.9448 * CHOOSE(CONTROL!$C$9, $C$13, 100%, $E$13) + CHOOSE(CONTROL!$C$28, 0.0003, 0)</f>
        <v>25.9451</v>
      </c>
      <c r="C327" s="4">
        <f>25.6323 * CHOOSE(CONTROL!$C$9, $C$13, 100%, $E$13) + CHOOSE(CONTROL!$C$28, 0.0003, 0)</f>
        <v>25.6326</v>
      </c>
      <c r="D327" s="4">
        <f>32.7907 * CHOOSE(CONTROL!$C$9, $C$13, 100%, $E$13) + CHOOSE(CONTROL!$C$28, 0, 0)</f>
        <v>32.790700000000001</v>
      </c>
      <c r="E327" s="4">
        <f>152.263588677079 * CHOOSE(CONTROL!$C$9, $C$13, 100%, $E$13) + CHOOSE(CONTROL!$C$28, 0, 0)</f>
        <v>152.26358867707901</v>
      </c>
    </row>
    <row r="328" spans="1:5" ht="15">
      <c r="A328" s="13">
        <v>51501</v>
      </c>
      <c r="B328" s="4">
        <f>25.5678 * CHOOSE(CONTROL!$C$9, $C$13, 100%, $E$13) + CHOOSE(CONTROL!$C$28, 0.0003, 0)</f>
        <v>25.568099999999998</v>
      </c>
      <c r="C328" s="4">
        <f>25.2553 * CHOOSE(CONTROL!$C$9, $C$13, 100%, $E$13) + CHOOSE(CONTROL!$C$28, 0.0003, 0)</f>
        <v>25.255599999999998</v>
      </c>
      <c r="D328" s="4">
        <f>31.6529 * CHOOSE(CONTROL!$C$9, $C$13, 100%, $E$13) + CHOOSE(CONTROL!$C$28, 0, 0)</f>
        <v>31.652899999999999</v>
      </c>
      <c r="E328" s="4">
        <f>149.878938769544 * CHOOSE(CONTROL!$C$9, $C$13, 100%, $E$13) + CHOOSE(CONTROL!$C$28, 0, 0)</f>
        <v>149.87893876954399</v>
      </c>
    </row>
    <row r="329" spans="1:5" ht="15">
      <c r="A329" s="13">
        <v>51532</v>
      </c>
      <c r="B329" s="4">
        <f>24.9553 * CHOOSE(CONTROL!$C$9, $C$13, 100%, $E$13) + CHOOSE(CONTROL!$C$28, 0.0003, 0)</f>
        <v>24.9556</v>
      </c>
      <c r="C329" s="4">
        <f>24.6428 * CHOOSE(CONTROL!$C$9, $C$13, 100%, $E$13) + CHOOSE(CONTROL!$C$28, 0.0003, 0)</f>
        <v>24.6431</v>
      </c>
      <c r="D329" s="4">
        <f>30.6072 * CHOOSE(CONTROL!$C$9, $C$13, 100%, $E$13) + CHOOSE(CONTROL!$C$28, 0, 0)</f>
        <v>30.607199999999999</v>
      </c>
      <c r="E329" s="4">
        <f>145.580981948832 * CHOOSE(CONTROL!$C$9, $C$13, 100%, $E$13) + CHOOSE(CONTROL!$C$28, 0, 0)</f>
        <v>145.580981948832</v>
      </c>
    </row>
    <row r="330" spans="1:5" ht="15">
      <c r="A330" s="13">
        <v>51560</v>
      </c>
      <c r="B330" s="4">
        <f>25.5034 * CHOOSE(CONTROL!$C$9, $C$13, 100%, $E$13) + CHOOSE(CONTROL!$C$28, 0.0003, 0)</f>
        <v>25.503699999999998</v>
      </c>
      <c r="C330" s="4">
        <f>25.1909 * CHOOSE(CONTROL!$C$9, $C$13, 100%, $E$13) + CHOOSE(CONTROL!$C$28, 0.0003, 0)</f>
        <v>25.191199999999998</v>
      </c>
      <c r="D330" s="4">
        <f>31.6602 * CHOOSE(CONTROL!$C$9, $C$13, 100%, $E$13) + CHOOSE(CONTROL!$C$28, 0, 0)</f>
        <v>31.6602</v>
      </c>
      <c r="E330" s="4">
        <f>149.037648181764 * CHOOSE(CONTROL!$C$9, $C$13, 100%, $E$13) + CHOOSE(CONTROL!$C$28, 0, 0)</f>
        <v>149.03764818176401</v>
      </c>
    </row>
    <row r="331" spans="1:5" ht="15">
      <c r="A331" s="13">
        <v>51591</v>
      </c>
      <c r="B331" s="4">
        <f>26.9425 * CHOOSE(CONTROL!$C$9, $C$13, 100%, $E$13) + CHOOSE(CONTROL!$C$28, 0.0003, 0)</f>
        <v>26.942799999999998</v>
      </c>
      <c r="C331" s="4">
        <f>26.63 * CHOOSE(CONTROL!$C$9, $C$13, 100%, $E$13) + CHOOSE(CONTROL!$C$28, 0.0003, 0)</f>
        <v>26.630299999999998</v>
      </c>
      <c r="D331" s="4">
        <f>33.3088 * CHOOSE(CONTROL!$C$9, $C$13, 100%, $E$13) + CHOOSE(CONTROL!$C$28, 0, 0)</f>
        <v>33.308799999999998</v>
      </c>
      <c r="E331" s="4">
        <f>158.115037407841 * CHOOSE(CONTROL!$C$9, $C$13, 100%, $E$13) + CHOOSE(CONTROL!$C$28, 0, 0)</f>
        <v>158.11503740784099</v>
      </c>
    </row>
    <row r="332" spans="1:5" ht="15">
      <c r="A332" s="13">
        <v>51621</v>
      </c>
      <c r="B332" s="4">
        <f>27.965 * CHOOSE(CONTROL!$C$9, $C$13, 100%, $E$13) + CHOOSE(CONTROL!$C$28, 0.0003, 0)</f>
        <v>27.965299999999999</v>
      </c>
      <c r="C332" s="4">
        <f>27.6525 * CHOOSE(CONTROL!$C$9, $C$13, 100%, $E$13) + CHOOSE(CONTROL!$C$28, 0.0003, 0)</f>
        <v>27.652799999999999</v>
      </c>
      <c r="D332" s="4">
        <f>34.2584 * CHOOSE(CONTROL!$C$9, $C$13, 100%, $E$13) + CHOOSE(CONTROL!$C$28, 0, 0)</f>
        <v>34.258400000000002</v>
      </c>
      <c r="E332" s="4">
        <f>164.564643425087 * CHOOSE(CONTROL!$C$9, $C$13, 100%, $E$13) + CHOOSE(CONTROL!$C$28, 0, 0)</f>
        <v>164.56464342508701</v>
      </c>
    </row>
    <row r="333" spans="1:5" ht="15">
      <c r="A333" s="13">
        <v>51652</v>
      </c>
      <c r="B333" s="4">
        <f>28.5897 * CHOOSE(CONTROL!$C$9, $C$13, 100%, $E$13) + CHOOSE(CONTROL!$C$28, 0.0276, 0)</f>
        <v>28.6173</v>
      </c>
      <c r="C333" s="4">
        <f>28.2772 * CHOOSE(CONTROL!$C$9, $C$13, 100%, $E$13) + CHOOSE(CONTROL!$C$28, 0.0276, 0)</f>
        <v>28.3048</v>
      </c>
      <c r="D333" s="4">
        <f>33.8831 * CHOOSE(CONTROL!$C$9, $C$13, 100%, $E$13) + CHOOSE(CONTROL!$C$28, 0, 0)</f>
        <v>33.883099999999999</v>
      </c>
      <c r="E333" s="4">
        <f>168.505198126141 * CHOOSE(CONTROL!$C$9, $C$13, 100%, $E$13) + CHOOSE(CONTROL!$C$28, 0, 0)</f>
        <v>168.50519812614101</v>
      </c>
    </row>
    <row r="334" spans="1:5" ht="15">
      <c r="A334" s="13">
        <v>51682</v>
      </c>
      <c r="B334" s="4">
        <f>28.6743 * CHOOSE(CONTROL!$C$9, $C$13, 100%, $E$13) + CHOOSE(CONTROL!$C$28, 0.0276, 0)</f>
        <v>28.701899999999998</v>
      </c>
      <c r="C334" s="4">
        <f>28.3618 * CHOOSE(CONTROL!$C$9, $C$13, 100%, $E$13) + CHOOSE(CONTROL!$C$28, 0.0276, 0)</f>
        <v>28.389399999999998</v>
      </c>
      <c r="D334" s="4">
        <f>34.1887 * CHOOSE(CONTROL!$C$9, $C$13, 100%, $E$13) + CHOOSE(CONTROL!$C$28, 0, 0)</f>
        <v>34.188699999999997</v>
      </c>
      <c r="E334" s="4">
        <f>169.038371530831 * CHOOSE(CONTROL!$C$9, $C$13, 100%, $E$13) + CHOOSE(CONTROL!$C$28, 0, 0)</f>
        <v>169.038371530831</v>
      </c>
    </row>
    <row r="335" spans="1:5" ht="15">
      <c r="A335" s="13">
        <v>51713</v>
      </c>
      <c r="B335" s="4">
        <f>28.6657 * CHOOSE(CONTROL!$C$9, $C$13, 100%, $E$13) + CHOOSE(CONTROL!$C$28, 0.0276, 0)</f>
        <v>28.693300000000001</v>
      </c>
      <c r="C335" s="4">
        <f>28.3532 * CHOOSE(CONTROL!$C$9, $C$13, 100%, $E$13) + CHOOSE(CONTROL!$C$28, 0.0276, 0)</f>
        <v>28.380800000000001</v>
      </c>
      <c r="D335" s="4">
        <f>34.7401 * CHOOSE(CONTROL!$C$9, $C$13, 100%, $E$13) + CHOOSE(CONTROL!$C$28, 0, 0)</f>
        <v>34.740099999999998</v>
      </c>
      <c r="E335" s="4">
        <f>168.984606145485 * CHOOSE(CONTROL!$C$9, $C$13, 100%, $E$13) + CHOOSE(CONTROL!$C$28, 0, 0)</f>
        <v>168.984606145485</v>
      </c>
    </row>
    <row r="336" spans="1:5" ht="15">
      <c r="A336" s="13">
        <v>51744</v>
      </c>
      <c r="B336" s="4">
        <f>29.3072 * CHOOSE(CONTROL!$C$9, $C$13, 100%, $E$13) + CHOOSE(CONTROL!$C$28, 0.0276, 0)</f>
        <v>29.334800000000001</v>
      </c>
      <c r="C336" s="4">
        <f>28.9947 * CHOOSE(CONTROL!$C$9, $C$13, 100%, $E$13) + CHOOSE(CONTROL!$C$28, 0.0276, 0)</f>
        <v>29.022300000000001</v>
      </c>
      <c r="D336" s="4">
        <f>34.376 * CHOOSE(CONTROL!$C$9, $C$13, 100%, $E$13) + CHOOSE(CONTROL!$C$28, 0, 0)</f>
        <v>34.375999999999998</v>
      </c>
      <c r="E336" s="4">
        <f>173.030451392843 * CHOOSE(CONTROL!$C$9, $C$13, 100%, $E$13) + CHOOSE(CONTROL!$C$28, 0, 0)</f>
        <v>173.03045139284299</v>
      </c>
    </row>
    <row r="337" spans="1:5" ht="15">
      <c r="A337" s="13">
        <v>51774</v>
      </c>
      <c r="B337" s="4">
        <f>28.214 * CHOOSE(CONTROL!$C$9, $C$13, 100%, $E$13) + CHOOSE(CONTROL!$C$28, 0.0276, 0)</f>
        <v>28.241599999999998</v>
      </c>
      <c r="C337" s="4">
        <f>27.9015 * CHOOSE(CONTROL!$C$9, $C$13, 100%, $E$13) + CHOOSE(CONTROL!$C$28, 0.0276, 0)</f>
        <v>27.929099999999998</v>
      </c>
      <c r="D337" s="4">
        <f>34.2039 * CHOOSE(CONTROL!$C$9, $C$13, 100%, $E$13) + CHOOSE(CONTROL!$C$28, 0, 0)</f>
        <v>34.203899999999997</v>
      </c>
      <c r="E337" s="4">
        <f>166.135040722096 * CHOOSE(CONTROL!$C$9, $C$13, 100%, $E$13) + CHOOSE(CONTROL!$C$28, 0, 0)</f>
        <v>166.13504072209599</v>
      </c>
    </row>
    <row r="338" spans="1:5" ht="15">
      <c r="A338" s="13">
        <v>51805</v>
      </c>
      <c r="B338" s="4">
        <f>27.3389 * CHOOSE(CONTROL!$C$9, $C$13, 100%, $E$13) + CHOOSE(CONTROL!$C$28, 0.0003, 0)</f>
        <v>27.339199999999998</v>
      </c>
      <c r="C338" s="4">
        <f>27.0264 * CHOOSE(CONTROL!$C$9, $C$13, 100%, $E$13) + CHOOSE(CONTROL!$C$28, 0.0003, 0)</f>
        <v>27.026699999999998</v>
      </c>
      <c r="D338" s="4">
        <f>33.7432 * CHOOSE(CONTROL!$C$9, $C$13, 100%, $E$13) + CHOOSE(CONTROL!$C$28, 0, 0)</f>
        <v>33.743200000000002</v>
      </c>
      <c r="E338" s="4">
        <f>160.615127826475 * CHOOSE(CONTROL!$C$9, $C$13, 100%, $E$13) + CHOOSE(CONTROL!$C$28, 0, 0)</f>
        <v>160.615127826475</v>
      </c>
    </row>
    <row r="339" spans="1:5" ht="15">
      <c r="A339" s="13">
        <v>51835</v>
      </c>
      <c r="B339" s="4">
        <f>26.7752 * CHOOSE(CONTROL!$C$9, $C$13, 100%, $E$13) + CHOOSE(CONTROL!$C$28, 0.0003, 0)</f>
        <v>26.775500000000001</v>
      </c>
      <c r="C339" s="4">
        <f>26.4627 * CHOOSE(CONTROL!$C$9, $C$13, 100%, $E$13) + CHOOSE(CONTROL!$C$28, 0.0003, 0)</f>
        <v>26.463000000000001</v>
      </c>
      <c r="D339" s="4">
        <f>33.5849 * CHOOSE(CONTROL!$C$9, $C$13, 100%, $E$13) + CHOOSE(CONTROL!$C$28, 0, 0)</f>
        <v>33.584899999999998</v>
      </c>
      <c r="E339" s="4">
        <f>157.059891720407 * CHOOSE(CONTROL!$C$9, $C$13, 100%, $E$13) + CHOOSE(CONTROL!$C$28, 0, 0)</f>
        <v>157.05989172040699</v>
      </c>
    </row>
    <row r="340" spans="1:5" ht="15">
      <c r="A340" s="13">
        <v>51866</v>
      </c>
      <c r="B340" s="4">
        <f>26.3852 * CHOOSE(CONTROL!$C$9, $C$13, 100%, $E$13) + CHOOSE(CONTROL!$C$28, 0.0003, 0)</f>
        <v>26.3855</v>
      </c>
      <c r="C340" s="4">
        <f>26.0727 * CHOOSE(CONTROL!$C$9, $C$13, 100%, $E$13) + CHOOSE(CONTROL!$C$28, 0.0003, 0)</f>
        <v>26.073</v>
      </c>
      <c r="D340" s="4">
        <f>32.4188 * CHOOSE(CONTROL!$C$9, $C$13, 100%, $E$13) + CHOOSE(CONTROL!$C$28, 0, 0)</f>
        <v>32.418799999999997</v>
      </c>
      <c r="E340" s="4">
        <f>154.600125340784 * CHOOSE(CONTROL!$C$9, $C$13, 100%, $E$13) + CHOOSE(CONTROL!$C$28, 0, 0)</f>
        <v>154.60012534078399</v>
      </c>
    </row>
    <row r="341" spans="1:5" ht="15">
      <c r="A341" s="13">
        <v>51897</v>
      </c>
      <c r="B341" s="4">
        <f>25.7516 * CHOOSE(CONTROL!$C$9, $C$13, 100%, $E$13) + CHOOSE(CONTROL!$C$28, 0.0003, 0)</f>
        <v>25.751899999999999</v>
      </c>
      <c r="C341" s="4">
        <f>25.4391 * CHOOSE(CONTROL!$C$9, $C$13, 100%, $E$13) + CHOOSE(CONTROL!$C$28, 0.0003, 0)</f>
        <v>25.439399999999999</v>
      </c>
      <c r="D341" s="4">
        <f>31.3471 * CHOOSE(CONTROL!$C$9, $C$13, 100%, $E$13) + CHOOSE(CONTROL!$C$28, 0, 0)</f>
        <v>31.347100000000001</v>
      </c>
      <c r="E341" s="4">
        <f>150.16678288022 * CHOOSE(CONTROL!$C$9, $C$13, 100%, $E$13) + CHOOSE(CONTROL!$C$28, 0, 0)</f>
        <v>150.16678288022001</v>
      </c>
    </row>
    <row r="342" spans="1:5" ht="15">
      <c r="A342" s="13">
        <v>51925</v>
      </c>
      <c r="B342" s="4">
        <f>26.3185 * CHOOSE(CONTROL!$C$9, $C$13, 100%, $E$13) + CHOOSE(CONTROL!$C$28, 0.0003, 0)</f>
        <v>26.3188</v>
      </c>
      <c r="C342" s="4">
        <f>26.006 * CHOOSE(CONTROL!$C$9, $C$13, 100%, $E$13) + CHOOSE(CONTROL!$C$28, 0.0003, 0)</f>
        <v>26.0063</v>
      </c>
      <c r="D342" s="4">
        <f>32.4263 * CHOOSE(CONTROL!$C$9, $C$13, 100%, $E$13) + CHOOSE(CONTROL!$C$28, 0, 0)</f>
        <v>32.426299999999998</v>
      </c>
      <c r="E342" s="4">
        <f>153.732334099489 * CHOOSE(CONTROL!$C$9, $C$13, 100%, $E$13) + CHOOSE(CONTROL!$C$28, 0, 0)</f>
        <v>153.73233409948901</v>
      </c>
    </row>
    <row r="343" spans="1:5" ht="15">
      <c r="A343" s="13">
        <v>51956</v>
      </c>
      <c r="B343" s="4">
        <f>27.8073 * CHOOSE(CONTROL!$C$9, $C$13, 100%, $E$13) + CHOOSE(CONTROL!$C$28, 0.0003, 0)</f>
        <v>27.807600000000001</v>
      </c>
      <c r="C343" s="4">
        <f>27.4948 * CHOOSE(CONTROL!$C$9, $C$13, 100%, $E$13) + CHOOSE(CONTROL!$C$28, 0.0003, 0)</f>
        <v>27.495100000000001</v>
      </c>
      <c r="D343" s="4">
        <f>34.1157 * CHOOSE(CONTROL!$C$9, $C$13, 100%, $E$13) + CHOOSE(CONTROL!$C$28, 0, 0)</f>
        <v>34.115699999999997</v>
      </c>
      <c r="E343" s="4">
        <f>163.095661086188 * CHOOSE(CONTROL!$C$9, $C$13, 100%, $E$13) + CHOOSE(CONTROL!$C$28, 0, 0)</f>
        <v>163.09566108618799</v>
      </c>
    </row>
    <row r="344" spans="1:5" ht="15">
      <c r="A344" s="13">
        <v>51986</v>
      </c>
      <c r="B344" s="4">
        <f>28.8651 * CHOOSE(CONTROL!$C$9, $C$13, 100%, $E$13) + CHOOSE(CONTROL!$C$28, 0.0003, 0)</f>
        <v>28.865400000000001</v>
      </c>
      <c r="C344" s="4">
        <f>28.5526 * CHOOSE(CONTROL!$C$9, $C$13, 100%, $E$13) + CHOOSE(CONTROL!$C$28, 0.0003, 0)</f>
        <v>28.552900000000001</v>
      </c>
      <c r="D344" s="4">
        <f>35.0889 * CHOOSE(CONTROL!$C$9, $C$13, 100%, $E$13) + CHOOSE(CONTROL!$C$28, 0, 0)</f>
        <v>35.088900000000002</v>
      </c>
      <c r="E344" s="4">
        <f>169.748429692977 * CHOOSE(CONTROL!$C$9, $C$13, 100%, $E$13) + CHOOSE(CONTROL!$C$28, 0, 0)</f>
        <v>169.748429692977</v>
      </c>
    </row>
    <row r="345" spans="1:5" ht="15">
      <c r="A345" s="13">
        <v>52017</v>
      </c>
      <c r="B345" s="4">
        <f>29.5114 * CHOOSE(CONTROL!$C$9, $C$13, 100%, $E$13) + CHOOSE(CONTROL!$C$28, 0.0276, 0)</f>
        <v>29.538999999999998</v>
      </c>
      <c r="C345" s="4">
        <f>29.1989 * CHOOSE(CONTROL!$C$9, $C$13, 100%, $E$13) + CHOOSE(CONTROL!$C$28, 0.0276, 0)</f>
        <v>29.226499999999998</v>
      </c>
      <c r="D345" s="4">
        <f>34.7043 * CHOOSE(CONTROL!$C$9, $C$13, 100%, $E$13) + CHOOSE(CONTROL!$C$28, 0, 0)</f>
        <v>34.704300000000003</v>
      </c>
      <c r="E345" s="4">
        <f>173.813111867114 * CHOOSE(CONTROL!$C$9, $C$13, 100%, $E$13) + CHOOSE(CONTROL!$C$28, 0, 0)</f>
        <v>173.813111867114</v>
      </c>
    </row>
    <row r="346" spans="1:5" ht="15">
      <c r="A346" s="13">
        <v>52047</v>
      </c>
      <c r="B346" s="4">
        <f>29.5988 * CHOOSE(CONTROL!$C$9, $C$13, 100%, $E$13) + CHOOSE(CONTROL!$C$28, 0.0276, 0)</f>
        <v>29.6264</v>
      </c>
      <c r="C346" s="4">
        <f>29.2863 * CHOOSE(CONTROL!$C$9, $C$13, 100%, $E$13) + CHOOSE(CONTROL!$C$28, 0.0276, 0)</f>
        <v>29.3139</v>
      </c>
      <c r="D346" s="4">
        <f>35.0175 * CHOOSE(CONTROL!$C$9, $C$13, 100%, $E$13) + CHOOSE(CONTROL!$C$28, 0, 0)</f>
        <v>35.017499999999998</v>
      </c>
      <c r="E346" s="4">
        <f>174.363080234053 * CHOOSE(CONTROL!$C$9, $C$13, 100%, $E$13) + CHOOSE(CONTROL!$C$28, 0, 0)</f>
        <v>174.363080234053</v>
      </c>
    </row>
    <row r="347" spans="1:5" ht="15">
      <c r="A347" s="13">
        <v>52078</v>
      </c>
      <c r="B347" s="4">
        <f>29.59 * CHOOSE(CONTROL!$C$9, $C$13, 100%, $E$13) + CHOOSE(CONTROL!$C$28, 0.0276, 0)</f>
        <v>29.617599999999999</v>
      </c>
      <c r="C347" s="4">
        <f>29.2775 * CHOOSE(CONTROL!$C$9, $C$13, 100%, $E$13) + CHOOSE(CONTROL!$C$28, 0.0276, 0)</f>
        <v>29.305099999999999</v>
      </c>
      <c r="D347" s="4">
        <f>35.5826 * CHOOSE(CONTROL!$C$9, $C$13, 100%, $E$13) + CHOOSE(CONTROL!$C$28, 0, 0)</f>
        <v>35.582599999999999</v>
      </c>
      <c r="E347" s="4">
        <f>174.307621239067 * CHOOSE(CONTROL!$C$9, $C$13, 100%, $E$13) + CHOOSE(CONTROL!$C$28, 0, 0)</f>
        <v>174.307621239067</v>
      </c>
    </row>
    <row r="348" spans="1:5" ht="15">
      <c r="A348" s="13">
        <v>52109</v>
      </c>
      <c r="B348" s="4">
        <f>30.2536 * CHOOSE(CONTROL!$C$9, $C$13, 100%, $E$13) + CHOOSE(CONTROL!$C$28, 0.0276, 0)</f>
        <v>30.281199999999998</v>
      </c>
      <c r="C348" s="4">
        <f>29.9411 * CHOOSE(CONTROL!$C$9, $C$13, 100%, $E$13) + CHOOSE(CONTROL!$C$28, 0.0276, 0)</f>
        <v>29.968699999999998</v>
      </c>
      <c r="D348" s="4">
        <f>35.2094 * CHOOSE(CONTROL!$C$9, $C$13, 100%, $E$13) + CHOOSE(CONTROL!$C$28, 0, 0)</f>
        <v>35.209400000000002</v>
      </c>
      <c r="E348" s="4">
        <f>178.480910611718 * CHOOSE(CONTROL!$C$9, $C$13, 100%, $E$13) + CHOOSE(CONTROL!$C$28, 0, 0)</f>
        <v>178.480910611718</v>
      </c>
    </row>
    <row r="349" spans="1:5" ht="15">
      <c r="A349" s="13">
        <v>52139</v>
      </c>
      <c r="B349" s="4">
        <f>29.1227 * CHOOSE(CONTROL!$C$9, $C$13, 100%, $E$13) + CHOOSE(CONTROL!$C$28, 0.0276, 0)</f>
        <v>29.150299999999998</v>
      </c>
      <c r="C349" s="4">
        <f>28.8102 * CHOOSE(CONTROL!$C$9, $C$13, 100%, $E$13) + CHOOSE(CONTROL!$C$28, 0.0276, 0)</f>
        <v>28.837799999999998</v>
      </c>
      <c r="D349" s="4">
        <f>35.0331 * CHOOSE(CONTROL!$C$9, $C$13, 100%, $E$13) + CHOOSE(CONTROL!$C$28, 0, 0)</f>
        <v>35.033099999999997</v>
      </c>
      <c r="E349" s="4">
        <f>171.368294504842 * CHOOSE(CONTROL!$C$9, $C$13, 100%, $E$13) + CHOOSE(CONTROL!$C$28, 0, 0)</f>
        <v>171.368294504842</v>
      </c>
    </row>
    <row r="350" spans="1:5" ht="15">
      <c r="A350" s="13">
        <v>52170</v>
      </c>
      <c r="B350" s="4">
        <f>28.2174 * CHOOSE(CONTROL!$C$9, $C$13, 100%, $E$13) + CHOOSE(CONTROL!$C$28, 0.0003, 0)</f>
        <v>28.217700000000001</v>
      </c>
      <c r="C350" s="4">
        <f>27.9049 * CHOOSE(CONTROL!$C$9, $C$13, 100%, $E$13) + CHOOSE(CONTROL!$C$28, 0.0003, 0)</f>
        <v>27.905200000000001</v>
      </c>
      <c r="D350" s="4">
        <f>34.561 * CHOOSE(CONTROL!$C$9, $C$13, 100%, $E$13) + CHOOSE(CONTROL!$C$28, 0, 0)</f>
        <v>34.561</v>
      </c>
      <c r="E350" s="4">
        <f>165.674504353009 * CHOOSE(CONTROL!$C$9, $C$13, 100%, $E$13) + CHOOSE(CONTROL!$C$28, 0, 0)</f>
        <v>165.67450435300901</v>
      </c>
    </row>
    <row r="351" spans="1:5" ht="15">
      <c r="A351" s="13">
        <v>52200</v>
      </c>
      <c r="B351" s="4">
        <f>27.6343 * CHOOSE(CONTROL!$C$9, $C$13, 100%, $E$13) + CHOOSE(CONTROL!$C$28, 0.0003, 0)</f>
        <v>27.634599999999999</v>
      </c>
      <c r="C351" s="4">
        <f>27.3218 * CHOOSE(CONTROL!$C$9, $C$13, 100%, $E$13) + CHOOSE(CONTROL!$C$28, 0.0003, 0)</f>
        <v>27.322099999999999</v>
      </c>
      <c r="D351" s="4">
        <f>34.3987 * CHOOSE(CONTROL!$C$9, $C$13, 100%, $E$13) + CHOOSE(CONTROL!$C$28, 0, 0)</f>
        <v>34.398699999999998</v>
      </c>
      <c r="E351" s="4">
        <f>162.0072783096 * CHOOSE(CONTROL!$C$9, $C$13, 100%, $E$13) + CHOOSE(CONTROL!$C$28, 0, 0)</f>
        <v>162.0072783096</v>
      </c>
    </row>
    <row r="352" spans="1:5" ht="15">
      <c r="A352" s="13">
        <v>52231</v>
      </c>
      <c r="B352" s="4">
        <f>27.2308 * CHOOSE(CONTROL!$C$9, $C$13, 100%, $E$13) + CHOOSE(CONTROL!$C$28, 0.0003, 0)</f>
        <v>27.231099999999998</v>
      </c>
      <c r="C352" s="4">
        <f>26.9183 * CHOOSE(CONTROL!$C$9, $C$13, 100%, $E$13) + CHOOSE(CONTROL!$C$28, 0.0003, 0)</f>
        <v>26.918599999999998</v>
      </c>
      <c r="D352" s="4">
        <f>33.2037 * CHOOSE(CONTROL!$C$9, $C$13, 100%, $E$13) + CHOOSE(CONTROL!$C$28, 0, 0)</f>
        <v>33.203699999999998</v>
      </c>
      <c r="E352" s="4">
        <f>159.470029289019 * CHOOSE(CONTROL!$C$9, $C$13, 100%, $E$13) + CHOOSE(CONTROL!$C$28, 0, 0)</f>
        <v>159.47002928901901</v>
      </c>
    </row>
    <row r="353" spans="1:5" ht="15">
      <c r="A353" s="13">
        <v>52262</v>
      </c>
      <c r="B353" s="4">
        <f>26.5754 * CHOOSE(CONTROL!$C$9, $C$13, 100%, $E$13) + CHOOSE(CONTROL!$C$28, 0.0003, 0)</f>
        <v>26.575699999999998</v>
      </c>
      <c r="C353" s="4">
        <f>26.2629 * CHOOSE(CONTROL!$C$9, $C$13, 100%, $E$13) + CHOOSE(CONTROL!$C$28, 0.0003, 0)</f>
        <v>26.263199999999998</v>
      </c>
      <c r="D353" s="4">
        <f>32.1055 * CHOOSE(CONTROL!$C$9, $C$13, 100%, $E$13) + CHOOSE(CONTROL!$C$28, 0, 0)</f>
        <v>32.105499999999999</v>
      </c>
      <c r="E353" s="4">
        <f>154.897036540947 * CHOOSE(CONTROL!$C$9, $C$13, 100%, $E$13) + CHOOSE(CONTROL!$C$28, 0, 0)</f>
        <v>154.897036540947</v>
      </c>
    </row>
    <row r="354" spans="1:5" ht="15">
      <c r="A354" s="13">
        <v>52290</v>
      </c>
      <c r="B354" s="4">
        <f>27.1618 * CHOOSE(CONTROL!$C$9, $C$13, 100%, $E$13) + CHOOSE(CONTROL!$C$28, 0.0003, 0)</f>
        <v>27.162099999999999</v>
      </c>
      <c r="C354" s="4">
        <f>26.8493 * CHOOSE(CONTROL!$C$9, $C$13, 100%, $E$13) + CHOOSE(CONTROL!$C$28, 0.0003, 0)</f>
        <v>26.849599999999999</v>
      </c>
      <c r="D354" s="4">
        <f>33.2114 * CHOOSE(CONTROL!$C$9, $C$13, 100%, $E$13) + CHOOSE(CONTROL!$C$28, 0, 0)</f>
        <v>33.211399999999998</v>
      </c>
      <c r="E354" s="4">
        <f>158.574902623623 * CHOOSE(CONTROL!$C$9, $C$13, 100%, $E$13) + CHOOSE(CONTROL!$C$28, 0, 0)</f>
        <v>158.57490262362299</v>
      </c>
    </row>
    <row r="355" spans="1:5" ht="15">
      <c r="A355" s="13">
        <v>52321</v>
      </c>
      <c r="B355" s="4">
        <f>28.702 * CHOOSE(CONTROL!$C$9, $C$13, 100%, $E$13) + CHOOSE(CONTROL!$C$28, 0.0003, 0)</f>
        <v>28.702300000000001</v>
      </c>
      <c r="C355" s="4">
        <f>28.3895 * CHOOSE(CONTROL!$C$9, $C$13, 100%, $E$13) + CHOOSE(CONTROL!$C$28, 0.0003, 0)</f>
        <v>28.389800000000001</v>
      </c>
      <c r="D355" s="4">
        <f>34.9427 * CHOOSE(CONTROL!$C$9, $C$13, 100%, $E$13) + CHOOSE(CONTROL!$C$28, 0, 0)</f>
        <v>34.942700000000002</v>
      </c>
      <c r="E355" s="4">
        <f>168.233174410403 * CHOOSE(CONTROL!$C$9, $C$13, 100%, $E$13) + CHOOSE(CONTROL!$C$28, 0, 0)</f>
        <v>168.233174410403</v>
      </c>
    </row>
    <row r="356" spans="1:5" ht="15">
      <c r="A356" s="13">
        <v>52351</v>
      </c>
      <c r="B356" s="4">
        <f>29.7963 * CHOOSE(CONTROL!$C$9, $C$13, 100%, $E$13) + CHOOSE(CONTROL!$C$28, 0.0003, 0)</f>
        <v>29.796599999999998</v>
      </c>
      <c r="C356" s="4">
        <f>29.4838 * CHOOSE(CONTROL!$C$9, $C$13, 100%, $E$13) + CHOOSE(CONTROL!$C$28, 0.0003, 0)</f>
        <v>29.484099999999998</v>
      </c>
      <c r="D356" s="4">
        <f>35.94 * CHOOSE(CONTROL!$C$9, $C$13, 100%, $E$13) + CHOOSE(CONTROL!$C$28, 0, 0)</f>
        <v>35.94</v>
      </c>
      <c r="E356" s="4">
        <f>175.095505228306 * CHOOSE(CONTROL!$C$9, $C$13, 100%, $E$13) + CHOOSE(CONTROL!$C$28, 0, 0)</f>
        <v>175.095505228306</v>
      </c>
    </row>
    <row r="357" spans="1:5" ht="15">
      <c r="A357" s="13">
        <v>52382</v>
      </c>
      <c r="B357" s="4">
        <f>30.4649 * CHOOSE(CONTROL!$C$9, $C$13, 100%, $E$13) + CHOOSE(CONTROL!$C$28, 0.0276, 0)</f>
        <v>30.4925</v>
      </c>
      <c r="C357" s="4">
        <f>30.1524 * CHOOSE(CONTROL!$C$9, $C$13, 100%, $E$13) + CHOOSE(CONTROL!$C$28, 0.0276, 0)</f>
        <v>30.18</v>
      </c>
      <c r="D357" s="4">
        <f>35.5459 * CHOOSE(CONTROL!$C$9, $C$13, 100%, $E$13) + CHOOSE(CONTROL!$C$28, 0, 0)</f>
        <v>35.545900000000003</v>
      </c>
      <c r="E357" s="4">
        <f>179.288224890928 * CHOOSE(CONTROL!$C$9, $C$13, 100%, $E$13) + CHOOSE(CONTROL!$C$28, 0, 0)</f>
        <v>179.28822489092801</v>
      </c>
    </row>
    <row r="358" spans="1:5" ht="15">
      <c r="A358" s="13">
        <v>52412</v>
      </c>
      <c r="B358" s="4">
        <f>30.5553 * CHOOSE(CONTROL!$C$9, $C$13, 100%, $E$13) + CHOOSE(CONTROL!$C$28, 0.0276, 0)</f>
        <v>30.582899999999999</v>
      </c>
      <c r="C358" s="4">
        <f>30.2428 * CHOOSE(CONTROL!$C$9, $C$13, 100%, $E$13) + CHOOSE(CONTROL!$C$28, 0.0276, 0)</f>
        <v>30.270399999999999</v>
      </c>
      <c r="D358" s="4">
        <f>35.8669 * CHOOSE(CONTROL!$C$9, $C$13, 100%, $E$13) + CHOOSE(CONTROL!$C$28, 0, 0)</f>
        <v>35.866900000000001</v>
      </c>
      <c r="E358" s="4">
        <f>179.855517261425 * CHOOSE(CONTROL!$C$9, $C$13, 100%, $E$13) + CHOOSE(CONTROL!$C$28, 0, 0)</f>
        <v>179.85551726142501</v>
      </c>
    </row>
    <row r="359" spans="1:5" ht="15">
      <c r="A359" s="13">
        <v>52443</v>
      </c>
      <c r="B359" s="4">
        <f>30.5462 * CHOOSE(CONTROL!$C$9, $C$13, 100%, $E$13) + CHOOSE(CONTROL!$C$28, 0.0276, 0)</f>
        <v>30.573799999999999</v>
      </c>
      <c r="C359" s="4">
        <f>30.2337 * CHOOSE(CONTROL!$C$9, $C$13, 100%, $E$13) + CHOOSE(CONTROL!$C$28, 0.0276, 0)</f>
        <v>30.261299999999999</v>
      </c>
      <c r="D359" s="4">
        <f>36.446 * CHOOSE(CONTROL!$C$9, $C$13, 100%, $E$13) + CHOOSE(CONTROL!$C$28, 0, 0)</f>
        <v>36.445999999999998</v>
      </c>
      <c r="E359" s="4">
        <f>179.798311308098 * CHOOSE(CONTROL!$C$9, $C$13, 100%, $E$13) + CHOOSE(CONTROL!$C$28, 0, 0)</f>
        <v>179.79831130809799</v>
      </c>
    </row>
    <row r="360" spans="1:5" ht="15">
      <c r="A360" s="13">
        <v>52474</v>
      </c>
      <c r="B360" s="4">
        <f>31.2326 * CHOOSE(CONTROL!$C$9, $C$13, 100%, $E$13) + CHOOSE(CONTROL!$C$28, 0.0276, 0)</f>
        <v>31.260200000000001</v>
      </c>
      <c r="C360" s="4">
        <f>30.9201 * CHOOSE(CONTROL!$C$9, $C$13, 100%, $E$13) + CHOOSE(CONTROL!$C$28, 0.0276, 0)</f>
        <v>30.947700000000001</v>
      </c>
      <c r="D360" s="4">
        <f>36.0635 * CHOOSE(CONTROL!$C$9, $C$13, 100%, $E$13) + CHOOSE(CONTROL!$C$28, 0, 0)</f>
        <v>36.063499999999998</v>
      </c>
      <c r="E360" s="4">
        <f>184.103059295987 * CHOOSE(CONTROL!$C$9, $C$13, 100%, $E$13) + CHOOSE(CONTROL!$C$28, 0, 0)</f>
        <v>184.10305929598701</v>
      </c>
    </row>
    <row r="361" spans="1:5" ht="15">
      <c r="A361" s="13">
        <v>52504</v>
      </c>
      <c r="B361" s="4">
        <f>30.0627 * CHOOSE(CONTROL!$C$9, $C$13, 100%, $E$13) + CHOOSE(CONTROL!$C$28, 0.0276, 0)</f>
        <v>30.090299999999999</v>
      </c>
      <c r="C361" s="4">
        <f>29.7502 * CHOOSE(CONTROL!$C$9, $C$13, 100%, $E$13) + CHOOSE(CONTROL!$C$28, 0.0276, 0)</f>
        <v>29.777799999999999</v>
      </c>
      <c r="D361" s="4">
        <f>35.8828 * CHOOSE(CONTROL!$C$9, $C$13, 100%, $E$13) + CHOOSE(CONTROL!$C$28, 0, 0)</f>
        <v>35.882800000000003</v>
      </c>
      <c r="E361" s="4">
        <f>176.766395781744 * CHOOSE(CONTROL!$C$9, $C$13, 100%, $E$13) + CHOOSE(CONTROL!$C$28, 0, 0)</f>
        <v>176.766395781744</v>
      </c>
    </row>
    <row r="362" spans="1:5" ht="15">
      <c r="A362" s="13">
        <v>52535</v>
      </c>
      <c r="B362" s="4">
        <f>29.1262 * CHOOSE(CONTROL!$C$9, $C$13, 100%, $E$13) + CHOOSE(CONTROL!$C$28, 0.0003, 0)</f>
        <v>29.1265</v>
      </c>
      <c r="C362" s="4">
        <f>28.8137 * CHOOSE(CONTROL!$C$9, $C$13, 100%, $E$13) + CHOOSE(CONTROL!$C$28, 0.0003, 0)</f>
        <v>28.814</v>
      </c>
      <c r="D362" s="4">
        <f>35.399 * CHOOSE(CONTROL!$C$9, $C$13, 100%, $E$13) + CHOOSE(CONTROL!$C$28, 0, 0)</f>
        <v>35.399000000000001</v>
      </c>
      <c r="E362" s="4">
        <f>170.893251240129 * CHOOSE(CONTROL!$C$9, $C$13, 100%, $E$13) + CHOOSE(CONTROL!$C$28, 0, 0)</f>
        <v>170.89325124012899</v>
      </c>
    </row>
    <row r="363" spans="1:5" ht="15">
      <c r="A363" s="13">
        <v>52565</v>
      </c>
      <c r="B363" s="4">
        <f>28.523 * CHOOSE(CONTROL!$C$9, $C$13, 100%, $E$13) + CHOOSE(CONTROL!$C$28, 0.0003, 0)</f>
        <v>28.523299999999999</v>
      </c>
      <c r="C363" s="4">
        <f>28.2105 * CHOOSE(CONTROL!$C$9, $C$13, 100%, $E$13) + CHOOSE(CONTROL!$C$28, 0.0003, 0)</f>
        <v>28.210799999999999</v>
      </c>
      <c r="D363" s="4">
        <f>35.2327 * CHOOSE(CONTROL!$C$9, $C$13, 100%, $E$13) + CHOOSE(CONTROL!$C$28, 0, 0)</f>
        <v>35.232700000000001</v>
      </c>
      <c r="E363" s="4">
        <f>167.110507576353 * CHOOSE(CONTROL!$C$9, $C$13, 100%, $E$13) + CHOOSE(CONTROL!$C$28, 0, 0)</f>
        <v>167.110507576353</v>
      </c>
    </row>
    <row r="364" spans="1:5" ht="15">
      <c r="A364" s="13">
        <v>52596</v>
      </c>
      <c r="B364" s="4">
        <f>28.1056 * CHOOSE(CONTROL!$C$9, $C$13, 100%, $E$13) + CHOOSE(CONTROL!$C$28, 0.0003, 0)</f>
        <v>28.105899999999998</v>
      </c>
      <c r="C364" s="4">
        <f>27.7931 * CHOOSE(CONTROL!$C$9, $C$13, 100%, $E$13) + CHOOSE(CONTROL!$C$28, 0.0003, 0)</f>
        <v>27.793399999999998</v>
      </c>
      <c r="D364" s="4">
        <f>34.0081 * CHOOSE(CONTROL!$C$9, $C$13, 100%, $E$13) + CHOOSE(CONTROL!$C$28, 0, 0)</f>
        <v>34.008099999999999</v>
      </c>
      <c r="E364" s="4">
        <f>164.493335211623 * CHOOSE(CONTROL!$C$9, $C$13, 100%, $E$13) + CHOOSE(CONTROL!$C$28, 0, 0)</f>
        <v>164.49333521162299</v>
      </c>
    </row>
    <row r="365" spans="1:5" ht="15">
      <c r="A365" s="13">
        <v>52627</v>
      </c>
      <c r="B365" s="4">
        <f>27.4275 * CHOOSE(CONTROL!$C$9, $C$13, 100%, $E$13) + CHOOSE(CONTROL!$C$28, 0.0003, 0)</f>
        <v>27.427799999999998</v>
      </c>
      <c r="C365" s="4">
        <f>27.115 * CHOOSE(CONTROL!$C$9, $C$13, 100%, $E$13) + CHOOSE(CONTROL!$C$28, 0.0003, 0)</f>
        <v>27.115299999999998</v>
      </c>
      <c r="D365" s="4">
        <f>32.8826 * CHOOSE(CONTROL!$C$9, $C$13, 100%, $E$13) + CHOOSE(CONTROL!$C$28, 0, 0)</f>
        <v>32.882599999999996</v>
      </c>
      <c r="E365" s="4">
        <f>159.776293191987 * CHOOSE(CONTROL!$C$9, $C$13, 100%, $E$13) + CHOOSE(CONTROL!$C$28, 0, 0)</f>
        <v>159.77629319198701</v>
      </c>
    </row>
    <row r="366" spans="1:5" ht="15">
      <c r="A366" s="13">
        <v>52655</v>
      </c>
      <c r="B366" s="4">
        <f>28.0342 * CHOOSE(CONTROL!$C$9, $C$13, 100%, $E$13) + CHOOSE(CONTROL!$C$28, 0.0003, 0)</f>
        <v>28.034499999999998</v>
      </c>
      <c r="C366" s="4">
        <f>27.7217 * CHOOSE(CONTROL!$C$9, $C$13, 100%, $E$13) + CHOOSE(CONTROL!$C$28, 0.0003, 0)</f>
        <v>27.721999999999998</v>
      </c>
      <c r="D366" s="4">
        <f>34.016 * CHOOSE(CONTROL!$C$9, $C$13, 100%, $E$13) + CHOOSE(CONTROL!$C$28, 0, 0)</f>
        <v>34.015999999999998</v>
      </c>
      <c r="E366" s="4">
        <f>163.570012056267 * CHOOSE(CONTROL!$C$9, $C$13, 100%, $E$13) + CHOOSE(CONTROL!$C$28, 0, 0)</f>
        <v>163.57001205626699</v>
      </c>
    </row>
    <row r="367" spans="1:5" ht="15">
      <c r="A367" s="13">
        <v>52687</v>
      </c>
      <c r="B367" s="4">
        <f>29.6275 * CHOOSE(CONTROL!$C$9, $C$13, 100%, $E$13) + CHOOSE(CONTROL!$C$28, 0.0003, 0)</f>
        <v>29.627800000000001</v>
      </c>
      <c r="C367" s="4">
        <f>29.315 * CHOOSE(CONTROL!$C$9, $C$13, 100%, $E$13) + CHOOSE(CONTROL!$C$28, 0.0003, 0)</f>
        <v>29.315300000000001</v>
      </c>
      <c r="D367" s="4">
        <f>35.7902 * CHOOSE(CONTROL!$C$9, $C$13, 100%, $E$13) + CHOOSE(CONTROL!$C$28, 0, 0)</f>
        <v>35.790199999999999</v>
      </c>
      <c r="E367" s="4">
        <f>173.532519404331 * CHOOSE(CONTROL!$C$9, $C$13, 100%, $E$13) + CHOOSE(CONTROL!$C$28, 0, 0)</f>
        <v>173.532519404331</v>
      </c>
    </row>
    <row r="368" spans="1:5" ht="15">
      <c r="A368" s="13">
        <v>52717</v>
      </c>
      <c r="B368" s="4">
        <f>30.7596 * CHOOSE(CONTROL!$C$9, $C$13, 100%, $E$13) + CHOOSE(CONTROL!$C$28, 0.0003, 0)</f>
        <v>30.759899999999998</v>
      </c>
      <c r="C368" s="4">
        <f>30.4471 * CHOOSE(CONTROL!$C$9, $C$13, 100%, $E$13) + CHOOSE(CONTROL!$C$28, 0.0003, 0)</f>
        <v>30.447399999999998</v>
      </c>
      <c r="D368" s="4">
        <f>36.8122 * CHOOSE(CONTROL!$C$9, $C$13, 100%, $E$13) + CHOOSE(CONTROL!$C$28, 0, 0)</f>
        <v>36.812199999999997</v>
      </c>
      <c r="E368" s="4">
        <f>180.611013642998 * CHOOSE(CONTROL!$C$9, $C$13, 100%, $E$13) + CHOOSE(CONTROL!$C$28, 0, 0)</f>
        <v>180.61101364299799</v>
      </c>
    </row>
    <row r="369" spans="1:5" ht="15">
      <c r="A369" s="13">
        <v>52748</v>
      </c>
      <c r="B369" s="4">
        <f>31.4512 * CHOOSE(CONTROL!$C$9, $C$13, 100%, $E$13) + CHOOSE(CONTROL!$C$28, 0.0276, 0)</f>
        <v>31.4788</v>
      </c>
      <c r="C369" s="4">
        <f>31.1387 * CHOOSE(CONTROL!$C$9, $C$13, 100%, $E$13) + CHOOSE(CONTROL!$C$28, 0.0276, 0)</f>
        <v>31.1663</v>
      </c>
      <c r="D369" s="4">
        <f>36.4084 * CHOOSE(CONTROL!$C$9, $C$13, 100%, $E$13) + CHOOSE(CONTROL!$C$28, 0, 0)</f>
        <v>36.4084</v>
      </c>
      <c r="E369" s="4">
        <f>184.935803974993 * CHOOSE(CONTROL!$C$9, $C$13, 100%, $E$13) + CHOOSE(CONTROL!$C$28, 0, 0)</f>
        <v>184.93580397499301</v>
      </c>
    </row>
    <row r="370" spans="1:5" ht="15">
      <c r="A370" s="13">
        <v>52778</v>
      </c>
      <c r="B370" s="4">
        <f>31.5448 * CHOOSE(CONTROL!$C$9, $C$13, 100%, $E$13) + CHOOSE(CONTROL!$C$28, 0.0276, 0)</f>
        <v>31.572399999999998</v>
      </c>
      <c r="C370" s="4">
        <f>31.2323 * CHOOSE(CONTROL!$C$9, $C$13, 100%, $E$13) + CHOOSE(CONTROL!$C$28, 0.0276, 0)</f>
        <v>31.259899999999998</v>
      </c>
      <c r="D370" s="4">
        <f>36.7373 * CHOOSE(CONTROL!$C$9, $C$13, 100%, $E$13) + CHOOSE(CONTROL!$C$28, 0, 0)</f>
        <v>36.737299999999998</v>
      </c>
      <c r="E370" s="4">
        <f>185.52096605516 * CHOOSE(CONTROL!$C$9, $C$13, 100%, $E$13) + CHOOSE(CONTROL!$C$28, 0, 0)</f>
        <v>185.52096605515999</v>
      </c>
    </row>
    <row r="371" spans="1:5" ht="15">
      <c r="A371" s="13">
        <v>52809</v>
      </c>
      <c r="B371" s="4">
        <f>31.5354 * CHOOSE(CONTROL!$C$9, $C$13, 100%, $E$13) + CHOOSE(CONTROL!$C$28, 0.0276, 0)</f>
        <v>31.562999999999999</v>
      </c>
      <c r="C371" s="4">
        <f>31.2229 * CHOOSE(CONTROL!$C$9, $C$13, 100%, $E$13) + CHOOSE(CONTROL!$C$28, 0.0276, 0)</f>
        <v>31.250499999999999</v>
      </c>
      <c r="D371" s="4">
        <f>37.3307 * CHOOSE(CONTROL!$C$9, $C$13, 100%, $E$13) + CHOOSE(CONTROL!$C$28, 0, 0)</f>
        <v>37.3307</v>
      </c>
      <c r="E371" s="4">
        <f>185.461958114303 * CHOOSE(CONTROL!$C$9, $C$13, 100%, $E$13) + CHOOSE(CONTROL!$C$28, 0, 0)</f>
        <v>185.461958114303</v>
      </c>
    </row>
    <row r="372" spans="1:5" ht="15">
      <c r="A372" s="13">
        <v>52840</v>
      </c>
      <c r="B372" s="4">
        <f>32.2455 * CHOOSE(CONTROL!$C$9, $C$13, 100%, $E$13) + CHOOSE(CONTROL!$C$28, 0.0276, 0)</f>
        <v>32.273099999999999</v>
      </c>
      <c r="C372" s="4">
        <f>31.933 * CHOOSE(CONTROL!$C$9, $C$13, 100%, $E$13) + CHOOSE(CONTROL!$C$28, 0.0276, 0)</f>
        <v>31.960599999999999</v>
      </c>
      <c r="D372" s="4">
        <f>36.9388 * CHOOSE(CONTROL!$C$9, $C$13, 100%, $E$13) + CHOOSE(CONTROL!$C$28, 0, 0)</f>
        <v>36.938800000000001</v>
      </c>
      <c r="E372" s="4">
        <f>189.90230566381 * CHOOSE(CONTROL!$C$9, $C$13, 100%, $E$13) + CHOOSE(CONTROL!$C$28, 0, 0)</f>
        <v>189.90230566381001</v>
      </c>
    </row>
    <row r="373" spans="1:5" ht="15">
      <c r="A373" s="13">
        <v>52870</v>
      </c>
      <c r="B373" s="4">
        <f>31.0352 * CHOOSE(CONTROL!$C$9, $C$13, 100%, $E$13) + CHOOSE(CONTROL!$C$28, 0.0276, 0)</f>
        <v>31.062799999999999</v>
      </c>
      <c r="C373" s="4">
        <f>30.7227 * CHOOSE(CONTROL!$C$9, $C$13, 100%, $E$13) + CHOOSE(CONTROL!$C$28, 0.0276, 0)</f>
        <v>30.750299999999999</v>
      </c>
      <c r="D373" s="4">
        <f>36.7536 * CHOOSE(CONTROL!$C$9, $C$13, 100%, $E$13) + CHOOSE(CONTROL!$C$28, 0, 0)</f>
        <v>36.753599999999999</v>
      </c>
      <c r="E373" s="4">
        <f>182.334537248869 * CHOOSE(CONTROL!$C$9, $C$13, 100%, $E$13) + CHOOSE(CONTROL!$C$28, 0, 0)</f>
        <v>182.334537248869</v>
      </c>
    </row>
    <row r="374" spans="1:5" ht="15">
      <c r="A374" s="13">
        <v>52901</v>
      </c>
      <c r="B374" s="4">
        <f>30.0663 * CHOOSE(CONTROL!$C$9, $C$13, 100%, $E$13) + CHOOSE(CONTROL!$C$28, 0.0003, 0)</f>
        <v>30.066599999999998</v>
      </c>
      <c r="C374" s="4">
        <f>29.7538 * CHOOSE(CONTROL!$C$9, $C$13, 100%, $E$13) + CHOOSE(CONTROL!$C$28, 0.0003, 0)</f>
        <v>29.754099999999998</v>
      </c>
      <c r="D374" s="4">
        <f>36.2578 * CHOOSE(CONTROL!$C$9, $C$13, 100%, $E$13) + CHOOSE(CONTROL!$C$28, 0, 0)</f>
        <v>36.257800000000003</v>
      </c>
      <c r="E374" s="4">
        <f>176.276388654193 * CHOOSE(CONTROL!$C$9, $C$13, 100%, $E$13) + CHOOSE(CONTROL!$C$28, 0, 0)</f>
        <v>176.276388654193</v>
      </c>
    </row>
    <row r="375" spans="1:5" ht="15">
      <c r="A375" s="13">
        <v>52931</v>
      </c>
      <c r="B375" s="4">
        <f>29.4423 * CHOOSE(CONTROL!$C$9, $C$13, 100%, $E$13) + CHOOSE(CONTROL!$C$28, 0.0003, 0)</f>
        <v>29.442599999999999</v>
      </c>
      <c r="C375" s="4">
        <f>29.1298 * CHOOSE(CONTROL!$C$9, $C$13, 100%, $E$13) + CHOOSE(CONTROL!$C$28, 0.0003, 0)</f>
        <v>29.130099999999999</v>
      </c>
      <c r="D375" s="4">
        <f>36.0873 * CHOOSE(CONTROL!$C$9, $C$13, 100%, $E$13) + CHOOSE(CONTROL!$C$28, 0, 0)</f>
        <v>36.087299999999999</v>
      </c>
      <c r="E375" s="4">
        <f>172.374488565008 * CHOOSE(CONTROL!$C$9, $C$13, 100%, $E$13) + CHOOSE(CONTROL!$C$28, 0, 0)</f>
        <v>172.37448856500799</v>
      </c>
    </row>
    <row r="376" spans="1:5" ht="15">
      <c r="A376" s="13">
        <v>52962</v>
      </c>
      <c r="B376" s="4">
        <f>29.0106 * CHOOSE(CONTROL!$C$9, $C$13, 100%, $E$13) + CHOOSE(CONTROL!$C$28, 0.0003, 0)</f>
        <v>29.010899999999999</v>
      </c>
      <c r="C376" s="4">
        <f>28.6981 * CHOOSE(CONTROL!$C$9, $C$13, 100%, $E$13) + CHOOSE(CONTROL!$C$28, 0.0003, 0)</f>
        <v>28.698399999999999</v>
      </c>
      <c r="D376" s="4">
        <f>34.8324 * CHOOSE(CONTROL!$C$9, $C$13, 100%, $E$13) + CHOOSE(CONTROL!$C$28, 0, 0)</f>
        <v>34.8324</v>
      </c>
      <c r="E376" s="4">
        <f>169.674875270789 * CHOOSE(CONTROL!$C$9, $C$13, 100%, $E$13) + CHOOSE(CONTROL!$C$28, 0, 0)</f>
        <v>169.67487527078899</v>
      </c>
    </row>
    <row r="377" spans="1:5" ht="15">
      <c r="A377" s="13">
        <v>52993</v>
      </c>
      <c r="B377" s="4">
        <f>28.3091 * CHOOSE(CONTROL!$C$9, $C$13, 100%, $E$13) + CHOOSE(CONTROL!$C$28, 0.0003, 0)</f>
        <v>28.3094</v>
      </c>
      <c r="C377" s="4">
        <f>27.9966 * CHOOSE(CONTROL!$C$9, $C$13, 100%, $E$13) + CHOOSE(CONTROL!$C$28, 0.0003, 0)</f>
        <v>27.9969</v>
      </c>
      <c r="D377" s="4">
        <f>33.679 * CHOOSE(CONTROL!$C$9, $C$13, 100%, $E$13) + CHOOSE(CONTROL!$C$28, 0, 0)</f>
        <v>33.679000000000002</v>
      </c>
      <c r="E377" s="4">
        <f>164.809246427535 * CHOOSE(CONTROL!$C$9, $C$13, 100%, $E$13) + CHOOSE(CONTROL!$C$28, 0, 0)</f>
        <v>164.80924642753499</v>
      </c>
    </row>
    <row r="378" spans="1:5" ht="15">
      <c r="A378" s="13">
        <v>53021</v>
      </c>
      <c r="B378" s="4">
        <f>28.9367 * CHOOSE(CONTROL!$C$9, $C$13, 100%, $E$13) + CHOOSE(CONTROL!$C$28, 0.0003, 0)</f>
        <v>28.936999999999998</v>
      </c>
      <c r="C378" s="4">
        <f>28.6242 * CHOOSE(CONTROL!$C$9, $C$13, 100%, $E$13) + CHOOSE(CONTROL!$C$28, 0.0003, 0)</f>
        <v>28.624499999999998</v>
      </c>
      <c r="D378" s="4">
        <f>34.8405 * CHOOSE(CONTROL!$C$9, $C$13, 100%, $E$13) + CHOOSE(CONTROL!$C$28, 0, 0)</f>
        <v>34.840499999999999</v>
      </c>
      <c r="E378" s="4">
        <f>168.72246743604 * CHOOSE(CONTROL!$C$9, $C$13, 100%, $E$13) + CHOOSE(CONTROL!$C$28, 0, 0)</f>
        <v>168.72246743604001</v>
      </c>
    </row>
    <row r="379" spans="1:5" ht="15">
      <c r="A379" s="13">
        <v>53052</v>
      </c>
      <c r="B379" s="4">
        <f>30.585 * CHOOSE(CONTROL!$C$9, $C$13, 100%, $E$13) + CHOOSE(CONTROL!$C$28, 0.0003, 0)</f>
        <v>30.5853</v>
      </c>
      <c r="C379" s="4">
        <f>30.2725 * CHOOSE(CONTROL!$C$9, $C$13, 100%, $E$13) + CHOOSE(CONTROL!$C$28, 0.0003, 0)</f>
        <v>30.2728</v>
      </c>
      <c r="D379" s="4">
        <f>36.6587 * CHOOSE(CONTROL!$C$9, $C$13, 100%, $E$13) + CHOOSE(CONTROL!$C$28, 0, 0)</f>
        <v>36.658700000000003</v>
      </c>
      <c r="E379" s="4">
        <f>178.998793765568 * CHOOSE(CONTROL!$C$9, $C$13, 100%, $E$13) + CHOOSE(CONTROL!$C$28, 0, 0)</f>
        <v>178.998793765568</v>
      </c>
    </row>
    <row r="380" spans="1:5" ht="15">
      <c r="A380" s="13">
        <v>53082</v>
      </c>
      <c r="B380" s="4">
        <f>31.7561 * CHOOSE(CONTROL!$C$9, $C$13, 100%, $E$13) + CHOOSE(CONTROL!$C$28, 0.0003, 0)</f>
        <v>31.756399999999999</v>
      </c>
      <c r="C380" s="4">
        <f>31.4436 * CHOOSE(CONTROL!$C$9, $C$13, 100%, $E$13) + CHOOSE(CONTROL!$C$28, 0.0003, 0)</f>
        <v>31.443899999999999</v>
      </c>
      <c r="D380" s="4">
        <f>37.7061 * CHOOSE(CONTROL!$C$9, $C$13, 100%, $E$13) + CHOOSE(CONTROL!$C$28, 0, 0)</f>
        <v>37.706099999999999</v>
      </c>
      <c r="E380" s="4">
        <f>186.300260572752 * CHOOSE(CONTROL!$C$9, $C$13, 100%, $E$13) + CHOOSE(CONTROL!$C$28, 0, 0)</f>
        <v>186.30026057275199</v>
      </c>
    </row>
    <row r="381" spans="1:5" ht="15">
      <c r="A381" s="13">
        <v>53113</v>
      </c>
      <c r="B381" s="4">
        <f>32.4716 * CHOOSE(CONTROL!$C$9, $C$13, 100%, $E$13) + CHOOSE(CONTROL!$C$28, 0.0276, 0)</f>
        <v>32.499200000000002</v>
      </c>
      <c r="C381" s="4">
        <f>32.1591 * CHOOSE(CONTROL!$C$9, $C$13, 100%, $E$13) + CHOOSE(CONTROL!$C$28, 0.0276, 0)</f>
        <v>32.186700000000002</v>
      </c>
      <c r="D381" s="4">
        <f>37.2922 * CHOOSE(CONTROL!$C$9, $C$13, 100%, $E$13) + CHOOSE(CONTROL!$C$28, 0, 0)</f>
        <v>37.292200000000001</v>
      </c>
      <c r="E381" s="4">
        <f>190.761281800205 * CHOOSE(CONTROL!$C$9, $C$13, 100%, $E$13) + CHOOSE(CONTROL!$C$28, 0, 0)</f>
        <v>190.76128180020501</v>
      </c>
    </row>
    <row r="382" spans="1:5" ht="15">
      <c r="A382" s="13">
        <v>53143</v>
      </c>
      <c r="B382" s="4">
        <f>32.5684 * CHOOSE(CONTROL!$C$9, $C$13, 100%, $E$13) + CHOOSE(CONTROL!$C$28, 0.0276, 0)</f>
        <v>32.595999999999997</v>
      </c>
      <c r="C382" s="4">
        <f>32.2559 * CHOOSE(CONTROL!$C$9, $C$13, 100%, $E$13) + CHOOSE(CONTROL!$C$28, 0.0276, 0)</f>
        <v>32.283499999999997</v>
      </c>
      <c r="D382" s="4">
        <f>37.6293 * CHOOSE(CONTROL!$C$9, $C$13, 100%, $E$13) + CHOOSE(CONTROL!$C$28, 0, 0)</f>
        <v>37.629300000000001</v>
      </c>
      <c r="E382" s="4">
        <f>191.364876485898 * CHOOSE(CONTROL!$C$9, $C$13, 100%, $E$13) + CHOOSE(CONTROL!$C$28, 0, 0)</f>
        <v>191.36487648589801</v>
      </c>
    </row>
    <row r="383" spans="1:5" ht="15">
      <c r="A383" s="13">
        <v>53174</v>
      </c>
      <c r="B383" s="4">
        <f>32.5586 * CHOOSE(CONTROL!$C$9, $C$13, 100%, $E$13) + CHOOSE(CONTROL!$C$28, 0.0276, 0)</f>
        <v>32.586199999999998</v>
      </c>
      <c r="C383" s="4">
        <f>32.2461 * CHOOSE(CONTROL!$C$9, $C$13, 100%, $E$13) + CHOOSE(CONTROL!$C$28, 0.0276, 0)</f>
        <v>32.273699999999998</v>
      </c>
      <c r="D383" s="4">
        <f>38.2374 * CHOOSE(CONTROL!$C$9, $C$13, 100%, $E$13) + CHOOSE(CONTROL!$C$28, 0, 0)</f>
        <v>38.237400000000001</v>
      </c>
      <c r="E383" s="4">
        <f>191.304009794904 * CHOOSE(CONTROL!$C$9, $C$13, 100%, $E$13) + CHOOSE(CONTROL!$C$28, 0, 0)</f>
        <v>191.304009794904</v>
      </c>
    </row>
    <row r="384" spans="1:5" ht="15">
      <c r="A384" s="13">
        <v>53205</v>
      </c>
      <c r="B384" s="4">
        <f>33.2933 * CHOOSE(CONTROL!$C$9, $C$13, 100%, $E$13) + CHOOSE(CONTROL!$C$28, 0.0276, 0)</f>
        <v>33.320900000000002</v>
      </c>
      <c r="C384" s="4">
        <f>32.9808 * CHOOSE(CONTROL!$C$9, $C$13, 100%, $E$13) + CHOOSE(CONTROL!$C$28, 0.0276, 0)</f>
        <v>33.008400000000002</v>
      </c>
      <c r="D384" s="4">
        <f>37.8358 * CHOOSE(CONTROL!$C$9, $C$13, 100%, $E$13) + CHOOSE(CONTROL!$C$28, 0, 0)</f>
        <v>37.835799999999999</v>
      </c>
      <c r="E384" s="4">
        <f>195.88422829222 * CHOOSE(CONTROL!$C$9, $C$13, 100%, $E$13) + CHOOSE(CONTROL!$C$28, 0, 0)</f>
        <v>195.88422829222</v>
      </c>
    </row>
    <row r="385" spans="1:5" ht="15">
      <c r="A385" s="13">
        <v>53235</v>
      </c>
      <c r="B385" s="4">
        <f>32.0412 * CHOOSE(CONTROL!$C$9, $C$13, 100%, $E$13) + CHOOSE(CONTROL!$C$28, 0.0276, 0)</f>
        <v>32.068800000000003</v>
      </c>
      <c r="C385" s="4">
        <f>31.7287 * CHOOSE(CONTROL!$C$9, $C$13, 100%, $E$13) + CHOOSE(CONTROL!$C$28, 0.0276, 0)</f>
        <v>31.7563</v>
      </c>
      <c r="D385" s="4">
        <f>37.646 * CHOOSE(CONTROL!$C$9, $C$13, 100%, $E$13) + CHOOSE(CONTROL!$C$28, 0, 0)</f>
        <v>37.646000000000001</v>
      </c>
      <c r="E385" s="4">
        <f>188.078075172209 * CHOOSE(CONTROL!$C$9, $C$13, 100%, $E$13) + CHOOSE(CONTROL!$C$28, 0, 0)</f>
        <v>188.078075172209</v>
      </c>
    </row>
    <row r="386" spans="1:5" ht="15">
      <c r="A386" s="13">
        <v>53266</v>
      </c>
      <c r="B386" s="4">
        <f>31.0389 * CHOOSE(CONTROL!$C$9, $C$13, 100%, $E$13) + CHOOSE(CONTROL!$C$28, 0.0003, 0)</f>
        <v>31.039200000000001</v>
      </c>
      <c r="C386" s="4">
        <f>30.7264 * CHOOSE(CONTROL!$C$9, $C$13, 100%, $E$13) + CHOOSE(CONTROL!$C$28, 0.0003, 0)</f>
        <v>30.726700000000001</v>
      </c>
      <c r="D386" s="4">
        <f>37.1379 * CHOOSE(CONTROL!$C$9, $C$13, 100%, $E$13) + CHOOSE(CONTROL!$C$28, 0, 0)</f>
        <v>37.137900000000002</v>
      </c>
      <c r="E386" s="4">
        <f>181.8290948968 * CHOOSE(CONTROL!$C$9, $C$13, 100%, $E$13) + CHOOSE(CONTROL!$C$28, 0, 0)</f>
        <v>181.8290948968</v>
      </c>
    </row>
    <row r="387" spans="1:5" ht="15">
      <c r="A387" s="13">
        <v>53296</v>
      </c>
      <c r="B387" s="4">
        <f>30.3934 * CHOOSE(CONTROL!$C$9, $C$13, 100%, $E$13) + CHOOSE(CONTROL!$C$28, 0.0003, 0)</f>
        <v>30.393699999999999</v>
      </c>
      <c r="C387" s="4">
        <f>30.0809 * CHOOSE(CONTROL!$C$9, $C$13, 100%, $E$13) + CHOOSE(CONTROL!$C$28, 0.0003, 0)</f>
        <v>30.081199999999999</v>
      </c>
      <c r="D387" s="4">
        <f>36.9632 * CHOOSE(CONTROL!$C$9, $C$13, 100%, $E$13) + CHOOSE(CONTROL!$C$28, 0, 0)</f>
        <v>36.963200000000001</v>
      </c>
      <c r="E387" s="4">
        <f>177.804284954806 * CHOOSE(CONTROL!$C$9, $C$13, 100%, $E$13) + CHOOSE(CONTROL!$C$28, 0, 0)</f>
        <v>177.80428495480601</v>
      </c>
    </row>
    <row r="388" spans="1:5" ht="15">
      <c r="A388" s="13">
        <v>53327</v>
      </c>
      <c r="B388" s="4">
        <f>29.9467 * CHOOSE(CONTROL!$C$9, $C$13, 100%, $E$13) + CHOOSE(CONTROL!$C$28, 0.0003, 0)</f>
        <v>29.946999999999999</v>
      </c>
      <c r="C388" s="4">
        <f>29.6342 * CHOOSE(CONTROL!$C$9, $C$13, 100%, $E$13) + CHOOSE(CONTROL!$C$28, 0.0003, 0)</f>
        <v>29.634499999999999</v>
      </c>
      <c r="D388" s="4">
        <f>35.6771 * CHOOSE(CONTROL!$C$9, $C$13, 100%, $E$13) + CHOOSE(CONTROL!$C$28, 0, 0)</f>
        <v>35.677100000000003</v>
      </c>
      <c r="E388" s="4">
        <f>175.019633841819 * CHOOSE(CONTROL!$C$9, $C$13, 100%, $E$13) + CHOOSE(CONTROL!$C$28, 0, 0)</f>
        <v>175.019633841819</v>
      </c>
    </row>
    <row r="389" spans="1:5" ht="15">
      <c r="A389" s="13">
        <v>53358</v>
      </c>
      <c r="B389" s="4">
        <f>29.2211 * CHOOSE(CONTROL!$C$9, $C$13, 100%, $E$13) + CHOOSE(CONTROL!$C$28, 0.0003, 0)</f>
        <v>29.221399999999999</v>
      </c>
      <c r="C389" s="4">
        <f>28.9086 * CHOOSE(CONTROL!$C$9, $C$13, 100%, $E$13) + CHOOSE(CONTROL!$C$28, 0.0003, 0)</f>
        <v>28.908899999999999</v>
      </c>
      <c r="D389" s="4">
        <f>34.4951 * CHOOSE(CONTROL!$C$9, $C$13, 100%, $E$13) + CHOOSE(CONTROL!$C$28, 0, 0)</f>
        <v>34.495100000000001</v>
      </c>
      <c r="E389" s="4">
        <f>170.000737690002 * CHOOSE(CONTROL!$C$9, $C$13, 100%, $E$13) + CHOOSE(CONTROL!$C$28, 0, 0)</f>
        <v>170.00073769000201</v>
      </c>
    </row>
    <row r="390" spans="1:5" ht="15">
      <c r="A390" s="13">
        <v>53386</v>
      </c>
      <c r="B390" s="4">
        <f>29.8704 * CHOOSE(CONTROL!$C$9, $C$13, 100%, $E$13) + CHOOSE(CONTROL!$C$28, 0.0003, 0)</f>
        <v>29.870699999999999</v>
      </c>
      <c r="C390" s="4">
        <f>29.5579 * CHOOSE(CONTROL!$C$9, $C$13, 100%, $E$13) + CHOOSE(CONTROL!$C$28, 0.0003, 0)</f>
        <v>29.558199999999999</v>
      </c>
      <c r="D390" s="4">
        <f>35.6854 * CHOOSE(CONTROL!$C$9, $C$13, 100%, $E$13) + CHOOSE(CONTROL!$C$28, 0, 0)</f>
        <v>35.685400000000001</v>
      </c>
      <c r="E390" s="4">
        <f>174.037225160275 * CHOOSE(CONTROL!$C$9, $C$13, 100%, $E$13) + CHOOSE(CONTROL!$C$28, 0, 0)</f>
        <v>174.037225160275</v>
      </c>
    </row>
    <row r="391" spans="1:5" ht="15">
      <c r="A391" s="13">
        <v>53417</v>
      </c>
      <c r="B391" s="4">
        <f>31.5755 * CHOOSE(CONTROL!$C$9, $C$13, 100%, $E$13) + CHOOSE(CONTROL!$C$28, 0.0003, 0)</f>
        <v>31.575800000000001</v>
      </c>
      <c r="C391" s="4">
        <f>31.263 * CHOOSE(CONTROL!$C$9, $C$13, 100%, $E$13) + CHOOSE(CONTROL!$C$28, 0.0003, 0)</f>
        <v>31.263300000000001</v>
      </c>
      <c r="D391" s="4">
        <f>37.5487 * CHOOSE(CONTROL!$C$9, $C$13, 100%, $E$13) + CHOOSE(CONTROL!$C$28, 0, 0)</f>
        <v>37.548699999999997</v>
      </c>
      <c r="E391" s="4">
        <f>184.637255769183 * CHOOSE(CONTROL!$C$9, $C$13, 100%, $E$13) + CHOOSE(CONTROL!$C$28, 0, 0)</f>
        <v>184.63725576918301</v>
      </c>
    </row>
    <row r="392" spans="1:5" ht="15">
      <c r="A392" s="13">
        <v>53447</v>
      </c>
      <c r="B392" s="4">
        <f>32.787 * CHOOSE(CONTROL!$C$9, $C$13, 100%, $E$13) + CHOOSE(CONTROL!$C$28, 0.0003, 0)</f>
        <v>32.787300000000002</v>
      </c>
      <c r="C392" s="4">
        <f>32.4745 * CHOOSE(CONTROL!$C$9, $C$13, 100%, $E$13) + CHOOSE(CONTROL!$C$28, 0.0003, 0)</f>
        <v>32.474800000000002</v>
      </c>
      <c r="D392" s="4">
        <f>38.6221 * CHOOSE(CONTROL!$C$9, $C$13, 100%, $E$13) + CHOOSE(CONTROL!$C$28, 0, 0)</f>
        <v>38.622100000000003</v>
      </c>
      <c r="E392" s="4">
        <f>192.168718780794 * CHOOSE(CONTROL!$C$9, $C$13, 100%, $E$13) + CHOOSE(CONTROL!$C$28, 0, 0)</f>
        <v>192.16871878079399</v>
      </c>
    </row>
    <row r="393" spans="1:5" ht="15">
      <c r="A393" s="13">
        <v>53478</v>
      </c>
      <c r="B393" s="4">
        <f>33.5272 * CHOOSE(CONTROL!$C$9, $C$13, 100%, $E$13) + CHOOSE(CONTROL!$C$28, 0.0276, 0)</f>
        <v>33.5548</v>
      </c>
      <c r="C393" s="4">
        <f>33.2147 * CHOOSE(CONTROL!$C$9, $C$13, 100%, $E$13) + CHOOSE(CONTROL!$C$28, 0.0276, 0)</f>
        <v>33.2423</v>
      </c>
      <c r="D393" s="4">
        <f>38.198 * CHOOSE(CONTROL!$C$9, $C$13, 100%, $E$13) + CHOOSE(CONTROL!$C$28, 0, 0)</f>
        <v>38.198</v>
      </c>
      <c r="E393" s="4">
        <f>196.770262176911 * CHOOSE(CONTROL!$C$9, $C$13, 100%, $E$13) + CHOOSE(CONTROL!$C$28, 0, 0)</f>
        <v>196.77026217691099</v>
      </c>
    </row>
    <row r="394" spans="1:5" ht="15">
      <c r="A394" s="13">
        <v>53508</v>
      </c>
      <c r="B394" s="4">
        <f>33.6273 * CHOOSE(CONTROL!$C$9, $C$13, 100%, $E$13) + CHOOSE(CONTROL!$C$28, 0.0276, 0)</f>
        <v>33.654899999999998</v>
      </c>
      <c r="C394" s="4">
        <f>33.3148 * CHOOSE(CONTROL!$C$9, $C$13, 100%, $E$13) + CHOOSE(CONTROL!$C$28, 0.0276, 0)</f>
        <v>33.342399999999998</v>
      </c>
      <c r="D394" s="4">
        <f>38.5434 * CHOOSE(CONTROL!$C$9, $C$13, 100%, $E$13) + CHOOSE(CONTROL!$C$28, 0, 0)</f>
        <v>38.543399999999998</v>
      </c>
      <c r="E394" s="4">
        <f>197.392870095204 * CHOOSE(CONTROL!$C$9, $C$13, 100%, $E$13) + CHOOSE(CONTROL!$C$28, 0, 0)</f>
        <v>197.39287009520399</v>
      </c>
    </row>
    <row r="395" spans="1:5" ht="15">
      <c r="A395" s="13">
        <v>53539</v>
      </c>
      <c r="B395" s="4">
        <f>33.6172 * CHOOSE(CONTROL!$C$9, $C$13, 100%, $E$13) + CHOOSE(CONTROL!$C$28, 0.0276, 0)</f>
        <v>33.644799999999996</v>
      </c>
      <c r="C395" s="4">
        <f>33.3047 * CHOOSE(CONTROL!$C$9, $C$13, 100%, $E$13) + CHOOSE(CONTROL!$C$28, 0.0276, 0)</f>
        <v>33.332299999999996</v>
      </c>
      <c r="D395" s="4">
        <f>39.1666 * CHOOSE(CONTROL!$C$9, $C$13, 100%, $E$13) + CHOOSE(CONTROL!$C$28, 0, 0)</f>
        <v>39.166600000000003</v>
      </c>
      <c r="E395" s="4">
        <f>197.330086103443 * CHOOSE(CONTROL!$C$9, $C$13, 100%, $E$13) + CHOOSE(CONTROL!$C$28, 0, 0)</f>
        <v>197.33008610344299</v>
      </c>
    </row>
    <row r="396" spans="1:5" ht="15">
      <c r="A396" s="13">
        <v>53570</v>
      </c>
      <c r="B396" s="4">
        <f>34.3772 * CHOOSE(CONTROL!$C$9, $C$13, 100%, $E$13) + CHOOSE(CONTROL!$C$28, 0.0276, 0)</f>
        <v>34.404800000000002</v>
      </c>
      <c r="C396" s="4">
        <f>34.0647 * CHOOSE(CONTROL!$C$9, $C$13, 100%, $E$13) + CHOOSE(CONTROL!$C$28, 0.0276, 0)</f>
        <v>34.092300000000002</v>
      </c>
      <c r="D396" s="4">
        <f>38.755 * CHOOSE(CONTROL!$C$9, $C$13, 100%, $E$13) + CHOOSE(CONTROL!$C$28, 0, 0)</f>
        <v>38.755000000000003</v>
      </c>
      <c r="E396" s="4">
        <f>202.054581483425 * CHOOSE(CONTROL!$C$9, $C$13, 100%, $E$13) + CHOOSE(CONTROL!$C$28, 0, 0)</f>
        <v>202.05458148342501</v>
      </c>
    </row>
    <row r="397" spans="1:5" ht="15">
      <c r="A397" s="13">
        <v>53600</v>
      </c>
      <c r="B397" s="4">
        <f>33.082 * CHOOSE(CONTROL!$C$9, $C$13, 100%, $E$13) + CHOOSE(CONTROL!$C$28, 0.0276, 0)</f>
        <v>33.1096</v>
      </c>
      <c r="C397" s="4">
        <f>32.7695 * CHOOSE(CONTROL!$C$9, $C$13, 100%, $E$13) + CHOOSE(CONTROL!$C$28, 0.0276, 0)</f>
        <v>32.7971</v>
      </c>
      <c r="D397" s="4">
        <f>38.5606 * CHOOSE(CONTROL!$C$9, $C$13, 100%, $E$13) + CHOOSE(CONTROL!$C$28, 0, 0)</f>
        <v>38.560600000000001</v>
      </c>
      <c r="E397" s="4">
        <f>194.002534540133 * CHOOSE(CONTROL!$C$9, $C$13, 100%, $E$13) + CHOOSE(CONTROL!$C$28, 0, 0)</f>
        <v>194.00253454013301</v>
      </c>
    </row>
    <row r="398" spans="1:5" ht="15">
      <c r="A398" s="13">
        <v>53631</v>
      </c>
      <c r="B398" s="4">
        <f>32.0451 * CHOOSE(CONTROL!$C$9, $C$13, 100%, $E$13) + CHOOSE(CONTROL!$C$28, 0.0003, 0)</f>
        <v>32.045400000000001</v>
      </c>
      <c r="C398" s="4">
        <f>31.7326 * CHOOSE(CONTROL!$C$9, $C$13, 100%, $E$13) + CHOOSE(CONTROL!$C$28, 0.0003, 0)</f>
        <v>31.732900000000001</v>
      </c>
      <c r="D398" s="4">
        <f>38.0398 * CHOOSE(CONTROL!$C$9, $C$13, 100%, $E$13) + CHOOSE(CONTROL!$C$28, 0, 0)</f>
        <v>38.0398</v>
      </c>
      <c r="E398" s="4">
        <f>187.556711386049 * CHOOSE(CONTROL!$C$9, $C$13, 100%, $E$13) + CHOOSE(CONTROL!$C$28, 0, 0)</f>
        <v>187.55671138604899</v>
      </c>
    </row>
    <row r="399" spans="1:5" ht="15">
      <c r="A399" s="13">
        <v>53661</v>
      </c>
      <c r="B399" s="4">
        <f>31.3773 * CHOOSE(CONTROL!$C$9, $C$13, 100%, $E$13) + CHOOSE(CONTROL!$C$28, 0.0003, 0)</f>
        <v>31.377600000000001</v>
      </c>
      <c r="C399" s="4">
        <f>31.0648 * CHOOSE(CONTROL!$C$9, $C$13, 100%, $E$13) + CHOOSE(CONTROL!$C$28, 0.0003, 0)</f>
        <v>31.065100000000001</v>
      </c>
      <c r="D399" s="4">
        <f>37.8608 * CHOOSE(CONTROL!$C$9, $C$13, 100%, $E$13) + CHOOSE(CONTROL!$C$28, 0, 0)</f>
        <v>37.860799999999998</v>
      </c>
      <c r="E399" s="4">
        <f>183.405119930882 * CHOOSE(CONTROL!$C$9, $C$13, 100%, $E$13) + CHOOSE(CONTROL!$C$28, 0, 0)</f>
        <v>183.40511993088199</v>
      </c>
    </row>
    <row r="400" spans="1:5" ht="15">
      <c r="A400" s="13">
        <v>53692</v>
      </c>
      <c r="B400" s="4">
        <f>30.9152 * CHOOSE(CONTROL!$C$9, $C$13, 100%, $E$13) + CHOOSE(CONTROL!$C$28, 0.0003, 0)</f>
        <v>30.915499999999998</v>
      </c>
      <c r="C400" s="4">
        <f>30.6027 * CHOOSE(CONTROL!$C$9, $C$13, 100%, $E$13) + CHOOSE(CONTROL!$C$28, 0.0003, 0)</f>
        <v>30.602999999999998</v>
      </c>
      <c r="D400" s="4">
        <f>36.5428 * CHOOSE(CONTROL!$C$9, $C$13, 100%, $E$13) + CHOOSE(CONTROL!$C$28, 0, 0)</f>
        <v>36.5428</v>
      </c>
      <c r="E400" s="4">
        <f>180.532752307836 * CHOOSE(CONTROL!$C$9, $C$13, 100%, $E$13) + CHOOSE(CONTROL!$C$28, 0, 0)</f>
        <v>180.53275230783601</v>
      </c>
    </row>
    <row r="401" spans="1:5" ht="15">
      <c r="A401" s="13">
        <v>53723</v>
      </c>
      <c r="B401" s="4">
        <f>30.1645 * CHOOSE(CONTROL!$C$9, $C$13, 100%, $E$13) + CHOOSE(CONTROL!$C$28, 0.0003, 0)</f>
        <v>30.1648</v>
      </c>
      <c r="C401" s="4">
        <f>29.852 * CHOOSE(CONTROL!$C$9, $C$13, 100%, $E$13) + CHOOSE(CONTROL!$C$28, 0.0003, 0)</f>
        <v>29.8523</v>
      </c>
      <c r="D401" s="4">
        <f>35.3315 * CHOOSE(CONTROL!$C$9, $C$13, 100%, $E$13) + CHOOSE(CONTROL!$C$28, 0, 0)</f>
        <v>35.331499999999998</v>
      </c>
      <c r="E401" s="4">
        <f>175.355760927237 * CHOOSE(CONTROL!$C$9, $C$13, 100%, $E$13) + CHOOSE(CONTROL!$C$28, 0, 0)</f>
        <v>175.35576092723699</v>
      </c>
    </row>
    <row r="402" spans="1:5" ht="15">
      <c r="A402" s="13">
        <v>53751</v>
      </c>
      <c r="B402" s="4">
        <f>30.8362 * CHOOSE(CONTROL!$C$9, $C$13, 100%, $E$13) + CHOOSE(CONTROL!$C$28, 0.0003, 0)</f>
        <v>30.836500000000001</v>
      </c>
      <c r="C402" s="4">
        <f>30.5237 * CHOOSE(CONTROL!$C$9, $C$13, 100%, $E$13) + CHOOSE(CONTROL!$C$28, 0.0003, 0)</f>
        <v>30.524000000000001</v>
      </c>
      <c r="D402" s="4">
        <f>36.5513 * CHOOSE(CONTROL!$C$9, $C$13, 100%, $E$13) + CHOOSE(CONTROL!$C$28, 0, 0)</f>
        <v>36.551299999999998</v>
      </c>
      <c r="E402" s="4">
        <f>179.519397752824 * CHOOSE(CONTROL!$C$9, $C$13, 100%, $E$13) + CHOOSE(CONTROL!$C$28, 0, 0)</f>
        <v>179.51939775282401</v>
      </c>
    </row>
    <row r="403" spans="1:5" ht="15">
      <c r="A403" s="13">
        <v>53782</v>
      </c>
      <c r="B403" s="4">
        <f>32.6001 * CHOOSE(CONTROL!$C$9, $C$13, 100%, $E$13) + CHOOSE(CONTROL!$C$28, 0.0003, 0)</f>
        <v>32.6004</v>
      </c>
      <c r="C403" s="4">
        <f>32.2876 * CHOOSE(CONTROL!$C$9, $C$13, 100%, $E$13) + CHOOSE(CONTROL!$C$28, 0.0003, 0)</f>
        <v>32.2879</v>
      </c>
      <c r="D403" s="4">
        <f>38.4609 * CHOOSE(CONTROL!$C$9, $C$13, 100%, $E$13) + CHOOSE(CONTROL!$C$28, 0, 0)</f>
        <v>38.460900000000002</v>
      </c>
      <c r="E403" s="4">
        <f>190.453329325912 * CHOOSE(CONTROL!$C$9, $C$13, 100%, $E$13) + CHOOSE(CONTROL!$C$28, 0, 0)</f>
        <v>190.45332932591199</v>
      </c>
    </row>
    <row r="404" spans="1:5" ht="15">
      <c r="A404" s="13">
        <v>53812</v>
      </c>
      <c r="B404" s="4">
        <f>33.8534 * CHOOSE(CONTROL!$C$9, $C$13, 100%, $E$13) + CHOOSE(CONTROL!$C$28, 0.0003, 0)</f>
        <v>33.853700000000003</v>
      </c>
      <c r="C404" s="4">
        <f>33.5409 * CHOOSE(CONTROL!$C$9, $C$13, 100%, $E$13) + CHOOSE(CONTROL!$C$28, 0.0003, 0)</f>
        <v>33.541200000000003</v>
      </c>
      <c r="D404" s="4">
        <f>39.5608 * CHOOSE(CONTROL!$C$9, $C$13, 100%, $E$13) + CHOOSE(CONTROL!$C$28, 0, 0)</f>
        <v>39.5608</v>
      </c>
      <c r="E404" s="4">
        <f>198.222033422389 * CHOOSE(CONTROL!$C$9, $C$13, 100%, $E$13) + CHOOSE(CONTROL!$C$28, 0, 0)</f>
        <v>198.22203342238899</v>
      </c>
    </row>
    <row r="405" spans="1:5" ht="15">
      <c r="A405" s="13">
        <v>53843</v>
      </c>
      <c r="B405" s="4">
        <f>34.6192 * CHOOSE(CONTROL!$C$9, $C$13, 100%, $E$13) + CHOOSE(CONTROL!$C$28, 0.0276, 0)</f>
        <v>34.646799999999999</v>
      </c>
      <c r="C405" s="4">
        <f>34.3067 * CHOOSE(CONTROL!$C$9, $C$13, 100%, $E$13) + CHOOSE(CONTROL!$C$28, 0.0276, 0)</f>
        <v>34.334299999999999</v>
      </c>
      <c r="D405" s="4">
        <f>39.1262 * CHOOSE(CONTROL!$C$9, $C$13, 100%, $E$13) + CHOOSE(CONTROL!$C$28, 0, 0)</f>
        <v>39.126199999999997</v>
      </c>
      <c r="E405" s="4">
        <f>202.968525435484 * CHOOSE(CONTROL!$C$9, $C$13, 100%, $E$13) + CHOOSE(CONTROL!$C$28, 0, 0)</f>
        <v>202.968525435484</v>
      </c>
    </row>
    <row r="406" spans="1:5" ht="15">
      <c r="A406" s="13">
        <v>53873</v>
      </c>
      <c r="B406" s="4">
        <f>34.7228 * CHOOSE(CONTROL!$C$9, $C$13, 100%, $E$13) + CHOOSE(CONTROL!$C$28, 0.0276, 0)</f>
        <v>34.750399999999999</v>
      </c>
      <c r="C406" s="4">
        <f>34.4103 * CHOOSE(CONTROL!$C$9, $C$13, 100%, $E$13) + CHOOSE(CONTROL!$C$28, 0.0276, 0)</f>
        <v>34.437899999999999</v>
      </c>
      <c r="D406" s="4">
        <f>39.4802 * CHOOSE(CONTROL!$C$9, $C$13, 100%, $E$13) + CHOOSE(CONTROL!$C$28, 0, 0)</f>
        <v>39.480200000000004</v>
      </c>
      <c r="E406" s="4">
        <f>203.610745503203 * CHOOSE(CONTROL!$C$9, $C$13, 100%, $E$13) + CHOOSE(CONTROL!$C$28, 0, 0)</f>
        <v>203.61074550320299</v>
      </c>
    </row>
    <row r="407" spans="1:5" ht="15">
      <c r="A407" s="13">
        <v>53904</v>
      </c>
      <c r="B407" s="4">
        <f>34.7123 * CHOOSE(CONTROL!$C$9, $C$13, 100%, $E$13) + CHOOSE(CONTROL!$C$28, 0.0276, 0)</f>
        <v>34.739899999999999</v>
      </c>
      <c r="C407" s="4">
        <f>34.3998 * CHOOSE(CONTROL!$C$9, $C$13, 100%, $E$13) + CHOOSE(CONTROL!$C$28, 0.0276, 0)</f>
        <v>34.427399999999999</v>
      </c>
      <c r="D407" s="4">
        <f>40.1189 * CHOOSE(CONTROL!$C$9, $C$13, 100%, $E$13) + CHOOSE(CONTROL!$C$28, 0, 0)</f>
        <v>40.118899999999996</v>
      </c>
      <c r="E407" s="4">
        <f>203.545983815702 * CHOOSE(CONTROL!$C$9, $C$13, 100%, $E$13) + CHOOSE(CONTROL!$C$28, 0, 0)</f>
        <v>203.54598381570199</v>
      </c>
    </row>
    <row r="408" spans="1:5" ht="15">
      <c r="A408" s="13">
        <v>53935</v>
      </c>
      <c r="B408" s="4">
        <f>35.4985 * CHOOSE(CONTROL!$C$9, $C$13, 100%, $E$13) + CHOOSE(CONTROL!$C$28, 0.0276, 0)</f>
        <v>35.5261</v>
      </c>
      <c r="C408" s="4">
        <f>35.186 * CHOOSE(CONTROL!$C$9, $C$13, 100%, $E$13) + CHOOSE(CONTROL!$C$28, 0.0276, 0)</f>
        <v>35.2136</v>
      </c>
      <c r="D408" s="4">
        <f>39.6971 * CHOOSE(CONTROL!$C$9, $C$13, 100%, $E$13) + CHOOSE(CONTROL!$C$28, 0, 0)</f>
        <v>39.697099999999999</v>
      </c>
      <c r="E408" s="4">
        <f>208.419300800153 * CHOOSE(CONTROL!$C$9, $C$13, 100%, $E$13) + CHOOSE(CONTROL!$C$28, 0, 0)</f>
        <v>208.419300800153</v>
      </c>
    </row>
    <row r="409" spans="1:5" ht="15">
      <c r="A409" s="13">
        <v>53965</v>
      </c>
      <c r="B409" s="4">
        <f>34.1586 * CHOOSE(CONTROL!$C$9, $C$13, 100%, $E$13) + CHOOSE(CONTROL!$C$28, 0.0276, 0)</f>
        <v>34.186199999999999</v>
      </c>
      <c r="C409" s="4">
        <f>33.8461 * CHOOSE(CONTROL!$C$9, $C$13, 100%, $E$13) + CHOOSE(CONTROL!$C$28, 0.0276, 0)</f>
        <v>33.873699999999999</v>
      </c>
      <c r="D409" s="4">
        <f>39.4978 * CHOOSE(CONTROL!$C$9, $C$13, 100%, $E$13) + CHOOSE(CONTROL!$C$28, 0, 0)</f>
        <v>39.497799999999998</v>
      </c>
      <c r="E409" s="4">
        <f>200.113614378148 * CHOOSE(CONTROL!$C$9, $C$13, 100%, $E$13) + CHOOSE(CONTROL!$C$28, 0, 0)</f>
        <v>200.11361437814799</v>
      </c>
    </row>
    <row r="410" spans="1:5" ht="15">
      <c r="A410" s="13">
        <v>53996</v>
      </c>
      <c r="B410" s="4">
        <f>33.086 * CHOOSE(CONTROL!$C$9, $C$13, 100%, $E$13) + CHOOSE(CONTROL!$C$28, 0.0003, 0)</f>
        <v>33.086300000000001</v>
      </c>
      <c r="C410" s="4">
        <f>32.7735 * CHOOSE(CONTROL!$C$9, $C$13, 100%, $E$13) + CHOOSE(CONTROL!$C$28, 0.0003, 0)</f>
        <v>32.773800000000001</v>
      </c>
      <c r="D410" s="4">
        <f>38.9641 * CHOOSE(CONTROL!$C$9, $C$13, 100%, $E$13) + CHOOSE(CONTROL!$C$28, 0, 0)</f>
        <v>38.964100000000002</v>
      </c>
      <c r="E410" s="4">
        <f>193.46474779471 * CHOOSE(CONTROL!$C$9, $C$13, 100%, $E$13) + CHOOSE(CONTROL!$C$28, 0, 0)</f>
        <v>193.46474779471001</v>
      </c>
    </row>
    <row r="411" spans="1:5" ht="15">
      <c r="A411" s="13">
        <v>54026</v>
      </c>
      <c r="B411" s="4">
        <f>32.3951 * CHOOSE(CONTROL!$C$9, $C$13, 100%, $E$13) + CHOOSE(CONTROL!$C$28, 0.0003, 0)</f>
        <v>32.395400000000002</v>
      </c>
      <c r="C411" s="4">
        <f>32.0826 * CHOOSE(CONTROL!$C$9, $C$13, 100%, $E$13) + CHOOSE(CONTROL!$C$28, 0.0003, 0)</f>
        <v>32.082900000000002</v>
      </c>
      <c r="D411" s="4">
        <f>38.7807 * CHOOSE(CONTROL!$C$9, $C$13, 100%, $E$13) + CHOOSE(CONTROL!$C$28, 0, 0)</f>
        <v>38.780700000000003</v>
      </c>
      <c r="E411" s="4">
        <f>189.182381208705 * CHOOSE(CONTROL!$C$9, $C$13, 100%, $E$13) + CHOOSE(CONTROL!$C$28, 0, 0)</f>
        <v>189.18238120870501</v>
      </c>
    </row>
    <row r="412" spans="1:5" ht="15">
      <c r="A412" s="13">
        <v>54057</v>
      </c>
      <c r="B412" s="4">
        <f>31.9171 * CHOOSE(CONTROL!$C$9, $C$13, 100%, $E$13) + CHOOSE(CONTROL!$C$28, 0.0003, 0)</f>
        <v>31.917400000000001</v>
      </c>
      <c r="C412" s="4">
        <f>31.6046 * CHOOSE(CONTROL!$C$9, $C$13, 100%, $E$13) + CHOOSE(CONTROL!$C$28, 0.0003, 0)</f>
        <v>31.604900000000001</v>
      </c>
      <c r="D412" s="4">
        <f>37.43 * CHOOSE(CONTROL!$C$9, $C$13, 100%, $E$13) + CHOOSE(CONTROL!$C$28, 0, 0)</f>
        <v>37.43</v>
      </c>
      <c r="E412" s="4">
        <f>186.219534005533 * CHOOSE(CONTROL!$C$9, $C$13, 100%, $E$13) + CHOOSE(CONTROL!$C$28, 0, 0)</f>
        <v>186.21953400553301</v>
      </c>
    </row>
    <row r="413" spans="1:5" ht="15">
      <c r="A413" s="13">
        <v>54088</v>
      </c>
      <c r="B413" s="4">
        <f>31.1405 * CHOOSE(CONTROL!$C$9, $C$13, 100%, $E$13) + CHOOSE(CONTROL!$C$28, 0.0003, 0)</f>
        <v>31.140799999999999</v>
      </c>
      <c r="C413" s="4">
        <f>30.828 * CHOOSE(CONTROL!$C$9, $C$13, 100%, $E$13) + CHOOSE(CONTROL!$C$28, 0.0003, 0)</f>
        <v>30.828299999999999</v>
      </c>
      <c r="D413" s="4">
        <f>36.1886 * CHOOSE(CONTROL!$C$9, $C$13, 100%, $E$13) + CHOOSE(CONTROL!$C$28, 0, 0)</f>
        <v>36.188600000000001</v>
      </c>
      <c r="E413" s="4">
        <f>180.879467396445 * CHOOSE(CONTROL!$C$9, $C$13, 100%, $E$13) + CHOOSE(CONTROL!$C$28, 0, 0)</f>
        <v>180.87946739644499</v>
      </c>
    </row>
    <row r="414" spans="1:5" ht="15">
      <c r="A414" s="13">
        <v>54116</v>
      </c>
      <c r="B414" s="4">
        <f>31.8354 * CHOOSE(CONTROL!$C$9, $C$13, 100%, $E$13) + CHOOSE(CONTROL!$C$28, 0.0003, 0)</f>
        <v>31.835699999999999</v>
      </c>
      <c r="C414" s="4">
        <f>31.5229 * CHOOSE(CONTROL!$C$9, $C$13, 100%, $E$13) + CHOOSE(CONTROL!$C$28, 0.0003, 0)</f>
        <v>31.523199999999999</v>
      </c>
      <c r="D414" s="4">
        <f>37.4387 * CHOOSE(CONTROL!$C$9, $C$13, 100%, $E$13) + CHOOSE(CONTROL!$C$28, 0, 0)</f>
        <v>37.438699999999997</v>
      </c>
      <c r="E414" s="4">
        <f>185.174258782038 * CHOOSE(CONTROL!$C$9, $C$13, 100%, $E$13) + CHOOSE(CONTROL!$C$28, 0, 0)</f>
        <v>185.17425878203801</v>
      </c>
    </row>
    <row r="415" spans="1:5" ht="15">
      <c r="A415" s="13">
        <v>54148</v>
      </c>
      <c r="B415" s="4">
        <f>33.6602 * CHOOSE(CONTROL!$C$9, $C$13, 100%, $E$13) + CHOOSE(CONTROL!$C$28, 0.0003, 0)</f>
        <v>33.660500000000006</v>
      </c>
      <c r="C415" s="4">
        <f>33.3477 * CHOOSE(CONTROL!$C$9, $C$13, 100%, $E$13) + CHOOSE(CONTROL!$C$28, 0.0003, 0)</f>
        <v>33.348000000000006</v>
      </c>
      <c r="D415" s="4">
        <f>39.3956 * CHOOSE(CONTROL!$C$9, $C$13, 100%, $E$13) + CHOOSE(CONTROL!$C$28, 0, 0)</f>
        <v>39.395600000000002</v>
      </c>
      <c r="E415" s="4">
        <f>196.452609199679 * CHOOSE(CONTROL!$C$9, $C$13, 100%, $E$13) + CHOOSE(CONTROL!$C$28, 0, 0)</f>
        <v>196.45260919967899</v>
      </c>
    </row>
    <row r="416" spans="1:5" ht="15">
      <c r="A416" s="13">
        <v>54178</v>
      </c>
      <c r="B416" s="4">
        <f>34.9567 * CHOOSE(CONTROL!$C$9, $C$13, 100%, $E$13) + CHOOSE(CONTROL!$C$28, 0.0003, 0)</f>
        <v>34.957000000000001</v>
      </c>
      <c r="C416" s="4">
        <f>34.6442 * CHOOSE(CONTROL!$C$9, $C$13, 100%, $E$13) + CHOOSE(CONTROL!$C$28, 0.0003, 0)</f>
        <v>34.644500000000001</v>
      </c>
      <c r="D416" s="4">
        <f>40.5228 * CHOOSE(CONTROL!$C$9, $C$13, 100%, $E$13) + CHOOSE(CONTROL!$C$28, 0, 0)</f>
        <v>40.522799999999997</v>
      </c>
      <c r="E416" s="4">
        <f>204.466027475194 * CHOOSE(CONTROL!$C$9, $C$13, 100%, $E$13) + CHOOSE(CONTROL!$C$28, 0, 0)</f>
        <v>204.46602747519401</v>
      </c>
    </row>
    <row r="417" spans="1:5" ht="15">
      <c r="A417" s="13">
        <v>54209</v>
      </c>
      <c r="B417" s="4">
        <f>35.7488 * CHOOSE(CONTROL!$C$9, $C$13, 100%, $E$13) + CHOOSE(CONTROL!$C$28, 0.0276, 0)</f>
        <v>35.776400000000002</v>
      </c>
      <c r="C417" s="4">
        <f>35.4363 * CHOOSE(CONTROL!$C$9, $C$13, 100%, $E$13) + CHOOSE(CONTROL!$C$28, 0.0276, 0)</f>
        <v>35.463900000000002</v>
      </c>
      <c r="D417" s="4">
        <f>40.0774 * CHOOSE(CONTROL!$C$9, $C$13, 100%, $E$13) + CHOOSE(CONTROL!$C$28, 0, 0)</f>
        <v>40.077399999999997</v>
      </c>
      <c r="E417" s="4">
        <f>209.362033986702 * CHOOSE(CONTROL!$C$9, $C$13, 100%, $E$13) + CHOOSE(CONTROL!$C$28, 0, 0)</f>
        <v>209.36203398670199</v>
      </c>
    </row>
    <row r="418" spans="1:5" ht="15">
      <c r="A418" s="13">
        <v>54239</v>
      </c>
      <c r="B418" s="4">
        <f>35.856 * CHOOSE(CONTROL!$C$9, $C$13, 100%, $E$13) + CHOOSE(CONTROL!$C$28, 0.0276, 0)</f>
        <v>35.883600000000001</v>
      </c>
      <c r="C418" s="4">
        <f>35.5435 * CHOOSE(CONTROL!$C$9, $C$13, 100%, $E$13) + CHOOSE(CONTROL!$C$28, 0.0276, 0)</f>
        <v>35.571100000000001</v>
      </c>
      <c r="D418" s="4">
        <f>40.4402 * CHOOSE(CONTROL!$C$9, $C$13, 100%, $E$13) + CHOOSE(CONTROL!$C$28, 0, 0)</f>
        <v>40.440199999999997</v>
      </c>
      <c r="E418" s="4">
        <f>210.024483986553 * CHOOSE(CONTROL!$C$9, $C$13, 100%, $E$13) + CHOOSE(CONTROL!$C$28, 0, 0)</f>
        <v>210.02448398655301</v>
      </c>
    </row>
    <row r="419" spans="1:5" ht="15">
      <c r="A419" s="13">
        <v>54270</v>
      </c>
      <c r="B419" s="4">
        <f>35.8452 * CHOOSE(CONTROL!$C$9, $C$13, 100%, $E$13) + CHOOSE(CONTROL!$C$28, 0.0276, 0)</f>
        <v>35.872799999999998</v>
      </c>
      <c r="C419" s="4">
        <f>35.5327 * CHOOSE(CONTROL!$C$9, $C$13, 100%, $E$13) + CHOOSE(CONTROL!$C$28, 0.0276, 0)</f>
        <v>35.560299999999998</v>
      </c>
      <c r="D419" s="4">
        <f>41.0947 * CHOOSE(CONTROL!$C$9, $C$13, 100%, $E$13) + CHOOSE(CONTROL!$C$28, 0, 0)</f>
        <v>41.094700000000003</v>
      </c>
      <c r="E419" s="4">
        <f>209.957682305896 * CHOOSE(CONTROL!$C$9, $C$13, 100%, $E$13) + CHOOSE(CONTROL!$C$28, 0, 0)</f>
        <v>209.95768230589599</v>
      </c>
    </row>
    <row r="420" spans="1:5" ht="15">
      <c r="A420" s="13">
        <v>54301</v>
      </c>
      <c r="B420" s="4">
        <f>36.6585 * CHOOSE(CONTROL!$C$9, $C$13, 100%, $E$13) + CHOOSE(CONTROL!$C$28, 0.0276, 0)</f>
        <v>36.686099999999996</v>
      </c>
      <c r="C420" s="4">
        <f>36.346 * CHOOSE(CONTROL!$C$9, $C$13, 100%, $E$13) + CHOOSE(CONTROL!$C$28, 0.0276, 0)</f>
        <v>36.373599999999996</v>
      </c>
      <c r="D420" s="4">
        <f>40.6625 * CHOOSE(CONTROL!$C$9, $C$13, 100%, $E$13) + CHOOSE(CONTROL!$C$28, 0, 0)</f>
        <v>40.662500000000001</v>
      </c>
      <c r="E420" s="4">
        <f>214.984508775358 * CHOOSE(CONTROL!$C$9, $C$13, 100%, $E$13) + CHOOSE(CONTROL!$C$28, 0, 0)</f>
        <v>214.98450877535799</v>
      </c>
    </row>
    <row r="421" spans="1:5" ht="15">
      <c r="A421" s="13">
        <v>54331</v>
      </c>
      <c r="B421" s="4">
        <f>35.2724 * CHOOSE(CONTROL!$C$9, $C$13, 100%, $E$13) + CHOOSE(CONTROL!$C$28, 0.0276, 0)</f>
        <v>35.299999999999997</v>
      </c>
      <c r="C421" s="4">
        <f>34.9599 * CHOOSE(CONTROL!$C$9, $C$13, 100%, $E$13) + CHOOSE(CONTROL!$C$28, 0.0276, 0)</f>
        <v>34.987499999999997</v>
      </c>
      <c r="D421" s="4">
        <f>40.4582 * CHOOSE(CONTROL!$C$9, $C$13, 100%, $E$13) + CHOOSE(CONTROL!$C$28, 0, 0)</f>
        <v>40.458199999999998</v>
      </c>
      <c r="E421" s="4">
        <f>206.417193231059 * CHOOSE(CONTROL!$C$9, $C$13, 100%, $E$13) + CHOOSE(CONTROL!$C$28, 0, 0)</f>
        <v>206.417193231059</v>
      </c>
    </row>
    <row r="422" spans="1:5" ht="15">
      <c r="A422" s="13">
        <v>54362</v>
      </c>
      <c r="B422" s="4">
        <f>34.1627 * CHOOSE(CONTROL!$C$9, $C$13, 100%, $E$13) + CHOOSE(CONTROL!$C$28, 0.0003, 0)</f>
        <v>34.163000000000004</v>
      </c>
      <c r="C422" s="4">
        <f>33.8502 * CHOOSE(CONTROL!$C$9, $C$13, 100%, $E$13) + CHOOSE(CONTROL!$C$28, 0.0003, 0)</f>
        <v>33.850500000000004</v>
      </c>
      <c r="D422" s="4">
        <f>39.9114 * CHOOSE(CONTROL!$C$9, $C$13, 100%, $E$13) + CHOOSE(CONTROL!$C$28, 0, 0)</f>
        <v>39.9114</v>
      </c>
      <c r="E422" s="4">
        <f>199.558887350243 * CHOOSE(CONTROL!$C$9, $C$13, 100%, $E$13) + CHOOSE(CONTROL!$C$28, 0, 0)</f>
        <v>199.558887350243</v>
      </c>
    </row>
    <row r="423" spans="1:5" ht="15">
      <c r="A423" s="13">
        <v>54392</v>
      </c>
      <c r="B423" s="4">
        <f>33.448 * CHOOSE(CONTROL!$C$9, $C$13, 100%, $E$13) + CHOOSE(CONTROL!$C$28, 0.0003, 0)</f>
        <v>33.448300000000003</v>
      </c>
      <c r="C423" s="4">
        <f>33.1355 * CHOOSE(CONTROL!$C$9, $C$13, 100%, $E$13) + CHOOSE(CONTROL!$C$28, 0.0003, 0)</f>
        <v>33.135800000000003</v>
      </c>
      <c r="D423" s="4">
        <f>39.7233 * CHOOSE(CONTROL!$C$9, $C$13, 100%, $E$13) + CHOOSE(CONTROL!$C$28, 0, 0)</f>
        <v>39.723300000000002</v>
      </c>
      <c r="E423" s="4">
        <f>195.141626216779 * CHOOSE(CONTROL!$C$9, $C$13, 100%, $E$13) + CHOOSE(CONTROL!$C$28, 0, 0)</f>
        <v>195.141626216779</v>
      </c>
    </row>
    <row r="424" spans="1:5" ht="15">
      <c r="A424" s="13">
        <v>54423</v>
      </c>
      <c r="B424" s="4">
        <f>32.9536 * CHOOSE(CONTROL!$C$9, $C$13, 100%, $E$13) + CHOOSE(CONTROL!$C$28, 0.0003, 0)</f>
        <v>32.953900000000004</v>
      </c>
      <c r="C424" s="4">
        <f>32.6411 * CHOOSE(CONTROL!$C$9, $C$13, 100%, $E$13) + CHOOSE(CONTROL!$C$28, 0.0003, 0)</f>
        <v>32.641400000000004</v>
      </c>
      <c r="D424" s="4">
        <f>38.3392 * CHOOSE(CONTROL!$C$9, $C$13, 100%, $E$13) + CHOOSE(CONTROL!$C$28, 0, 0)</f>
        <v>38.339199999999998</v>
      </c>
      <c r="E424" s="4">
        <f>192.085449326708 * CHOOSE(CONTROL!$C$9, $C$13, 100%, $E$13) + CHOOSE(CONTROL!$C$28, 0, 0)</f>
        <v>192.08544932670799</v>
      </c>
    </row>
    <row r="425" spans="1:5" ht="15">
      <c r="A425" s="13">
        <v>54454</v>
      </c>
      <c r="B425" s="4">
        <f>32.1501 * CHOOSE(CONTROL!$C$9, $C$13, 100%, $E$13) + CHOOSE(CONTROL!$C$28, 0.0003, 0)</f>
        <v>32.150400000000005</v>
      </c>
      <c r="C425" s="4">
        <f>31.8376 * CHOOSE(CONTROL!$C$9, $C$13, 100%, $E$13) + CHOOSE(CONTROL!$C$28, 0.0003, 0)</f>
        <v>31.837899999999998</v>
      </c>
      <c r="D425" s="4">
        <f>37.067 * CHOOSE(CONTROL!$C$9, $C$13, 100%, $E$13) + CHOOSE(CONTROL!$C$28, 0, 0)</f>
        <v>37.067</v>
      </c>
      <c r="E425" s="4">
        <f>186.577170619433 * CHOOSE(CONTROL!$C$9, $C$13, 100%, $E$13) + CHOOSE(CONTROL!$C$28, 0, 0)</f>
        <v>186.57717061943299</v>
      </c>
    </row>
    <row r="426" spans="1:5" ht="15">
      <c r="A426" s="13">
        <v>54482</v>
      </c>
      <c r="B426" s="4">
        <f>32.869 * CHOOSE(CONTROL!$C$9, $C$13, 100%, $E$13) + CHOOSE(CONTROL!$C$28, 0.0003, 0)</f>
        <v>32.869300000000003</v>
      </c>
      <c r="C426" s="4">
        <f>32.5565 * CHOOSE(CONTROL!$C$9, $C$13, 100%, $E$13) + CHOOSE(CONTROL!$C$28, 0.0003, 0)</f>
        <v>32.556800000000003</v>
      </c>
      <c r="D426" s="4">
        <f>38.3481 * CHOOSE(CONTROL!$C$9, $C$13, 100%, $E$13) + CHOOSE(CONTROL!$C$28, 0, 0)</f>
        <v>38.348100000000002</v>
      </c>
      <c r="E426" s="4">
        <f>191.007247933672 * CHOOSE(CONTROL!$C$9, $C$13, 100%, $E$13) + CHOOSE(CONTROL!$C$28, 0, 0)</f>
        <v>191.00724793367201</v>
      </c>
    </row>
    <row r="427" spans="1:5" ht="15">
      <c r="A427" s="13">
        <v>54513</v>
      </c>
      <c r="B427" s="4">
        <f>34.7567 * CHOOSE(CONTROL!$C$9, $C$13, 100%, $E$13) + CHOOSE(CONTROL!$C$28, 0.0003, 0)</f>
        <v>34.757000000000005</v>
      </c>
      <c r="C427" s="4">
        <f>34.4442 * CHOOSE(CONTROL!$C$9, $C$13, 100%, $E$13) + CHOOSE(CONTROL!$C$28, 0.0003, 0)</f>
        <v>34.444500000000005</v>
      </c>
      <c r="D427" s="4">
        <f>40.3535 * CHOOSE(CONTROL!$C$9, $C$13, 100%, $E$13) + CHOOSE(CONTROL!$C$28, 0, 0)</f>
        <v>40.353499999999997</v>
      </c>
      <c r="E427" s="4">
        <f>202.640866389468 * CHOOSE(CONTROL!$C$9, $C$13, 100%, $E$13) + CHOOSE(CONTROL!$C$28, 0, 0)</f>
        <v>202.64086638946799</v>
      </c>
    </row>
    <row r="428" spans="1:5" ht="15">
      <c r="A428" s="13">
        <v>54543</v>
      </c>
      <c r="B428" s="4">
        <f>36.098 * CHOOSE(CONTROL!$C$9, $C$13, 100%, $E$13) + CHOOSE(CONTROL!$C$28, 0.0003, 0)</f>
        <v>36.098300000000002</v>
      </c>
      <c r="C428" s="4">
        <f>35.7855 * CHOOSE(CONTROL!$C$9, $C$13, 100%, $E$13) + CHOOSE(CONTROL!$C$28, 0.0003, 0)</f>
        <v>35.785800000000002</v>
      </c>
      <c r="D428" s="4">
        <f>41.5087 * CHOOSE(CONTROL!$C$9, $C$13, 100%, $E$13) + CHOOSE(CONTROL!$C$28, 0, 0)</f>
        <v>41.508699999999997</v>
      </c>
      <c r="E428" s="4">
        <f>210.906707340663 * CHOOSE(CONTROL!$C$9, $C$13, 100%, $E$13) + CHOOSE(CONTROL!$C$28, 0, 0)</f>
        <v>210.90670734066299</v>
      </c>
    </row>
    <row r="429" spans="1:5" ht="15">
      <c r="A429" s="13">
        <v>54574</v>
      </c>
      <c r="B429" s="4">
        <f>36.9175 * CHOOSE(CONTROL!$C$9, $C$13, 100%, $E$13) + CHOOSE(CONTROL!$C$28, 0.0276, 0)</f>
        <v>36.945099999999996</v>
      </c>
      <c r="C429" s="4">
        <f>36.605 * CHOOSE(CONTROL!$C$9, $C$13, 100%, $E$13) + CHOOSE(CONTROL!$C$28, 0.0276, 0)</f>
        <v>36.632599999999996</v>
      </c>
      <c r="D429" s="4">
        <f>41.0522 * CHOOSE(CONTROL!$C$9, $C$13, 100%, $E$13) + CHOOSE(CONTROL!$C$28, 0, 0)</f>
        <v>41.052199999999999</v>
      </c>
      <c r="E429" s="4">
        <f>215.956938057283 * CHOOSE(CONTROL!$C$9, $C$13, 100%, $E$13) + CHOOSE(CONTROL!$C$28, 0, 0)</f>
        <v>215.956938057283</v>
      </c>
    </row>
    <row r="430" spans="1:5" ht="15">
      <c r="A430" s="13">
        <v>54604</v>
      </c>
      <c r="B430" s="4">
        <f>37.0284 * CHOOSE(CONTROL!$C$9, $C$13, 100%, $E$13) + CHOOSE(CONTROL!$C$28, 0.0276, 0)</f>
        <v>37.055999999999997</v>
      </c>
      <c r="C430" s="4">
        <f>36.7159 * CHOOSE(CONTROL!$C$9, $C$13, 100%, $E$13) + CHOOSE(CONTROL!$C$28, 0.0276, 0)</f>
        <v>36.743499999999997</v>
      </c>
      <c r="D430" s="4">
        <f>41.424 * CHOOSE(CONTROL!$C$9, $C$13, 100%, $E$13) + CHOOSE(CONTROL!$C$28, 0, 0)</f>
        <v>41.423999999999999</v>
      </c>
      <c r="E430" s="4">
        <f>216.64025523213 * CHOOSE(CONTROL!$C$9, $C$13, 100%, $E$13) + CHOOSE(CONTROL!$C$28, 0, 0)</f>
        <v>216.64025523212999</v>
      </c>
    </row>
    <row r="431" spans="1:5" ht="15">
      <c r="A431" s="13">
        <v>54635</v>
      </c>
      <c r="B431" s="4">
        <f>37.0172 * CHOOSE(CONTROL!$C$9, $C$13, 100%, $E$13) + CHOOSE(CONTROL!$C$28, 0.0276, 0)</f>
        <v>37.044800000000002</v>
      </c>
      <c r="C431" s="4">
        <f>36.7047 * CHOOSE(CONTROL!$C$9, $C$13, 100%, $E$13) + CHOOSE(CONTROL!$C$28, 0.0276, 0)</f>
        <v>36.732300000000002</v>
      </c>
      <c r="D431" s="4">
        <f>42.0948 * CHOOSE(CONTROL!$C$9, $C$13, 100%, $E$13) + CHOOSE(CONTROL!$C$28, 0, 0)</f>
        <v>42.094799999999999</v>
      </c>
      <c r="E431" s="4">
        <f>216.571349298532 * CHOOSE(CONTROL!$C$9, $C$13, 100%, $E$13) + CHOOSE(CONTROL!$C$28, 0, 0)</f>
        <v>216.571349298532</v>
      </c>
    </row>
    <row r="432" spans="1:5" ht="15">
      <c r="A432" s="13">
        <v>54666</v>
      </c>
      <c r="B432" s="4">
        <f>37.8586 * CHOOSE(CONTROL!$C$9, $C$13, 100%, $E$13) + CHOOSE(CONTROL!$C$28, 0.0276, 0)</f>
        <v>37.886200000000002</v>
      </c>
      <c r="C432" s="4">
        <f>37.5461 * CHOOSE(CONTROL!$C$9, $C$13, 100%, $E$13) + CHOOSE(CONTROL!$C$28, 0.0276, 0)</f>
        <v>37.573700000000002</v>
      </c>
      <c r="D432" s="4">
        <f>41.6518 * CHOOSE(CONTROL!$C$9, $C$13, 100%, $E$13) + CHOOSE(CONTROL!$C$28, 0, 0)</f>
        <v>41.651800000000001</v>
      </c>
      <c r="E432" s="4">
        <f>221.756520801782 * CHOOSE(CONTROL!$C$9, $C$13, 100%, $E$13) + CHOOSE(CONTROL!$C$28, 0, 0)</f>
        <v>221.75652080178199</v>
      </c>
    </row>
    <row r="433" spans="1:5" ht="15">
      <c r="A433" s="13">
        <v>54696</v>
      </c>
      <c r="B433" s="4">
        <f>36.4246 * CHOOSE(CONTROL!$C$9, $C$13, 100%, $E$13) + CHOOSE(CONTROL!$C$28, 0.0276, 0)</f>
        <v>36.452199999999998</v>
      </c>
      <c r="C433" s="4">
        <f>36.1121 * CHOOSE(CONTROL!$C$9, $C$13, 100%, $E$13) + CHOOSE(CONTROL!$C$28, 0.0276, 0)</f>
        <v>36.139699999999998</v>
      </c>
      <c r="D433" s="4">
        <f>41.4425 * CHOOSE(CONTROL!$C$9, $C$13, 100%, $E$13) + CHOOSE(CONTROL!$C$28, 0, 0)</f>
        <v>41.442500000000003</v>
      </c>
      <c r="E433" s="4">
        <f>212.919334817838 * CHOOSE(CONTROL!$C$9, $C$13, 100%, $E$13) + CHOOSE(CONTROL!$C$28, 0, 0)</f>
        <v>212.91933481783801</v>
      </c>
    </row>
    <row r="434" spans="1:5" ht="15">
      <c r="A434" s="13">
        <v>54727</v>
      </c>
      <c r="B434" s="4">
        <f>35.2767 * CHOOSE(CONTROL!$C$9, $C$13, 100%, $E$13) + CHOOSE(CONTROL!$C$28, 0.0003, 0)</f>
        <v>35.277000000000001</v>
      </c>
      <c r="C434" s="4">
        <f>34.9642 * CHOOSE(CONTROL!$C$9, $C$13, 100%, $E$13) + CHOOSE(CONTROL!$C$28, 0.0003, 0)</f>
        <v>34.964500000000001</v>
      </c>
      <c r="D434" s="4">
        <f>40.8821 * CHOOSE(CONTROL!$C$9, $C$13, 100%, $E$13) + CHOOSE(CONTROL!$C$28, 0, 0)</f>
        <v>40.882100000000001</v>
      </c>
      <c r="E434" s="4">
        <f>205.844992301776 * CHOOSE(CONTROL!$C$9, $C$13, 100%, $E$13) + CHOOSE(CONTROL!$C$28, 0, 0)</f>
        <v>205.84499230177599</v>
      </c>
    </row>
    <row r="435" spans="1:5" ht="15">
      <c r="A435" s="13">
        <v>54757</v>
      </c>
      <c r="B435" s="4">
        <f>34.5373 * CHOOSE(CONTROL!$C$9, $C$13, 100%, $E$13) + CHOOSE(CONTROL!$C$28, 0.0003, 0)</f>
        <v>34.537600000000005</v>
      </c>
      <c r="C435" s="4">
        <f>34.2248 * CHOOSE(CONTROL!$C$9, $C$13, 100%, $E$13) + CHOOSE(CONTROL!$C$28, 0.0003, 0)</f>
        <v>34.225100000000005</v>
      </c>
      <c r="D435" s="4">
        <f>40.6894 * CHOOSE(CONTROL!$C$9, $C$13, 100%, $E$13) + CHOOSE(CONTROL!$C$28, 0, 0)</f>
        <v>40.689399999999999</v>
      </c>
      <c r="E435" s="4">
        <f>201.288587442608 * CHOOSE(CONTROL!$C$9, $C$13, 100%, $E$13) + CHOOSE(CONTROL!$C$28, 0, 0)</f>
        <v>201.28858744260799</v>
      </c>
    </row>
    <row r="436" spans="1:5" ht="15">
      <c r="A436" s="13">
        <v>54788</v>
      </c>
      <c r="B436" s="4">
        <f>34.0258 * CHOOSE(CONTROL!$C$9, $C$13, 100%, $E$13) + CHOOSE(CONTROL!$C$28, 0.0003, 0)</f>
        <v>34.0261</v>
      </c>
      <c r="C436" s="4">
        <f>33.7133 * CHOOSE(CONTROL!$C$9, $C$13, 100%, $E$13) + CHOOSE(CONTROL!$C$28, 0.0003, 0)</f>
        <v>33.7136</v>
      </c>
      <c r="D436" s="4">
        <f>39.2709 * CHOOSE(CONTROL!$C$9, $C$13, 100%, $E$13) + CHOOSE(CONTROL!$C$28, 0, 0)</f>
        <v>39.270899999999997</v>
      </c>
      <c r="E436" s="4">
        <f>198.136140980499 * CHOOSE(CONTROL!$C$9, $C$13, 100%, $E$13) + CHOOSE(CONTROL!$C$28, 0, 0)</f>
        <v>198.13614098049899</v>
      </c>
    </row>
    <row r="437" spans="1:5" ht="15">
      <c r="A437" s="13">
        <v>54819</v>
      </c>
      <c r="B437" s="4">
        <f>33.1946 * CHOOSE(CONTROL!$C$9, $C$13, 100%, $E$13) + CHOOSE(CONTROL!$C$28, 0.0003, 0)</f>
        <v>33.194900000000004</v>
      </c>
      <c r="C437" s="4">
        <f>32.8821 * CHOOSE(CONTROL!$C$9, $C$13, 100%, $E$13) + CHOOSE(CONTROL!$C$28, 0.0003, 0)</f>
        <v>32.882400000000004</v>
      </c>
      <c r="D437" s="4">
        <f>37.9672 * CHOOSE(CONTROL!$C$9, $C$13, 100%, $E$13) + CHOOSE(CONTROL!$C$28, 0, 0)</f>
        <v>37.967199999999998</v>
      </c>
      <c r="E437" s="4">
        <f>192.454351493945 * CHOOSE(CONTROL!$C$9, $C$13, 100%, $E$13) + CHOOSE(CONTROL!$C$28, 0, 0)</f>
        <v>192.45435149394501</v>
      </c>
    </row>
    <row r="438" spans="1:5" ht="15">
      <c r="A438" s="13">
        <v>54847</v>
      </c>
      <c r="B438" s="4">
        <f>33.9383 * CHOOSE(CONTROL!$C$9, $C$13, 100%, $E$13) + CHOOSE(CONTROL!$C$28, 0.0003, 0)</f>
        <v>33.938600000000001</v>
      </c>
      <c r="C438" s="4">
        <f>33.6258 * CHOOSE(CONTROL!$C$9, $C$13, 100%, $E$13) + CHOOSE(CONTROL!$C$28, 0.0003, 0)</f>
        <v>33.626100000000001</v>
      </c>
      <c r="D438" s="4">
        <f>39.28 * CHOOSE(CONTROL!$C$9, $C$13, 100%, $E$13) + CHOOSE(CONTROL!$C$28, 0, 0)</f>
        <v>39.28</v>
      </c>
      <c r="E438" s="4">
        <f>197.023976243582 * CHOOSE(CONTROL!$C$9, $C$13, 100%, $E$13) + CHOOSE(CONTROL!$C$28, 0, 0)</f>
        <v>197.02397624358201</v>
      </c>
    </row>
    <row r="439" spans="1:5" ht="15">
      <c r="A439" s="13">
        <v>54878</v>
      </c>
      <c r="B439" s="4">
        <f>35.8912 * CHOOSE(CONTROL!$C$9, $C$13, 100%, $E$13) + CHOOSE(CONTROL!$C$28, 0.0003, 0)</f>
        <v>35.891500000000001</v>
      </c>
      <c r="C439" s="4">
        <f>35.5787 * CHOOSE(CONTROL!$C$9, $C$13, 100%, $E$13) + CHOOSE(CONTROL!$C$28, 0.0003, 0)</f>
        <v>35.579000000000001</v>
      </c>
      <c r="D439" s="4">
        <f>41.3352 * CHOOSE(CONTROL!$C$9, $C$13, 100%, $E$13) + CHOOSE(CONTROL!$C$28, 0, 0)</f>
        <v>41.3352</v>
      </c>
      <c r="E439" s="4">
        <f>209.024053680737 * CHOOSE(CONTROL!$C$9, $C$13, 100%, $E$13) + CHOOSE(CONTROL!$C$28, 0, 0)</f>
        <v>209.02405368073701</v>
      </c>
    </row>
    <row r="440" spans="1:5" ht="15">
      <c r="A440" s="13">
        <v>54908</v>
      </c>
      <c r="B440" s="4">
        <f>37.2787 * CHOOSE(CONTROL!$C$9, $C$13, 100%, $E$13) + CHOOSE(CONTROL!$C$28, 0.0003, 0)</f>
        <v>37.279000000000003</v>
      </c>
      <c r="C440" s="4">
        <f>36.9662 * CHOOSE(CONTROL!$C$9, $C$13, 100%, $E$13) + CHOOSE(CONTROL!$C$28, 0.0003, 0)</f>
        <v>36.966500000000003</v>
      </c>
      <c r="D440" s="4">
        <f>42.519 * CHOOSE(CONTROL!$C$9, $C$13, 100%, $E$13) + CHOOSE(CONTROL!$C$28, 0, 0)</f>
        <v>42.518999999999998</v>
      </c>
      <c r="E440" s="4">
        <f>217.550268621893 * CHOOSE(CONTROL!$C$9, $C$13, 100%, $E$13) + CHOOSE(CONTROL!$C$28, 0, 0)</f>
        <v>217.550268621893</v>
      </c>
    </row>
    <row r="441" spans="1:5" ht="15">
      <c r="A441" s="13">
        <v>54939</v>
      </c>
      <c r="B441" s="4">
        <f>38.1265 * CHOOSE(CONTROL!$C$9, $C$13, 100%, $E$13) + CHOOSE(CONTROL!$C$28, 0.0276, 0)</f>
        <v>38.1541</v>
      </c>
      <c r="C441" s="4">
        <f>37.814 * CHOOSE(CONTROL!$C$9, $C$13, 100%, $E$13) + CHOOSE(CONTROL!$C$28, 0.0276, 0)</f>
        <v>37.8416</v>
      </c>
      <c r="D441" s="4">
        <f>42.0512 * CHOOSE(CONTROL!$C$9, $C$13, 100%, $E$13) + CHOOSE(CONTROL!$C$28, 0, 0)</f>
        <v>42.051200000000001</v>
      </c>
      <c r="E441" s="4">
        <f>222.759581606087 * CHOOSE(CONTROL!$C$9, $C$13, 100%, $E$13) + CHOOSE(CONTROL!$C$28, 0, 0)</f>
        <v>222.75958160608701</v>
      </c>
    </row>
    <row r="442" spans="1:5" ht="15">
      <c r="A442" s="13">
        <v>54969</v>
      </c>
      <c r="B442" s="4">
        <f>38.2412 * CHOOSE(CONTROL!$C$9, $C$13, 100%, $E$13) + CHOOSE(CONTROL!$C$28, 0.0276, 0)</f>
        <v>38.268799999999999</v>
      </c>
      <c r="C442" s="4">
        <f>37.9287 * CHOOSE(CONTROL!$C$9, $C$13, 100%, $E$13) + CHOOSE(CONTROL!$C$28, 0.0276, 0)</f>
        <v>37.956299999999999</v>
      </c>
      <c r="D442" s="4">
        <f>42.4322 * CHOOSE(CONTROL!$C$9, $C$13, 100%, $E$13) + CHOOSE(CONTROL!$C$28, 0, 0)</f>
        <v>42.432200000000002</v>
      </c>
      <c r="E442" s="4">
        <f>223.464423271942 * CHOOSE(CONTROL!$C$9, $C$13, 100%, $E$13) + CHOOSE(CONTROL!$C$28, 0, 0)</f>
        <v>223.464423271942</v>
      </c>
    </row>
    <row r="443" spans="1:5" ht="15">
      <c r="A443" s="13">
        <v>55000</v>
      </c>
      <c r="B443" s="4">
        <f>38.2296 * CHOOSE(CONTROL!$C$9, $C$13, 100%, $E$13) + CHOOSE(CONTROL!$C$28, 0.0276, 0)</f>
        <v>38.257199999999997</v>
      </c>
      <c r="C443" s="4">
        <f>37.9171 * CHOOSE(CONTROL!$C$9, $C$13, 100%, $E$13) + CHOOSE(CONTROL!$C$28, 0.0276, 0)</f>
        <v>37.944699999999997</v>
      </c>
      <c r="D443" s="4">
        <f>43.1197 * CHOOSE(CONTROL!$C$9, $C$13, 100%, $E$13) + CHOOSE(CONTROL!$C$28, 0, 0)</f>
        <v>43.119700000000002</v>
      </c>
      <c r="E443" s="4">
        <f>223.393346801436 * CHOOSE(CONTROL!$C$9, $C$13, 100%, $E$13) + CHOOSE(CONTROL!$C$28, 0, 0)</f>
        <v>223.393346801436</v>
      </c>
    </row>
    <row r="444" spans="1:5" ht="15">
      <c r="A444" s="13">
        <v>55031</v>
      </c>
      <c r="B444" s="4">
        <f>39.1 * CHOOSE(CONTROL!$C$9, $C$13, 100%, $E$13) + CHOOSE(CONTROL!$C$28, 0.0276, 0)</f>
        <v>39.127600000000001</v>
      </c>
      <c r="C444" s="4">
        <f>38.7875 * CHOOSE(CONTROL!$C$9, $C$13, 100%, $E$13) + CHOOSE(CONTROL!$C$28, 0.0276, 0)</f>
        <v>38.815100000000001</v>
      </c>
      <c r="D444" s="4">
        <f>42.6657 * CHOOSE(CONTROL!$C$9, $C$13, 100%, $E$13) + CHOOSE(CONTROL!$C$28, 0, 0)</f>
        <v>42.665700000000001</v>
      </c>
      <c r="E444" s="4">
        <f>228.741851207038 * CHOOSE(CONTROL!$C$9, $C$13, 100%, $E$13) + CHOOSE(CONTROL!$C$28, 0, 0)</f>
        <v>228.741851207038</v>
      </c>
    </row>
    <row r="445" spans="1:5" ht="15">
      <c r="A445" s="13">
        <v>55061</v>
      </c>
      <c r="B445" s="4">
        <f>37.6165 * CHOOSE(CONTROL!$C$9, $C$13, 100%, $E$13) + CHOOSE(CONTROL!$C$28, 0.0276, 0)</f>
        <v>37.644100000000002</v>
      </c>
      <c r="C445" s="4">
        <f>37.304 * CHOOSE(CONTROL!$C$9, $C$13, 100%, $E$13) + CHOOSE(CONTROL!$C$28, 0.0276, 0)</f>
        <v>37.331600000000002</v>
      </c>
      <c r="D445" s="4">
        <f>42.4512 * CHOOSE(CONTROL!$C$9, $C$13, 100%, $E$13) + CHOOSE(CONTROL!$C$28, 0, 0)</f>
        <v>42.4512</v>
      </c>
      <c r="E445" s="4">
        <f>219.6262938646 * CHOOSE(CONTROL!$C$9, $C$13, 100%, $E$13) + CHOOSE(CONTROL!$C$28, 0, 0)</f>
        <v>219.6262938646</v>
      </c>
    </row>
    <row r="446" spans="1:5" ht="15">
      <c r="A446" s="13">
        <v>55092</v>
      </c>
      <c r="B446" s="4">
        <f>36.429 * CHOOSE(CONTROL!$C$9, $C$13, 100%, $E$13) + CHOOSE(CONTROL!$C$28, 0.0003, 0)</f>
        <v>36.429300000000005</v>
      </c>
      <c r="C446" s="4">
        <f>36.1165 * CHOOSE(CONTROL!$C$9, $C$13, 100%, $E$13) + CHOOSE(CONTROL!$C$28, 0.0003, 0)</f>
        <v>36.116800000000005</v>
      </c>
      <c r="D446" s="4">
        <f>41.8769 * CHOOSE(CONTROL!$C$9, $C$13, 100%, $E$13) + CHOOSE(CONTROL!$C$28, 0, 0)</f>
        <v>41.876899999999999</v>
      </c>
      <c r="E446" s="4">
        <f>212.329109559282 * CHOOSE(CONTROL!$C$9, $C$13, 100%, $E$13) + CHOOSE(CONTROL!$C$28, 0, 0)</f>
        <v>212.32910955928199</v>
      </c>
    </row>
    <row r="447" spans="1:5" ht="15">
      <c r="A447" s="13">
        <v>55122</v>
      </c>
      <c r="B447" s="4">
        <f>35.6642 * CHOOSE(CONTROL!$C$9, $C$13, 100%, $E$13) + CHOOSE(CONTROL!$C$28, 0.0003, 0)</f>
        <v>35.664500000000004</v>
      </c>
      <c r="C447" s="4">
        <f>35.3517 * CHOOSE(CONTROL!$C$9, $C$13, 100%, $E$13) + CHOOSE(CONTROL!$C$28, 0.0003, 0)</f>
        <v>35.352000000000004</v>
      </c>
      <c r="D447" s="4">
        <f>41.6794 * CHOOSE(CONTROL!$C$9, $C$13, 100%, $E$13) + CHOOSE(CONTROL!$C$28, 0, 0)</f>
        <v>41.679400000000001</v>
      </c>
      <c r="E447" s="4">
        <f>207.62917794705 * CHOOSE(CONTROL!$C$9, $C$13, 100%, $E$13) + CHOOSE(CONTROL!$C$28, 0, 0)</f>
        <v>207.62917794705001</v>
      </c>
    </row>
    <row r="448" spans="1:5" ht="15">
      <c r="A448" s="13">
        <v>55153</v>
      </c>
      <c r="B448" s="4">
        <f>35.135 * CHOOSE(CONTROL!$C$9, $C$13, 100%, $E$13) + CHOOSE(CONTROL!$C$28, 0.0003, 0)</f>
        <v>35.135300000000001</v>
      </c>
      <c r="C448" s="4">
        <f>34.8225 * CHOOSE(CONTROL!$C$9, $C$13, 100%, $E$13) + CHOOSE(CONTROL!$C$28, 0.0003, 0)</f>
        <v>34.822800000000001</v>
      </c>
      <c r="D448" s="4">
        <f>40.2257 * CHOOSE(CONTROL!$C$9, $C$13, 100%, $E$13) + CHOOSE(CONTROL!$C$28, 0, 0)</f>
        <v>40.225700000000003</v>
      </c>
      <c r="E448" s="4">
        <f>204.377429421385 * CHOOSE(CONTROL!$C$9, $C$13, 100%, $E$13) + CHOOSE(CONTROL!$C$28, 0, 0)</f>
        <v>204.37742942138499</v>
      </c>
    </row>
    <row r="449" spans="1:5" ht="15">
      <c r="A449" s="13">
        <v>55184</v>
      </c>
      <c r="B449" s="4">
        <f>34.2752 * CHOOSE(CONTROL!$C$9, $C$13, 100%, $E$13) + CHOOSE(CONTROL!$C$28, 0.0003, 0)</f>
        <v>34.275500000000001</v>
      </c>
      <c r="C449" s="4">
        <f>33.9627 * CHOOSE(CONTROL!$C$9, $C$13, 100%, $E$13) + CHOOSE(CONTROL!$C$28, 0.0003, 0)</f>
        <v>33.963000000000001</v>
      </c>
      <c r="D449" s="4">
        <f>38.8897 * CHOOSE(CONTROL!$C$9, $C$13, 100%, $E$13) + CHOOSE(CONTROL!$C$28, 0, 0)</f>
        <v>38.889699999999998</v>
      </c>
      <c r="E449" s="4">
        <f>198.516663566005 * CHOOSE(CONTROL!$C$9, $C$13, 100%, $E$13) + CHOOSE(CONTROL!$C$28, 0, 0)</f>
        <v>198.51666356600501</v>
      </c>
    </row>
    <row r="450" spans="1:5" ht="15">
      <c r="A450" s="13">
        <v>55212</v>
      </c>
      <c r="B450" s="4">
        <f>35.0445 * CHOOSE(CONTROL!$C$9, $C$13, 100%, $E$13) + CHOOSE(CONTROL!$C$28, 0.0003, 0)</f>
        <v>35.044800000000002</v>
      </c>
      <c r="C450" s="4">
        <f>34.732 * CHOOSE(CONTROL!$C$9, $C$13, 100%, $E$13) + CHOOSE(CONTROL!$C$28, 0.0003, 0)</f>
        <v>34.732300000000002</v>
      </c>
      <c r="D450" s="4">
        <f>40.2351 * CHOOSE(CONTROL!$C$9, $C$13, 100%, $E$13) + CHOOSE(CONTROL!$C$28, 0, 0)</f>
        <v>40.235100000000003</v>
      </c>
      <c r="E450" s="4">
        <f>203.230231495255 * CHOOSE(CONTROL!$C$9, $C$13, 100%, $E$13) + CHOOSE(CONTROL!$C$28, 0, 0)</f>
        <v>203.230231495255</v>
      </c>
    </row>
    <row r="451" spans="1:5" ht="15">
      <c r="A451" s="13">
        <v>55243</v>
      </c>
      <c r="B451" s="4">
        <f>37.0647 * CHOOSE(CONTROL!$C$9, $C$13, 100%, $E$13) + CHOOSE(CONTROL!$C$28, 0.0003, 0)</f>
        <v>37.065000000000005</v>
      </c>
      <c r="C451" s="4">
        <f>36.7522 * CHOOSE(CONTROL!$C$9, $C$13, 100%, $E$13) + CHOOSE(CONTROL!$C$28, 0.0003, 0)</f>
        <v>36.752500000000005</v>
      </c>
      <c r="D451" s="4">
        <f>42.3412 * CHOOSE(CONTROL!$C$9, $C$13, 100%, $E$13) + CHOOSE(CONTROL!$C$28, 0, 0)</f>
        <v>42.341200000000001</v>
      </c>
      <c r="E451" s="4">
        <f>215.60831137168 * CHOOSE(CONTROL!$C$9, $C$13, 100%, $E$13) + CHOOSE(CONTROL!$C$28, 0, 0)</f>
        <v>215.60831137168</v>
      </c>
    </row>
    <row r="452" spans="1:5" ht="15">
      <c r="A452" s="13">
        <v>55273</v>
      </c>
      <c r="B452" s="4">
        <f>38.5001 * CHOOSE(CONTROL!$C$9, $C$13, 100%, $E$13) + CHOOSE(CONTROL!$C$28, 0.0003, 0)</f>
        <v>38.500400000000006</v>
      </c>
      <c r="C452" s="4">
        <f>38.1876 * CHOOSE(CONTROL!$C$9, $C$13, 100%, $E$13) + CHOOSE(CONTROL!$C$28, 0.0003, 0)</f>
        <v>38.187900000000006</v>
      </c>
      <c r="D452" s="4">
        <f>43.5544 * CHOOSE(CONTROL!$C$9, $C$13, 100%, $E$13) + CHOOSE(CONTROL!$C$28, 0, 0)</f>
        <v>43.554400000000001</v>
      </c>
      <c r="E452" s="4">
        <f>224.403102083483 * CHOOSE(CONTROL!$C$9, $C$13, 100%, $E$13) + CHOOSE(CONTROL!$C$28, 0, 0)</f>
        <v>224.40310208348299</v>
      </c>
    </row>
    <row r="453" spans="1:5" ht="15">
      <c r="A453" s="13">
        <v>55304</v>
      </c>
      <c r="B453" s="4">
        <f>39.3771 * CHOOSE(CONTROL!$C$9, $C$13, 100%, $E$13) + CHOOSE(CONTROL!$C$28, 0.0276, 0)</f>
        <v>39.404699999999998</v>
      </c>
      <c r="C453" s="4">
        <f>39.0646 * CHOOSE(CONTROL!$C$9, $C$13, 100%, $E$13) + CHOOSE(CONTROL!$C$28, 0.0276, 0)</f>
        <v>39.092199999999998</v>
      </c>
      <c r="D453" s="4">
        <f>43.075 * CHOOSE(CONTROL!$C$9, $C$13, 100%, $E$13) + CHOOSE(CONTROL!$C$28, 0, 0)</f>
        <v>43.075000000000003</v>
      </c>
      <c r="E453" s="4">
        <f>229.776508426679 * CHOOSE(CONTROL!$C$9, $C$13, 100%, $E$13) + CHOOSE(CONTROL!$C$28, 0, 0)</f>
        <v>229.77650842667899</v>
      </c>
    </row>
    <row r="454" spans="1:5" ht="15">
      <c r="A454" s="13">
        <v>55334</v>
      </c>
      <c r="B454" s="4">
        <f>39.4958 * CHOOSE(CONTROL!$C$9, $C$13, 100%, $E$13) + CHOOSE(CONTROL!$C$28, 0.0276, 0)</f>
        <v>39.523400000000002</v>
      </c>
      <c r="C454" s="4">
        <f>39.1833 * CHOOSE(CONTROL!$C$9, $C$13, 100%, $E$13) + CHOOSE(CONTROL!$C$28, 0.0276, 0)</f>
        <v>39.210900000000002</v>
      </c>
      <c r="D454" s="4">
        <f>43.4655 * CHOOSE(CONTROL!$C$9, $C$13, 100%, $E$13) + CHOOSE(CONTROL!$C$28, 0, 0)</f>
        <v>43.465499999999999</v>
      </c>
      <c r="E454" s="4">
        <f>230.503552605008 * CHOOSE(CONTROL!$C$9, $C$13, 100%, $E$13) + CHOOSE(CONTROL!$C$28, 0, 0)</f>
        <v>230.503552605008</v>
      </c>
    </row>
    <row r="455" spans="1:5" ht="15">
      <c r="A455" s="13">
        <v>55365</v>
      </c>
      <c r="B455" s="4">
        <f>39.4838 * CHOOSE(CONTROL!$C$9, $C$13, 100%, $E$13) + CHOOSE(CONTROL!$C$28, 0.0276, 0)</f>
        <v>39.511400000000002</v>
      </c>
      <c r="C455" s="4">
        <f>39.1713 * CHOOSE(CONTROL!$C$9, $C$13, 100%, $E$13) + CHOOSE(CONTROL!$C$28, 0.0276, 0)</f>
        <v>39.198900000000002</v>
      </c>
      <c r="D455" s="4">
        <f>44.1699 * CHOOSE(CONTROL!$C$9, $C$13, 100%, $E$13) + CHOOSE(CONTROL!$C$28, 0, 0)</f>
        <v>44.169899999999998</v>
      </c>
      <c r="E455" s="4">
        <f>230.430237225681 * CHOOSE(CONTROL!$C$9, $C$13, 100%, $E$13) + CHOOSE(CONTROL!$C$28, 0, 0)</f>
        <v>230.430237225681</v>
      </c>
    </row>
    <row r="456" spans="1:5" ht="15">
      <c r="A456" s="13">
        <v>55396</v>
      </c>
      <c r="B456" s="4">
        <f>40.3843 * CHOOSE(CONTROL!$C$9, $C$13, 100%, $E$13) + CHOOSE(CONTROL!$C$28, 0.0276, 0)</f>
        <v>40.411900000000003</v>
      </c>
      <c r="C456" s="4">
        <f>40.0718 * CHOOSE(CONTROL!$C$9, $C$13, 100%, $E$13) + CHOOSE(CONTROL!$C$28, 0.0276, 0)</f>
        <v>40.099400000000003</v>
      </c>
      <c r="D456" s="4">
        <f>43.7047 * CHOOSE(CONTROL!$C$9, $C$13, 100%, $E$13) + CHOOSE(CONTROL!$C$28, 0, 0)</f>
        <v>43.704700000000003</v>
      </c>
      <c r="E456" s="4">
        <f>235.94721952006 * CHOOSE(CONTROL!$C$9, $C$13, 100%, $E$13) + CHOOSE(CONTROL!$C$28, 0, 0)</f>
        <v>235.94721952006</v>
      </c>
    </row>
    <row r="457" spans="1:5" ht="15">
      <c r="A457" s="13">
        <v>55426</v>
      </c>
      <c r="B457" s="4">
        <f>38.8496 * CHOOSE(CONTROL!$C$9, $C$13, 100%, $E$13) + CHOOSE(CONTROL!$C$28, 0.0276, 0)</f>
        <v>38.877200000000002</v>
      </c>
      <c r="C457" s="4">
        <f>38.5371 * CHOOSE(CONTROL!$C$9, $C$13, 100%, $E$13) + CHOOSE(CONTROL!$C$28, 0.0276, 0)</f>
        <v>38.564700000000002</v>
      </c>
      <c r="D457" s="4">
        <f>43.4849 * CHOOSE(CONTROL!$C$9, $C$13, 100%, $E$13) + CHOOSE(CONTROL!$C$28, 0, 0)</f>
        <v>43.484900000000003</v>
      </c>
      <c r="E457" s="4">
        <f>226.544522121334 * CHOOSE(CONTROL!$C$9, $C$13, 100%, $E$13) + CHOOSE(CONTROL!$C$28, 0, 0)</f>
        <v>226.54452212133401</v>
      </c>
    </row>
    <row r="458" spans="1:5" ht="15">
      <c r="A458" s="13">
        <v>55457</v>
      </c>
      <c r="B458" s="4">
        <f>37.6211 * CHOOSE(CONTROL!$C$9, $C$13, 100%, $E$13) + CHOOSE(CONTROL!$C$28, 0.0003, 0)</f>
        <v>37.621400000000001</v>
      </c>
      <c r="C458" s="4">
        <f>37.3086 * CHOOSE(CONTROL!$C$9, $C$13, 100%, $E$13) + CHOOSE(CONTROL!$C$28, 0.0003, 0)</f>
        <v>37.308900000000001</v>
      </c>
      <c r="D458" s="4">
        <f>42.8963 * CHOOSE(CONTROL!$C$9, $C$13, 100%, $E$13) + CHOOSE(CONTROL!$C$28, 0, 0)</f>
        <v>42.896299999999997</v>
      </c>
      <c r="E458" s="4">
        <f>219.017476510399 * CHOOSE(CONTROL!$C$9, $C$13, 100%, $E$13) + CHOOSE(CONTROL!$C$28, 0, 0)</f>
        <v>219.01747651039901</v>
      </c>
    </row>
    <row r="459" spans="1:5" ht="15">
      <c r="A459" s="13">
        <v>55487</v>
      </c>
      <c r="B459" s="4">
        <f>36.8299 * CHOOSE(CONTROL!$C$9, $C$13, 100%, $E$13) + CHOOSE(CONTROL!$C$28, 0.0003, 0)</f>
        <v>36.830200000000005</v>
      </c>
      <c r="C459" s="4">
        <f>36.5174 * CHOOSE(CONTROL!$C$9, $C$13, 100%, $E$13) + CHOOSE(CONTROL!$C$28, 0.0003, 0)</f>
        <v>36.517700000000005</v>
      </c>
      <c r="D459" s="4">
        <f>42.694 * CHOOSE(CONTROL!$C$9, $C$13, 100%, $E$13) + CHOOSE(CONTROL!$C$28, 0, 0)</f>
        <v>42.694000000000003</v>
      </c>
      <c r="E459" s="4">
        <f>214.169497052382 * CHOOSE(CONTROL!$C$9, $C$13, 100%, $E$13) + CHOOSE(CONTROL!$C$28, 0, 0)</f>
        <v>214.16949705238201</v>
      </c>
    </row>
    <row r="460" spans="1:5" ht="15">
      <c r="A460" s="13">
        <v>55518</v>
      </c>
      <c r="B460" s="4">
        <f>36.2824 * CHOOSE(CONTROL!$C$9, $C$13, 100%, $E$13) + CHOOSE(CONTROL!$C$28, 0.0003, 0)</f>
        <v>36.282700000000006</v>
      </c>
      <c r="C460" s="4">
        <f>35.9699 * CHOOSE(CONTROL!$C$9, $C$13, 100%, $E$13) + CHOOSE(CONTROL!$C$28, 0.0003, 0)</f>
        <v>35.970200000000006</v>
      </c>
      <c r="D460" s="4">
        <f>41.2043 * CHOOSE(CONTROL!$C$9, $C$13, 100%, $E$13) + CHOOSE(CONTROL!$C$28, 0, 0)</f>
        <v>41.204300000000003</v>
      </c>
      <c r="E460" s="4">
        <f>210.815318448158 * CHOOSE(CONTROL!$C$9, $C$13, 100%, $E$13) + CHOOSE(CONTROL!$C$28, 0, 0)</f>
        <v>210.815318448158</v>
      </c>
    </row>
    <row r="461" spans="1:5" ht="15">
      <c r="A461" s="13">
        <v>55549</v>
      </c>
      <c r="B461" s="4">
        <f>35.393 * CHOOSE(CONTROL!$C$9, $C$13, 100%, $E$13) + CHOOSE(CONTROL!$C$28, 0.0003, 0)</f>
        <v>35.393300000000004</v>
      </c>
      <c r="C461" s="4">
        <f>35.0805 * CHOOSE(CONTROL!$C$9, $C$13, 100%, $E$13) + CHOOSE(CONTROL!$C$28, 0.0003, 0)</f>
        <v>35.080800000000004</v>
      </c>
      <c r="D461" s="4">
        <f>39.8351 * CHOOSE(CONTROL!$C$9, $C$13, 100%, $E$13) + CHOOSE(CONTROL!$C$28, 0, 0)</f>
        <v>39.835099999999997</v>
      </c>
      <c r="E461" s="4">
        <f>204.769938468334 * CHOOSE(CONTROL!$C$9, $C$13, 100%, $E$13) + CHOOSE(CONTROL!$C$28, 0, 0)</f>
        <v>204.769938468334</v>
      </c>
    </row>
    <row r="462" spans="1:5" ht="15">
      <c r="A462" s="13">
        <v>55577</v>
      </c>
      <c r="B462" s="4">
        <f>36.1888 * CHOOSE(CONTROL!$C$9, $C$13, 100%, $E$13) + CHOOSE(CONTROL!$C$28, 0.0003, 0)</f>
        <v>36.189100000000003</v>
      </c>
      <c r="C462" s="4">
        <f>35.8763 * CHOOSE(CONTROL!$C$9, $C$13, 100%, $E$13) + CHOOSE(CONTROL!$C$28, 0.0003, 0)</f>
        <v>35.876600000000003</v>
      </c>
      <c r="D462" s="4">
        <f>41.2138 * CHOOSE(CONTROL!$C$9, $C$13, 100%, $E$13) + CHOOSE(CONTROL!$C$28, 0, 0)</f>
        <v>41.213799999999999</v>
      </c>
      <c r="E462" s="4">
        <f>209.631983787356 * CHOOSE(CONTROL!$C$9, $C$13, 100%, $E$13) + CHOOSE(CONTROL!$C$28, 0, 0)</f>
        <v>209.63198378735601</v>
      </c>
    </row>
    <row r="463" spans="1:5" ht="15">
      <c r="A463" s="13">
        <v>55609</v>
      </c>
      <c r="B463" s="4">
        <f>38.2788 * CHOOSE(CONTROL!$C$9, $C$13, 100%, $E$13) + CHOOSE(CONTROL!$C$28, 0.0003, 0)</f>
        <v>38.2791</v>
      </c>
      <c r="C463" s="4">
        <f>37.9663 * CHOOSE(CONTROL!$C$9, $C$13, 100%, $E$13) + CHOOSE(CONTROL!$C$28, 0.0003, 0)</f>
        <v>37.9666</v>
      </c>
      <c r="D463" s="4">
        <f>43.3722 * CHOOSE(CONTROL!$C$9, $C$13, 100%, $E$13) + CHOOSE(CONTROL!$C$28, 0, 0)</f>
        <v>43.372199999999999</v>
      </c>
      <c r="E463" s="4">
        <f>222.399973179888 * CHOOSE(CONTROL!$C$9, $C$13, 100%, $E$13) + CHOOSE(CONTROL!$C$28, 0, 0)</f>
        <v>222.39997317988801</v>
      </c>
    </row>
    <row r="464" spans="1:5" ht="15">
      <c r="A464" s="13">
        <v>55639</v>
      </c>
      <c r="B464" s="4">
        <f>39.7637 * CHOOSE(CONTROL!$C$9, $C$13, 100%, $E$13) + CHOOSE(CONTROL!$C$28, 0.0003, 0)</f>
        <v>39.764000000000003</v>
      </c>
      <c r="C464" s="4">
        <f>39.4512 * CHOOSE(CONTROL!$C$9, $C$13, 100%, $E$13) + CHOOSE(CONTROL!$C$28, 0.0003, 0)</f>
        <v>39.451500000000003</v>
      </c>
      <c r="D464" s="4">
        <f>44.6155 * CHOOSE(CONTROL!$C$9, $C$13, 100%, $E$13) + CHOOSE(CONTROL!$C$28, 0, 0)</f>
        <v>44.615499999999997</v>
      </c>
      <c r="E464" s="4">
        <f>231.471799799113 * CHOOSE(CONTROL!$C$9, $C$13, 100%, $E$13) + CHOOSE(CONTROL!$C$28, 0, 0)</f>
        <v>231.471799799113</v>
      </c>
    </row>
    <row r="465" spans="1:5" ht="15">
      <c r="A465" s="13">
        <v>55670</v>
      </c>
      <c r="B465" s="4">
        <f>40.671 * CHOOSE(CONTROL!$C$9, $C$13, 100%, $E$13) + CHOOSE(CONTROL!$C$28, 0.0276, 0)</f>
        <v>40.698599999999999</v>
      </c>
      <c r="C465" s="4">
        <f>40.3585 * CHOOSE(CONTROL!$C$9, $C$13, 100%, $E$13) + CHOOSE(CONTROL!$C$28, 0.0276, 0)</f>
        <v>40.386099999999999</v>
      </c>
      <c r="D465" s="4">
        <f>44.1242 * CHOOSE(CONTROL!$C$9, $C$13, 100%, $E$13) + CHOOSE(CONTROL!$C$28, 0, 0)</f>
        <v>44.124200000000002</v>
      </c>
      <c r="E465" s="4">
        <f>237.01446844212 * CHOOSE(CONTROL!$C$9, $C$13, 100%, $E$13) + CHOOSE(CONTROL!$C$28, 0, 0)</f>
        <v>237.01446844212001</v>
      </c>
    </row>
    <row r="466" spans="1:5" ht="15">
      <c r="A466" s="13">
        <v>55700</v>
      </c>
      <c r="B466" s="4">
        <f>40.7937 * CHOOSE(CONTROL!$C$9, $C$13, 100%, $E$13) + CHOOSE(CONTROL!$C$28, 0.0276, 0)</f>
        <v>40.821300000000001</v>
      </c>
      <c r="C466" s="4">
        <f>40.4812 * CHOOSE(CONTROL!$C$9, $C$13, 100%, $E$13) + CHOOSE(CONTROL!$C$28, 0.0276, 0)</f>
        <v>40.508800000000001</v>
      </c>
      <c r="D466" s="4">
        <f>44.5243 * CHOOSE(CONTROL!$C$9, $C$13, 100%, $E$13) + CHOOSE(CONTROL!$C$28, 0, 0)</f>
        <v>44.524299999999997</v>
      </c>
      <c r="E466" s="4">
        <f>237.764414512066 * CHOOSE(CONTROL!$C$9, $C$13, 100%, $E$13) + CHOOSE(CONTROL!$C$28, 0, 0)</f>
        <v>237.764414512066</v>
      </c>
    </row>
    <row r="467" spans="1:5" ht="15">
      <c r="A467" s="13">
        <v>55731</v>
      </c>
      <c r="B467" s="4">
        <f>40.7813 * CHOOSE(CONTROL!$C$9, $C$13, 100%, $E$13) + CHOOSE(CONTROL!$C$28, 0.0276, 0)</f>
        <v>40.808900000000001</v>
      </c>
      <c r="C467" s="4">
        <f>40.4688 * CHOOSE(CONTROL!$C$9, $C$13, 100%, $E$13) + CHOOSE(CONTROL!$C$28, 0.0276, 0)</f>
        <v>40.496400000000001</v>
      </c>
      <c r="D467" s="4">
        <f>45.2463 * CHOOSE(CONTROL!$C$9, $C$13, 100%, $E$13) + CHOOSE(CONTROL!$C$28, 0, 0)</f>
        <v>45.246299999999998</v>
      </c>
      <c r="E467" s="4">
        <f>237.68878969829 * CHOOSE(CONTROL!$C$9, $C$13, 100%, $E$13) + CHOOSE(CONTROL!$C$28, 0, 0)</f>
        <v>237.68878969829001</v>
      </c>
    </row>
    <row r="468" spans="1:5" ht="15">
      <c r="A468" s="13">
        <v>55762</v>
      </c>
      <c r="B468" s="4">
        <f>41.7128 * CHOOSE(CONTROL!$C$9, $C$13, 100%, $E$13) + CHOOSE(CONTROL!$C$28, 0.0276, 0)</f>
        <v>41.740400000000001</v>
      </c>
      <c r="C468" s="4">
        <f>41.4003 * CHOOSE(CONTROL!$C$9, $C$13, 100%, $E$13) + CHOOSE(CONTROL!$C$28, 0.0276, 0)</f>
        <v>41.427900000000001</v>
      </c>
      <c r="D468" s="4">
        <f>44.7695 * CHOOSE(CONTROL!$C$9, $C$13, 100%, $E$13) + CHOOSE(CONTROL!$C$28, 0, 0)</f>
        <v>44.769500000000001</v>
      </c>
      <c r="E468" s="4">
        <f>243.379556934942 * CHOOSE(CONTROL!$C$9, $C$13, 100%, $E$13) + CHOOSE(CONTROL!$C$28, 0, 0)</f>
        <v>243.379556934942</v>
      </c>
    </row>
    <row r="469" spans="1:5" ht="15">
      <c r="A469" s="13">
        <v>55792</v>
      </c>
      <c r="B469" s="4">
        <f>40.1253 * CHOOSE(CONTROL!$C$9, $C$13, 100%, $E$13) + CHOOSE(CONTROL!$C$28, 0.0276, 0)</f>
        <v>40.152900000000002</v>
      </c>
      <c r="C469" s="4">
        <f>39.8128 * CHOOSE(CONTROL!$C$9, $C$13, 100%, $E$13) + CHOOSE(CONTROL!$C$28, 0.0276, 0)</f>
        <v>39.840400000000002</v>
      </c>
      <c r="D469" s="4">
        <f>44.5442 * CHOOSE(CONTROL!$C$9, $C$13, 100%, $E$13) + CHOOSE(CONTROL!$C$28, 0, 0)</f>
        <v>44.544199999999996</v>
      </c>
      <c r="E469" s="4">
        <f>233.680674568157 * CHOOSE(CONTROL!$C$9, $C$13, 100%, $E$13) + CHOOSE(CONTROL!$C$28, 0, 0)</f>
        <v>233.680674568157</v>
      </c>
    </row>
    <row r="470" spans="1:5" ht="15">
      <c r="A470" s="13">
        <v>55823</v>
      </c>
      <c r="B470" s="4">
        <f>38.8544 * CHOOSE(CONTROL!$C$9, $C$13, 100%, $E$13) + CHOOSE(CONTROL!$C$28, 0.0003, 0)</f>
        <v>38.854700000000001</v>
      </c>
      <c r="C470" s="4">
        <f>38.5419 * CHOOSE(CONTROL!$C$9, $C$13, 100%, $E$13) + CHOOSE(CONTROL!$C$28, 0.0003, 0)</f>
        <v>38.542200000000001</v>
      </c>
      <c r="D470" s="4">
        <f>43.9411 * CHOOSE(CONTROL!$C$9, $C$13, 100%, $E$13) + CHOOSE(CONTROL!$C$28, 0, 0)</f>
        <v>43.941099999999999</v>
      </c>
      <c r="E470" s="4">
        <f>225.916527020477 * CHOOSE(CONTROL!$C$9, $C$13, 100%, $E$13) + CHOOSE(CONTROL!$C$28, 0, 0)</f>
        <v>225.91652702047699</v>
      </c>
    </row>
    <row r="471" spans="1:5" ht="15">
      <c r="A471" s="13">
        <v>55853</v>
      </c>
      <c r="B471" s="4">
        <f>38.0358 * CHOOSE(CONTROL!$C$9, $C$13, 100%, $E$13) + CHOOSE(CONTROL!$C$28, 0.0003, 0)</f>
        <v>38.036100000000005</v>
      </c>
      <c r="C471" s="4">
        <f>37.7233 * CHOOSE(CONTROL!$C$9, $C$13, 100%, $E$13) + CHOOSE(CONTROL!$C$28, 0.0003, 0)</f>
        <v>37.723600000000005</v>
      </c>
      <c r="D471" s="4">
        <f>43.7337 * CHOOSE(CONTROL!$C$9, $C$13, 100%, $E$13) + CHOOSE(CONTROL!$C$28, 0, 0)</f>
        <v>43.733699999999999</v>
      </c>
      <c r="E471" s="4">
        <f>220.915836209532 * CHOOSE(CONTROL!$C$9, $C$13, 100%, $E$13) + CHOOSE(CONTROL!$C$28, 0, 0)</f>
        <v>220.91583620953199</v>
      </c>
    </row>
    <row r="472" spans="1:5" ht="15">
      <c r="A472" s="13">
        <v>55884</v>
      </c>
      <c r="B472" s="4">
        <f>37.4695 * CHOOSE(CONTROL!$C$9, $C$13, 100%, $E$13) + CHOOSE(CONTROL!$C$28, 0.0003, 0)</f>
        <v>37.469799999999999</v>
      </c>
      <c r="C472" s="4">
        <f>37.157 * CHOOSE(CONTROL!$C$9, $C$13, 100%, $E$13) + CHOOSE(CONTROL!$C$28, 0.0003, 0)</f>
        <v>37.157299999999999</v>
      </c>
      <c r="D472" s="4">
        <f>42.207 * CHOOSE(CONTROL!$C$9, $C$13, 100%, $E$13) + CHOOSE(CONTROL!$C$28, 0, 0)</f>
        <v>42.207000000000001</v>
      </c>
      <c r="E472" s="4">
        <f>217.456000979275 * CHOOSE(CONTROL!$C$9, $C$13, 100%, $E$13) + CHOOSE(CONTROL!$C$28, 0, 0)</f>
        <v>217.45600097927499</v>
      </c>
    </row>
    <row r="473" spans="1:5" ht="15">
      <c r="A473" s="13">
        <v>55915</v>
      </c>
      <c r="B473" s="4">
        <f>36.5493 * CHOOSE(CONTROL!$C$9, $C$13, 100%, $E$13) + CHOOSE(CONTROL!$C$28, 0.0003, 0)</f>
        <v>36.549600000000005</v>
      </c>
      <c r="C473" s="4">
        <f>36.2368 * CHOOSE(CONTROL!$C$9, $C$13, 100%, $E$13) + CHOOSE(CONTROL!$C$28, 0.0003, 0)</f>
        <v>36.237100000000005</v>
      </c>
      <c r="D473" s="4">
        <f>40.8039 * CHOOSE(CONTROL!$C$9, $C$13, 100%, $E$13) + CHOOSE(CONTROL!$C$28, 0, 0)</f>
        <v>40.803899999999999</v>
      </c>
      <c r="E473" s="4">
        <f>211.220191530086 * CHOOSE(CONTROL!$C$9, $C$13, 100%, $E$13) + CHOOSE(CONTROL!$C$28, 0, 0)</f>
        <v>211.220191530086</v>
      </c>
    </row>
    <row r="474" spans="1:5" ht="15">
      <c r="A474" s="13">
        <v>55943</v>
      </c>
      <c r="B474" s="4">
        <f>37.3726 * CHOOSE(CONTROL!$C$9, $C$13, 100%, $E$13) + CHOOSE(CONTROL!$C$28, 0.0003, 0)</f>
        <v>37.372900000000001</v>
      </c>
      <c r="C474" s="4">
        <f>37.0601 * CHOOSE(CONTROL!$C$9, $C$13, 100%, $E$13) + CHOOSE(CONTROL!$C$28, 0.0003, 0)</f>
        <v>37.060400000000001</v>
      </c>
      <c r="D474" s="4">
        <f>42.2169 * CHOOSE(CONTROL!$C$9, $C$13, 100%, $E$13) + CHOOSE(CONTROL!$C$28, 0, 0)</f>
        <v>42.216900000000003</v>
      </c>
      <c r="E474" s="4">
        <f>216.235391276658 * CHOOSE(CONTROL!$C$9, $C$13, 100%, $E$13) + CHOOSE(CONTROL!$C$28, 0, 0)</f>
        <v>216.23539127665799</v>
      </c>
    </row>
    <row r="475" spans="1:5" ht="15">
      <c r="A475" s="13">
        <v>55974</v>
      </c>
      <c r="B475" s="4">
        <f>39.5347 * CHOOSE(CONTROL!$C$9, $C$13, 100%, $E$13) + CHOOSE(CONTROL!$C$28, 0.0003, 0)</f>
        <v>39.535000000000004</v>
      </c>
      <c r="C475" s="4">
        <f>39.2222 * CHOOSE(CONTROL!$C$9, $C$13, 100%, $E$13) + CHOOSE(CONTROL!$C$28, 0.0003, 0)</f>
        <v>39.222500000000004</v>
      </c>
      <c r="D475" s="4">
        <f>44.4287 * CHOOSE(CONTROL!$C$9, $C$13, 100%, $E$13) + CHOOSE(CONTROL!$C$28, 0, 0)</f>
        <v>44.428699999999999</v>
      </c>
      <c r="E475" s="4">
        <f>229.405572335054 * CHOOSE(CONTROL!$C$9, $C$13, 100%, $E$13) + CHOOSE(CONTROL!$C$28, 0, 0)</f>
        <v>229.40557233505399</v>
      </c>
    </row>
    <row r="476" spans="1:5" ht="15">
      <c r="A476" s="13">
        <v>56004</v>
      </c>
      <c r="B476" s="4">
        <f>41.0709 * CHOOSE(CONTROL!$C$9, $C$13, 100%, $E$13) + CHOOSE(CONTROL!$C$28, 0.0003, 0)</f>
        <v>41.071200000000005</v>
      </c>
      <c r="C476" s="4">
        <f>40.7584 * CHOOSE(CONTROL!$C$9, $C$13, 100%, $E$13) + CHOOSE(CONTROL!$C$28, 0.0003, 0)</f>
        <v>40.758700000000005</v>
      </c>
      <c r="D476" s="4">
        <f>45.7029 * CHOOSE(CONTROL!$C$9, $C$13, 100%, $E$13) + CHOOSE(CONTROL!$C$28, 0, 0)</f>
        <v>45.7029</v>
      </c>
      <c r="E476" s="4">
        <f>238.763161492785 * CHOOSE(CONTROL!$C$9, $C$13, 100%, $E$13) + CHOOSE(CONTROL!$C$28, 0, 0)</f>
        <v>238.763161492785</v>
      </c>
    </row>
    <row r="477" spans="1:5" ht="15">
      <c r="A477" s="13">
        <v>56035</v>
      </c>
      <c r="B477" s="4">
        <f>42.0094 * CHOOSE(CONTROL!$C$9, $C$13, 100%, $E$13) + CHOOSE(CONTROL!$C$28, 0.0276, 0)</f>
        <v>42.036999999999999</v>
      </c>
      <c r="C477" s="4">
        <f>41.6969 * CHOOSE(CONTROL!$C$9, $C$13, 100%, $E$13) + CHOOSE(CONTROL!$C$28, 0.0276, 0)</f>
        <v>41.724499999999999</v>
      </c>
      <c r="D477" s="4">
        <f>45.1994 * CHOOSE(CONTROL!$C$9, $C$13, 100%, $E$13) + CHOOSE(CONTROL!$C$28, 0, 0)</f>
        <v>45.199399999999997</v>
      </c>
      <c r="E477" s="4">
        <f>244.480424198046 * CHOOSE(CONTROL!$C$9, $C$13, 100%, $E$13) + CHOOSE(CONTROL!$C$28, 0, 0)</f>
        <v>244.48042419804599</v>
      </c>
    </row>
    <row r="478" spans="1:5" ht="15">
      <c r="A478" s="13">
        <v>56065</v>
      </c>
      <c r="B478" s="4">
        <f>42.1364 * CHOOSE(CONTROL!$C$9, $C$13, 100%, $E$13) + CHOOSE(CONTROL!$C$28, 0.0276, 0)</f>
        <v>42.164000000000001</v>
      </c>
      <c r="C478" s="4">
        <f>41.8239 * CHOOSE(CONTROL!$C$9, $C$13, 100%, $E$13) + CHOOSE(CONTROL!$C$28, 0.0276, 0)</f>
        <v>41.851500000000001</v>
      </c>
      <c r="D478" s="4">
        <f>45.6094 * CHOOSE(CONTROL!$C$9, $C$13, 100%, $E$13) + CHOOSE(CONTROL!$C$28, 0, 0)</f>
        <v>45.609400000000001</v>
      </c>
      <c r="E478" s="4">
        <f>245.253993569196 * CHOOSE(CONTROL!$C$9, $C$13, 100%, $E$13) + CHOOSE(CONTROL!$C$28, 0, 0)</f>
        <v>245.25399356919601</v>
      </c>
    </row>
    <row r="479" spans="1:5" ht="15">
      <c r="A479" s="13">
        <v>56096</v>
      </c>
      <c r="B479" s="4">
        <f>42.1236 * CHOOSE(CONTROL!$C$9, $C$13, 100%, $E$13) + CHOOSE(CONTROL!$C$28, 0.0276, 0)</f>
        <v>42.151200000000003</v>
      </c>
      <c r="C479" s="4">
        <f>41.8111 * CHOOSE(CONTROL!$C$9, $C$13, 100%, $E$13) + CHOOSE(CONTROL!$C$28, 0.0276, 0)</f>
        <v>41.838700000000003</v>
      </c>
      <c r="D479" s="4">
        <f>46.3493 * CHOOSE(CONTROL!$C$9, $C$13, 100%, $E$13) + CHOOSE(CONTROL!$C$28, 0, 0)</f>
        <v>46.349299999999999</v>
      </c>
      <c r="E479" s="4">
        <f>245.175986573786 * CHOOSE(CONTROL!$C$9, $C$13, 100%, $E$13) + CHOOSE(CONTROL!$C$28, 0, 0)</f>
        <v>245.17598657378599</v>
      </c>
    </row>
    <row r="480" spans="1:5" ht="15">
      <c r="A480" s="13">
        <v>56127</v>
      </c>
      <c r="B480" s="4">
        <f>43.0872 * CHOOSE(CONTROL!$C$9, $C$13, 100%, $E$13) + CHOOSE(CONTROL!$C$28, 0.0276, 0)</f>
        <v>43.114800000000002</v>
      </c>
      <c r="C480" s="4">
        <f>42.7747 * CHOOSE(CONTROL!$C$9, $C$13, 100%, $E$13) + CHOOSE(CONTROL!$C$28, 0.0276, 0)</f>
        <v>42.802300000000002</v>
      </c>
      <c r="D480" s="4">
        <f>45.8607 * CHOOSE(CONTROL!$C$9, $C$13, 100%, $E$13) + CHOOSE(CONTROL!$C$28, 0, 0)</f>
        <v>45.860700000000001</v>
      </c>
      <c r="E480" s="4">
        <f>251.046012978392 * CHOOSE(CONTROL!$C$9, $C$13, 100%, $E$13) + CHOOSE(CONTROL!$C$28, 0, 0)</f>
        <v>251.04601297839201</v>
      </c>
    </row>
    <row r="481" spans="1:5" ht="15">
      <c r="A481" s="13">
        <v>56157</v>
      </c>
      <c r="B481" s="4">
        <f>41.4449 * CHOOSE(CONTROL!$C$9, $C$13, 100%, $E$13) + CHOOSE(CONTROL!$C$28, 0.0276, 0)</f>
        <v>41.472499999999997</v>
      </c>
      <c r="C481" s="4">
        <f>41.1324 * CHOOSE(CONTROL!$C$9, $C$13, 100%, $E$13) + CHOOSE(CONTROL!$C$28, 0.0276, 0)</f>
        <v>41.16</v>
      </c>
      <c r="D481" s="4">
        <f>45.6298 * CHOOSE(CONTROL!$C$9, $C$13, 100%, $E$13) + CHOOSE(CONTROL!$C$28, 0, 0)</f>
        <v>45.629800000000003</v>
      </c>
      <c r="E481" s="4">
        <f>241.041615817053 * CHOOSE(CONTROL!$C$9, $C$13, 100%, $E$13) + CHOOSE(CONTROL!$C$28, 0, 0)</f>
        <v>241.04161581705301</v>
      </c>
    </row>
    <row r="482" spans="1:5" ht="15">
      <c r="A482" s="13">
        <v>56188</v>
      </c>
      <c r="B482" s="4">
        <f>40.1302 * CHOOSE(CONTROL!$C$9, $C$13, 100%, $E$13) + CHOOSE(CONTROL!$C$28, 0.0003, 0)</f>
        <v>40.130500000000005</v>
      </c>
      <c r="C482" s="4">
        <f>39.8177 * CHOOSE(CONTROL!$C$9, $C$13, 100%, $E$13) + CHOOSE(CONTROL!$C$28, 0.0003, 0)</f>
        <v>39.818000000000005</v>
      </c>
      <c r="D482" s="4">
        <f>45.0117 * CHOOSE(CONTROL!$C$9, $C$13, 100%, $E$13) + CHOOSE(CONTROL!$C$28, 0, 0)</f>
        <v>45.011699999999998</v>
      </c>
      <c r="E482" s="4">
        <f>233.032897621622 * CHOOSE(CONTROL!$C$9, $C$13, 100%, $E$13) + CHOOSE(CONTROL!$C$28, 0, 0)</f>
        <v>233.032897621622</v>
      </c>
    </row>
    <row r="483" spans="1:5" ht="15">
      <c r="A483" s="13">
        <v>56218</v>
      </c>
      <c r="B483" s="4">
        <f>39.2834 * CHOOSE(CONTROL!$C$9, $C$13, 100%, $E$13) + CHOOSE(CONTROL!$C$28, 0.0003, 0)</f>
        <v>39.283700000000003</v>
      </c>
      <c r="C483" s="4">
        <f>38.9709 * CHOOSE(CONTROL!$C$9, $C$13, 100%, $E$13) + CHOOSE(CONTROL!$C$28, 0.0003, 0)</f>
        <v>38.971200000000003</v>
      </c>
      <c r="D483" s="4">
        <f>44.7992 * CHOOSE(CONTROL!$C$9, $C$13, 100%, $E$13) + CHOOSE(CONTROL!$C$28, 0, 0)</f>
        <v>44.799199999999999</v>
      </c>
      <c r="E483" s="4">
        <f>227.874685050132 * CHOOSE(CONTROL!$C$9, $C$13, 100%, $E$13) + CHOOSE(CONTROL!$C$28, 0, 0)</f>
        <v>227.874685050132</v>
      </c>
    </row>
    <row r="484" spans="1:5" ht="15">
      <c r="A484" s="13">
        <v>56249</v>
      </c>
      <c r="B484" s="4">
        <f>38.6975 * CHOOSE(CONTROL!$C$9, $C$13, 100%, $E$13) + CHOOSE(CONTROL!$C$28, 0.0003, 0)</f>
        <v>38.697800000000001</v>
      </c>
      <c r="C484" s="4">
        <f>38.385 * CHOOSE(CONTROL!$C$9, $C$13, 100%, $E$13) + CHOOSE(CONTROL!$C$28, 0.0003, 0)</f>
        <v>38.385300000000001</v>
      </c>
      <c r="D484" s="4">
        <f>43.2347 * CHOOSE(CONTROL!$C$9, $C$13, 100%, $E$13) + CHOOSE(CONTROL!$C$28, 0, 0)</f>
        <v>43.234699999999997</v>
      </c>
      <c r="E484" s="4">
        <f>224.305865010122 * CHOOSE(CONTROL!$C$9, $C$13, 100%, $E$13) + CHOOSE(CONTROL!$C$28, 0, 0)</f>
        <v>224.30586501012201</v>
      </c>
    </row>
    <row r="485" spans="1:5" ht="15">
      <c r="A485" s="13">
        <v>56280</v>
      </c>
      <c r="B485" s="4">
        <f>37.7456 * CHOOSE(CONTROL!$C$9, $C$13, 100%, $E$13) + CHOOSE(CONTROL!$C$28, 0.0003, 0)</f>
        <v>37.745900000000006</v>
      </c>
      <c r="C485" s="4">
        <f>37.4331 * CHOOSE(CONTROL!$C$9, $C$13, 100%, $E$13) + CHOOSE(CONTROL!$C$28, 0.0003, 0)</f>
        <v>37.433400000000006</v>
      </c>
      <c r="D485" s="4">
        <f>41.7967 * CHOOSE(CONTROL!$C$9, $C$13, 100%, $E$13) + CHOOSE(CONTROL!$C$28, 0, 0)</f>
        <v>41.796700000000001</v>
      </c>
      <c r="E485" s="4">
        <f>217.873627563284 * CHOOSE(CONTROL!$C$9, $C$13, 100%, $E$13) + CHOOSE(CONTROL!$C$28, 0, 0)</f>
        <v>217.873627563284</v>
      </c>
    </row>
    <row r="486" spans="1:5" ht="15">
      <c r="A486" s="13">
        <v>56308</v>
      </c>
      <c r="B486" s="4">
        <f>38.5973 * CHOOSE(CONTROL!$C$9, $C$13, 100%, $E$13) + CHOOSE(CONTROL!$C$28, 0.0003, 0)</f>
        <v>38.5976</v>
      </c>
      <c r="C486" s="4">
        <f>38.2848 * CHOOSE(CONTROL!$C$9, $C$13, 100%, $E$13) + CHOOSE(CONTROL!$C$28, 0.0003, 0)</f>
        <v>38.2851</v>
      </c>
      <c r="D486" s="4">
        <f>43.2447 * CHOOSE(CONTROL!$C$9, $C$13, 100%, $E$13) + CHOOSE(CONTROL!$C$28, 0, 0)</f>
        <v>43.244700000000002</v>
      </c>
      <c r="E486" s="4">
        <f>223.046806101872 * CHOOSE(CONTROL!$C$9, $C$13, 100%, $E$13) + CHOOSE(CONTROL!$C$28, 0, 0)</f>
        <v>223.04680610187199</v>
      </c>
    </row>
    <row r="487" spans="1:5" ht="15">
      <c r="A487" s="13">
        <v>56339</v>
      </c>
      <c r="B487" s="4">
        <f>40.834 * CHOOSE(CONTROL!$C$9, $C$13, 100%, $E$13) + CHOOSE(CONTROL!$C$28, 0.0003, 0)</f>
        <v>40.834300000000006</v>
      </c>
      <c r="C487" s="4">
        <f>40.5215 * CHOOSE(CONTROL!$C$9, $C$13, 100%, $E$13) + CHOOSE(CONTROL!$C$28, 0.0003, 0)</f>
        <v>40.521800000000006</v>
      </c>
      <c r="D487" s="4">
        <f>45.5115 * CHOOSE(CONTROL!$C$9, $C$13, 100%, $E$13) + CHOOSE(CONTROL!$C$28, 0, 0)</f>
        <v>45.511499999999998</v>
      </c>
      <c r="E487" s="4">
        <f>236.631847863609 * CHOOSE(CONTROL!$C$9, $C$13, 100%, $E$13) + CHOOSE(CONTROL!$C$28, 0, 0)</f>
        <v>236.63184786360901</v>
      </c>
    </row>
    <row r="488" spans="1:5" ht="15">
      <c r="A488" s="13">
        <v>56369</v>
      </c>
      <c r="B488" s="4">
        <f>42.4231 * CHOOSE(CONTROL!$C$9, $C$13, 100%, $E$13) + CHOOSE(CONTROL!$C$28, 0.0003, 0)</f>
        <v>42.423400000000001</v>
      </c>
      <c r="C488" s="4">
        <f>42.1106 * CHOOSE(CONTROL!$C$9, $C$13, 100%, $E$13) + CHOOSE(CONTROL!$C$28, 0.0003, 0)</f>
        <v>42.110900000000001</v>
      </c>
      <c r="D488" s="4">
        <f>46.8172 * CHOOSE(CONTROL!$C$9, $C$13, 100%, $E$13) + CHOOSE(CONTROL!$C$28, 0, 0)</f>
        <v>46.8172</v>
      </c>
      <c r="E488" s="4">
        <f>246.284201079808 * CHOOSE(CONTROL!$C$9, $C$13, 100%, $E$13) + CHOOSE(CONTROL!$C$28, 0, 0)</f>
        <v>246.28420107980801</v>
      </c>
    </row>
    <row r="489" spans="1:5" ht="15">
      <c r="A489" s="13">
        <v>56400</v>
      </c>
      <c r="B489" s="4">
        <f>43.394 * CHOOSE(CONTROL!$C$9, $C$13, 100%, $E$13) + CHOOSE(CONTROL!$C$28, 0.0276, 0)</f>
        <v>43.421599999999998</v>
      </c>
      <c r="C489" s="4">
        <f>43.0815 * CHOOSE(CONTROL!$C$9, $C$13, 100%, $E$13) + CHOOSE(CONTROL!$C$28, 0.0276, 0)</f>
        <v>43.109099999999998</v>
      </c>
      <c r="D489" s="4">
        <f>46.3012 * CHOOSE(CONTROL!$C$9, $C$13, 100%, $E$13) + CHOOSE(CONTROL!$C$28, 0, 0)</f>
        <v>46.301200000000001</v>
      </c>
      <c r="E489" s="4">
        <f>252.181557560285 * CHOOSE(CONTROL!$C$9, $C$13, 100%, $E$13) + CHOOSE(CONTROL!$C$28, 0, 0)</f>
        <v>252.181557560285</v>
      </c>
    </row>
    <row r="490" spans="1:5" ht="15">
      <c r="A490" s="13">
        <v>56430</v>
      </c>
      <c r="B490" s="4">
        <f>43.5254 * CHOOSE(CONTROL!$C$9, $C$13, 100%, $E$13) + CHOOSE(CONTROL!$C$28, 0.0276, 0)</f>
        <v>43.552999999999997</v>
      </c>
      <c r="C490" s="4">
        <f>43.2129 * CHOOSE(CONTROL!$C$9, $C$13, 100%, $E$13) + CHOOSE(CONTROL!$C$28, 0.0276, 0)</f>
        <v>43.240499999999997</v>
      </c>
      <c r="D490" s="4">
        <f>46.7214 * CHOOSE(CONTROL!$C$9, $C$13, 100%, $E$13) + CHOOSE(CONTROL!$C$28, 0, 0)</f>
        <v>46.721400000000003</v>
      </c>
      <c r="E490" s="4">
        <f>252.979494366626 * CHOOSE(CONTROL!$C$9, $C$13, 100%, $E$13) + CHOOSE(CONTROL!$C$28, 0, 0)</f>
        <v>252.979494366626</v>
      </c>
    </row>
    <row r="491" spans="1:5" ht="15">
      <c r="A491" s="13">
        <v>56461</v>
      </c>
      <c r="B491" s="4">
        <f>43.5122 * CHOOSE(CONTROL!$C$9, $C$13, 100%, $E$13) + CHOOSE(CONTROL!$C$28, 0.0276, 0)</f>
        <v>43.5398</v>
      </c>
      <c r="C491" s="4">
        <f>43.1997 * CHOOSE(CONTROL!$C$9, $C$13, 100%, $E$13) + CHOOSE(CONTROL!$C$28, 0.0276, 0)</f>
        <v>43.2273</v>
      </c>
      <c r="D491" s="4">
        <f>47.4797 * CHOOSE(CONTROL!$C$9, $C$13, 100%, $E$13) + CHOOSE(CONTROL!$C$28, 0, 0)</f>
        <v>47.479700000000001</v>
      </c>
      <c r="E491" s="4">
        <f>252.89903015086 * CHOOSE(CONTROL!$C$9, $C$13, 100%, $E$13) + CHOOSE(CONTROL!$C$28, 0, 0)</f>
        <v>252.89903015086</v>
      </c>
    </row>
    <row r="492" spans="1:5" ht="15">
      <c r="A492" s="13">
        <v>56492</v>
      </c>
      <c r="B492" s="4">
        <f>44.5091 * CHOOSE(CONTROL!$C$9, $C$13, 100%, $E$13) + CHOOSE(CONTROL!$C$28, 0.0276, 0)</f>
        <v>44.536699999999996</v>
      </c>
      <c r="C492" s="4">
        <f>44.1966 * CHOOSE(CONTROL!$C$9, $C$13, 100%, $E$13) + CHOOSE(CONTROL!$C$28, 0.0276, 0)</f>
        <v>44.224199999999996</v>
      </c>
      <c r="D492" s="4">
        <f>46.9789 * CHOOSE(CONTROL!$C$9, $C$13, 100%, $E$13) + CHOOSE(CONTROL!$C$28, 0, 0)</f>
        <v>46.978900000000003</v>
      </c>
      <c r="E492" s="4">
        <f>258.953962387212 * CHOOSE(CONTROL!$C$9, $C$13, 100%, $E$13) + CHOOSE(CONTROL!$C$28, 0, 0)</f>
        <v>258.95396238721202</v>
      </c>
    </row>
    <row r="493" spans="1:5" ht="15">
      <c r="A493" s="13">
        <v>56522</v>
      </c>
      <c r="B493" s="4">
        <f>42.81 * CHOOSE(CONTROL!$C$9, $C$13, 100%, $E$13) + CHOOSE(CONTROL!$C$28, 0.0276, 0)</f>
        <v>42.837600000000002</v>
      </c>
      <c r="C493" s="4">
        <f>42.4975 * CHOOSE(CONTROL!$C$9, $C$13, 100%, $E$13) + CHOOSE(CONTROL!$C$28, 0.0276, 0)</f>
        <v>42.525100000000002</v>
      </c>
      <c r="D493" s="4">
        <f>46.7424 * CHOOSE(CONTROL!$C$9, $C$13, 100%, $E$13) + CHOOSE(CONTROL!$C$28, 0, 0)</f>
        <v>46.742400000000004</v>
      </c>
      <c r="E493" s="4">
        <f>248.634426715291 * CHOOSE(CONTROL!$C$9, $C$13, 100%, $E$13) + CHOOSE(CONTROL!$C$28, 0, 0)</f>
        <v>248.634426715291</v>
      </c>
    </row>
    <row r="494" spans="1:5" ht="15">
      <c r="A494" s="13">
        <v>56553</v>
      </c>
      <c r="B494" s="4">
        <f>41.45 * CHOOSE(CONTROL!$C$9, $C$13, 100%, $E$13) + CHOOSE(CONTROL!$C$28, 0.0003, 0)</f>
        <v>41.450300000000006</v>
      </c>
      <c r="C494" s="4">
        <f>41.1375 * CHOOSE(CONTROL!$C$9, $C$13, 100%, $E$13) + CHOOSE(CONTROL!$C$28, 0.0003, 0)</f>
        <v>41.137800000000006</v>
      </c>
      <c r="D494" s="4">
        <f>46.1089 * CHOOSE(CONTROL!$C$9, $C$13, 100%, $E$13) + CHOOSE(CONTROL!$C$28, 0, 0)</f>
        <v>46.108899999999998</v>
      </c>
      <c r="E494" s="4">
        <f>240.373433896703 * CHOOSE(CONTROL!$C$9, $C$13, 100%, $E$13) + CHOOSE(CONTROL!$C$28, 0, 0)</f>
        <v>240.37343389670301</v>
      </c>
    </row>
    <row r="495" spans="1:5" ht="15">
      <c r="A495" s="13">
        <v>56583</v>
      </c>
      <c r="B495" s="4">
        <f>40.574 * CHOOSE(CONTROL!$C$9, $C$13, 100%, $E$13) + CHOOSE(CONTROL!$C$28, 0.0003, 0)</f>
        <v>40.574300000000001</v>
      </c>
      <c r="C495" s="4">
        <f>40.2615 * CHOOSE(CONTROL!$C$9, $C$13, 100%, $E$13) + CHOOSE(CONTROL!$C$28, 0.0003, 0)</f>
        <v>40.261800000000001</v>
      </c>
      <c r="D495" s="4">
        <f>45.8911 * CHOOSE(CONTROL!$C$9, $C$13, 100%, $E$13) + CHOOSE(CONTROL!$C$28, 0, 0)</f>
        <v>45.891100000000002</v>
      </c>
      <c r="E495" s="4">
        <f>235.052737629211 * CHOOSE(CONTROL!$C$9, $C$13, 100%, $E$13) + CHOOSE(CONTROL!$C$28, 0, 0)</f>
        <v>235.05273762921101</v>
      </c>
    </row>
    <row r="496" spans="1:5" ht="15">
      <c r="A496" s="13">
        <v>56614</v>
      </c>
      <c r="B496" s="4">
        <f>39.9679 * CHOOSE(CONTROL!$C$9, $C$13, 100%, $E$13) + CHOOSE(CONTROL!$C$28, 0.0003, 0)</f>
        <v>39.968200000000003</v>
      </c>
      <c r="C496" s="4">
        <f>39.6554 * CHOOSE(CONTROL!$C$9, $C$13, 100%, $E$13) + CHOOSE(CONTROL!$C$28, 0.0003, 0)</f>
        <v>39.655700000000003</v>
      </c>
      <c r="D496" s="4">
        <f>44.2878 * CHOOSE(CONTROL!$C$9, $C$13, 100%, $E$13) + CHOOSE(CONTROL!$C$28, 0, 0)</f>
        <v>44.287799999999997</v>
      </c>
      <c r="E496" s="4">
        <f>231.371499757941 * CHOOSE(CONTROL!$C$9, $C$13, 100%, $E$13) + CHOOSE(CONTROL!$C$28, 0, 0)</f>
        <v>231.371499757941</v>
      </c>
    </row>
    <row r="497" spans="1:5" ht="15">
      <c r="A497" s="13">
        <v>56645</v>
      </c>
      <c r="B497" s="4">
        <f>38.9831 * CHOOSE(CONTROL!$C$9, $C$13, 100%, $E$13) + CHOOSE(CONTROL!$C$28, 0.0003, 0)</f>
        <v>38.983400000000003</v>
      </c>
      <c r="C497" s="4">
        <f>38.6706 * CHOOSE(CONTROL!$C$9, $C$13, 100%, $E$13) + CHOOSE(CONTROL!$C$28, 0.0003, 0)</f>
        <v>38.670900000000003</v>
      </c>
      <c r="D497" s="4">
        <f>42.8142 * CHOOSE(CONTROL!$C$9, $C$13, 100%, $E$13) + CHOOSE(CONTROL!$C$28, 0, 0)</f>
        <v>42.8142</v>
      </c>
      <c r="E497" s="4">
        <f>224.736646831528 * CHOOSE(CONTROL!$C$9, $C$13, 100%, $E$13) + CHOOSE(CONTROL!$C$28, 0, 0)</f>
        <v>224.73664683152799</v>
      </c>
    </row>
    <row r="498" spans="1:5" ht="15">
      <c r="A498" s="13">
        <v>56673</v>
      </c>
      <c r="B498" s="4">
        <f>39.8642 * CHOOSE(CONTROL!$C$9, $C$13, 100%, $E$13) + CHOOSE(CONTROL!$C$28, 0.0003, 0)</f>
        <v>39.8645</v>
      </c>
      <c r="C498" s="4">
        <f>39.5517 * CHOOSE(CONTROL!$C$9, $C$13, 100%, $E$13) + CHOOSE(CONTROL!$C$28, 0.0003, 0)</f>
        <v>39.552</v>
      </c>
      <c r="D498" s="4">
        <f>44.2981 * CHOOSE(CONTROL!$C$9, $C$13, 100%, $E$13) + CHOOSE(CONTROL!$C$28, 0, 0)</f>
        <v>44.298099999999998</v>
      </c>
      <c r="E498" s="4">
        <f>230.072780494081 * CHOOSE(CONTROL!$C$9, $C$13, 100%, $E$13) + CHOOSE(CONTROL!$C$28, 0, 0)</f>
        <v>230.072780494081</v>
      </c>
    </row>
    <row r="499" spans="1:5" ht="15">
      <c r="A499" s="13">
        <v>56704</v>
      </c>
      <c r="B499" s="4">
        <f>42.178 * CHOOSE(CONTROL!$C$9, $C$13, 100%, $E$13) + CHOOSE(CONTROL!$C$28, 0.0003, 0)</f>
        <v>42.1783</v>
      </c>
      <c r="C499" s="4">
        <f>41.8655 * CHOOSE(CONTROL!$C$9, $C$13, 100%, $E$13) + CHOOSE(CONTROL!$C$28, 0.0003, 0)</f>
        <v>41.8658</v>
      </c>
      <c r="D499" s="4">
        <f>46.6211 * CHOOSE(CONTROL!$C$9, $C$13, 100%, $E$13) + CHOOSE(CONTROL!$C$28, 0, 0)</f>
        <v>46.621099999999998</v>
      </c>
      <c r="E499" s="4">
        <f>244.085751071312 * CHOOSE(CONTROL!$C$9, $C$13, 100%, $E$13) + CHOOSE(CONTROL!$C$28, 0, 0)</f>
        <v>244.08575107131199</v>
      </c>
    </row>
    <row r="500" spans="1:5" ht="15">
      <c r="A500" s="13">
        <v>56734</v>
      </c>
      <c r="B500" s="4">
        <f>43.822 * CHOOSE(CONTROL!$C$9, $C$13, 100%, $E$13) + CHOOSE(CONTROL!$C$28, 0.0003, 0)</f>
        <v>43.822300000000006</v>
      </c>
      <c r="C500" s="4">
        <f>43.5095 * CHOOSE(CONTROL!$C$9, $C$13, 100%, $E$13) + CHOOSE(CONTROL!$C$28, 0.0003, 0)</f>
        <v>43.509800000000006</v>
      </c>
      <c r="D500" s="4">
        <f>47.9592 * CHOOSE(CONTROL!$C$9, $C$13, 100%, $E$13) + CHOOSE(CONTROL!$C$28, 0, 0)</f>
        <v>47.959200000000003</v>
      </c>
      <c r="E500" s="4">
        <f>254.042153413822 * CHOOSE(CONTROL!$C$9, $C$13, 100%, $E$13) + CHOOSE(CONTROL!$C$28, 0, 0)</f>
        <v>254.04215341382201</v>
      </c>
    </row>
    <row r="501" spans="1:5" ht="15">
      <c r="A501" s="13">
        <v>56765</v>
      </c>
      <c r="B501" s="4">
        <f>44.8265 * CHOOSE(CONTROL!$C$9, $C$13, 100%, $E$13) + CHOOSE(CONTROL!$C$28, 0.0276, 0)</f>
        <v>44.854100000000003</v>
      </c>
      <c r="C501" s="4">
        <f>44.514 * CHOOSE(CONTROL!$C$9, $C$13, 100%, $E$13) + CHOOSE(CONTROL!$C$28, 0.0276, 0)</f>
        <v>44.541600000000003</v>
      </c>
      <c r="D501" s="4">
        <f>47.4304 * CHOOSE(CONTROL!$C$9, $C$13, 100%, $E$13) + CHOOSE(CONTROL!$C$28, 0, 0)</f>
        <v>47.430399999999999</v>
      </c>
      <c r="E501" s="4">
        <f>260.125276623434 * CHOOSE(CONTROL!$C$9, $C$13, 100%, $E$13) + CHOOSE(CONTROL!$C$28, 0, 0)</f>
        <v>260.12527662343399</v>
      </c>
    </row>
    <row r="502" spans="1:5" ht="15">
      <c r="A502" s="13">
        <v>56795</v>
      </c>
      <c r="B502" s="4">
        <f>44.9624 * CHOOSE(CONTROL!$C$9, $C$13, 100%, $E$13) + CHOOSE(CONTROL!$C$28, 0.0276, 0)</f>
        <v>44.99</v>
      </c>
      <c r="C502" s="4">
        <f>44.6499 * CHOOSE(CONTROL!$C$9, $C$13, 100%, $E$13) + CHOOSE(CONTROL!$C$28, 0.0276, 0)</f>
        <v>44.677500000000002</v>
      </c>
      <c r="D502" s="4">
        <f>47.861 * CHOOSE(CONTROL!$C$9, $C$13, 100%, $E$13) + CHOOSE(CONTROL!$C$28, 0, 0)</f>
        <v>47.860999999999997</v>
      </c>
      <c r="E502" s="4">
        <f>260.948348439174 * CHOOSE(CONTROL!$C$9, $C$13, 100%, $E$13) + CHOOSE(CONTROL!$C$28, 0, 0)</f>
        <v>260.94834843917403</v>
      </c>
    </row>
    <row r="503" spans="1:5" ht="15">
      <c r="A503" s="13">
        <v>56826</v>
      </c>
      <c r="B503" s="4">
        <f>44.9487 * CHOOSE(CONTROL!$C$9, $C$13, 100%, $E$13) + CHOOSE(CONTROL!$C$28, 0.0276, 0)</f>
        <v>44.976300000000002</v>
      </c>
      <c r="C503" s="4">
        <f>44.6362 * CHOOSE(CONTROL!$C$9, $C$13, 100%, $E$13) + CHOOSE(CONTROL!$C$28, 0.0276, 0)</f>
        <v>44.663800000000002</v>
      </c>
      <c r="D503" s="4">
        <f>48.6381 * CHOOSE(CONTROL!$C$9, $C$13, 100%, $E$13) + CHOOSE(CONTROL!$C$28, 0, 0)</f>
        <v>48.638100000000001</v>
      </c>
      <c r="E503" s="4">
        <f>260.865349600612 * CHOOSE(CONTROL!$C$9, $C$13, 100%, $E$13) + CHOOSE(CONTROL!$C$28, 0, 0)</f>
        <v>260.86534960061198</v>
      </c>
    </row>
    <row r="504" spans="1:5" ht="15">
      <c r="A504" s="13">
        <v>56857</v>
      </c>
      <c r="B504" s="4">
        <f>45.9799 * CHOOSE(CONTROL!$C$9, $C$13, 100%, $E$13) + CHOOSE(CONTROL!$C$28, 0.0276, 0)</f>
        <v>46.0075</v>
      </c>
      <c r="C504" s="4">
        <f>45.6674 * CHOOSE(CONTROL!$C$9, $C$13, 100%, $E$13) + CHOOSE(CONTROL!$C$28, 0.0276, 0)</f>
        <v>45.695</v>
      </c>
      <c r="D504" s="4">
        <f>48.1249 * CHOOSE(CONTROL!$C$9, $C$13, 100%, $E$13) + CHOOSE(CONTROL!$C$28, 0, 0)</f>
        <v>48.124899999999997</v>
      </c>
      <c r="E504" s="4">
        <f>267.111012202409 * CHOOSE(CONTROL!$C$9, $C$13, 100%, $E$13) + CHOOSE(CONTROL!$C$28, 0, 0)</f>
        <v>267.11101220240897</v>
      </c>
    </row>
    <row r="505" spans="1:5" ht="15">
      <c r="A505" s="13">
        <v>56887</v>
      </c>
      <c r="B505" s="4">
        <f>44.2223 * CHOOSE(CONTROL!$C$9, $C$13, 100%, $E$13) + CHOOSE(CONTROL!$C$28, 0.0276, 0)</f>
        <v>44.249899999999997</v>
      </c>
      <c r="C505" s="4">
        <f>43.9098 * CHOOSE(CONTROL!$C$9, $C$13, 100%, $E$13) + CHOOSE(CONTROL!$C$28, 0.0276, 0)</f>
        <v>43.937399999999997</v>
      </c>
      <c r="D505" s="4">
        <f>47.8825 * CHOOSE(CONTROL!$C$9, $C$13, 100%, $E$13) + CHOOSE(CONTROL!$C$28, 0, 0)</f>
        <v>47.8825</v>
      </c>
      <c r="E505" s="4">
        <f>256.466411156822 * CHOOSE(CONTROL!$C$9, $C$13, 100%, $E$13) + CHOOSE(CONTROL!$C$28, 0, 0)</f>
        <v>256.46641115682201</v>
      </c>
    </row>
    <row r="506" spans="1:5" ht="15">
      <c r="A506" s="13">
        <v>56918</v>
      </c>
      <c r="B506" s="4">
        <f>42.8153 * CHOOSE(CONTROL!$C$9, $C$13, 100%, $E$13) + CHOOSE(CONTROL!$C$28, 0.0003, 0)</f>
        <v>42.815600000000003</v>
      </c>
      <c r="C506" s="4">
        <f>42.5028 * CHOOSE(CONTROL!$C$9, $C$13, 100%, $E$13) + CHOOSE(CONTROL!$C$28, 0.0003, 0)</f>
        <v>42.503100000000003</v>
      </c>
      <c r="D506" s="4">
        <f>47.2333 * CHOOSE(CONTROL!$C$9, $C$13, 100%, $E$13) + CHOOSE(CONTROL!$C$28, 0, 0)</f>
        <v>47.2333</v>
      </c>
      <c r="E506" s="4">
        <f>247.945197064449 * CHOOSE(CONTROL!$C$9, $C$13, 100%, $E$13) + CHOOSE(CONTROL!$C$28, 0, 0)</f>
        <v>247.94519706444899</v>
      </c>
    </row>
    <row r="507" spans="1:5" ht="15">
      <c r="A507" s="13">
        <v>56948</v>
      </c>
      <c r="B507" s="4">
        <f>41.9091 * CHOOSE(CONTROL!$C$9, $C$13, 100%, $E$13) + CHOOSE(CONTROL!$C$28, 0.0003, 0)</f>
        <v>41.909400000000005</v>
      </c>
      <c r="C507" s="4">
        <f>41.5966 * CHOOSE(CONTROL!$C$9, $C$13, 100%, $E$13) + CHOOSE(CONTROL!$C$28, 0.0003, 0)</f>
        <v>41.596900000000005</v>
      </c>
      <c r="D507" s="4">
        <f>47.0101 * CHOOSE(CONTROL!$C$9, $C$13, 100%, $E$13) + CHOOSE(CONTROL!$C$28, 0, 0)</f>
        <v>47.010100000000001</v>
      </c>
      <c r="E507" s="4">
        <f>242.456898864531 * CHOOSE(CONTROL!$C$9, $C$13, 100%, $E$13) + CHOOSE(CONTROL!$C$28, 0, 0)</f>
        <v>242.45689886453101</v>
      </c>
    </row>
    <row r="508" spans="1:5" ht="15">
      <c r="A508" s="13">
        <v>56979</v>
      </c>
      <c r="B508" s="4">
        <f>41.2821 * CHOOSE(CONTROL!$C$9, $C$13, 100%, $E$13) + CHOOSE(CONTROL!$C$28, 0.0003, 0)</f>
        <v>41.282400000000003</v>
      </c>
      <c r="C508" s="4">
        <f>40.9696 * CHOOSE(CONTROL!$C$9, $C$13, 100%, $E$13) + CHOOSE(CONTROL!$C$28, 0.0003, 0)</f>
        <v>40.969900000000003</v>
      </c>
      <c r="D508" s="4">
        <f>45.367 * CHOOSE(CONTROL!$C$9, $C$13, 100%, $E$13) + CHOOSE(CONTROL!$C$28, 0, 0)</f>
        <v>45.366999999999997</v>
      </c>
      <c r="E508" s="4">
        <f>238.659702000316 * CHOOSE(CONTROL!$C$9, $C$13, 100%, $E$13) + CHOOSE(CONTROL!$C$28, 0, 0)</f>
        <v>238.659702000316</v>
      </c>
    </row>
    <row r="509" spans="1:5" ht="15">
      <c r="A509" s="13">
        <v>57010</v>
      </c>
      <c r="B509" s="4">
        <f>40.2634 * CHOOSE(CONTROL!$C$9, $C$13, 100%, $E$13) + CHOOSE(CONTROL!$C$28, 0.0003, 0)</f>
        <v>40.2637</v>
      </c>
      <c r="C509" s="4">
        <f>39.9509 * CHOOSE(CONTROL!$C$9, $C$13, 100%, $E$13) + CHOOSE(CONTROL!$C$28, 0.0003, 0)</f>
        <v>39.9512</v>
      </c>
      <c r="D509" s="4">
        <f>43.8569 * CHOOSE(CONTROL!$C$9, $C$13, 100%, $E$13) + CHOOSE(CONTROL!$C$28, 0, 0)</f>
        <v>43.856900000000003</v>
      </c>
      <c r="E509" s="4">
        <f>231.815851206721 * CHOOSE(CONTROL!$C$9, $C$13, 100%, $E$13) + CHOOSE(CONTROL!$C$28, 0, 0)</f>
        <v>231.81585120672099</v>
      </c>
    </row>
    <row r="510" spans="1:5" ht="15">
      <c r="A510" s="13">
        <v>57038</v>
      </c>
      <c r="B510" s="4">
        <f>41.1749 * CHOOSE(CONTROL!$C$9, $C$13, 100%, $E$13) + CHOOSE(CONTROL!$C$28, 0.0003, 0)</f>
        <v>41.175200000000004</v>
      </c>
      <c r="C510" s="4">
        <f>40.8624 * CHOOSE(CONTROL!$C$9, $C$13, 100%, $E$13) + CHOOSE(CONTROL!$C$28, 0.0003, 0)</f>
        <v>40.862700000000004</v>
      </c>
      <c r="D510" s="4">
        <f>45.3776 * CHOOSE(CONTROL!$C$9, $C$13, 100%, $E$13) + CHOOSE(CONTROL!$C$28, 0, 0)</f>
        <v>45.377600000000001</v>
      </c>
      <c r="E510" s="4">
        <f>237.320073079645 * CHOOSE(CONTROL!$C$9, $C$13, 100%, $E$13) + CHOOSE(CONTROL!$C$28, 0, 0)</f>
        <v>237.320073079645</v>
      </c>
    </row>
    <row r="511" spans="1:5" ht="15">
      <c r="A511" s="13">
        <v>57070</v>
      </c>
      <c r="B511" s="4">
        <f>43.5685 * CHOOSE(CONTROL!$C$9, $C$13, 100%, $E$13) + CHOOSE(CONTROL!$C$28, 0.0003, 0)</f>
        <v>43.568800000000003</v>
      </c>
      <c r="C511" s="4">
        <f>43.256 * CHOOSE(CONTROL!$C$9, $C$13, 100%, $E$13) + CHOOSE(CONTROL!$C$28, 0.0003, 0)</f>
        <v>43.256300000000003</v>
      </c>
      <c r="D511" s="4">
        <f>47.7582 * CHOOSE(CONTROL!$C$9, $C$13, 100%, $E$13) + CHOOSE(CONTROL!$C$28, 0, 0)</f>
        <v>47.758200000000002</v>
      </c>
      <c r="E511" s="4">
        <f>251.774452230059 * CHOOSE(CONTROL!$C$9, $C$13, 100%, $E$13) + CHOOSE(CONTROL!$C$28, 0, 0)</f>
        <v>251.77445223005901</v>
      </c>
    </row>
    <row r="512" spans="1:5" ht="15">
      <c r="A512" s="13">
        <v>57100</v>
      </c>
      <c r="B512" s="4">
        <f>45.2692 * CHOOSE(CONTROL!$C$9, $C$13, 100%, $E$13) + CHOOSE(CONTROL!$C$28, 0.0003, 0)</f>
        <v>45.269500000000001</v>
      </c>
      <c r="C512" s="4">
        <f>44.9567 * CHOOSE(CONTROL!$C$9, $C$13, 100%, $E$13) + CHOOSE(CONTROL!$C$28, 0.0003, 0)</f>
        <v>44.957000000000001</v>
      </c>
      <c r="D512" s="4">
        <f>49.1295 * CHOOSE(CONTROL!$C$9, $C$13, 100%, $E$13) + CHOOSE(CONTROL!$C$28, 0, 0)</f>
        <v>49.1295</v>
      </c>
      <c r="E512" s="4">
        <f>262.044481246357 * CHOOSE(CONTROL!$C$9, $C$13, 100%, $E$13) + CHOOSE(CONTROL!$C$28, 0, 0)</f>
        <v>262.04448124635701</v>
      </c>
    </row>
    <row r="513" spans="1:5" ht="15">
      <c r="A513" s="13">
        <v>57131</v>
      </c>
      <c r="B513" s="4">
        <f>46.3083 * CHOOSE(CONTROL!$C$9, $C$13, 100%, $E$13) + CHOOSE(CONTROL!$C$28, 0.0276, 0)</f>
        <v>46.335900000000002</v>
      </c>
      <c r="C513" s="4">
        <f>45.9958 * CHOOSE(CONTROL!$C$9, $C$13, 100%, $E$13) + CHOOSE(CONTROL!$C$28, 0.0276, 0)</f>
        <v>46.023400000000002</v>
      </c>
      <c r="D513" s="4">
        <f>48.5876 * CHOOSE(CONTROL!$C$9, $C$13, 100%, $E$13) + CHOOSE(CONTROL!$C$28, 0, 0)</f>
        <v>48.587600000000002</v>
      </c>
      <c r="E513" s="4">
        <f>268.319222837072 * CHOOSE(CONTROL!$C$9, $C$13, 100%, $E$13) + CHOOSE(CONTROL!$C$28, 0, 0)</f>
        <v>268.319222837072</v>
      </c>
    </row>
    <row r="514" spans="1:5" ht="15">
      <c r="A514" s="13">
        <v>57161</v>
      </c>
      <c r="B514" s="4">
        <f>46.4489 * CHOOSE(CONTROL!$C$9, $C$13, 100%, $E$13) + CHOOSE(CONTROL!$C$28, 0.0276, 0)</f>
        <v>46.476500000000001</v>
      </c>
      <c r="C514" s="4">
        <f>46.1364 * CHOOSE(CONTROL!$C$9, $C$13, 100%, $E$13) + CHOOSE(CONTROL!$C$28, 0.0276, 0)</f>
        <v>46.164000000000001</v>
      </c>
      <c r="D514" s="4">
        <f>49.0289 * CHOOSE(CONTROL!$C$9, $C$13, 100%, $E$13) + CHOOSE(CONTROL!$C$28, 0, 0)</f>
        <v>49.0289</v>
      </c>
      <c r="E514" s="4">
        <f>269.168221415008 * CHOOSE(CONTROL!$C$9, $C$13, 100%, $E$13) + CHOOSE(CONTROL!$C$28, 0, 0)</f>
        <v>269.16822141500802</v>
      </c>
    </row>
    <row r="515" spans="1:5" ht="15">
      <c r="A515" s="13">
        <v>57192</v>
      </c>
      <c r="B515" s="4">
        <f>46.4347 * CHOOSE(CONTROL!$C$9, $C$13, 100%, $E$13) + CHOOSE(CONTROL!$C$28, 0.0276, 0)</f>
        <v>46.462299999999999</v>
      </c>
      <c r="C515" s="4">
        <f>46.1222 * CHOOSE(CONTROL!$C$9, $C$13, 100%, $E$13) + CHOOSE(CONTROL!$C$28, 0.0276, 0)</f>
        <v>46.149799999999999</v>
      </c>
      <c r="D515" s="4">
        <f>49.8252 * CHOOSE(CONTROL!$C$9, $C$13, 100%, $E$13) + CHOOSE(CONTROL!$C$28, 0, 0)</f>
        <v>49.825200000000002</v>
      </c>
      <c r="E515" s="4">
        <f>269.082608113032 * CHOOSE(CONTROL!$C$9, $C$13, 100%, $E$13) + CHOOSE(CONTROL!$C$28, 0, 0)</f>
        <v>269.08260811303199</v>
      </c>
    </row>
    <row r="516" spans="1:5" ht="15">
      <c r="A516" s="13">
        <v>57223</v>
      </c>
      <c r="B516" s="4">
        <f>47.5015 * CHOOSE(CONTROL!$C$9, $C$13, 100%, $E$13) + CHOOSE(CONTROL!$C$28, 0.0276, 0)</f>
        <v>47.5291</v>
      </c>
      <c r="C516" s="4">
        <f>47.189 * CHOOSE(CONTROL!$C$9, $C$13, 100%, $E$13) + CHOOSE(CONTROL!$C$28, 0.0276, 0)</f>
        <v>47.2166</v>
      </c>
      <c r="D516" s="4">
        <f>49.2993 * CHOOSE(CONTROL!$C$9, $C$13, 100%, $E$13) + CHOOSE(CONTROL!$C$28, 0, 0)</f>
        <v>49.299300000000002</v>
      </c>
      <c r="E516" s="4">
        <f>275.525009086785 * CHOOSE(CONTROL!$C$9, $C$13, 100%, $E$13) + CHOOSE(CONTROL!$C$28, 0, 0)</f>
        <v>275.52500908678502</v>
      </c>
    </row>
    <row r="517" spans="1:5" ht="15">
      <c r="A517" s="13">
        <v>57253</v>
      </c>
      <c r="B517" s="4">
        <f>45.6833 * CHOOSE(CONTROL!$C$9, $C$13, 100%, $E$13) + CHOOSE(CONTROL!$C$28, 0.0276, 0)</f>
        <v>45.710900000000002</v>
      </c>
      <c r="C517" s="4">
        <f>45.3708 * CHOOSE(CONTROL!$C$9, $C$13, 100%, $E$13) + CHOOSE(CONTROL!$C$28, 0.0276, 0)</f>
        <v>45.398400000000002</v>
      </c>
      <c r="D517" s="4">
        <f>49.0509 * CHOOSE(CONTROL!$C$9, $C$13, 100%, $E$13) + CHOOSE(CONTROL!$C$28, 0, 0)</f>
        <v>49.050899999999999</v>
      </c>
      <c r="E517" s="4">
        <f>264.545103108262 * CHOOSE(CONTROL!$C$9, $C$13, 100%, $E$13) + CHOOSE(CONTROL!$C$28, 0, 0)</f>
        <v>264.54510310826203</v>
      </c>
    </row>
    <row r="518" spans="1:5" ht="15">
      <c r="A518" s="13">
        <v>57284</v>
      </c>
      <c r="B518" s="4">
        <f>44.2277 * CHOOSE(CONTROL!$C$9, $C$13, 100%, $E$13) + CHOOSE(CONTROL!$C$28, 0.0003, 0)</f>
        <v>44.228000000000002</v>
      </c>
      <c r="C518" s="4">
        <f>43.9152 * CHOOSE(CONTROL!$C$9, $C$13, 100%, $E$13) + CHOOSE(CONTROL!$C$28, 0.0003, 0)</f>
        <v>43.915500000000002</v>
      </c>
      <c r="D518" s="4">
        <f>48.3856 * CHOOSE(CONTROL!$C$9, $C$13, 100%, $E$13) + CHOOSE(CONTROL!$C$28, 0, 0)</f>
        <v>48.385599999999997</v>
      </c>
      <c r="E518" s="4">
        <f>255.755470771979 * CHOOSE(CONTROL!$C$9, $C$13, 100%, $E$13) + CHOOSE(CONTROL!$C$28, 0, 0)</f>
        <v>255.75547077197899</v>
      </c>
    </row>
    <row r="519" spans="1:5" ht="15">
      <c r="A519" s="13">
        <v>57314</v>
      </c>
      <c r="B519" s="4">
        <f>43.2903 * CHOOSE(CONTROL!$C$9, $C$13, 100%, $E$13) + CHOOSE(CONTROL!$C$28, 0.0003, 0)</f>
        <v>43.290600000000005</v>
      </c>
      <c r="C519" s="4">
        <f>42.9778 * CHOOSE(CONTROL!$C$9, $C$13, 100%, $E$13) + CHOOSE(CONTROL!$C$28, 0.0003, 0)</f>
        <v>42.978100000000005</v>
      </c>
      <c r="D519" s="4">
        <f>48.1569 * CHOOSE(CONTROL!$C$9, $C$13, 100%, $E$13) + CHOOSE(CONTROL!$C$28, 0, 0)</f>
        <v>48.1569</v>
      </c>
      <c r="E519" s="4">
        <f>250.094291178764 * CHOOSE(CONTROL!$C$9, $C$13, 100%, $E$13) + CHOOSE(CONTROL!$C$28, 0, 0)</f>
        <v>250.094291178764</v>
      </c>
    </row>
    <row r="520" spans="1:5" ht="15">
      <c r="A520" s="13">
        <v>57345</v>
      </c>
      <c r="B520" s="4">
        <f>42.6416 * CHOOSE(CONTROL!$C$9, $C$13, 100%, $E$13) + CHOOSE(CONTROL!$C$28, 0.0003, 0)</f>
        <v>42.6419</v>
      </c>
      <c r="C520" s="4">
        <f>42.3291 * CHOOSE(CONTROL!$C$9, $C$13, 100%, $E$13) + CHOOSE(CONTROL!$C$28, 0.0003, 0)</f>
        <v>42.3294</v>
      </c>
      <c r="D520" s="4">
        <f>46.4731 * CHOOSE(CONTROL!$C$9, $C$13, 100%, $E$13) + CHOOSE(CONTROL!$C$28, 0, 0)</f>
        <v>46.473100000000002</v>
      </c>
      <c r="E520" s="4">
        <f>246.177482613326 * CHOOSE(CONTROL!$C$9, $C$13, 100%, $E$13) + CHOOSE(CONTROL!$C$28, 0, 0)</f>
        <v>246.17748261332599</v>
      </c>
    </row>
    <row r="521" spans="1:5" ht="15">
      <c r="A521" s="13">
        <v>57376</v>
      </c>
      <c r="B521" s="4">
        <f>41.5878 * CHOOSE(CONTROL!$C$9, $C$13, 100%, $E$13) + CHOOSE(CONTROL!$C$28, 0.0003, 0)</f>
        <v>41.588100000000004</v>
      </c>
      <c r="C521" s="4">
        <f>41.2753 * CHOOSE(CONTROL!$C$9, $C$13, 100%, $E$13) + CHOOSE(CONTROL!$C$28, 0.0003, 0)</f>
        <v>41.275600000000004</v>
      </c>
      <c r="D521" s="4">
        <f>44.9255 * CHOOSE(CONTROL!$C$9, $C$13, 100%, $E$13) + CHOOSE(CONTROL!$C$28, 0, 0)</f>
        <v>44.9255</v>
      </c>
      <c r="E521" s="4">
        <f>239.118050519733 * CHOOSE(CONTROL!$C$9, $C$13, 100%, $E$13) + CHOOSE(CONTROL!$C$28, 0, 0)</f>
        <v>239.118050519733</v>
      </c>
    </row>
    <row r="522" spans="1:5" ht="15">
      <c r="A522" s="13">
        <v>57404</v>
      </c>
      <c r="B522" s="4">
        <f>42.5307 * CHOOSE(CONTROL!$C$9, $C$13, 100%, $E$13) + CHOOSE(CONTROL!$C$28, 0.0003, 0)</f>
        <v>42.531000000000006</v>
      </c>
      <c r="C522" s="4">
        <f>42.2182 * CHOOSE(CONTROL!$C$9, $C$13, 100%, $E$13) + CHOOSE(CONTROL!$C$28, 0.0003, 0)</f>
        <v>42.218500000000006</v>
      </c>
      <c r="D522" s="4">
        <f>46.4839 * CHOOSE(CONTROL!$C$9, $C$13, 100%, $E$13) + CHOOSE(CONTROL!$C$28, 0, 0)</f>
        <v>46.483899999999998</v>
      </c>
      <c r="E522" s="4">
        <f>244.795655381654 * CHOOSE(CONTROL!$C$9, $C$13, 100%, $E$13) + CHOOSE(CONTROL!$C$28, 0, 0)</f>
        <v>244.795655381654</v>
      </c>
    </row>
    <row r="523" spans="1:5" ht="15">
      <c r="A523" s="13">
        <v>57435</v>
      </c>
      <c r="B523" s="4">
        <f>45.0069 * CHOOSE(CONTROL!$C$9, $C$13, 100%, $E$13) + CHOOSE(CONTROL!$C$28, 0.0003, 0)</f>
        <v>45.007200000000005</v>
      </c>
      <c r="C523" s="4">
        <f>44.6944 * CHOOSE(CONTROL!$C$9, $C$13, 100%, $E$13) + CHOOSE(CONTROL!$C$28, 0.0003, 0)</f>
        <v>44.694700000000005</v>
      </c>
      <c r="D523" s="4">
        <f>48.9235 * CHOOSE(CONTROL!$C$9, $C$13, 100%, $E$13) + CHOOSE(CONTROL!$C$28, 0, 0)</f>
        <v>48.923499999999997</v>
      </c>
      <c r="E523" s="4">
        <f>259.705347475305 * CHOOSE(CONTROL!$C$9, $C$13, 100%, $E$13) + CHOOSE(CONTROL!$C$28, 0, 0)</f>
        <v>259.70534747530502</v>
      </c>
    </row>
    <row r="524" spans="1:5" ht="15">
      <c r="A524" s="13">
        <v>57465</v>
      </c>
      <c r="B524" s="4">
        <f>46.7663 * CHOOSE(CONTROL!$C$9, $C$13, 100%, $E$13) + CHOOSE(CONTROL!$C$28, 0.0003, 0)</f>
        <v>46.766600000000004</v>
      </c>
      <c r="C524" s="4">
        <f>46.4538 * CHOOSE(CONTROL!$C$9, $C$13, 100%, $E$13) + CHOOSE(CONTROL!$C$28, 0.0003, 0)</f>
        <v>46.454100000000004</v>
      </c>
      <c r="D524" s="4">
        <f>50.3288 * CHOOSE(CONTROL!$C$9, $C$13, 100%, $E$13) + CHOOSE(CONTROL!$C$28, 0, 0)</f>
        <v>50.328800000000001</v>
      </c>
      <c r="E524" s="4">
        <f>270.298882405617 * CHOOSE(CONTROL!$C$9, $C$13, 100%, $E$13) + CHOOSE(CONTROL!$C$28, 0, 0)</f>
        <v>270.29888240561701</v>
      </c>
    </row>
    <row r="525" spans="1:5" ht="15">
      <c r="A525" s="13">
        <v>57496</v>
      </c>
      <c r="B525" s="4">
        <f>47.8412 * CHOOSE(CONTROL!$C$9, $C$13, 100%, $E$13) + CHOOSE(CONTROL!$C$28, 0.0276, 0)</f>
        <v>47.8688</v>
      </c>
      <c r="C525" s="4">
        <f>47.5287 * CHOOSE(CONTROL!$C$9, $C$13, 100%, $E$13) + CHOOSE(CONTROL!$C$28, 0.0276, 0)</f>
        <v>47.5563</v>
      </c>
      <c r="D525" s="4">
        <f>49.7735 * CHOOSE(CONTROL!$C$9, $C$13, 100%, $E$13) + CHOOSE(CONTROL!$C$28, 0, 0)</f>
        <v>49.773499999999999</v>
      </c>
      <c r="E525" s="4">
        <f>276.77127835644 * CHOOSE(CONTROL!$C$9, $C$13, 100%, $E$13) + CHOOSE(CONTROL!$C$28, 0, 0)</f>
        <v>276.77127835644001</v>
      </c>
    </row>
    <row r="526" spans="1:5" ht="15">
      <c r="A526" s="13">
        <v>57526</v>
      </c>
      <c r="B526" s="4">
        <f>47.9867 * CHOOSE(CONTROL!$C$9, $C$13, 100%, $E$13) + CHOOSE(CONTROL!$C$28, 0.0276, 0)</f>
        <v>48.014299999999999</v>
      </c>
      <c r="C526" s="4">
        <f>47.6742 * CHOOSE(CONTROL!$C$9, $C$13, 100%, $E$13) + CHOOSE(CONTROL!$C$28, 0.0276, 0)</f>
        <v>47.701799999999999</v>
      </c>
      <c r="D526" s="4">
        <f>50.2257 * CHOOSE(CONTROL!$C$9, $C$13, 100%, $E$13) + CHOOSE(CONTROL!$C$28, 0, 0)</f>
        <v>50.225700000000003</v>
      </c>
      <c r="E526" s="4">
        <f>277.647020389581 * CHOOSE(CONTROL!$C$9, $C$13, 100%, $E$13) + CHOOSE(CONTROL!$C$28, 0, 0)</f>
        <v>277.64702038958097</v>
      </c>
    </row>
    <row r="527" spans="1:5" ht="15">
      <c r="A527" s="13">
        <v>57557</v>
      </c>
      <c r="B527" s="4">
        <f>47.972 * CHOOSE(CONTROL!$C$9, $C$13, 100%, $E$13) + CHOOSE(CONTROL!$C$28, 0.0276, 0)</f>
        <v>47.999600000000001</v>
      </c>
      <c r="C527" s="4">
        <f>47.6595 * CHOOSE(CONTROL!$C$9, $C$13, 100%, $E$13) + CHOOSE(CONTROL!$C$28, 0.0276, 0)</f>
        <v>47.687100000000001</v>
      </c>
      <c r="D527" s="4">
        <f>51.0418 * CHOOSE(CONTROL!$C$9, $C$13, 100%, $E$13) + CHOOSE(CONTROL!$C$28, 0, 0)</f>
        <v>51.041800000000002</v>
      </c>
      <c r="E527" s="4">
        <f>277.558710268592 * CHOOSE(CONTROL!$C$9, $C$13, 100%, $E$13) + CHOOSE(CONTROL!$C$28, 0, 0)</f>
        <v>277.55871026859199</v>
      </c>
    </row>
    <row r="528" spans="1:5" ht="15">
      <c r="A528" s="13">
        <v>57588</v>
      </c>
      <c r="B528" s="4">
        <f>49.0757 * CHOOSE(CONTROL!$C$9, $C$13, 100%, $E$13) + CHOOSE(CONTROL!$C$28, 0.0276, 0)</f>
        <v>49.103299999999997</v>
      </c>
      <c r="C528" s="4">
        <f>48.7632 * CHOOSE(CONTROL!$C$9, $C$13, 100%, $E$13) + CHOOSE(CONTROL!$C$28, 0.0276, 0)</f>
        <v>48.790799999999997</v>
      </c>
      <c r="D528" s="4">
        <f>50.5029 * CHOOSE(CONTROL!$C$9, $C$13, 100%, $E$13) + CHOOSE(CONTROL!$C$28, 0, 0)</f>
        <v>50.502899999999997</v>
      </c>
      <c r="E528" s="4">
        <f>284.204046873018 * CHOOSE(CONTROL!$C$9, $C$13, 100%, $E$13) + CHOOSE(CONTROL!$C$28, 0, 0)</f>
        <v>284.204046873018</v>
      </c>
    </row>
    <row r="529" spans="1:5" ht="15">
      <c r="A529" s="13">
        <v>57618</v>
      </c>
      <c r="B529" s="4">
        <f>47.1947 * CHOOSE(CONTROL!$C$9, $C$13, 100%, $E$13) + CHOOSE(CONTROL!$C$28, 0.0276, 0)</f>
        <v>47.222299999999997</v>
      </c>
      <c r="C529" s="4">
        <f>46.8822 * CHOOSE(CONTROL!$C$9, $C$13, 100%, $E$13) + CHOOSE(CONTROL!$C$28, 0.0276, 0)</f>
        <v>46.909799999999997</v>
      </c>
      <c r="D529" s="4">
        <f>50.2482 * CHOOSE(CONTROL!$C$9, $C$13, 100%, $E$13) + CHOOSE(CONTROL!$C$28, 0, 0)</f>
        <v>50.248199999999997</v>
      </c>
      <c r="E529" s="4">
        <f>272.878273856173 * CHOOSE(CONTROL!$C$9, $C$13, 100%, $E$13) + CHOOSE(CONTROL!$C$28, 0, 0)</f>
        <v>272.878273856173</v>
      </c>
    </row>
    <row r="530" spans="1:5" ht="15">
      <c r="A530" s="13">
        <v>57649</v>
      </c>
      <c r="B530" s="4">
        <f>45.6889 * CHOOSE(CONTROL!$C$9, $C$13, 100%, $E$13) + CHOOSE(CONTROL!$C$28, 0.0003, 0)</f>
        <v>45.6892</v>
      </c>
      <c r="C530" s="4">
        <f>45.3764 * CHOOSE(CONTROL!$C$9, $C$13, 100%, $E$13) + CHOOSE(CONTROL!$C$28, 0.0003, 0)</f>
        <v>45.3767</v>
      </c>
      <c r="D530" s="4">
        <f>49.5665 * CHOOSE(CONTROL!$C$9, $C$13, 100%, $E$13) + CHOOSE(CONTROL!$C$28, 0, 0)</f>
        <v>49.566499999999998</v>
      </c>
      <c r="E530" s="4">
        <f>263.811768101296 * CHOOSE(CONTROL!$C$9, $C$13, 100%, $E$13) + CHOOSE(CONTROL!$C$28, 0, 0)</f>
        <v>263.81176810129602</v>
      </c>
    </row>
    <row r="531" spans="1:5" ht="15">
      <c r="A531" s="13">
        <v>57679</v>
      </c>
      <c r="B531" s="4">
        <f>44.7191 * CHOOSE(CONTROL!$C$9, $C$13, 100%, $E$13) + CHOOSE(CONTROL!$C$28, 0.0003, 0)</f>
        <v>44.7194</v>
      </c>
      <c r="C531" s="4">
        <f>44.4066 * CHOOSE(CONTROL!$C$9, $C$13, 100%, $E$13) + CHOOSE(CONTROL!$C$28, 0.0003, 0)</f>
        <v>44.4069</v>
      </c>
      <c r="D531" s="4">
        <f>49.3321 * CHOOSE(CONTROL!$C$9, $C$13, 100%, $E$13) + CHOOSE(CONTROL!$C$28, 0, 0)</f>
        <v>49.332099999999997</v>
      </c>
      <c r="E531" s="4">
        <f>257.972261350895 * CHOOSE(CONTROL!$C$9, $C$13, 100%, $E$13) + CHOOSE(CONTROL!$C$28, 0, 0)</f>
        <v>257.972261350895</v>
      </c>
    </row>
    <row r="532" spans="1:5" ht="15">
      <c r="A532" s="13">
        <v>57710</v>
      </c>
      <c r="B532" s="4">
        <f>44.0481 * CHOOSE(CONTROL!$C$9, $C$13, 100%, $E$13) + CHOOSE(CONTROL!$C$28, 0.0003, 0)</f>
        <v>44.048400000000001</v>
      </c>
      <c r="C532" s="4">
        <f>43.7356 * CHOOSE(CONTROL!$C$9, $C$13, 100%, $E$13) + CHOOSE(CONTROL!$C$28, 0.0003, 0)</f>
        <v>43.735900000000001</v>
      </c>
      <c r="D532" s="4">
        <f>47.6065 * CHOOSE(CONTROL!$C$9, $C$13, 100%, $E$13) + CHOOSE(CONTROL!$C$28, 0, 0)</f>
        <v>47.606499999999997</v>
      </c>
      <c r="E532" s="4">
        <f>253.932073315646 * CHOOSE(CONTROL!$C$9, $C$13, 100%, $E$13) + CHOOSE(CONTROL!$C$28, 0, 0)</f>
        <v>253.93207331564599</v>
      </c>
    </row>
    <row r="533" spans="1:5" ht="15">
      <c r="A533" s="13">
        <v>57741</v>
      </c>
      <c r="B533" s="4">
        <f>42.9579 * CHOOSE(CONTROL!$C$9, $C$13, 100%, $E$13) + CHOOSE(CONTROL!$C$28, 0.0003, 0)</f>
        <v>42.958200000000005</v>
      </c>
      <c r="C533" s="4">
        <f>42.6454 * CHOOSE(CONTROL!$C$9, $C$13, 100%, $E$13) + CHOOSE(CONTROL!$C$28, 0.0003, 0)</f>
        <v>42.645700000000005</v>
      </c>
      <c r="D533" s="4">
        <f>46.0205 * CHOOSE(CONTROL!$C$9, $C$13, 100%, $E$13) + CHOOSE(CONTROL!$C$28, 0, 0)</f>
        <v>46.020499999999998</v>
      </c>
      <c r="E533" s="4">
        <f>246.650269111104 * CHOOSE(CONTROL!$C$9, $C$13, 100%, $E$13) + CHOOSE(CONTROL!$C$28, 0, 0)</f>
        <v>246.650269111104</v>
      </c>
    </row>
    <row r="534" spans="1:5" ht="15">
      <c r="A534" s="13">
        <v>57769</v>
      </c>
      <c r="B534" s="4">
        <f>43.9333 * CHOOSE(CONTROL!$C$9, $C$13, 100%, $E$13) + CHOOSE(CONTROL!$C$28, 0.0003, 0)</f>
        <v>43.933600000000006</v>
      </c>
      <c r="C534" s="4">
        <f>43.6208 * CHOOSE(CONTROL!$C$9, $C$13, 100%, $E$13) + CHOOSE(CONTROL!$C$28, 0.0003, 0)</f>
        <v>43.621100000000006</v>
      </c>
      <c r="D534" s="4">
        <f>47.6176 * CHOOSE(CONTROL!$C$9, $C$13, 100%, $E$13) + CHOOSE(CONTROL!$C$28, 0, 0)</f>
        <v>47.617600000000003</v>
      </c>
      <c r="E534" s="4">
        <f>252.506718526176 * CHOOSE(CONTROL!$C$9, $C$13, 100%, $E$13) + CHOOSE(CONTROL!$C$28, 0, 0)</f>
        <v>252.506718526176</v>
      </c>
    </row>
    <row r="535" spans="1:5" ht="15">
      <c r="A535" s="13">
        <v>57800</v>
      </c>
      <c r="B535" s="4">
        <f>46.495 * CHOOSE(CONTROL!$C$9, $C$13, 100%, $E$13) + CHOOSE(CONTROL!$C$28, 0.0003, 0)</f>
        <v>46.4953</v>
      </c>
      <c r="C535" s="4">
        <f>46.1825 * CHOOSE(CONTROL!$C$9, $C$13, 100%, $E$13) + CHOOSE(CONTROL!$C$28, 0.0003, 0)</f>
        <v>46.1828</v>
      </c>
      <c r="D535" s="4">
        <f>50.1177 * CHOOSE(CONTROL!$C$9, $C$13, 100%, $E$13) + CHOOSE(CONTROL!$C$28, 0, 0)</f>
        <v>50.117699999999999</v>
      </c>
      <c r="E535" s="4">
        <f>267.886065920778 * CHOOSE(CONTROL!$C$9, $C$13, 100%, $E$13) + CHOOSE(CONTROL!$C$28, 0, 0)</f>
        <v>267.88606592077798</v>
      </c>
    </row>
    <row r="536" spans="1:5" ht="15">
      <c r="A536" s="13">
        <v>57830</v>
      </c>
      <c r="B536" s="4">
        <f>48.315 * CHOOSE(CONTROL!$C$9, $C$13, 100%, $E$13) + CHOOSE(CONTROL!$C$28, 0.0003, 0)</f>
        <v>48.315300000000001</v>
      </c>
      <c r="C536" s="4">
        <f>48.0025 * CHOOSE(CONTROL!$C$9, $C$13, 100%, $E$13) + CHOOSE(CONTROL!$C$28, 0.0003, 0)</f>
        <v>48.002800000000001</v>
      </c>
      <c r="D536" s="4">
        <f>51.5579 * CHOOSE(CONTROL!$C$9, $C$13, 100%, $E$13) + CHOOSE(CONTROL!$C$28, 0, 0)</f>
        <v>51.557899999999997</v>
      </c>
      <c r="E536" s="4">
        <f>278.813297201394 * CHOOSE(CONTROL!$C$9, $C$13, 100%, $E$13) + CHOOSE(CONTROL!$C$28, 0, 0)</f>
        <v>278.81329720139399</v>
      </c>
    </row>
    <row r="537" spans="1:5" ht="15">
      <c r="A537" s="13">
        <v>57861</v>
      </c>
      <c r="B537" s="4">
        <f>49.4271 * CHOOSE(CONTROL!$C$9, $C$13, 100%, $E$13) + CHOOSE(CONTROL!$C$28, 0.0276, 0)</f>
        <v>49.454700000000003</v>
      </c>
      <c r="C537" s="4">
        <f>49.1146 * CHOOSE(CONTROL!$C$9, $C$13, 100%, $E$13) + CHOOSE(CONTROL!$C$28, 0.0276, 0)</f>
        <v>49.142200000000003</v>
      </c>
      <c r="D537" s="4">
        <f>50.9888 * CHOOSE(CONTROL!$C$9, $C$13, 100%, $E$13) + CHOOSE(CONTROL!$C$28, 0, 0)</f>
        <v>50.988799999999998</v>
      </c>
      <c r="E537" s="4">
        <f>285.489573624668 * CHOOSE(CONTROL!$C$9, $C$13, 100%, $E$13) + CHOOSE(CONTROL!$C$28, 0, 0)</f>
        <v>285.48957362466803</v>
      </c>
    </row>
    <row r="538" spans="1:5" ht="15">
      <c r="A538" s="13">
        <v>57891</v>
      </c>
      <c r="B538" s="4">
        <f>49.5775 * CHOOSE(CONTROL!$C$9, $C$13, 100%, $E$13) + CHOOSE(CONTROL!$C$28, 0.0276, 0)</f>
        <v>49.6051</v>
      </c>
      <c r="C538" s="4">
        <f>49.265 * CHOOSE(CONTROL!$C$9, $C$13, 100%, $E$13) + CHOOSE(CONTROL!$C$28, 0.0276, 0)</f>
        <v>49.2926</v>
      </c>
      <c r="D538" s="4">
        <f>51.4522 * CHOOSE(CONTROL!$C$9, $C$13, 100%, $E$13) + CHOOSE(CONTROL!$C$28, 0, 0)</f>
        <v>51.452199999999998</v>
      </c>
      <c r="E538" s="4">
        <f>286.392901531853 * CHOOSE(CONTROL!$C$9, $C$13, 100%, $E$13) + CHOOSE(CONTROL!$C$28, 0, 0)</f>
        <v>286.392901531853</v>
      </c>
    </row>
    <row r="539" spans="1:5" ht="15">
      <c r="A539" s="13">
        <v>57922</v>
      </c>
      <c r="B539" s="4">
        <f>49.5624 * CHOOSE(CONTROL!$C$9, $C$13, 100%, $E$13) + CHOOSE(CONTROL!$C$28, 0.0276, 0)</f>
        <v>49.589999999999996</v>
      </c>
      <c r="C539" s="4">
        <f>49.2499 * CHOOSE(CONTROL!$C$9, $C$13, 100%, $E$13) + CHOOSE(CONTROL!$C$28, 0.0276, 0)</f>
        <v>49.277499999999996</v>
      </c>
      <c r="D539" s="4">
        <f>52.2885 * CHOOSE(CONTROL!$C$9, $C$13, 100%, $E$13) + CHOOSE(CONTROL!$C$28, 0, 0)</f>
        <v>52.288499999999999</v>
      </c>
      <c r="E539" s="4">
        <f>286.301809642053 * CHOOSE(CONTROL!$C$9, $C$13, 100%, $E$13) + CHOOSE(CONTROL!$C$28, 0, 0)</f>
        <v>286.301809642053</v>
      </c>
    </row>
    <row r="540" spans="1:5" ht="15">
      <c r="A540" s="13">
        <v>57953</v>
      </c>
      <c r="B540" s="4">
        <f>50.7041 * CHOOSE(CONTROL!$C$9, $C$13, 100%, $E$13) + CHOOSE(CONTROL!$C$28, 0.0276, 0)</f>
        <v>50.731699999999996</v>
      </c>
      <c r="C540" s="4">
        <f>50.3916 * CHOOSE(CONTROL!$C$9, $C$13, 100%, $E$13) + CHOOSE(CONTROL!$C$28, 0.0276, 0)</f>
        <v>50.419199999999996</v>
      </c>
      <c r="D540" s="4">
        <f>51.7362 * CHOOSE(CONTROL!$C$9, $C$13, 100%, $E$13) + CHOOSE(CONTROL!$C$28, 0, 0)</f>
        <v>51.736199999999997</v>
      </c>
      <c r="E540" s="4">
        <f>293.156474349519 * CHOOSE(CONTROL!$C$9, $C$13, 100%, $E$13) + CHOOSE(CONTROL!$C$28, 0, 0)</f>
        <v>293.15647434951899</v>
      </c>
    </row>
    <row r="541" spans="1:5" ht="15">
      <c r="A541" s="13">
        <v>57983</v>
      </c>
      <c r="B541" s="4">
        <f>48.7582 * CHOOSE(CONTROL!$C$9, $C$13, 100%, $E$13) + CHOOSE(CONTROL!$C$28, 0.0276, 0)</f>
        <v>48.785800000000002</v>
      </c>
      <c r="C541" s="4">
        <f>48.4457 * CHOOSE(CONTROL!$C$9, $C$13, 100%, $E$13) + CHOOSE(CONTROL!$C$28, 0.0276, 0)</f>
        <v>48.473300000000002</v>
      </c>
      <c r="D541" s="4">
        <f>51.4753 * CHOOSE(CONTROL!$C$9, $C$13, 100%, $E$13) + CHOOSE(CONTROL!$C$28, 0, 0)</f>
        <v>51.475299999999997</v>
      </c>
      <c r="E541" s="4">
        <f>281.473939482642 * CHOOSE(CONTROL!$C$9, $C$13, 100%, $E$13) + CHOOSE(CONTROL!$C$28, 0, 0)</f>
        <v>281.47393948264198</v>
      </c>
    </row>
    <row r="542" spans="1:5" ht="15">
      <c r="A542" s="13">
        <v>58014</v>
      </c>
      <c r="B542" s="4">
        <f>47.2005 * CHOOSE(CONTROL!$C$9, $C$13, 100%, $E$13) + CHOOSE(CONTROL!$C$28, 0.0003, 0)</f>
        <v>47.200800000000001</v>
      </c>
      <c r="C542" s="4">
        <f>46.888 * CHOOSE(CONTROL!$C$9, $C$13, 100%, $E$13) + CHOOSE(CONTROL!$C$28, 0.0003, 0)</f>
        <v>46.888300000000001</v>
      </c>
      <c r="D542" s="4">
        <f>50.7766 * CHOOSE(CONTROL!$C$9, $C$13, 100%, $E$13) + CHOOSE(CONTROL!$C$28, 0, 0)</f>
        <v>50.776600000000002</v>
      </c>
      <c r="E542" s="4">
        <f>272.121838796487 * CHOOSE(CONTROL!$C$9, $C$13, 100%, $E$13) + CHOOSE(CONTROL!$C$28, 0, 0)</f>
        <v>272.121838796487</v>
      </c>
    </row>
    <row r="543" spans="1:5" ht="15">
      <c r="A543" s="13">
        <v>58044</v>
      </c>
      <c r="B543" s="4">
        <f>46.1972 * CHOOSE(CONTROL!$C$9, $C$13, 100%, $E$13) + CHOOSE(CONTROL!$C$28, 0.0003, 0)</f>
        <v>46.197500000000005</v>
      </c>
      <c r="C543" s="4">
        <f>45.8847 * CHOOSE(CONTROL!$C$9, $C$13, 100%, $E$13) + CHOOSE(CONTROL!$C$28, 0.0003, 0)</f>
        <v>45.885000000000005</v>
      </c>
      <c r="D543" s="4">
        <f>50.5364 * CHOOSE(CONTROL!$C$9, $C$13, 100%, $E$13) + CHOOSE(CONTROL!$C$28, 0, 0)</f>
        <v>50.5364</v>
      </c>
      <c r="E543" s="4">
        <f>266.098387583449 * CHOOSE(CONTROL!$C$9, $C$13, 100%, $E$13) + CHOOSE(CONTROL!$C$28, 0, 0)</f>
        <v>266.09838758344898</v>
      </c>
    </row>
    <row r="544" spans="1:5" ht="15">
      <c r="A544" s="13">
        <v>58075</v>
      </c>
      <c r="B544" s="4">
        <f>45.5031 * CHOOSE(CONTROL!$C$9, $C$13, 100%, $E$13) + CHOOSE(CONTROL!$C$28, 0.0003, 0)</f>
        <v>45.503400000000006</v>
      </c>
      <c r="C544" s="4">
        <f>45.1906 * CHOOSE(CONTROL!$C$9, $C$13, 100%, $E$13) + CHOOSE(CONTROL!$C$28, 0.0003, 0)</f>
        <v>45.190900000000006</v>
      </c>
      <c r="D544" s="4">
        <f>48.7681 * CHOOSE(CONTROL!$C$9, $C$13, 100%, $E$13) + CHOOSE(CONTROL!$C$28, 0, 0)</f>
        <v>48.768099999999997</v>
      </c>
      <c r="E544" s="4">
        <f>261.930933625089 * CHOOSE(CONTROL!$C$9, $C$13, 100%, $E$13) + CHOOSE(CONTROL!$C$28, 0, 0)</f>
        <v>261.93093362508898</v>
      </c>
    </row>
    <row r="545" spans="1:5" ht="15">
      <c r="A545" s="13">
        <v>58106</v>
      </c>
      <c r="B545" s="4">
        <f>44.3752 * CHOOSE(CONTROL!$C$9, $C$13, 100%, $E$13) + CHOOSE(CONTROL!$C$28, 0.0003, 0)</f>
        <v>44.375500000000002</v>
      </c>
      <c r="C545" s="4">
        <f>44.0627 * CHOOSE(CONTROL!$C$9, $C$13, 100%, $E$13) + CHOOSE(CONTROL!$C$28, 0.0003, 0)</f>
        <v>44.063000000000002</v>
      </c>
      <c r="D545" s="4">
        <f>47.1428 * CHOOSE(CONTROL!$C$9, $C$13, 100%, $E$13) + CHOOSE(CONTROL!$C$28, 0, 0)</f>
        <v>47.142800000000001</v>
      </c>
      <c r="E545" s="4">
        <f>254.419752588104 * CHOOSE(CONTROL!$C$9, $C$13, 100%, $E$13) + CHOOSE(CONTROL!$C$28, 0, 0)</f>
        <v>254.41975258810399</v>
      </c>
    </row>
    <row r="546" spans="1:5" ht="15">
      <c r="A546" s="13">
        <v>58134</v>
      </c>
      <c r="B546" s="4">
        <f>45.3843 * CHOOSE(CONTROL!$C$9, $C$13, 100%, $E$13) + CHOOSE(CONTROL!$C$28, 0.0003, 0)</f>
        <v>45.384600000000006</v>
      </c>
      <c r="C546" s="4">
        <f>45.0718 * CHOOSE(CONTROL!$C$9, $C$13, 100%, $E$13) + CHOOSE(CONTROL!$C$28, 0.0003, 0)</f>
        <v>45.072100000000006</v>
      </c>
      <c r="D546" s="4">
        <f>48.7794 * CHOOSE(CONTROL!$C$9, $C$13, 100%, $E$13) + CHOOSE(CONTROL!$C$28, 0, 0)</f>
        <v>48.779400000000003</v>
      </c>
      <c r="E546" s="4">
        <f>260.460680159751 * CHOOSE(CONTROL!$C$9, $C$13, 100%, $E$13) + CHOOSE(CONTROL!$C$28, 0, 0)</f>
        <v>260.46068015975101</v>
      </c>
    </row>
    <row r="547" spans="1:5" ht="15">
      <c r="A547" s="13">
        <v>58165</v>
      </c>
      <c r="B547" s="4">
        <f>48.0344 * CHOOSE(CONTROL!$C$9, $C$13, 100%, $E$13) + CHOOSE(CONTROL!$C$28, 0.0003, 0)</f>
        <v>48.034700000000001</v>
      </c>
      <c r="C547" s="4">
        <f>47.7219 * CHOOSE(CONTROL!$C$9, $C$13, 100%, $E$13) + CHOOSE(CONTROL!$C$28, 0.0003, 0)</f>
        <v>47.722200000000001</v>
      </c>
      <c r="D547" s="4">
        <f>51.3415 * CHOOSE(CONTROL!$C$9, $C$13, 100%, $E$13) + CHOOSE(CONTROL!$C$28, 0, 0)</f>
        <v>51.341500000000003</v>
      </c>
      <c r="E547" s="4">
        <f>276.324476997282 * CHOOSE(CONTROL!$C$9, $C$13, 100%, $E$13) + CHOOSE(CONTROL!$C$28, 0, 0)</f>
        <v>276.32447699728198</v>
      </c>
    </row>
    <row r="548" spans="1:5" ht="15">
      <c r="A548" s="13">
        <v>58195</v>
      </c>
      <c r="B548" s="4">
        <f>49.9172 * CHOOSE(CONTROL!$C$9, $C$13, 100%, $E$13) + CHOOSE(CONTROL!$C$28, 0.0003, 0)</f>
        <v>49.917500000000004</v>
      </c>
      <c r="C548" s="4">
        <f>49.6047 * CHOOSE(CONTROL!$C$9, $C$13, 100%, $E$13) + CHOOSE(CONTROL!$C$28, 0.0003, 0)</f>
        <v>49.605000000000004</v>
      </c>
      <c r="D548" s="4">
        <f>52.8174 * CHOOSE(CONTROL!$C$9, $C$13, 100%, $E$13) + CHOOSE(CONTROL!$C$28, 0, 0)</f>
        <v>52.817399999999999</v>
      </c>
      <c r="E548" s="4">
        <f>287.595916063238 * CHOOSE(CONTROL!$C$9, $C$13, 100%, $E$13) + CHOOSE(CONTROL!$C$28, 0, 0)</f>
        <v>287.59591606323801</v>
      </c>
    </row>
    <row r="549" spans="1:5" ht="15">
      <c r="A549" s="13">
        <v>58226</v>
      </c>
      <c r="B549" s="4">
        <f>51.0676 * CHOOSE(CONTROL!$C$9, $C$13, 100%, $E$13) + CHOOSE(CONTROL!$C$28, 0.0276, 0)</f>
        <v>51.095199999999998</v>
      </c>
      <c r="C549" s="4">
        <f>50.7551 * CHOOSE(CONTROL!$C$9, $C$13, 100%, $E$13) + CHOOSE(CONTROL!$C$28, 0.0276, 0)</f>
        <v>50.782699999999998</v>
      </c>
      <c r="D549" s="4">
        <f>52.2342 * CHOOSE(CONTROL!$C$9, $C$13, 100%, $E$13) + CHOOSE(CONTROL!$C$28, 0, 0)</f>
        <v>52.234200000000001</v>
      </c>
      <c r="E549" s="4">
        <f>294.482495193845 * CHOOSE(CONTROL!$C$9, $C$13, 100%, $E$13) + CHOOSE(CONTROL!$C$28, 0, 0)</f>
        <v>294.48249519384501</v>
      </c>
    </row>
    <row r="550" spans="1:5" ht="15">
      <c r="A550" s="13">
        <v>58256</v>
      </c>
      <c r="B550" s="4">
        <f>51.2233 * CHOOSE(CONTROL!$C$9, $C$13, 100%, $E$13) + CHOOSE(CONTROL!$C$28, 0.0276, 0)</f>
        <v>51.250900000000001</v>
      </c>
      <c r="C550" s="4">
        <f>50.9108 * CHOOSE(CONTROL!$C$9, $C$13, 100%, $E$13) + CHOOSE(CONTROL!$C$28, 0.0276, 0)</f>
        <v>50.938400000000001</v>
      </c>
      <c r="D550" s="4">
        <f>52.7092 * CHOOSE(CONTROL!$C$9, $C$13, 100%, $E$13) + CHOOSE(CONTROL!$C$28, 0, 0)</f>
        <v>52.709200000000003</v>
      </c>
      <c r="E550" s="4">
        <f>295.414277930106 * CHOOSE(CONTROL!$C$9, $C$13, 100%, $E$13) + CHOOSE(CONTROL!$C$28, 0, 0)</f>
        <v>295.41427793010598</v>
      </c>
    </row>
    <row r="551" spans="1:5" ht="15">
      <c r="A551" s="13">
        <v>58287</v>
      </c>
      <c r="B551" s="4">
        <f>51.2076 * CHOOSE(CONTROL!$C$9, $C$13, 100%, $E$13) + CHOOSE(CONTROL!$C$28, 0.0276, 0)</f>
        <v>51.235199999999999</v>
      </c>
      <c r="C551" s="4">
        <f>50.8951 * CHOOSE(CONTROL!$C$9, $C$13, 100%, $E$13) + CHOOSE(CONTROL!$C$28, 0.0276, 0)</f>
        <v>50.922699999999999</v>
      </c>
      <c r="D551" s="4">
        <f>53.5662 * CHOOSE(CONTROL!$C$9, $C$13, 100%, $E$13) + CHOOSE(CONTROL!$C$28, 0, 0)</f>
        <v>53.566200000000002</v>
      </c>
      <c r="E551" s="4">
        <f>295.320316645778 * CHOOSE(CONTROL!$C$9, $C$13, 100%, $E$13) + CHOOSE(CONTROL!$C$28, 0, 0)</f>
        <v>295.32031664577801</v>
      </c>
    </row>
    <row r="552" spans="1:5" ht="15">
      <c r="A552" s="13">
        <v>58318</v>
      </c>
      <c r="B552" s="4">
        <f>52.3887 * CHOOSE(CONTROL!$C$9, $C$13, 100%, $E$13) + CHOOSE(CONTROL!$C$28, 0.0276, 0)</f>
        <v>52.4163</v>
      </c>
      <c r="C552" s="4">
        <f>52.0762 * CHOOSE(CONTROL!$C$9, $C$13, 100%, $E$13) + CHOOSE(CONTROL!$C$28, 0.0276, 0)</f>
        <v>52.1038</v>
      </c>
      <c r="D552" s="4">
        <f>53.0002 * CHOOSE(CONTROL!$C$9, $C$13, 100%, $E$13) + CHOOSE(CONTROL!$C$28, 0, 0)</f>
        <v>53.0002</v>
      </c>
      <c r="E552" s="4">
        <f>302.390903291528 * CHOOSE(CONTROL!$C$9, $C$13, 100%, $E$13) + CHOOSE(CONTROL!$C$28, 0, 0)</f>
        <v>302.39090329152799</v>
      </c>
    </row>
    <row r="553" spans="1:5" ht="15">
      <c r="A553" s="13">
        <v>58348</v>
      </c>
      <c r="B553" s="4">
        <f>50.3757 * CHOOSE(CONTROL!$C$9, $C$13, 100%, $E$13) + CHOOSE(CONTROL!$C$28, 0.0276, 0)</f>
        <v>50.403300000000002</v>
      </c>
      <c r="C553" s="4">
        <f>50.0632 * CHOOSE(CONTROL!$C$9, $C$13, 100%, $E$13) + CHOOSE(CONTROL!$C$28, 0.0276, 0)</f>
        <v>50.090800000000002</v>
      </c>
      <c r="D553" s="4">
        <f>52.7328 * CHOOSE(CONTROL!$C$9, $C$13, 100%, $E$13) + CHOOSE(CONTROL!$C$28, 0, 0)</f>
        <v>52.732799999999997</v>
      </c>
      <c r="E553" s="4">
        <f>290.340368576345 * CHOOSE(CONTROL!$C$9, $C$13, 100%, $E$13) + CHOOSE(CONTROL!$C$28, 0, 0)</f>
        <v>290.34036857634499</v>
      </c>
    </row>
    <row r="554" spans="1:5" ht="15">
      <c r="A554" s="13">
        <v>58379</v>
      </c>
      <c r="B554" s="4">
        <f>48.7642 * CHOOSE(CONTROL!$C$9, $C$13, 100%, $E$13) + CHOOSE(CONTROL!$C$28, 0.0003, 0)</f>
        <v>48.764500000000005</v>
      </c>
      <c r="C554" s="4">
        <f>48.4517 * CHOOSE(CONTROL!$C$9, $C$13, 100%, $E$13) + CHOOSE(CONTROL!$C$28, 0.0003, 0)</f>
        <v>48.452000000000005</v>
      </c>
      <c r="D554" s="4">
        <f>52.0168 * CHOOSE(CONTROL!$C$9, $C$13, 100%, $E$13) + CHOOSE(CONTROL!$C$28, 0, 0)</f>
        <v>52.016800000000003</v>
      </c>
      <c r="E554" s="4">
        <f>280.693676718577 * CHOOSE(CONTROL!$C$9, $C$13, 100%, $E$13) + CHOOSE(CONTROL!$C$28, 0, 0)</f>
        <v>280.69367671857702</v>
      </c>
    </row>
    <row r="555" spans="1:5" ht="15">
      <c r="A555" s="13">
        <v>58409</v>
      </c>
      <c r="B555" s="4">
        <f>47.7263 * CHOOSE(CONTROL!$C$9, $C$13, 100%, $E$13) + CHOOSE(CONTROL!$C$28, 0.0003, 0)</f>
        <v>47.726600000000005</v>
      </c>
      <c r="C555" s="4">
        <f>47.4138 * CHOOSE(CONTROL!$C$9, $C$13, 100%, $E$13) + CHOOSE(CONTROL!$C$28, 0.0003, 0)</f>
        <v>47.414100000000005</v>
      </c>
      <c r="D555" s="4">
        <f>51.7707 * CHOOSE(CONTROL!$C$9, $C$13, 100%, $E$13) + CHOOSE(CONTROL!$C$28, 0, 0)</f>
        <v>51.770699999999998</v>
      </c>
      <c r="E555" s="4">
        <f>274.480486792327 * CHOOSE(CONTROL!$C$9, $C$13, 100%, $E$13) + CHOOSE(CONTROL!$C$28, 0, 0)</f>
        <v>274.48048679232699</v>
      </c>
    </row>
    <row r="556" spans="1:5" ht="15">
      <c r="A556" s="13">
        <v>58440</v>
      </c>
      <c r="B556" s="4">
        <f>47.0082 * CHOOSE(CONTROL!$C$9, $C$13, 100%, $E$13) + CHOOSE(CONTROL!$C$28, 0.0003, 0)</f>
        <v>47.008500000000005</v>
      </c>
      <c r="C556" s="4">
        <f>46.6957 * CHOOSE(CONTROL!$C$9, $C$13, 100%, $E$13) + CHOOSE(CONTROL!$C$28, 0.0003, 0)</f>
        <v>46.696000000000005</v>
      </c>
      <c r="D556" s="4">
        <f>49.9584 * CHOOSE(CONTROL!$C$9, $C$13, 100%, $E$13) + CHOOSE(CONTROL!$C$28, 0, 0)</f>
        <v>49.958399999999997</v>
      </c>
      <c r="E556" s="4">
        <f>270.181758034279 * CHOOSE(CONTROL!$C$9, $C$13, 100%, $E$13) + CHOOSE(CONTROL!$C$28, 0, 0)</f>
        <v>270.18175803427903</v>
      </c>
    </row>
    <row r="557" spans="1:5" ht="15">
      <c r="A557" s="13">
        <v>58471</v>
      </c>
      <c r="B557" s="4">
        <f>45.8415 * CHOOSE(CONTROL!$C$9, $C$13, 100%, $E$13) + CHOOSE(CONTROL!$C$28, 0.0003, 0)</f>
        <v>45.841800000000006</v>
      </c>
      <c r="C557" s="4">
        <f>45.529 * CHOOSE(CONTROL!$C$9, $C$13, 100%, $E$13) + CHOOSE(CONTROL!$C$28, 0.0003, 0)</f>
        <v>45.529300000000006</v>
      </c>
      <c r="D557" s="4">
        <f>48.2928 * CHOOSE(CONTROL!$C$9, $C$13, 100%, $E$13) + CHOOSE(CONTROL!$C$28, 0, 0)</f>
        <v>48.2928</v>
      </c>
      <c r="E557" s="4">
        <f>262.433974794629 * CHOOSE(CONTROL!$C$9, $C$13, 100%, $E$13) + CHOOSE(CONTROL!$C$28, 0, 0)</f>
        <v>262.43397479462902</v>
      </c>
    </row>
    <row r="558" spans="1:5" ht="15">
      <c r="A558" s="13">
        <v>58499</v>
      </c>
      <c r="B558" s="4">
        <f>46.8854 * CHOOSE(CONTROL!$C$9, $C$13, 100%, $E$13) + CHOOSE(CONTROL!$C$28, 0.0003, 0)</f>
        <v>46.8857</v>
      </c>
      <c r="C558" s="4">
        <f>46.5729 * CHOOSE(CONTROL!$C$9, $C$13, 100%, $E$13) + CHOOSE(CONTROL!$C$28, 0.0003, 0)</f>
        <v>46.5732</v>
      </c>
      <c r="D558" s="4">
        <f>49.9701 * CHOOSE(CONTROL!$C$9, $C$13, 100%, $E$13) + CHOOSE(CONTROL!$C$28, 0, 0)</f>
        <v>49.970100000000002</v>
      </c>
      <c r="E558" s="4">
        <f>268.665191584783 * CHOOSE(CONTROL!$C$9, $C$13, 100%, $E$13) + CHOOSE(CONTROL!$C$28, 0, 0)</f>
        <v>268.66519158478297</v>
      </c>
    </row>
    <row r="559" spans="1:5" ht="15">
      <c r="A559" s="13">
        <v>58531</v>
      </c>
      <c r="B559" s="4">
        <f>49.6269 * CHOOSE(CONTROL!$C$9, $C$13, 100%, $E$13) + CHOOSE(CONTROL!$C$28, 0.0003, 0)</f>
        <v>49.627200000000002</v>
      </c>
      <c r="C559" s="4">
        <f>49.3144 * CHOOSE(CONTROL!$C$9, $C$13, 100%, $E$13) + CHOOSE(CONTROL!$C$28, 0.0003, 0)</f>
        <v>49.314700000000002</v>
      </c>
      <c r="D559" s="4">
        <f>52.5957 * CHOOSE(CONTROL!$C$9, $C$13, 100%, $E$13) + CHOOSE(CONTROL!$C$28, 0, 0)</f>
        <v>52.595700000000001</v>
      </c>
      <c r="E559" s="4">
        <f>285.028698022697 * CHOOSE(CONTROL!$C$9, $C$13, 100%, $E$13) + CHOOSE(CONTROL!$C$28, 0, 0)</f>
        <v>285.02869802269697</v>
      </c>
    </row>
    <row r="560" spans="1:5" ht="15">
      <c r="A560" s="13">
        <v>58561</v>
      </c>
      <c r="B560" s="4">
        <f>51.5747 * CHOOSE(CONTROL!$C$9, $C$13, 100%, $E$13) + CHOOSE(CONTROL!$C$28, 0.0003, 0)</f>
        <v>51.575000000000003</v>
      </c>
      <c r="C560" s="4">
        <f>51.2622 * CHOOSE(CONTROL!$C$9, $C$13, 100%, $E$13) + CHOOSE(CONTROL!$C$28, 0.0003, 0)</f>
        <v>51.262500000000003</v>
      </c>
      <c r="D560" s="4">
        <f>54.1082 * CHOOSE(CONTROL!$C$9, $C$13, 100%, $E$13) + CHOOSE(CONTROL!$C$28, 0, 0)</f>
        <v>54.108199999999997</v>
      </c>
      <c r="E560" s="4">
        <f>296.65518741923 * CHOOSE(CONTROL!$C$9, $C$13, 100%, $E$13) + CHOOSE(CONTROL!$C$28, 0, 0)</f>
        <v>296.65518741923</v>
      </c>
    </row>
    <row r="561" spans="1:5" ht="15">
      <c r="A561" s="13">
        <v>58592</v>
      </c>
      <c r="B561" s="4">
        <f>52.7648 * CHOOSE(CONTROL!$C$9, $C$13, 100%, $E$13) + CHOOSE(CONTROL!$C$28, 0.0276, 0)</f>
        <v>52.792400000000001</v>
      </c>
      <c r="C561" s="4">
        <f>52.4523 * CHOOSE(CONTROL!$C$9, $C$13, 100%, $E$13) + CHOOSE(CONTROL!$C$28, 0.0276, 0)</f>
        <v>52.479900000000001</v>
      </c>
      <c r="D561" s="4">
        <f>53.5105 * CHOOSE(CONTROL!$C$9, $C$13, 100%, $E$13) + CHOOSE(CONTROL!$C$28, 0, 0)</f>
        <v>53.5105</v>
      </c>
      <c r="E561" s="4">
        <f>303.758693792451 * CHOOSE(CONTROL!$C$9, $C$13, 100%, $E$13) + CHOOSE(CONTROL!$C$28, 0, 0)</f>
        <v>303.75869379245103</v>
      </c>
    </row>
    <row r="562" spans="1:5" ht="15">
      <c r="A562" s="13">
        <v>58622</v>
      </c>
      <c r="B562" s="4">
        <f>52.9258 * CHOOSE(CONTROL!$C$9, $C$13, 100%, $E$13) + CHOOSE(CONTROL!$C$28, 0.0276, 0)</f>
        <v>52.953400000000002</v>
      </c>
      <c r="C562" s="4">
        <f>52.6133 * CHOOSE(CONTROL!$C$9, $C$13, 100%, $E$13) + CHOOSE(CONTROL!$C$28, 0.0276, 0)</f>
        <v>52.640900000000002</v>
      </c>
      <c r="D562" s="4">
        <f>53.9973 * CHOOSE(CONTROL!$C$9, $C$13, 100%, $E$13) + CHOOSE(CONTROL!$C$28, 0, 0)</f>
        <v>53.997300000000003</v>
      </c>
      <c r="E562" s="4">
        <f>304.719827684905 * CHOOSE(CONTROL!$C$9, $C$13, 100%, $E$13) + CHOOSE(CONTROL!$C$28, 0, 0)</f>
        <v>304.719827684905</v>
      </c>
    </row>
    <row r="563" spans="1:5" ht="15">
      <c r="A563" s="13">
        <v>58653</v>
      </c>
      <c r="B563" s="4">
        <f>52.9095 * CHOOSE(CONTROL!$C$9, $C$13, 100%, $E$13) + CHOOSE(CONTROL!$C$28, 0.0276, 0)</f>
        <v>52.937100000000001</v>
      </c>
      <c r="C563" s="4">
        <f>52.597 * CHOOSE(CONTROL!$C$9, $C$13, 100%, $E$13) + CHOOSE(CONTROL!$C$28, 0.0276, 0)</f>
        <v>52.624600000000001</v>
      </c>
      <c r="D563" s="4">
        <f>54.8755 * CHOOSE(CONTROL!$C$9, $C$13, 100%, $E$13) + CHOOSE(CONTROL!$C$28, 0, 0)</f>
        <v>54.875500000000002</v>
      </c>
      <c r="E563" s="4">
        <f>304.62290662012 * CHOOSE(CONTROL!$C$9, $C$13, 100%, $E$13) + CHOOSE(CONTROL!$C$28, 0, 0)</f>
        <v>304.62290662011998</v>
      </c>
    </row>
    <row r="564" spans="1:5" ht="15">
      <c r="A564" s="13">
        <v>58684</v>
      </c>
      <c r="B564" s="4">
        <f>54.1314 * CHOOSE(CONTROL!$C$9, $C$13, 100%, $E$13) + CHOOSE(CONTROL!$C$28, 0.0276, 0)</f>
        <v>54.158999999999999</v>
      </c>
      <c r="C564" s="4">
        <f>53.8189 * CHOOSE(CONTROL!$C$9, $C$13, 100%, $E$13) + CHOOSE(CONTROL!$C$28, 0.0276, 0)</f>
        <v>53.846499999999999</v>
      </c>
      <c r="D564" s="4">
        <f>54.2955 * CHOOSE(CONTROL!$C$9, $C$13, 100%, $E$13) + CHOOSE(CONTROL!$C$28, 0, 0)</f>
        <v>54.295499999999997</v>
      </c>
      <c r="E564" s="4">
        <f>311.916216745212 * CHOOSE(CONTROL!$C$9, $C$13, 100%, $E$13) + CHOOSE(CONTROL!$C$28, 0, 0)</f>
        <v>311.91621674521201</v>
      </c>
    </row>
    <row r="565" spans="1:5" ht="15">
      <c r="A565" s="13">
        <v>58714</v>
      </c>
      <c r="B565" s="4">
        <f>52.0489 * CHOOSE(CONTROL!$C$9, $C$13, 100%, $E$13) + CHOOSE(CONTROL!$C$28, 0.0276, 0)</f>
        <v>52.076500000000003</v>
      </c>
      <c r="C565" s="4">
        <f>51.7364 * CHOOSE(CONTROL!$C$9, $C$13, 100%, $E$13) + CHOOSE(CONTROL!$C$28, 0.0276, 0)</f>
        <v>51.764000000000003</v>
      </c>
      <c r="D565" s="4">
        <f>54.0215 * CHOOSE(CONTROL!$C$9, $C$13, 100%, $E$13) + CHOOSE(CONTROL!$C$28, 0, 0)</f>
        <v>54.021500000000003</v>
      </c>
      <c r="E565" s="4">
        <f>299.4860901865 * CHOOSE(CONTROL!$C$9, $C$13, 100%, $E$13) + CHOOSE(CONTROL!$C$28, 0, 0)</f>
        <v>299.48609018650001</v>
      </c>
    </row>
    <row r="566" spans="1:5" ht="15">
      <c r="A566" s="13">
        <v>58745</v>
      </c>
      <c r="B566" s="4">
        <f>50.3819 * CHOOSE(CONTROL!$C$9, $C$13, 100%, $E$13) + CHOOSE(CONTROL!$C$28, 0.0003, 0)</f>
        <v>50.382200000000005</v>
      </c>
      <c r="C566" s="4">
        <f>50.0694 * CHOOSE(CONTROL!$C$9, $C$13, 100%, $E$13) + CHOOSE(CONTROL!$C$28, 0.0003, 0)</f>
        <v>50.069700000000005</v>
      </c>
      <c r="D566" s="4">
        <f>53.2877 * CHOOSE(CONTROL!$C$9, $C$13, 100%, $E$13) + CHOOSE(CONTROL!$C$28, 0, 0)</f>
        <v>53.287700000000001</v>
      </c>
      <c r="E566" s="4">
        <f>289.535527535212 * CHOOSE(CONTROL!$C$9, $C$13, 100%, $E$13) + CHOOSE(CONTROL!$C$28, 0, 0)</f>
        <v>289.535527535212</v>
      </c>
    </row>
    <row r="567" spans="1:5" ht="15">
      <c r="A567" s="13">
        <v>58775</v>
      </c>
      <c r="B567" s="4">
        <f>49.3082 * CHOOSE(CONTROL!$C$9, $C$13, 100%, $E$13) + CHOOSE(CONTROL!$C$28, 0.0003, 0)</f>
        <v>49.308500000000002</v>
      </c>
      <c r="C567" s="4">
        <f>48.9957 * CHOOSE(CONTROL!$C$9, $C$13, 100%, $E$13) + CHOOSE(CONTROL!$C$28, 0.0003, 0)</f>
        <v>48.996000000000002</v>
      </c>
      <c r="D567" s="4">
        <f>53.0355 * CHOOSE(CONTROL!$C$9, $C$13, 100%, $E$13) + CHOOSE(CONTROL!$C$28, 0, 0)</f>
        <v>53.035499999999999</v>
      </c>
      <c r="E567" s="4">
        <f>283.126622126286 * CHOOSE(CONTROL!$C$9, $C$13, 100%, $E$13) + CHOOSE(CONTROL!$C$28, 0, 0)</f>
        <v>283.12662212628601</v>
      </c>
    </row>
    <row r="568" spans="1:5" ht="15">
      <c r="A568" s="13">
        <v>58806</v>
      </c>
      <c r="B568" s="4">
        <f>48.5653 * CHOOSE(CONTROL!$C$9, $C$13, 100%, $E$13) + CHOOSE(CONTROL!$C$28, 0.0003, 0)</f>
        <v>48.565600000000003</v>
      </c>
      <c r="C568" s="4">
        <f>48.2528 * CHOOSE(CONTROL!$C$9, $C$13, 100%, $E$13) + CHOOSE(CONTROL!$C$28, 0.0003, 0)</f>
        <v>48.253100000000003</v>
      </c>
      <c r="D568" s="4">
        <f>51.1783 * CHOOSE(CONTROL!$C$9, $C$13, 100%, $E$13) + CHOOSE(CONTROL!$C$28, 0, 0)</f>
        <v>51.1783</v>
      </c>
      <c r="E568" s="4">
        <f>278.692483412359 * CHOOSE(CONTROL!$C$9, $C$13, 100%, $E$13) + CHOOSE(CONTROL!$C$28, 0, 0)</f>
        <v>278.69248341235902</v>
      </c>
    </row>
    <row r="569" spans="1:5" ht="15">
      <c r="A569" s="13">
        <v>58837</v>
      </c>
      <c r="B569" s="4">
        <f>47.3583 * CHOOSE(CONTROL!$C$9, $C$13, 100%, $E$13) + CHOOSE(CONTROL!$C$28, 0.0003, 0)</f>
        <v>47.358600000000003</v>
      </c>
      <c r="C569" s="4">
        <f>47.0458 * CHOOSE(CONTROL!$C$9, $C$13, 100%, $E$13) + CHOOSE(CONTROL!$C$28, 0.0003, 0)</f>
        <v>47.046100000000003</v>
      </c>
      <c r="D569" s="4">
        <f>49.4714 * CHOOSE(CONTROL!$C$9, $C$13, 100%, $E$13) + CHOOSE(CONTROL!$C$28, 0, 0)</f>
        <v>49.471400000000003</v>
      </c>
      <c r="E569" s="4">
        <f>270.70064500066 * CHOOSE(CONTROL!$C$9, $C$13, 100%, $E$13) + CHOOSE(CONTROL!$C$28, 0, 0)</f>
        <v>270.70064500066002</v>
      </c>
    </row>
    <row r="570" spans="1:5" ht="15">
      <c r="A570" s="13">
        <v>58865</v>
      </c>
      <c r="B570" s="4">
        <f>48.4383 * CHOOSE(CONTROL!$C$9, $C$13, 100%, $E$13) + CHOOSE(CONTROL!$C$28, 0.0003, 0)</f>
        <v>48.438600000000001</v>
      </c>
      <c r="C570" s="4">
        <f>48.1258 * CHOOSE(CONTROL!$C$9, $C$13, 100%, $E$13) + CHOOSE(CONTROL!$C$28, 0.0003, 0)</f>
        <v>48.126100000000001</v>
      </c>
      <c r="D570" s="4">
        <f>51.1903 * CHOOSE(CONTROL!$C$9, $C$13, 100%, $E$13) + CHOOSE(CONTROL!$C$28, 0, 0)</f>
        <v>51.190300000000001</v>
      </c>
      <c r="E570" s="4">
        <f>277.128145119703 * CHOOSE(CONTROL!$C$9, $C$13, 100%, $E$13) + CHOOSE(CONTROL!$C$28, 0, 0)</f>
        <v>277.12814511970299</v>
      </c>
    </row>
    <row r="571" spans="1:5" ht="15">
      <c r="A571" s="13">
        <v>58893</v>
      </c>
      <c r="B571" s="4">
        <f>51.2743 * CHOOSE(CONTROL!$C$9, $C$13, 100%, $E$13) + CHOOSE(CONTROL!$C$28, 0.0003, 0)</f>
        <v>51.2746</v>
      </c>
      <c r="C571" s="4">
        <f>50.9618 * CHOOSE(CONTROL!$C$9, $C$13, 100%, $E$13) + CHOOSE(CONTROL!$C$28, 0.0003, 0)</f>
        <v>50.9621</v>
      </c>
      <c r="D571" s="4">
        <f>53.881 * CHOOSE(CONTROL!$C$9, $C$13, 100%, $E$13) + CHOOSE(CONTROL!$C$28, 0, 0)</f>
        <v>53.881</v>
      </c>
      <c r="E571" s="4">
        <f>294.007102010411 * CHOOSE(CONTROL!$C$9, $C$13, 100%, $E$13) + CHOOSE(CONTROL!$C$28, 0, 0)</f>
        <v>294.00710201041102</v>
      </c>
    </row>
    <row r="572" spans="1:5" ht="15">
      <c r="A572" s="13">
        <v>58926</v>
      </c>
      <c r="B572" s="4">
        <f>53.2893 * CHOOSE(CONTROL!$C$9, $C$13, 100%, $E$13) + CHOOSE(CONTROL!$C$28, 0.0003, 0)</f>
        <v>53.2896</v>
      </c>
      <c r="C572" s="4">
        <f>52.9768 * CHOOSE(CONTROL!$C$9, $C$13, 100%, $E$13) + CHOOSE(CONTROL!$C$28, 0.0003, 0)</f>
        <v>52.9771</v>
      </c>
      <c r="D572" s="4">
        <f>55.431 * CHOOSE(CONTROL!$C$9, $C$13, 100%, $E$13) + CHOOSE(CONTROL!$C$28, 0, 0)</f>
        <v>55.430999999999997</v>
      </c>
      <c r="E572" s="4">
        <f>305.999825822936 * CHOOSE(CONTROL!$C$9, $C$13, 100%, $E$13) + CHOOSE(CONTROL!$C$28, 0, 0)</f>
        <v>305.99982582293597</v>
      </c>
    </row>
    <row r="573" spans="1:5" ht="15">
      <c r="A573" s="13">
        <v>58957</v>
      </c>
      <c r="B573" s="4">
        <f>54.5205 * CHOOSE(CONTROL!$C$9, $C$13, 100%, $E$13) + CHOOSE(CONTROL!$C$28, 0.0276, 0)</f>
        <v>54.548099999999998</v>
      </c>
      <c r="C573" s="4">
        <f>54.208 * CHOOSE(CONTROL!$C$9, $C$13, 100%, $E$13) + CHOOSE(CONTROL!$C$28, 0.0276, 0)</f>
        <v>54.235599999999998</v>
      </c>
      <c r="D573" s="4">
        <f>54.8185 * CHOOSE(CONTROL!$C$9, $C$13, 100%, $E$13) + CHOOSE(CONTROL!$C$28, 0, 0)</f>
        <v>54.8185</v>
      </c>
      <c r="E573" s="4">
        <f>313.327092646913 * CHOOSE(CONTROL!$C$9, $C$13, 100%, $E$13) + CHOOSE(CONTROL!$C$28, 0, 0)</f>
        <v>313.327092646913</v>
      </c>
    </row>
    <row r="574" spans="1:5" ht="15">
      <c r="A574" s="13">
        <v>58987</v>
      </c>
      <c r="B574" s="4">
        <f>54.687 * CHOOSE(CONTROL!$C$9, $C$13, 100%, $E$13) + CHOOSE(CONTROL!$C$28, 0.0276, 0)</f>
        <v>54.714599999999997</v>
      </c>
      <c r="C574" s="4">
        <f>54.3745 * CHOOSE(CONTROL!$C$9, $C$13, 100%, $E$13) + CHOOSE(CONTROL!$C$28, 0.0276, 0)</f>
        <v>54.402099999999997</v>
      </c>
      <c r="D574" s="4">
        <f>55.3173 * CHOOSE(CONTROL!$C$9, $C$13, 100%, $E$13) + CHOOSE(CONTROL!$C$28, 0, 0)</f>
        <v>55.317300000000003</v>
      </c>
      <c r="E574" s="4">
        <f>314.318502256979 * CHOOSE(CONTROL!$C$9, $C$13, 100%, $E$13) + CHOOSE(CONTROL!$C$28, 0, 0)</f>
        <v>314.318502256979</v>
      </c>
    </row>
    <row r="575" spans="1:5" ht="15">
      <c r="A575" s="13">
        <v>59018</v>
      </c>
      <c r="B575" s="4">
        <f>54.6702 * CHOOSE(CONTROL!$C$9, $C$13, 100%, $E$13) + CHOOSE(CONTROL!$C$28, 0.0276, 0)</f>
        <v>54.697800000000001</v>
      </c>
      <c r="C575" s="4">
        <f>54.3577 * CHOOSE(CONTROL!$C$9, $C$13, 100%, $E$13) + CHOOSE(CONTROL!$C$28, 0.0276, 0)</f>
        <v>54.385300000000001</v>
      </c>
      <c r="D575" s="4">
        <f>56.2174 * CHOOSE(CONTROL!$C$9, $C$13, 100%, $E$13) + CHOOSE(CONTROL!$C$28, 0, 0)</f>
        <v>56.217399999999998</v>
      </c>
      <c r="E575" s="4">
        <f>314.218528178653 * CHOOSE(CONTROL!$C$9, $C$13, 100%, $E$13) + CHOOSE(CONTROL!$C$28, 0, 0)</f>
        <v>314.218528178653</v>
      </c>
    </row>
    <row r="576" spans="1:5" ht="15">
      <c r="A576" s="13">
        <v>59049</v>
      </c>
      <c r="B576" s="4">
        <f>55.9343 * CHOOSE(CONTROL!$C$9, $C$13, 100%, $E$13) + CHOOSE(CONTROL!$C$28, 0.0276, 0)</f>
        <v>55.9619</v>
      </c>
      <c r="C576" s="4">
        <f>55.6218 * CHOOSE(CONTROL!$C$9, $C$13, 100%, $E$13) + CHOOSE(CONTROL!$C$28, 0.0276, 0)</f>
        <v>55.6494</v>
      </c>
      <c r="D576" s="4">
        <f>55.623 * CHOOSE(CONTROL!$C$9, $C$13, 100%, $E$13) + CHOOSE(CONTROL!$C$28, 0, 0)</f>
        <v>55.622999999999998</v>
      </c>
      <c r="E576" s="4">
        <f>321.741577572686 * CHOOSE(CONTROL!$C$9, $C$13, 100%, $E$13) + CHOOSE(CONTROL!$C$28, 0, 0)</f>
        <v>321.74157757268603</v>
      </c>
    </row>
    <row r="577" spans="1:5" ht="15">
      <c r="A577" s="13">
        <v>59079</v>
      </c>
      <c r="B577" s="4">
        <f>53.78 * CHOOSE(CONTROL!$C$9, $C$13, 100%, $E$13) + CHOOSE(CONTROL!$C$28, 0.0276, 0)</f>
        <v>53.807600000000001</v>
      </c>
      <c r="C577" s="4">
        <f>53.4675 * CHOOSE(CONTROL!$C$9, $C$13, 100%, $E$13) + CHOOSE(CONTROL!$C$28, 0.0276, 0)</f>
        <v>53.495100000000001</v>
      </c>
      <c r="D577" s="4">
        <f>55.3421 * CHOOSE(CONTROL!$C$9, $C$13, 100%, $E$13) + CHOOSE(CONTROL!$C$28, 0, 0)</f>
        <v>55.342100000000002</v>
      </c>
      <c r="E577" s="4">
        <f>308.919902027375 * CHOOSE(CONTROL!$C$9, $C$13, 100%, $E$13) + CHOOSE(CONTROL!$C$28, 0, 0)</f>
        <v>308.91990202737497</v>
      </c>
    </row>
    <row r="578" spans="1:5" ht="15">
      <c r="A578" s="13">
        <v>59110</v>
      </c>
      <c r="B578" s="4">
        <f>52.0554 * CHOOSE(CONTROL!$C$9, $C$13, 100%, $E$13) + CHOOSE(CONTROL!$C$28, 0.0003, 0)</f>
        <v>52.055700000000002</v>
      </c>
      <c r="C578" s="4">
        <f>51.7429 * CHOOSE(CONTROL!$C$9, $C$13, 100%, $E$13) + CHOOSE(CONTROL!$C$28, 0.0003, 0)</f>
        <v>51.743200000000002</v>
      </c>
      <c r="D578" s="4">
        <f>54.5902 * CHOOSE(CONTROL!$C$9, $C$13, 100%, $E$13) + CHOOSE(CONTROL!$C$28, 0, 0)</f>
        <v>54.590200000000003</v>
      </c>
      <c r="E578" s="4">
        <f>298.655896652571 * CHOOSE(CONTROL!$C$9, $C$13, 100%, $E$13) + CHOOSE(CONTROL!$C$28, 0, 0)</f>
        <v>298.65589665257102</v>
      </c>
    </row>
    <row r="579" spans="1:5" ht="15">
      <c r="A579" s="13">
        <v>59140</v>
      </c>
      <c r="B579" s="4">
        <f>50.9446 * CHOOSE(CONTROL!$C$9, $C$13, 100%, $E$13) + CHOOSE(CONTROL!$C$28, 0.0003, 0)</f>
        <v>50.944900000000004</v>
      </c>
      <c r="C579" s="4">
        <f>50.6321 * CHOOSE(CONTROL!$C$9, $C$13, 100%, $E$13) + CHOOSE(CONTROL!$C$28, 0.0003, 0)</f>
        <v>50.632400000000004</v>
      </c>
      <c r="D579" s="4">
        <f>54.3317 * CHOOSE(CONTROL!$C$9, $C$13, 100%, $E$13) + CHOOSE(CONTROL!$C$28, 0, 0)</f>
        <v>54.331699999999998</v>
      </c>
      <c r="E579" s="4">
        <f>292.045110723263 * CHOOSE(CONTROL!$C$9, $C$13, 100%, $E$13) + CHOOSE(CONTROL!$C$28, 0, 0)</f>
        <v>292.04511072326301</v>
      </c>
    </row>
    <row r="580" spans="1:5" ht="15">
      <c r="A580" s="13">
        <v>59171</v>
      </c>
      <c r="B580" s="4">
        <f>50.1761 * CHOOSE(CONTROL!$C$9, $C$13, 100%, $E$13) + CHOOSE(CONTROL!$C$28, 0.0003, 0)</f>
        <v>50.176400000000001</v>
      </c>
      <c r="C580" s="4">
        <f>49.8636 * CHOOSE(CONTROL!$C$9, $C$13, 100%, $E$13) + CHOOSE(CONTROL!$C$28, 0.0003, 0)</f>
        <v>49.863900000000001</v>
      </c>
      <c r="D580" s="4">
        <f>52.4284 * CHOOSE(CONTROL!$C$9, $C$13, 100%, $E$13) + CHOOSE(CONTROL!$C$28, 0, 0)</f>
        <v>52.428400000000003</v>
      </c>
      <c r="E580" s="4">
        <f>287.471296639849 * CHOOSE(CONTROL!$C$9, $C$13, 100%, $E$13) + CHOOSE(CONTROL!$C$28, 0, 0)</f>
        <v>287.47129663984902</v>
      </c>
    </row>
    <row r="581" spans="1:5" ht="15">
      <c r="A581" s="13">
        <v>59202</v>
      </c>
      <c r="B581" s="4">
        <f>48.9275 * CHOOSE(CONTROL!$C$9, $C$13, 100%, $E$13) + CHOOSE(CONTROL!$C$28, 0.0003, 0)</f>
        <v>48.927800000000005</v>
      </c>
      <c r="C581" s="4">
        <f>48.615 * CHOOSE(CONTROL!$C$9, $C$13, 100%, $E$13) + CHOOSE(CONTROL!$C$28, 0.0003, 0)</f>
        <v>48.615300000000005</v>
      </c>
      <c r="D581" s="4">
        <f>50.6792 * CHOOSE(CONTROL!$C$9, $C$13, 100%, $E$13) + CHOOSE(CONTROL!$C$28, 0, 0)</f>
        <v>50.679200000000002</v>
      </c>
      <c r="E581" s="4">
        <f>279.227715318181 * CHOOSE(CONTROL!$C$9, $C$13, 100%, $E$13) + CHOOSE(CONTROL!$C$28, 0, 0)</f>
        <v>279.22771531818103</v>
      </c>
    </row>
    <row r="582" spans="1:5" ht="15">
      <c r="A582" s="13">
        <v>59230</v>
      </c>
      <c r="B582" s="4">
        <f>50.0447 * CHOOSE(CONTROL!$C$9, $C$13, 100%, $E$13) + CHOOSE(CONTROL!$C$28, 0.0003, 0)</f>
        <v>50.045000000000002</v>
      </c>
      <c r="C582" s="4">
        <f>49.7322 * CHOOSE(CONTROL!$C$9, $C$13, 100%, $E$13) + CHOOSE(CONTROL!$C$28, 0.0003, 0)</f>
        <v>49.732500000000002</v>
      </c>
      <c r="D582" s="4">
        <f>52.4407 * CHOOSE(CONTROL!$C$9, $C$13, 100%, $E$13) + CHOOSE(CONTROL!$C$28, 0, 0)</f>
        <v>52.4407</v>
      </c>
      <c r="E582" s="4">
        <f>285.857681690974 * CHOOSE(CONTROL!$C$9, $C$13, 100%, $E$13) + CHOOSE(CONTROL!$C$28, 0, 0)</f>
        <v>285.857681690974</v>
      </c>
    </row>
    <row r="583" spans="1:5" ht="15">
      <c r="A583" s="13">
        <v>59261</v>
      </c>
      <c r="B583" s="4">
        <f>52.9786 * CHOOSE(CONTROL!$C$9, $C$13, 100%, $E$13) + CHOOSE(CONTROL!$C$28, 0.0003, 0)</f>
        <v>52.978900000000003</v>
      </c>
      <c r="C583" s="4">
        <f>52.6661 * CHOOSE(CONTROL!$C$9, $C$13, 100%, $E$13) + CHOOSE(CONTROL!$C$28, 0.0003, 0)</f>
        <v>52.666400000000003</v>
      </c>
      <c r="D583" s="4">
        <f>55.1982 * CHOOSE(CONTROL!$C$9, $C$13, 100%, $E$13) + CHOOSE(CONTROL!$C$28, 0, 0)</f>
        <v>55.1982</v>
      </c>
      <c r="E583" s="4">
        <f>303.268325723739 * CHOOSE(CONTROL!$C$9, $C$13, 100%, $E$13) + CHOOSE(CONTROL!$C$28, 0, 0)</f>
        <v>303.268325723739</v>
      </c>
    </row>
    <row r="584" spans="1:5" ht="15">
      <c r="A584" s="13">
        <v>59291</v>
      </c>
      <c r="B584" s="4">
        <f>55.0631 * CHOOSE(CONTROL!$C$9, $C$13, 100%, $E$13) + CHOOSE(CONTROL!$C$28, 0.0003, 0)</f>
        <v>55.063400000000001</v>
      </c>
      <c r="C584" s="4">
        <f>54.7506 * CHOOSE(CONTROL!$C$9, $C$13, 100%, $E$13) + CHOOSE(CONTROL!$C$28, 0.0003, 0)</f>
        <v>54.750900000000001</v>
      </c>
      <c r="D584" s="4">
        <f>56.7866 * CHOOSE(CONTROL!$C$9, $C$13, 100%, $E$13) + CHOOSE(CONTROL!$C$28, 0, 0)</f>
        <v>56.7866</v>
      </c>
      <c r="E584" s="4">
        <f>315.638820336358 * CHOOSE(CONTROL!$C$9, $C$13, 100%, $E$13) + CHOOSE(CONTROL!$C$28, 0, 0)</f>
        <v>315.63882033635798</v>
      </c>
    </row>
    <row r="585" spans="1:5" ht="15">
      <c r="A585" s="13">
        <v>59322</v>
      </c>
      <c r="B585" s="4">
        <f>56.3367 * CHOOSE(CONTROL!$C$9, $C$13, 100%, $E$13) + CHOOSE(CONTROL!$C$28, 0.0276, 0)</f>
        <v>56.3643</v>
      </c>
      <c r="C585" s="4">
        <f>56.0242 * CHOOSE(CONTROL!$C$9, $C$13, 100%, $E$13) + CHOOSE(CONTROL!$C$28, 0.0276, 0)</f>
        <v>56.0518</v>
      </c>
      <c r="D585" s="4">
        <f>56.1589 * CHOOSE(CONTROL!$C$9, $C$13, 100%, $E$13) + CHOOSE(CONTROL!$C$28, 0, 0)</f>
        <v>56.158900000000003</v>
      </c>
      <c r="E585" s="4">
        <f>323.196896065291 * CHOOSE(CONTROL!$C$9, $C$13, 100%, $E$13) + CHOOSE(CONTROL!$C$28, 0, 0)</f>
        <v>323.19689606529101</v>
      </c>
    </row>
    <row r="586" spans="1:5" ht="15">
      <c r="A586" s="13">
        <v>59352</v>
      </c>
      <c r="B586" s="4">
        <f>56.509 * CHOOSE(CONTROL!$C$9, $C$13, 100%, $E$13) + CHOOSE(CONTROL!$C$28, 0.0276, 0)</f>
        <v>56.5366</v>
      </c>
      <c r="C586" s="4">
        <f>56.1965 * CHOOSE(CONTROL!$C$9, $C$13, 100%, $E$13) + CHOOSE(CONTROL!$C$28, 0.0276, 0)</f>
        <v>56.2241</v>
      </c>
      <c r="D586" s="4">
        <f>56.6701 * CHOOSE(CONTROL!$C$9, $C$13, 100%, $E$13) + CHOOSE(CONTROL!$C$28, 0, 0)</f>
        <v>56.670099999999998</v>
      </c>
      <c r="E586" s="4">
        <f>324.219535078074 * CHOOSE(CONTROL!$C$9, $C$13, 100%, $E$13) + CHOOSE(CONTROL!$C$28, 0, 0)</f>
        <v>324.21953507807399</v>
      </c>
    </row>
    <row r="587" spans="1:5" ht="15">
      <c r="A587" s="13">
        <v>59383</v>
      </c>
      <c r="B587" s="4">
        <f>56.4917 * CHOOSE(CONTROL!$C$9, $C$13, 100%, $E$13) + CHOOSE(CONTROL!$C$28, 0.0276, 0)</f>
        <v>56.519300000000001</v>
      </c>
      <c r="C587" s="4">
        <f>56.1792 * CHOOSE(CONTROL!$C$9, $C$13, 100%, $E$13) + CHOOSE(CONTROL!$C$28, 0.0276, 0)</f>
        <v>56.206800000000001</v>
      </c>
      <c r="D587" s="4">
        <f>57.5925 * CHOOSE(CONTROL!$C$9, $C$13, 100%, $E$13) + CHOOSE(CONTROL!$C$28, 0, 0)</f>
        <v>57.592500000000001</v>
      </c>
      <c r="E587" s="4">
        <f>324.116411816281 * CHOOSE(CONTROL!$C$9, $C$13, 100%, $E$13) + CHOOSE(CONTROL!$C$28, 0, 0)</f>
        <v>324.11641181628102</v>
      </c>
    </row>
    <row r="588" spans="1:5" ht="15">
      <c r="A588" s="13">
        <v>59414</v>
      </c>
      <c r="B588" s="4">
        <f>57.7993 * CHOOSE(CONTROL!$C$9, $C$13, 100%, $E$13) + CHOOSE(CONTROL!$C$28, 0.0276, 0)</f>
        <v>57.826900000000002</v>
      </c>
      <c r="C588" s="4">
        <f>57.4868 * CHOOSE(CONTROL!$C$9, $C$13, 100%, $E$13) + CHOOSE(CONTROL!$C$28, 0.0276, 0)</f>
        <v>57.514400000000002</v>
      </c>
      <c r="D588" s="4">
        <f>56.9833 * CHOOSE(CONTROL!$C$9, $C$13, 100%, $E$13) + CHOOSE(CONTROL!$C$28, 0, 0)</f>
        <v>56.9833</v>
      </c>
      <c r="E588" s="4">
        <f>331.876437266225 * CHOOSE(CONTROL!$C$9, $C$13, 100%, $E$13) + CHOOSE(CONTROL!$C$28, 0, 0)</f>
        <v>331.87643726622503</v>
      </c>
    </row>
    <row r="589" spans="1:5" ht="15">
      <c r="A589" s="13">
        <v>59444</v>
      </c>
      <c r="B589" s="4">
        <f>55.5707 * CHOOSE(CONTROL!$C$9, $C$13, 100%, $E$13) + CHOOSE(CONTROL!$C$28, 0.0276, 0)</f>
        <v>55.598300000000002</v>
      </c>
      <c r="C589" s="4">
        <f>55.2582 * CHOOSE(CONTROL!$C$9, $C$13, 100%, $E$13) + CHOOSE(CONTROL!$C$28, 0.0276, 0)</f>
        <v>55.285800000000002</v>
      </c>
      <c r="D589" s="4">
        <f>56.6955 * CHOOSE(CONTROL!$C$9, $C$13, 100%, $E$13) + CHOOSE(CONTROL!$C$28, 0, 0)</f>
        <v>56.695500000000003</v>
      </c>
      <c r="E589" s="4">
        <f>318.650878941237 * CHOOSE(CONTROL!$C$9, $C$13, 100%, $E$13) + CHOOSE(CONTROL!$C$28, 0, 0)</f>
        <v>318.65087894123701</v>
      </c>
    </row>
    <row r="590" spans="1:5" ht="15">
      <c r="A590" s="13">
        <v>59475</v>
      </c>
      <c r="B590" s="4">
        <f>53.7866 * CHOOSE(CONTROL!$C$9, $C$13, 100%, $E$13) + CHOOSE(CONTROL!$C$28, 0.0003, 0)</f>
        <v>53.786900000000003</v>
      </c>
      <c r="C590" s="4">
        <f>53.4741 * CHOOSE(CONTROL!$C$9, $C$13, 100%, $E$13) + CHOOSE(CONTROL!$C$28, 0.0003, 0)</f>
        <v>53.474400000000003</v>
      </c>
      <c r="D590" s="4">
        <f>55.9249 * CHOOSE(CONTROL!$C$9, $C$13, 100%, $E$13) + CHOOSE(CONTROL!$C$28, 0, 0)</f>
        <v>55.924900000000001</v>
      </c>
      <c r="E590" s="4">
        <f>308.063557397127 * CHOOSE(CONTROL!$C$9, $C$13, 100%, $E$13) + CHOOSE(CONTROL!$C$28, 0, 0)</f>
        <v>308.063557397127</v>
      </c>
    </row>
    <row r="591" spans="1:5" ht="15">
      <c r="A591" s="13">
        <v>59505</v>
      </c>
      <c r="B591" s="4">
        <f>52.6375 * CHOOSE(CONTROL!$C$9, $C$13, 100%, $E$13) + CHOOSE(CONTROL!$C$28, 0.0003, 0)</f>
        <v>52.637800000000006</v>
      </c>
      <c r="C591" s="4">
        <f>52.325 * CHOOSE(CONTROL!$C$9, $C$13, 100%, $E$13) + CHOOSE(CONTROL!$C$28, 0.0003, 0)</f>
        <v>52.325300000000006</v>
      </c>
      <c r="D591" s="4">
        <f>55.66 * CHOOSE(CONTROL!$C$9, $C$13, 100%, $E$13) + CHOOSE(CONTROL!$C$28, 0, 0)</f>
        <v>55.66</v>
      </c>
      <c r="E591" s="4">
        <f>301.244531711046 * CHOOSE(CONTROL!$C$9, $C$13, 100%, $E$13) + CHOOSE(CONTROL!$C$28, 0, 0)</f>
        <v>301.24453171104602</v>
      </c>
    </row>
    <row r="592" spans="1:5" ht="15">
      <c r="A592" s="13">
        <v>59536</v>
      </c>
      <c r="B592" s="4">
        <f>51.8425 * CHOOSE(CONTROL!$C$9, $C$13, 100%, $E$13) + CHOOSE(CONTROL!$C$28, 0.0003, 0)</f>
        <v>51.842800000000004</v>
      </c>
      <c r="C592" s="4">
        <f>51.53 * CHOOSE(CONTROL!$C$9, $C$13, 100%, $E$13) + CHOOSE(CONTROL!$C$28, 0.0003, 0)</f>
        <v>51.530300000000004</v>
      </c>
      <c r="D592" s="4">
        <f>53.7096 * CHOOSE(CONTROL!$C$9, $C$13, 100%, $E$13) + CHOOSE(CONTROL!$C$28, 0, 0)</f>
        <v>53.709600000000002</v>
      </c>
      <c r="E592" s="4">
        <f>296.526642484004 * CHOOSE(CONTROL!$C$9, $C$13, 100%, $E$13) + CHOOSE(CONTROL!$C$28, 0, 0)</f>
        <v>296.52664248400401</v>
      </c>
    </row>
    <row r="593" spans="1:5" ht="15">
      <c r="A593" s="13">
        <v>59567</v>
      </c>
      <c r="B593" s="4">
        <f>50.5508 * CHOOSE(CONTROL!$C$9, $C$13, 100%, $E$13) + CHOOSE(CONTROL!$C$28, 0.0003, 0)</f>
        <v>50.551100000000005</v>
      </c>
      <c r="C593" s="4">
        <f>50.2383 * CHOOSE(CONTROL!$C$9, $C$13, 100%, $E$13) + CHOOSE(CONTROL!$C$28, 0.0003, 0)</f>
        <v>50.238600000000005</v>
      </c>
      <c r="D593" s="4">
        <f>51.9169 * CHOOSE(CONTROL!$C$9, $C$13, 100%, $E$13) + CHOOSE(CONTROL!$C$28, 0, 0)</f>
        <v>51.916899999999998</v>
      </c>
      <c r="E593" s="4">
        <f>288.023388350704 * CHOOSE(CONTROL!$C$9, $C$13, 100%, $E$13) + CHOOSE(CONTROL!$C$28, 0, 0)</f>
        <v>288.02338835070401</v>
      </c>
    </row>
    <row r="594" spans="1:5" ht="15">
      <c r="A594" s="13">
        <v>59595</v>
      </c>
      <c r="B594" s="4">
        <f>51.7066 * CHOOSE(CONTROL!$C$9, $C$13, 100%, $E$13) + CHOOSE(CONTROL!$C$28, 0.0003, 0)</f>
        <v>51.706900000000005</v>
      </c>
      <c r="C594" s="4">
        <f>51.3941 * CHOOSE(CONTROL!$C$9, $C$13, 100%, $E$13) + CHOOSE(CONTROL!$C$28, 0.0003, 0)</f>
        <v>51.394400000000005</v>
      </c>
      <c r="D594" s="4">
        <f>53.7221 * CHOOSE(CONTROL!$C$9, $C$13, 100%, $E$13) + CHOOSE(CONTROL!$C$28, 0, 0)</f>
        <v>53.722099999999998</v>
      </c>
      <c r="E594" s="4">
        <f>294.86219866424 * CHOOSE(CONTROL!$C$9, $C$13, 100%, $E$13) + CHOOSE(CONTROL!$C$28, 0, 0)</f>
        <v>294.86219866424</v>
      </c>
    </row>
    <row r="595" spans="1:5" ht="15">
      <c r="A595" s="13">
        <v>59626</v>
      </c>
      <c r="B595" s="4">
        <f>54.7416 * CHOOSE(CONTROL!$C$9, $C$13, 100%, $E$13) + CHOOSE(CONTROL!$C$28, 0.0003, 0)</f>
        <v>54.741900000000001</v>
      </c>
      <c r="C595" s="4">
        <f>54.4291 * CHOOSE(CONTROL!$C$9, $C$13, 100%, $E$13) + CHOOSE(CONTROL!$C$28, 0.0003, 0)</f>
        <v>54.429400000000001</v>
      </c>
      <c r="D595" s="4">
        <f>56.548 * CHOOSE(CONTROL!$C$9, $C$13, 100%, $E$13) + CHOOSE(CONTROL!$C$28, 0, 0)</f>
        <v>56.548000000000002</v>
      </c>
      <c r="E595" s="4">
        <f>312.821277984037 * CHOOSE(CONTROL!$C$9, $C$13, 100%, $E$13) + CHOOSE(CONTROL!$C$28, 0, 0)</f>
        <v>312.82127798403701</v>
      </c>
    </row>
    <row r="596" spans="1:5" ht="15">
      <c r="A596" s="13">
        <v>59656</v>
      </c>
      <c r="B596" s="4">
        <f>56.8981 * CHOOSE(CONTROL!$C$9, $C$13, 100%, $E$13) + CHOOSE(CONTROL!$C$28, 0.0003, 0)</f>
        <v>56.898400000000002</v>
      </c>
      <c r="C596" s="4">
        <f>56.5856 * CHOOSE(CONTROL!$C$9, $C$13, 100%, $E$13) + CHOOSE(CONTROL!$C$28, 0.0003, 0)</f>
        <v>56.585900000000002</v>
      </c>
      <c r="D596" s="4">
        <f>58.1758 * CHOOSE(CONTROL!$C$9, $C$13, 100%, $E$13) + CHOOSE(CONTROL!$C$28, 0, 0)</f>
        <v>58.175800000000002</v>
      </c>
      <c r="E596" s="4">
        <f>325.581443176954 * CHOOSE(CONTROL!$C$9, $C$13, 100%, $E$13) + CHOOSE(CONTROL!$C$28, 0, 0)</f>
        <v>325.581443176954</v>
      </c>
    </row>
    <row r="597" spans="1:5" ht="15">
      <c r="A597" s="13">
        <v>59687</v>
      </c>
      <c r="B597" s="4">
        <f>58.2156 * CHOOSE(CONTROL!$C$9, $C$13, 100%, $E$13) + CHOOSE(CONTROL!$C$28, 0.0276, 0)</f>
        <v>58.243200000000002</v>
      </c>
      <c r="C597" s="4">
        <f>57.9031 * CHOOSE(CONTROL!$C$9, $C$13, 100%, $E$13) + CHOOSE(CONTROL!$C$28, 0.0276, 0)</f>
        <v>57.930700000000002</v>
      </c>
      <c r="D597" s="4">
        <f>57.5326 * CHOOSE(CONTROL!$C$9, $C$13, 100%, $E$13) + CHOOSE(CONTROL!$C$28, 0, 0)</f>
        <v>57.532600000000002</v>
      </c>
      <c r="E597" s="4">
        <f>333.377598291348 * CHOOSE(CONTROL!$C$9, $C$13, 100%, $E$13) + CHOOSE(CONTROL!$C$28, 0, 0)</f>
        <v>333.37759829134802</v>
      </c>
    </row>
    <row r="598" spans="1:5" ht="15">
      <c r="A598" s="13">
        <v>59717</v>
      </c>
      <c r="B598" s="4">
        <f>58.3939 * CHOOSE(CONTROL!$C$9, $C$13, 100%, $E$13) + CHOOSE(CONTROL!$C$28, 0.0276, 0)</f>
        <v>58.421500000000002</v>
      </c>
      <c r="C598" s="4">
        <f>58.0814 * CHOOSE(CONTROL!$C$9, $C$13, 100%, $E$13) + CHOOSE(CONTROL!$C$28, 0.0276, 0)</f>
        <v>58.109000000000002</v>
      </c>
      <c r="D598" s="4">
        <f>58.0564 * CHOOSE(CONTROL!$C$9, $C$13, 100%, $E$13) + CHOOSE(CONTROL!$C$28, 0, 0)</f>
        <v>58.056399999999996</v>
      </c>
      <c r="E598" s="4">
        <f>334.432450433034 * CHOOSE(CONTROL!$C$9, $C$13, 100%, $E$13) + CHOOSE(CONTROL!$C$28, 0, 0)</f>
        <v>334.43245043303398</v>
      </c>
    </row>
    <row r="599" spans="1:5" ht="15">
      <c r="A599" s="13">
        <v>59748</v>
      </c>
      <c r="B599" s="4">
        <f>58.3759 * CHOOSE(CONTROL!$C$9, $C$13, 100%, $E$13) + CHOOSE(CONTROL!$C$28, 0.0276, 0)</f>
        <v>58.403500000000001</v>
      </c>
      <c r="C599" s="4">
        <f>58.0634 * CHOOSE(CONTROL!$C$9, $C$13, 100%, $E$13) + CHOOSE(CONTROL!$C$28, 0.0276, 0)</f>
        <v>58.091000000000001</v>
      </c>
      <c r="D599" s="4">
        <f>59.0017 * CHOOSE(CONTROL!$C$9, $C$13, 100%, $E$13) + CHOOSE(CONTROL!$C$28, 0, 0)</f>
        <v>59.0017</v>
      </c>
      <c r="E599" s="4">
        <f>334.326078788494 * CHOOSE(CONTROL!$C$9, $C$13, 100%, $E$13) + CHOOSE(CONTROL!$C$28, 0, 0)</f>
        <v>334.32607878849399</v>
      </c>
    </row>
    <row r="600" spans="1:5" ht="15">
      <c r="A600" s="13">
        <v>59779</v>
      </c>
      <c r="B600" s="4">
        <f>59.7287 * CHOOSE(CONTROL!$C$9, $C$13, 100%, $E$13) + CHOOSE(CONTROL!$C$28, 0.0276, 0)</f>
        <v>59.756300000000003</v>
      </c>
      <c r="C600" s="4">
        <f>59.4162 * CHOOSE(CONTROL!$C$9, $C$13, 100%, $E$13) + CHOOSE(CONTROL!$C$28, 0.0276, 0)</f>
        <v>59.443800000000003</v>
      </c>
      <c r="D600" s="4">
        <f>58.3774 * CHOOSE(CONTROL!$C$9, $C$13, 100%, $E$13) + CHOOSE(CONTROL!$C$28, 0, 0)</f>
        <v>58.377400000000002</v>
      </c>
      <c r="E600" s="4">
        <f>342.330545040111 * CHOOSE(CONTROL!$C$9, $C$13, 100%, $E$13) + CHOOSE(CONTROL!$C$28, 0, 0)</f>
        <v>342.33054504011102</v>
      </c>
    </row>
    <row r="601" spans="1:5" ht="15">
      <c r="A601" s="13">
        <v>59809</v>
      </c>
      <c r="B601" s="4">
        <f>57.4232 * CHOOSE(CONTROL!$C$9, $C$13, 100%, $E$13) + CHOOSE(CONTROL!$C$28, 0.0276, 0)</f>
        <v>57.450800000000001</v>
      </c>
      <c r="C601" s="4">
        <f>57.1107 * CHOOSE(CONTROL!$C$9, $C$13, 100%, $E$13) + CHOOSE(CONTROL!$C$28, 0.0276, 0)</f>
        <v>57.138300000000001</v>
      </c>
      <c r="D601" s="4">
        <f>58.0825 * CHOOSE(CONTROL!$C$9, $C$13, 100%, $E$13) + CHOOSE(CONTROL!$C$28, 0, 0)</f>
        <v>58.082500000000003</v>
      </c>
      <c r="E601" s="4">
        <f>328.688381627886 * CHOOSE(CONTROL!$C$9, $C$13, 100%, $E$13) + CHOOSE(CONTROL!$C$28, 0, 0)</f>
        <v>328.68838162788597</v>
      </c>
    </row>
    <row r="602" spans="1:5" ht="15">
      <c r="A602" s="13">
        <v>59840</v>
      </c>
      <c r="B602" s="4">
        <f>55.5776 * CHOOSE(CONTROL!$C$9, $C$13, 100%, $E$13) + CHOOSE(CONTROL!$C$28, 0.0003, 0)</f>
        <v>55.5779</v>
      </c>
      <c r="C602" s="4">
        <f>55.2651 * CHOOSE(CONTROL!$C$9, $C$13, 100%, $E$13) + CHOOSE(CONTROL!$C$28, 0.0003, 0)</f>
        <v>55.2654</v>
      </c>
      <c r="D602" s="4">
        <f>57.2928 * CHOOSE(CONTROL!$C$9, $C$13, 100%, $E$13) + CHOOSE(CONTROL!$C$28, 0, 0)</f>
        <v>57.2928</v>
      </c>
      <c r="E602" s="4">
        <f>317.767559455137 * CHOOSE(CONTROL!$C$9, $C$13, 100%, $E$13) + CHOOSE(CONTROL!$C$28, 0, 0)</f>
        <v>317.76755945513702</v>
      </c>
    </row>
    <row r="603" spans="1:5" ht="15">
      <c r="A603" s="13">
        <v>59870</v>
      </c>
      <c r="B603" s="4">
        <f>54.3888 * CHOOSE(CONTROL!$C$9, $C$13, 100%, $E$13) + CHOOSE(CONTROL!$C$28, 0.0003, 0)</f>
        <v>54.389100000000006</v>
      </c>
      <c r="C603" s="4">
        <f>54.0763 * CHOOSE(CONTROL!$C$9, $C$13, 100%, $E$13) + CHOOSE(CONTROL!$C$28, 0.0003, 0)</f>
        <v>54.076600000000006</v>
      </c>
      <c r="D603" s="4">
        <f>57.0213 * CHOOSE(CONTROL!$C$9, $C$13, 100%, $E$13) + CHOOSE(CONTROL!$C$28, 0, 0)</f>
        <v>57.021299999999997</v>
      </c>
      <c r="E603" s="4">
        <f>310.733734459944 * CHOOSE(CONTROL!$C$9, $C$13, 100%, $E$13) + CHOOSE(CONTROL!$C$28, 0, 0)</f>
        <v>310.733734459944</v>
      </c>
    </row>
    <row r="604" spans="1:5" ht="15">
      <c r="A604" s="13">
        <v>59901</v>
      </c>
      <c r="B604" s="4">
        <f>53.5664 * CHOOSE(CONTROL!$C$9, $C$13, 100%, $E$13) + CHOOSE(CONTROL!$C$28, 0.0003, 0)</f>
        <v>53.566700000000004</v>
      </c>
      <c r="C604" s="4">
        <f>53.2539 * CHOOSE(CONTROL!$C$9, $C$13, 100%, $E$13) + CHOOSE(CONTROL!$C$28, 0.0003, 0)</f>
        <v>53.254200000000004</v>
      </c>
      <c r="D604" s="4">
        <f>55.0225 * CHOOSE(CONTROL!$C$9, $C$13, 100%, $E$13) + CHOOSE(CONTROL!$C$28, 0, 0)</f>
        <v>55.022500000000001</v>
      </c>
      <c r="E604" s="4">
        <f>305.86723172225 * CHOOSE(CONTROL!$C$9, $C$13, 100%, $E$13) + CHOOSE(CONTROL!$C$28, 0, 0)</f>
        <v>305.86723172224998</v>
      </c>
    </row>
    <row r="605" spans="1:5" ht="15">
      <c r="A605" s="13">
        <v>59932</v>
      </c>
      <c r="B605" s="4">
        <f>52.2301 * CHOOSE(CONTROL!$C$9, $C$13, 100%, $E$13) + CHOOSE(CONTROL!$C$28, 0.0003, 0)</f>
        <v>52.230400000000003</v>
      </c>
      <c r="C605" s="4">
        <f>51.9176 * CHOOSE(CONTROL!$C$9, $C$13, 100%, $E$13) + CHOOSE(CONTROL!$C$28, 0.0003, 0)</f>
        <v>51.917900000000003</v>
      </c>
      <c r="D605" s="4">
        <f>53.1854 * CHOOSE(CONTROL!$C$9, $C$13, 100%, $E$13) + CHOOSE(CONTROL!$C$28, 0, 0)</f>
        <v>53.185400000000001</v>
      </c>
      <c r="E605" s="4">
        <f>297.096125083751 * CHOOSE(CONTROL!$C$9, $C$13, 100%, $E$13) + CHOOSE(CONTROL!$C$28, 0, 0)</f>
        <v>297.09612508375102</v>
      </c>
    </row>
    <row r="606" spans="1:5" ht="15">
      <c r="A606" s="13">
        <v>59961</v>
      </c>
      <c r="B606" s="4">
        <f>53.4258 * CHOOSE(CONTROL!$C$9, $C$13, 100%, $E$13) + CHOOSE(CONTROL!$C$28, 0.0003, 0)</f>
        <v>53.426100000000005</v>
      </c>
      <c r="C606" s="4">
        <f>53.1133 * CHOOSE(CONTROL!$C$9, $C$13, 100%, $E$13) + CHOOSE(CONTROL!$C$28, 0.0003, 0)</f>
        <v>53.113600000000005</v>
      </c>
      <c r="D606" s="4">
        <f>55.0353 * CHOOSE(CONTROL!$C$9, $C$13, 100%, $E$13) + CHOOSE(CONTROL!$C$28, 0, 0)</f>
        <v>55.035299999999999</v>
      </c>
      <c r="E606" s="4">
        <f>304.150357922163 * CHOOSE(CONTROL!$C$9, $C$13, 100%, $E$13) + CHOOSE(CONTROL!$C$28, 0, 0)</f>
        <v>304.15035792216298</v>
      </c>
    </row>
    <row r="607" spans="1:5" ht="15">
      <c r="A607" s="13">
        <v>59992</v>
      </c>
      <c r="B607" s="4">
        <f>56.5655 * CHOOSE(CONTROL!$C$9, $C$13, 100%, $E$13) + CHOOSE(CONTROL!$C$28, 0.0003, 0)</f>
        <v>56.565800000000003</v>
      </c>
      <c r="C607" s="4">
        <f>56.253 * CHOOSE(CONTROL!$C$9, $C$13, 100%, $E$13) + CHOOSE(CONTROL!$C$28, 0.0003, 0)</f>
        <v>56.253300000000003</v>
      </c>
      <c r="D607" s="4">
        <f>57.9313 * CHOOSE(CONTROL!$C$9, $C$13, 100%, $E$13) + CHOOSE(CONTROL!$C$28, 0, 0)</f>
        <v>57.9313</v>
      </c>
      <c r="E607" s="4">
        <f>322.675148240534 * CHOOSE(CONTROL!$C$9, $C$13, 100%, $E$13) + CHOOSE(CONTROL!$C$28, 0, 0)</f>
        <v>322.67514824053399</v>
      </c>
    </row>
    <row r="608" spans="1:5" ht="15">
      <c r="A608" s="13">
        <v>60022</v>
      </c>
      <c r="B608" s="4">
        <f>58.7964 * CHOOSE(CONTROL!$C$9, $C$13, 100%, $E$13) + CHOOSE(CONTROL!$C$28, 0.0003, 0)</f>
        <v>58.796700000000001</v>
      </c>
      <c r="C608" s="4">
        <f>58.4839 * CHOOSE(CONTROL!$C$9, $C$13, 100%, $E$13) + CHOOSE(CONTROL!$C$28, 0.0003, 0)</f>
        <v>58.484200000000001</v>
      </c>
      <c r="D608" s="4">
        <f>59.5995 * CHOOSE(CONTROL!$C$9, $C$13, 100%, $E$13) + CHOOSE(CONTROL!$C$28, 0, 0)</f>
        <v>59.599499999999999</v>
      </c>
      <c r="E608" s="4">
        <f>335.837258637028 * CHOOSE(CONTROL!$C$9, $C$13, 100%, $E$13) + CHOOSE(CONTROL!$C$28, 0, 0)</f>
        <v>335.83725863702801</v>
      </c>
    </row>
    <row r="609" spans="1:5" ht="15">
      <c r="A609" s="13">
        <v>60053</v>
      </c>
      <c r="B609" s="4">
        <f>60.1594 * CHOOSE(CONTROL!$C$9, $C$13, 100%, $E$13) + CHOOSE(CONTROL!$C$28, 0.0276, 0)</f>
        <v>60.186999999999998</v>
      </c>
      <c r="C609" s="4">
        <f>59.8469 * CHOOSE(CONTROL!$C$9, $C$13, 100%, $E$13) + CHOOSE(CONTROL!$C$28, 0.0276, 0)</f>
        <v>59.874499999999998</v>
      </c>
      <c r="D609" s="4">
        <f>58.9403 * CHOOSE(CONTROL!$C$9, $C$13, 100%, $E$13) + CHOOSE(CONTROL!$C$28, 0, 0)</f>
        <v>58.940300000000001</v>
      </c>
      <c r="E609" s="4">
        <f>343.878992637525 * CHOOSE(CONTROL!$C$9, $C$13, 100%, $E$13) + CHOOSE(CONTROL!$C$28, 0, 0)</f>
        <v>343.87899263752502</v>
      </c>
    </row>
    <row r="610" spans="1:5" ht="15">
      <c r="A610" s="13">
        <v>60083</v>
      </c>
      <c r="B610" s="4">
        <f>60.3438 * CHOOSE(CONTROL!$C$9, $C$13, 100%, $E$13) + CHOOSE(CONTROL!$C$28, 0.0276, 0)</f>
        <v>60.371400000000001</v>
      </c>
      <c r="C610" s="4">
        <f>60.0313 * CHOOSE(CONTROL!$C$9, $C$13, 100%, $E$13) + CHOOSE(CONTROL!$C$28, 0.0276, 0)</f>
        <v>60.058900000000001</v>
      </c>
      <c r="D610" s="4">
        <f>59.4771 * CHOOSE(CONTROL!$C$9, $C$13, 100%, $E$13) + CHOOSE(CONTROL!$C$28, 0, 0)</f>
        <v>59.4771</v>
      </c>
      <c r="E610" s="4">
        <f>344.967072621674 * CHOOSE(CONTROL!$C$9, $C$13, 100%, $E$13) + CHOOSE(CONTROL!$C$28, 0, 0)</f>
        <v>344.96707262167399</v>
      </c>
    </row>
    <row r="611" spans="1:5" ht="15">
      <c r="A611" s="13">
        <v>60114</v>
      </c>
      <c r="B611" s="4">
        <f>60.3252 * CHOOSE(CONTROL!$C$9, $C$13, 100%, $E$13) + CHOOSE(CONTROL!$C$28, 0.0276, 0)</f>
        <v>60.352800000000002</v>
      </c>
      <c r="C611" s="4">
        <f>60.0127 * CHOOSE(CONTROL!$C$9, $C$13, 100%, $E$13) + CHOOSE(CONTROL!$C$28, 0.0276, 0)</f>
        <v>60.040300000000002</v>
      </c>
      <c r="D611" s="4">
        <f>60.4458 * CHOOSE(CONTROL!$C$9, $C$13, 100%, $E$13) + CHOOSE(CONTROL!$C$28, 0, 0)</f>
        <v>60.445799999999998</v>
      </c>
      <c r="E611" s="4">
        <f>344.857350270331 * CHOOSE(CONTROL!$C$9, $C$13, 100%, $E$13) + CHOOSE(CONTROL!$C$28, 0, 0)</f>
        <v>344.85735027033098</v>
      </c>
    </row>
    <row r="612" spans="1:5" ht="15">
      <c r="A612" s="13">
        <v>60145</v>
      </c>
      <c r="B612" s="4">
        <f>61.7246 * CHOOSE(CONTROL!$C$9, $C$13, 100%, $E$13) + CHOOSE(CONTROL!$C$28, 0.0276, 0)</f>
        <v>61.752200000000002</v>
      </c>
      <c r="C612" s="4">
        <f>61.4121 * CHOOSE(CONTROL!$C$9, $C$13, 100%, $E$13) + CHOOSE(CONTROL!$C$28, 0.0276, 0)</f>
        <v>61.439700000000002</v>
      </c>
      <c r="D612" s="4">
        <f>59.8061 * CHOOSE(CONTROL!$C$9, $C$13, 100%, $E$13) + CHOOSE(CONTROL!$C$28, 0, 0)</f>
        <v>59.806100000000001</v>
      </c>
      <c r="E612" s="4">
        <f>353.113957208875 * CHOOSE(CONTROL!$C$9, $C$13, 100%, $E$13) + CHOOSE(CONTROL!$C$28, 0, 0)</f>
        <v>353.11395720887498</v>
      </c>
    </row>
    <row r="613" spans="1:5" ht="15">
      <c r="A613" s="13">
        <v>60175</v>
      </c>
      <c r="B613" s="4">
        <f>59.3396 * CHOOSE(CONTROL!$C$9, $C$13, 100%, $E$13) + CHOOSE(CONTROL!$C$28, 0.0276, 0)</f>
        <v>59.367199999999997</v>
      </c>
      <c r="C613" s="4">
        <f>59.0271 * CHOOSE(CONTROL!$C$9, $C$13, 100%, $E$13) + CHOOSE(CONTROL!$C$28, 0.0276, 0)</f>
        <v>59.054699999999997</v>
      </c>
      <c r="D613" s="4">
        <f>59.5038 * CHOOSE(CONTROL!$C$9, $C$13, 100%, $E$13) + CHOOSE(CONTROL!$C$28, 0, 0)</f>
        <v>59.503799999999998</v>
      </c>
      <c r="E613" s="4">
        <f>339.042065649165 * CHOOSE(CONTROL!$C$9, $C$13, 100%, $E$13) + CHOOSE(CONTROL!$C$28, 0, 0)</f>
        <v>339.04206564916501</v>
      </c>
    </row>
    <row r="614" spans="1:5" ht="15">
      <c r="A614" s="13">
        <v>60206</v>
      </c>
      <c r="B614" s="4">
        <f>57.4303 * CHOOSE(CONTROL!$C$9, $C$13, 100%, $E$13) + CHOOSE(CONTROL!$C$28, 0.0003, 0)</f>
        <v>57.430600000000005</v>
      </c>
      <c r="C614" s="4">
        <f>57.1178 * CHOOSE(CONTROL!$C$9, $C$13, 100%, $E$13) + CHOOSE(CONTROL!$C$28, 0.0003, 0)</f>
        <v>57.118100000000005</v>
      </c>
      <c r="D614" s="4">
        <f>58.6945 * CHOOSE(CONTROL!$C$9, $C$13, 100%, $E$13) + CHOOSE(CONTROL!$C$28, 0, 0)</f>
        <v>58.694499999999998</v>
      </c>
      <c r="E614" s="4">
        <f>327.777237577973 * CHOOSE(CONTROL!$C$9, $C$13, 100%, $E$13) + CHOOSE(CONTROL!$C$28, 0, 0)</f>
        <v>327.77723757797298</v>
      </c>
    </row>
    <row r="615" spans="1:5" ht="15">
      <c r="A615" s="13">
        <v>60236</v>
      </c>
      <c r="B615" s="4">
        <f>56.2006 * CHOOSE(CONTROL!$C$9, $C$13, 100%, $E$13) + CHOOSE(CONTROL!$C$28, 0.0003, 0)</f>
        <v>56.200900000000004</v>
      </c>
      <c r="C615" s="4">
        <f>55.8881 * CHOOSE(CONTROL!$C$9, $C$13, 100%, $E$13) + CHOOSE(CONTROL!$C$28, 0.0003, 0)</f>
        <v>55.888400000000004</v>
      </c>
      <c r="D615" s="4">
        <f>58.4163 * CHOOSE(CONTROL!$C$9, $C$13, 100%, $E$13) + CHOOSE(CONTROL!$C$28, 0, 0)</f>
        <v>58.4163</v>
      </c>
      <c r="E615" s="4">
        <f>320.521847095433 * CHOOSE(CONTROL!$C$9, $C$13, 100%, $E$13) + CHOOSE(CONTROL!$C$28, 0, 0)</f>
        <v>320.52184709543297</v>
      </c>
    </row>
    <row r="616" spans="1:5" ht="15">
      <c r="A616" s="13">
        <v>60267</v>
      </c>
      <c r="B616" s="4">
        <f>55.3498 * CHOOSE(CONTROL!$C$9, $C$13, 100%, $E$13) + CHOOSE(CONTROL!$C$28, 0.0003, 0)</f>
        <v>55.350100000000005</v>
      </c>
      <c r="C616" s="4">
        <f>55.0373 * CHOOSE(CONTROL!$C$9, $C$13, 100%, $E$13) + CHOOSE(CONTROL!$C$28, 0.0003, 0)</f>
        <v>55.037600000000005</v>
      </c>
      <c r="D616" s="4">
        <f>56.3679 * CHOOSE(CONTROL!$C$9, $C$13, 100%, $E$13) + CHOOSE(CONTROL!$C$28, 0, 0)</f>
        <v>56.367899999999999</v>
      </c>
      <c r="E616" s="4">
        <f>315.502049521501 * CHOOSE(CONTROL!$C$9, $C$13, 100%, $E$13) + CHOOSE(CONTROL!$C$28, 0, 0)</f>
        <v>315.50204952150102</v>
      </c>
    </row>
    <row r="617" spans="1:5" ht="15">
      <c r="A617" s="13">
        <v>60298</v>
      </c>
      <c r="B617" s="4">
        <f>53.9674 * CHOOSE(CONTROL!$C$9, $C$13, 100%, $E$13) + CHOOSE(CONTROL!$C$28, 0.0003, 0)</f>
        <v>53.967700000000001</v>
      </c>
      <c r="C617" s="4">
        <f>53.6549 * CHOOSE(CONTROL!$C$9, $C$13, 100%, $E$13) + CHOOSE(CONTROL!$C$28, 0.0003, 0)</f>
        <v>53.655200000000001</v>
      </c>
      <c r="D617" s="4">
        <f>54.4853 * CHOOSE(CONTROL!$C$9, $C$13, 100%, $E$13) + CHOOSE(CONTROL!$C$28, 0, 0)</f>
        <v>54.485300000000002</v>
      </c>
      <c r="E617" s="4">
        <f>306.454653023889 * CHOOSE(CONTROL!$C$9, $C$13, 100%, $E$13) + CHOOSE(CONTROL!$C$28, 0, 0)</f>
        <v>306.45465302388902</v>
      </c>
    </row>
    <row r="618" spans="1:5" ht="15">
      <c r="A618" s="13">
        <v>60326</v>
      </c>
      <c r="B618" s="4">
        <f>55.2043 * CHOOSE(CONTROL!$C$9, $C$13, 100%, $E$13) + CHOOSE(CONTROL!$C$28, 0.0003, 0)</f>
        <v>55.204600000000006</v>
      </c>
      <c r="C618" s="4">
        <f>54.8918 * CHOOSE(CONTROL!$C$9, $C$13, 100%, $E$13) + CHOOSE(CONTROL!$C$28, 0.0003, 0)</f>
        <v>54.892100000000006</v>
      </c>
      <c r="D618" s="4">
        <f>56.3811 * CHOOSE(CONTROL!$C$9, $C$13, 100%, $E$13) + CHOOSE(CONTROL!$C$28, 0, 0)</f>
        <v>56.381100000000004</v>
      </c>
      <c r="E618" s="4">
        <f>313.731094196711 * CHOOSE(CONTROL!$C$9, $C$13, 100%, $E$13) + CHOOSE(CONTROL!$C$28, 0, 0)</f>
        <v>313.73109419671101</v>
      </c>
    </row>
    <row r="619" spans="1:5" ht="15">
      <c r="A619" s="13">
        <v>60357</v>
      </c>
      <c r="B619" s="4">
        <f>58.4524 * CHOOSE(CONTROL!$C$9, $C$13, 100%, $E$13) + CHOOSE(CONTROL!$C$28, 0.0003, 0)</f>
        <v>58.4527</v>
      </c>
      <c r="C619" s="4">
        <f>58.1399 * CHOOSE(CONTROL!$C$9, $C$13, 100%, $E$13) + CHOOSE(CONTROL!$C$28, 0.0003, 0)</f>
        <v>58.1402</v>
      </c>
      <c r="D619" s="4">
        <f>59.3489 * CHOOSE(CONTROL!$C$9, $C$13, 100%, $E$13) + CHOOSE(CONTROL!$C$28, 0, 0)</f>
        <v>59.3489</v>
      </c>
      <c r="E619" s="4">
        <f>332.839415410111 * CHOOSE(CONTROL!$C$9, $C$13, 100%, $E$13) + CHOOSE(CONTROL!$C$28, 0, 0)</f>
        <v>332.83941541011097</v>
      </c>
    </row>
    <row r="620" spans="1:5" ht="15">
      <c r="A620" s="13">
        <v>60387</v>
      </c>
      <c r="B620" s="4">
        <f>60.7602 * CHOOSE(CONTROL!$C$9, $C$13, 100%, $E$13) + CHOOSE(CONTROL!$C$28, 0.0003, 0)</f>
        <v>60.7605</v>
      </c>
      <c r="C620" s="4">
        <f>60.4477 * CHOOSE(CONTROL!$C$9, $C$13, 100%, $E$13) + CHOOSE(CONTROL!$C$28, 0.0003, 0)</f>
        <v>60.448</v>
      </c>
      <c r="D620" s="4">
        <f>61.0584 * CHOOSE(CONTROL!$C$9, $C$13, 100%, $E$13) + CHOOSE(CONTROL!$C$28, 0, 0)</f>
        <v>61.058399999999999</v>
      </c>
      <c r="E620" s="4">
        <f>346.416132284094 * CHOOSE(CONTROL!$C$9, $C$13, 100%, $E$13) + CHOOSE(CONTROL!$C$28, 0, 0)</f>
        <v>346.41613228409398</v>
      </c>
    </row>
    <row r="621" spans="1:5" ht="15">
      <c r="A621" s="13">
        <v>60418</v>
      </c>
      <c r="B621" s="4">
        <f>62.1702 * CHOOSE(CONTROL!$C$9, $C$13, 100%, $E$13) + CHOOSE(CONTROL!$C$28, 0.0276, 0)</f>
        <v>62.197800000000001</v>
      </c>
      <c r="C621" s="4">
        <f>61.8577 * CHOOSE(CONTROL!$C$9, $C$13, 100%, $E$13) + CHOOSE(CONTROL!$C$28, 0.0276, 0)</f>
        <v>61.885300000000001</v>
      </c>
      <c r="D621" s="4">
        <f>60.3829 * CHOOSE(CONTROL!$C$9, $C$13, 100%, $E$13) + CHOOSE(CONTROL!$C$28, 0, 0)</f>
        <v>60.382899999999999</v>
      </c>
      <c r="E621" s="4">
        <f>354.711180905607 * CHOOSE(CONTROL!$C$9, $C$13, 100%, $E$13) + CHOOSE(CONTROL!$C$28, 0, 0)</f>
        <v>354.71118090560702</v>
      </c>
    </row>
    <row r="622" spans="1:5" ht="15">
      <c r="A622" s="13">
        <v>60448</v>
      </c>
      <c r="B622" s="4">
        <f>62.361 * CHOOSE(CONTROL!$C$9, $C$13, 100%, $E$13) + CHOOSE(CONTROL!$C$28, 0.0276, 0)</f>
        <v>62.388599999999997</v>
      </c>
      <c r="C622" s="4">
        <f>62.0485 * CHOOSE(CONTROL!$C$9, $C$13, 100%, $E$13) + CHOOSE(CONTROL!$C$28, 0.0276, 0)</f>
        <v>62.076099999999997</v>
      </c>
      <c r="D622" s="4">
        <f>60.9331 * CHOOSE(CONTROL!$C$9, $C$13, 100%, $E$13) + CHOOSE(CONTROL!$C$28, 0, 0)</f>
        <v>60.933100000000003</v>
      </c>
      <c r="E622" s="4">
        <f>355.833535409257 * CHOOSE(CONTROL!$C$9, $C$13, 100%, $E$13) + CHOOSE(CONTROL!$C$28, 0, 0)</f>
        <v>355.83353540925702</v>
      </c>
    </row>
    <row r="623" spans="1:5" ht="15">
      <c r="A623" s="13">
        <v>60479</v>
      </c>
      <c r="B623" s="4">
        <f>62.3418 * CHOOSE(CONTROL!$C$9, $C$13, 100%, $E$13) + CHOOSE(CONTROL!$C$28, 0.0276, 0)</f>
        <v>62.369399999999999</v>
      </c>
      <c r="C623" s="4">
        <f>62.0293 * CHOOSE(CONTROL!$C$9, $C$13, 100%, $E$13) + CHOOSE(CONTROL!$C$28, 0.0276, 0)</f>
        <v>62.056899999999999</v>
      </c>
      <c r="D623" s="4">
        <f>61.9258 * CHOOSE(CONTROL!$C$9, $C$13, 100%, $E$13) + CHOOSE(CONTROL!$C$28, 0, 0)</f>
        <v>61.925800000000002</v>
      </c>
      <c r="E623" s="4">
        <f>355.720356803847 * CHOOSE(CONTROL!$C$9, $C$13, 100%, $E$13) + CHOOSE(CONTROL!$C$28, 0, 0)</f>
        <v>355.72035680384698</v>
      </c>
    </row>
    <row r="624" spans="1:5" ht="15">
      <c r="A624" s="13">
        <v>60510</v>
      </c>
      <c r="B624" s="4">
        <f>63.7895 * CHOOSE(CONTROL!$C$9, $C$13, 100%, $E$13) + CHOOSE(CONTROL!$C$28, 0.0276, 0)</f>
        <v>63.817099999999996</v>
      </c>
      <c r="C624" s="4">
        <f>63.477 * CHOOSE(CONTROL!$C$9, $C$13, 100%, $E$13) + CHOOSE(CONTROL!$C$28, 0.0276, 0)</f>
        <v>63.504599999999996</v>
      </c>
      <c r="D624" s="4">
        <f>61.2702 * CHOOSE(CONTROL!$C$9, $C$13, 100%, $E$13) + CHOOSE(CONTROL!$C$28, 0, 0)</f>
        <v>61.270200000000003</v>
      </c>
      <c r="E624" s="4">
        <f>364.237046860955 * CHOOSE(CONTROL!$C$9, $C$13, 100%, $E$13) + CHOOSE(CONTROL!$C$28, 0, 0)</f>
        <v>364.23704686095499</v>
      </c>
    </row>
    <row r="625" spans="1:5" ht="15">
      <c r="A625" s="13">
        <v>60540</v>
      </c>
      <c r="B625" s="4">
        <f>61.3221 * CHOOSE(CONTROL!$C$9, $C$13, 100%, $E$13) + CHOOSE(CONTROL!$C$28, 0.0276, 0)</f>
        <v>61.349699999999999</v>
      </c>
      <c r="C625" s="4">
        <f>61.0096 * CHOOSE(CONTROL!$C$9, $C$13, 100%, $E$13) + CHOOSE(CONTROL!$C$28, 0.0276, 0)</f>
        <v>61.037199999999999</v>
      </c>
      <c r="D625" s="4">
        <f>60.9604 * CHOOSE(CONTROL!$C$9, $C$13, 100%, $E$13) + CHOOSE(CONTROL!$C$28, 0, 0)</f>
        <v>60.9604</v>
      </c>
      <c r="E625" s="4">
        <f>349.721890717113 * CHOOSE(CONTROL!$C$9, $C$13, 100%, $E$13) + CHOOSE(CONTROL!$C$28, 0, 0)</f>
        <v>349.72189071711301</v>
      </c>
    </row>
    <row r="626" spans="1:5" ht="15">
      <c r="A626" s="13">
        <v>60571</v>
      </c>
      <c r="B626" s="4">
        <f>59.347 * CHOOSE(CONTROL!$C$9, $C$13, 100%, $E$13) + CHOOSE(CONTROL!$C$28, 0.0003, 0)</f>
        <v>59.347300000000004</v>
      </c>
      <c r="C626" s="4">
        <f>59.0345 * CHOOSE(CONTROL!$C$9, $C$13, 100%, $E$13) + CHOOSE(CONTROL!$C$28, 0.0003, 0)</f>
        <v>59.034800000000004</v>
      </c>
      <c r="D626" s="4">
        <f>60.1311 * CHOOSE(CONTROL!$C$9, $C$13, 100%, $E$13) + CHOOSE(CONTROL!$C$28, 0, 0)</f>
        <v>60.131100000000004</v>
      </c>
      <c r="E626" s="4">
        <f>338.10222056168 * CHOOSE(CONTROL!$C$9, $C$13, 100%, $E$13) + CHOOSE(CONTROL!$C$28, 0, 0)</f>
        <v>338.10222056167999</v>
      </c>
    </row>
    <row r="627" spans="1:5" ht="15">
      <c r="A627" s="13">
        <v>60601</v>
      </c>
      <c r="B627" s="4">
        <f>58.0748 * CHOOSE(CONTROL!$C$9, $C$13, 100%, $E$13) + CHOOSE(CONTROL!$C$28, 0.0003, 0)</f>
        <v>58.075100000000006</v>
      </c>
      <c r="C627" s="4">
        <f>57.7623 * CHOOSE(CONTROL!$C$9, $C$13, 100%, $E$13) + CHOOSE(CONTROL!$C$28, 0.0003, 0)</f>
        <v>57.762600000000006</v>
      </c>
      <c r="D627" s="4">
        <f>59.8459 * CHOOSE(CONTROL!$C$9, $C$13, 100%, $E$13) + CHOOSE(CONTROL!$C$28, 0, 0)</f>
        <v>59.8459</v>
      </c>
      <c r="E627" s="4">
        <f>330.618285278939 * CHOOSE(CONTROL!$C$9, $C$13, 100%, $E$13) + CHOOSE(CONTROL!$C$28, 0, 0)</f>
        <v>330.61828527893903</v>
      </c>
    </row>
    <row r="628" spans="1:5" ht="15">
      <c r="A628" s="13">
        <v>60632</v>
      </c>
      <c r="B628" s="4">
        <f>57.1946 * CHOOSE(CONTROL!$C$9, $C$13, 100%, $E$13) + CHOOSE(CONTROL!$C$28, 0.0003, 0)</f>
        <v>57.194900000000004</v>
      </c>
      <c r="C628" s="4">
        <f>56.8821 * CHOOSE(CONTROL!$C$9, $C$13, 100%, $E$13) + CHOOSE(CONTROL!$C$28, 0.0003, 0)</f>
        <v>56.882400000000004</v>
      </c>
      <c r="D628" s="4">
        <f>57.7468 * CHOOSE(CONTROL!$C$9, $C$13, 100%, $E$13) + CHOOSE(CONTROL!$C$28, 0, 0)</f>
        <v>57.7468</v>
      </c>
      <c r="E628" s="4">
        <f>325.440364081428 * CHOOSE(CONTROL!$C$9, $C$13, 100%, $E$13) + CHOOSE(CONTROL!$C$28, 0, 0)</f>
        <v>325.44036408142802</v>
      </c>
    </row>
    <row r="629" spans="1:5" ht="15">
      <c r="A629" s="13">
        <v>60663</v>
      </c>
      <c r="B629" s="4">
        <f>55.7646 * CHOOSE(CONTROL!$C$9, $C$13, 100%, $E$13) + CHOOSE(CONTROL!$C$28, 0.0003, 0)</f>
        <v>55.764900000000004</v>
      </c>
      <c r="C629" s="4">
        <f>55.4521 * CHOOSE(CONTROL!$C$9, $C$13, 100%, $E$13) + CHOOSE(CONTROL!$C$28, 0.0003, 0)</f>
        <v>55.452400000000004</v>
      </c>
      <c r="D629" s="4">
        <f>55.8174 * CHOOSE(CONTROL!$C$9, $C$13, 100%, $E$13) + CHOOSE(CONTROL!$C$28, 0, 0)</f>
        <v>55.817399999999999</v>
      </c>
      <c r="E629" s="4">
        <f>316.107974594142 * CHOOSE(CONTROL!$C$9, $C$13, 100%, $E$13) + CHOOSE(CONTROL!$C$28, 0, 0)</f>
        <v>316.10797459414198</v>
      </c>
    </row>
    <row r="630" spans="1:5" ht="15">
      <c r="A630" s="13">
        <v>60691</v>
      </c>
      <c r="B630" s="4">
        <f>57.0441 * CHOOSE(CONTROL!$C$9, $C$13, 100%, $E$13) + CHOOSE(CONTROL!$C$28, 0.0003, 0)</f>
        <v>57.044400000000003</v>
      </c>
      <c r="C630" s="4">
        <f>56.7316 * CHOOSE(CONTROL!$C$9, $C$13, 100%, $E$13) + CHOOSE(CONTROL!$C$28, 0.0003, 0)</f>
        <v>56.731900000000003</v>
      </c>
      <c r="D630" s="4">
        <f>57.7603 * CHOOSE(CONTROL!$C$9, $C$13, 100%, $E$13) + CHOOSE(CONTROL!$C$28, 0, 0)</f>
        <v>57.760300000000001</v>
      </c>
      <c r="E630" s="4">
        <f>323.613623663908 * CHOOSE(CONTROL!$C$9, $C$13, 100%, $E$13) + CHOOSE(CONTROL!$C$28, 0, 0)</f>
        <v>323.61362366390802</v>
      </c>
    </row>
    <row r="631" spans="1:5" ht="15">
      <c r="A631" s="13">
        <v>60722</v>
      </c>
      <c r="B631" s="4">
        <f>60.4043 * CHOOSE(CONTROL!$C$9, $C$13, 100%, $E$13) + CHOOSE(CONTROL!$C$28, 0.0003, 0)</f>
        <v>60.404600000000002</v>
      </c>
      <c r="C631" s="4">
        <f>60.0918 * CHOOSE(CONTROL!$C$9, $C$13, 100%, $E$13) + CHOOSE(CONTROL!$C$28, 0.0003, 0)</f>
        <v>60.092100000000002</v>
      </c>
      <c r="D631" s="4">
        <f>60.8017 * CHOOSE(CONTROL!$C$9, $C$13, 100%, $E$13) + CHOOSE(CONTROL!$C$28, 0, 0)</f>
        <v>60.801699999999997</v>
      </c>
      <c r="E631" s="4">
        <f>343.32385699553 * CHOOSE(CONTROL!$C$9, $C$13, 100%, $E$13) + CHOOSE(CONTROL!$C$28, 0, 0)</f>
        <v>343.32385699552998</v>
      </c>
    </row>
    <row r="632" spans="1:5" ht="15">
      <c r="A632" s="13">
        <v>60752</v>
      </c>
      <c r="B632" s="4">
        <f>62.7917 * CHOOSE(CONTROL!$C$9, $C$13, 100%, $E$13) + CHOOSE(CONTROL!$C$28, 0.0003, 0)</f>
        <v>62.792000000000002</v>
      </c>
      <c r="C632" s="4">
        <f>62.4792 * CHOOSE(CONTROL!$C$9, $C$13, 100%, $E$13) + CHOOSE(CONTROL!$C$28, 0.0003, 0)</f>
        <v>62.479500000000002</v>
      </c>
      <c r="D632" s="4">
        <f>62.5536 * CHOOSE(CONTROL!$C$9, $C$13, 100%, $E$13) + CHOOSE(CONTROL!$C$28, 0, 0)</f>
        <v>62.553600000000003</v>
      </c>
      <c r="E632" s="4">
        <f>357.328240451043 * CHOOSE(CONTROL!$C$9, $C$13, 100%, $E$13) + CHOOSE(CONTROL!$C$28, 0, 0)</f>
        <v>357.32824045104297</v>
      </c>
    </row>
    <row r="633" spans="1:5" ht="15">
      <c r="A633" s="13">
        <v>60783</v>
      </c>
      <c r="B633" s="4">
        <f>64.2504 * CHOOSE(CONTROL!$C$9, $C$13, 100%, $E$13) + CHOOSE(CONTROL!$C$28, 0.0276, 0)</f>
        <v>64.278000000000006</v>
      </c>
      <c r="C633" s="4">
        <f>63.9379 * CHOOSE(CONTROL!$C$9, $C$13, 100%, $E$13) + CHOOSE(CONTROL!$C$28, 0.0276, 0)</f>
        <v>63.965499999999999</v>
      </c>
      <c r="D633" s="4">
        <f>61.8613 * CHOOSE(CONTROL!$C$9, $C$13, 100%, $E$13) + CHOOSE(CONTROL!$C$28, 0, 0)</f>
        <v>61.8613</v>
      </c>
      <c r="E633" s="4">
        <f>365.884583104134 * CHOOSE(CONTROL!$C$9, $C$13, 100%, $E$13) + CHOOSE(CONTROL!$C$28, 0, 0)</f>
        <v>365.88458310413398</v>
      </c>
    </row>
    <row r="634" spans="1:5" ht="15">
      <c r="A634" s="13">
        <v>60813</v>
      </c>
      <c r="B634" s="4">
        <f>64.4478 * CHOOSE(CONTROL!$C$9, $C$13, 100%, $E$13) + CHOOSE(CONTROL!$C$28, 0.0276, 0)</f>
        <v>64.475400000000008</v>
      </c>
      <c r="C634" s="4">
        <f>64.1353 * CHOOSE(CONTROL!$C$9, $C$13, 100%, $E$13) + CHOOSE(CONTROL!$C$28, 0.0276, 0)</f>
        <v>64.162900000000008</v>
      </c>
      <c r="D634" s="4">
        <f>62.4251 * CHOOSE(CONTROL!$C$9, $C$13, 100%, $E$13) + CHOOSE(CONTROL!$C$28, 0, 0)</f>
        <v>62.4251</v>
      </c>
      <c r="E634" s="4">
        <f>367.042291774649 * CHOOSE(CONTROL!$C$9, $C$13, 100%, $E$13) + CHOOSE(CONTROL!$C$28, 0, 0)</f>
        <v>367.04229177464902</v>
      </c>
    </row>
    <row r="635" spans="1:5" ht="15">
      <c r="A635" s="13">
        <v>60844</v>
      </c>
      <c r="B635" s="4">
        <f>64.4279 * CHOOSE(CONTROL!$C$9, $C$13, 100%, $E$13) + CHOOSE(CONTROL!$C$28, 0.0276, 0)</f>
        <v>64.455500000000001</v>
      </c>
      <c r="C635" s="4">
        <f>64.1154 * CHOOSE(CONTROL!$C$9, $C$13, 100%, $E$13) + CHOOSE(CONTROL!$C$28, 0.0276, 0)</f>
        <v>64.143000000000001</v>
      </c>
      <c r="D635" s="4">
        <f>63.4424 * CHOOSE(CONTROL!$C$9, $C$13, 100%, $E$13) + CHOOSE(CONTROL!$C$28, 0, 0)</f>
        <v>63.442399999999999</v>
      </c>
      <c r="E635" s="4">
        <f>366.925548043168 * CHOOSE(CONTROL!$C$9, $C$13, 100%, $E$13) + CHOOSE(CONTROL!$C$28, 0, 0)</f>
        <v>366.92554804316802</v>
      </c>
    </row>
    <row r="636" spans="1:5" ht="15">
      <c r="A636" s="13">
        <v>60875</v>
      </c>
      <c r="B636" s="4">
        <f>65.9255 * CHOOSE(CONTROL!$C$9, $C$13, 100%, $E$13) + CHOOSE(CONTROL!$C$28, 0.0276, 0)</f>
        <v>65.953100000000006</v>
      </c>
      <c r="C636" s="4">
        <f>65.613 * CHOOSE(CONTROL!$C$9, $C$13, 100%, $E$13) + CHOOSE(CONTROL!$C$28, 0.0276, 0)</f>
        <v>65.640600000000006</v>
      </c>
      <c r="D636" s="4">
        <f>62.7706 * CHOOSE(CONTROL!$C$9, $C$13, 100%, $E$13) + CHOOSE(CONTROL!$C$28, 0, 0)</f>
        <v>62.770600000000002</v>
      </c>
      <c r="E636" s="4">
        <f>375.710513837075 * CHOOSE(CONTROL!$C$9, $C$13, 100%, $E$13) + CHOOSE(CONTROL!$C$28, 0, 0)</f>
        <v>375.71051383707498</v>
      </c>
    </row>
    <row r="637" spans="1:5" ht="15">
      <c r="A637" s="13">
        <v>60905</v>
      </c>
      <c r="B637" s="4">
        <f>63.373 * CHOOSE(CONTROL!$C$9, $C$13, 100%, $E$13) + CHOOSE(CONTROL!$C$28, 0.0276, 0)</f>
        <v>63.400599999999997</v>
      </c>
      <c r="C637" s="4">
        <f>63.0605 * CHOOSE(CONTROL!$C$9, $C$13, 100%, $E$13) + CHOOSE(CONTROL!$C$28, 0.0276, 0)</f>
        <v>63.088099999999997</v>
      </c>
      <c r="D637" s="4">
        <f>62.4532 * CHOOSE(CONTROL!$C$9, $C$13, 100%, $E$13) + CHOOSE(CONTROL!$C$28, 0, 0)</f>
        <v>62.453200000000002</v>
      </c>
      <c r="E637" s="4">
        <f>360.738130274702 * CHOOSE(CONTROL!$C$9, $C$13, 100%, $E$13) + CHOOSE(CONTROL!$C$28, 0, 0)</f>
        <v>360.73813027470197</v>
      </c>
    </row>
    <row r="638" spans="1:5" ht="15">
      <c r="A638" s="13">
        <v>60936</v>
      </c>
      <c r="B638" s="4">
        <f>61.3297 * CHOOSE(CONTROL!$C$9, $C$13, 100%, $E$13) + CHOOSE(CONTROL!$C$28, 0.0003, 0)</f>
        <v>61.330000000000005</v>
      </c>
      <c r="C638" s="4">
        <f>61.0172 * CHOOSE(CONTROL!$C$9, $C$13, 100%, $E$13) + CHOOSE(CONTROL!$C$28, 0.0003, 0)</f>
        <v>61.017500000000005</v>
      </c>
      <c r="D638" s="4">
        <f>61.6032 * CHOOSE(CONTROL!$C$9, $C$13, 100%, $E$13) + CHOOSE(CONTROL!$C$28, 0, 0)</f>
        <v>61.603200000000001</v>
      </c>
      <c r="E638" s="4">
        <f>348.752440509372 * CHOOSE(CONTROL!$C$9, $C$13, 100%, $E$13) + CHOOSE(CONTROL!$C$28, 0, 0)</f>
        <v>348.75244050937198</v>
      </c>
    </row>
    <row r="639" spans="1:5" ht="15">
      <c r="A639" s="13">
        <v>60966</v>
      </c>
      <c r="B639" s="4">
        <f>60.0137 * CHOOSE(CONTROL!$C$9, $C$13, 100%, $E$13) + CHOOSE(CONTROL!$C$28, 0.0003, 0)</f>
        <v>60.014000000000003</v>
      </c>
      <c r="C639" s="4">
        <f>59.7012 * CHOOSE(CONTROL!$C$9, $C$13, 100%, $E$13) + CHOOSE(CONTROL!$C$28, 0.0003, 0)</f>
        <v>59.701500000000003</v>
      </c>
      <c r="D639" s="4">
        <f>61.311 * CHOOSE(CONTROL!$C$9, $C$13, 100%, $E$13) + CHOOSE(CONTROL!$C$28, 0, 0)</f>
        <v>61.311</v>
      </c>
      <c r="E639" s="4">
        <f>341.032761265225 * CHOOSE(CONTROL!$C$9, $C$13, 100%, $E$13) + CHOOSE(CONTROL!$C$28, 0, 0)</f>
        <v>341.03276126522502</v>
      </c>
    </row>
    <row r="640" spans="1:5" ht="15">
      <c r="A640" s="13">
        <v>60997</v>
      </c>
      <c r="B640" s="4">
        <f>59.1032 * CHOOSE(CONTROL!$C$9, $C$13, 100%, $E$13) + CHOOSE(CONTROL!$C$28, 0.0003, 0)</f>
        <v>59.103500000000004</v>
      </c>
      <c r="C640" s="4">
        <f>58.7907 * CHOOSE(CONTROL!$C$9, $C$13, 100%, $E$13) + CHOOSE(CONTROL!$C$28, 0.0003, 0)</f>
        <v>58.791000000000004</v>
      </c>
      <c r="D640" s="4">
        <f>59.1598 * CHOOSE(CONTROL!$C$9, $C$13, 100%, $E$13) + CHOOSE(CONTROL!$C$28, 0, 0)</f>
        <v>59.159799999999997</v>
      </c>
      <c r="E640" s="4">
        <f>335.691735549993 * CHOOSE(CONTROL!$C$9, $C$13, 100%, $E$13) + CHOOSE(CONTROL!$C$28, 0, 0)</f>
        <v>335.69173554999298</v>
      </c>
    </row>
    <row r="641" spans="1:5" ht="15">
      <c r="A641" s="13">
        <v>61028</v>
      </c>
      <c r="B641" s="4">
        <f>57.6238 * CHOOSE(CONTROL!$C$9, $C$13, 100%, $E$13) + CHOOSE(CONTROL!$C$28, 0.0003, 0)</f>
        <v>57.624100000000006</v>
      </c>
      <c r="C641" s="4">
        <f>57.3113 * CHOOSE(CONTROL!$C$9, $C$13, 100%, $E$13) + CHOOSE(CONTROL!$C$28, 0.0003, 0)</f>
        <v>57.311600000000006</v>
      </c>
      <c r="D641" s="4">
        <f>57.1826 * CHOOSE(CONTROL!$C$9, $C$13, 100%, $E$13) + CHOOSE(CONTROL!$C$28, 0, 0)</f>
        <v>57.182600000000001</v>
      </c>
      <c r="E641" s="4">
        <f>326.065375793857 * CHOOSE(CONTROL!$C$9, $C$13, 100%, $E$13) + CHOOSE(CONTROL!$C$28, 0, 0)</f>
        <v>326.06537579385702</v>
      </c>
    </row>
    <row r="642" spans="1:5" ht="15">
      <c r="A642" s="13">
        <v>61056</v>
      </c>
      <c r="B642" s="4">
        <f>58.9474 * CHOOSE(CONTROL!$C$9, $C$13, 100%, $E$13) + CHOOSE(CONTROL!$C$28, 0.0003, 0)</f>
        <v>58.947700000000005</v>
      </c>
      <c r="C642" s="4">
        <f>58.6349 * CHOOSE(CONTROL!$C$9, $C$13, 100%, $E$13) + CHOOSE(CONTROL!$C$28, 0.0003, 0)</f>
        <v>58.635200000000005</v>
      </c>
      <c r="D642" s="4">
        <f>59.1736 * CHOOSE(CONTROL!$C$9, $C$13, 100%, $E$13) + CHOOSE(CONTROL!$C$28, 0, 0)</f>
        <v>59.1736</v>
      </c>
      <c r="E642" s="4">
        <f>333.807452809321 * CHOOSE(CONTROL!$C$9, $C$13, 100%, $E$13) + CHOOSE(CONTROL!$C$28, 0, 0)</f>
        <v>333.80745280932098</v>
      </c>
    </row>
    <row r="643" spans="1:5" ht="15">
      <c r="A643" s="13">
        <v>61087</v>
      </c>
      <c r="B643" s="4">
        <f>62.4235 * CHOOSE(CONTROL!$C$9, $C$13, 100%, $E$13) + CHOOSE(CONTROL!$C$28, 0.0003, 0)</f>
        <v>62.4238</v>
      </c>
      <c r="C643" s="4">
        <f>62.111 * CHOOSE(CONTROL!$C$9, $C$13, 100%, $E$13) + CHOOSE(CONTROL!$C$28, 0.0003, 0)</f>
        <v>62.1113</v>
      </c>
      <c r="D643" s="4">
        <f>62.2905 * CHOOSE(CONTROL!$C$9, $C$13, 100%, $E$13) + CHOOSE(CONTROL!$C$28, 0, 0)</f>
        <v>62.290500000000002</v>
      </c>
      <c r="E643" s="4">
        <f>354.138558490889 * CHOOSE(CONTROL!$C$9, $C$13, 100%, $E$13) + CHOOSE(CONTROL!$C$28, 0, 0)</f>
        <v>354.13855849088901</v>
      </c>
    </row>
    <row r="644" spans="1:5" ht="15">
      <c r="A644" s="13">
        <v>61117</v>
      </c>
      <c r="B644" s="4">
        <f>64.8934 * CHOOSE(CONTROL!$C$9, $C$13, 100%, $E$13) + CHOOSE(CONTROL!$C$28, 0.0003, 0)</f>
        <v>64.893699999999995</v>
      </c>
      <c r="C644" s="4">
        <f>64.5809 * CHOOSE(CONTROL!$C$9, $C$13, 100%, $E$13) + CHOOSE(CONTROL!$C$28, 0.0003, 0)</f>
        <v>64.581199999999995</v>
      </c>
      <c r="D644" s="4">
        <f>64.0858 * CHOOSE(CONTROL!$C$9, $C$13, 100%, $E$13) + CHOOSE(CONTROL!$C$28, 0, 0)</f>
        <v>64.085800000000006</v>
      </c>
      <c r="E644" s="4">
        <f>368.584080025251 * CHOOSE(CONTROL!$C$9, $C$13, 100%, $E$13) + CHOOSE(CONTROL!$C$28, 0, 0)</f>
        <v>368.58408002525101</v>
      </c>
    </row>
    <row r="645" spans="1:5" ht="15">
      <c r="A645" s="13">
        <v>61148</v>
      </c>
      <c r="B645" s="4">
        <f>66.4023 * CHOOSE(CONTROL!$C$9, $C$13, 100%, $E$13) + CHOOSE(CONTROL!$C$28, 0.0276, 0)</f>
        <v>66.429900000000004</v>
      </c>
      <c r="C645" s="4">
        <f>66.0898 * CHOOSE(CONTROL!$C$9, $C$13, 100%, $E$13) + CHOOSE(CONTROL!$C$28, 0.0276, 0)</f>
        <v>66.117400000000004</v>
      </c>
      <c r="D645" s="4">
        <f>63.3764 * CHOOSE(CONTROL!$C$9, $C$13, 100%, $E$13) + CHOOSE(CONTROL!$C$28, 0, 0)</f>
        <v>63.376399999999997</v>
      </c>
      <c r="E645" s="4">
        <f>377.409947471914 * CHOOSE(CONTROL!$C$9, $C$13, 100%, $E$13) + CHOOSE(CONTROL!$C$28, 0, 0)</f>
        <v>377.40994747191399</v>
      </c>
    </row>
    <row r="646" spans="1:5" ht="15">
      <c r="A646" s="13">
        <v>61178</v>
      </c>
      <c r="B646" s="4">
        <f>66.6065 * CHOOSE(CONTROL!$C$9, $C$13, 100%, $E$13) + CHOOSE(CONTROL!$C$28, 0.0276, 0)</f>
        <v>66.634100000000004</v>
      </c>
      <c r="C646" s="4">
        <f>66.294 * CHOOSE(CONTROL!$C$9, $C$13, 100%, $E$13) + CHOOSE(CONTROL!$C$28, 0.0276, 0)</f>
        <v>66.321600000000004</v>
      </c>
      <c r="D646" s="4">
        <f>63.9542 * CHOOSE(CONTROL!$C$9, $C$13, 100%, $E$13) + CHOOSE(CONTROL!$C$28, 0, 0)</f>
        <v>63.9542</v>
      </c>
      <c r="E646" s="4">
        <f>378.60412396555 * CHOOSE(CONTROL!$C$9, $C$13, 100%, $E$13) + CHOOSE(CONTROL!$C$28, 0, 0)</f>
        <v>378.60412396555</v>
      </c>
    </row>
    <row r="647" spans="1:5" ht="15">
      <c r="A647" s="13">
        <v>61209</v>
      </c>
      <c r="B647" s="4">
        <f>66.5859 * CHOOSE(CONTROL!$C$9, $C$13, 100%, $E$13) + CHOOSE(CONTROL!$C$28, 0.0276, 0)</f>
        <v>66.613500000000002</v>
      </c>
      <c r="C647" s="4">
        <f>66.2734 * CHOOSE(CONTROL!$C$9, $C$13, 100%, $E$13) + CHOOSE(CONTROL!$C$28, 0.0276, 0)</f>
        <v>66.301000000000002</v>
      </c>
      <c r="D647" s="4">
        <f>64.9967 * CHOOSE(CONTROL!$C$9, $C$13, 100%, $E$13) + CHOOSE(CONTROL!$C$28, 0, 0)</f>
        <v>64.996700000000004</v>
      </c>
      <c r="E647" s="4">
        <f>378.483702806528 * CHOOSE(CONTROL!$C$9, $C$13, 100%, $E$13) + CHOOSE(CONTROL!$C$28, 0, 0)</f>
        <v>378.48370280652802</v>
      </c>
    </row>
    <row r="648" spans="1:5" ht="15">
      <c r="A648" s="13">
        <v>61240</v>
      </c>
      <c r="B648" s="4">
        <f>68.1352 * CHOOSE(CONTROL!$C$9, $C$13, 100%, $E$13) + CHOOSE(CONTROL!$C$28, 0.0276, 0)</f>
        <v>68.162800000000004</v>
      </c>
      <c r="C648" s="4">
        <f>67.8227 * CHOOSE(CONTROL!$C$9, $C$13, 100%, $E$13) + CHOOSE(CONTROL!$C$28, 0.0276, 0)</f>
        <v>67.850300000000004</v>
      </c>
      <c r="D648" s="4">
        <f>64.3082 * CHOOSE(CONTROL!$C$9, $C$13, 100%, $E$13) + CHOOSE(CONTROL!$C$28, 0, 0)</f>
        <v>64.308199999999999</v>
      </c>
      <c r="E648" s="4">
        <f>387.545395022943 * CHOOSE(CONTROL!$C$9, $C$13, 100%, $E$13) + CHOOSE(CONTROL!$C$28, 0, 0)</f>
        <v>387.54539502294301</v>
      </c>
    </row>
    <row r="649" spans="1:5" ht="15">
      <c r="A649" s="13">
        <v>61270</v>
      </c>
      <c r="B649" s="4">
        <f>65.4947 * CHOOSE(CONTROL!$C$9, $C$13, 100%, $E$13) + CHOOSE(CONTROL!$C$28, 0.0276, 0)</f>
        <v>65.522300000000001</v>
      </c>
      <c r="C649" s="4">
        <f>65.1822 * CHOOSE(CONTROL!$C$9, $C$13, 100%, $E$13) + CHOOSE(CONTROL!$C$28, 0.0276, 0)</f>
        <v>65.209800000000001</v>
      </c>
      <c r="D649" s="4">
        <f>63.9829 * CHOOSE(CONTROL!$C$9, $C$13, 100%, $E$13) + CHOOSE(CONTROL!$C$28, 0, 0)</f>
        <v>63.982900000000001</v>
      </c>
      <c r="E649" s="4">
        <f>372.101381378356 * CHOOSE(CONTROL!$C$9, $C$13, 100%, $E$13) + CHOOSE(CONTROL!$C$28, 0, 0)</f>
        <v>372.101381378356</v>
      </c>
    </row>
    <row r="650" spans="1:5" ht="15">
      <c r="A650" s="13">
        <v>61301</v>
      </c>
      <c r="B650" s="4">
        <f>63.3809 * CHOOSE(CONTROL!$C$9, $C$13, 100%, $E$13) + CHOOSE(CONTROL!$C$28, 0.0003, 0)</f>
        <v>63.3812</v>
      </c>
      <c r="C650" s="4">
        <f>63.0684 * CHOOSE(CONTROL!$C$9, $C$13, 100%, $E$13) + CHOOSE(CONTROL!$C$28, 0.0003, 0)</f>
        <v>63.0687</v>
      </c>
      <c r="D650" s="4">
        <f>63.1119 * CHOOSE(CONTROL!$C$9, $C$13, 100%, $E$13) + CHOOSE(CONTROL!$C$28, 0, 0)</f>
        <v>63.111899999999999</v>
      </c>
      <c r="E650" s="4">
        <f>359.738142385418 * CHOOSE(CONTROL!$C$9, $C$13, 100%, $E$13) + CHOOSE(CONTROL!$C$28, 0, 0)</f>
        <v>359.73814238541797</v>
      </c>
    </row>
    <row r="651" spans="1:5" ht="15">
      <c r="A651" s="13">
        <v>61331</v>
      </c>
      <c r="B651" s="4">
        <f>62.0195 * CHOOSE(CONTROL!$C$9, $C$13, 100%, $E$13) + CHOOSE(CONTROL!$C$28, 0.0003, 0)</f>
        <v>62.019800000000004</v>
      </c>
      <c r="C651" s="4">
        <f>61.707 * CHOOSE(CONTROL!$C$9, $C$13, 100%, $E$13) + CHOOSE(CONTROL!$C$28, 0.0003, 0)</f>
        <v>61.707300000000004</v>
      </c>
      <c r="D651" s="4">
        <f>62.8125 * CHOOSE(CONTROL!$C$9, $C$13, 100%, $E$13) + CHOOSE(CONTROL!$C$28, 0, 0)</f>
        <v>62.8125</v>
      </c>
      <c r="E651" s="4">
        <f>351.77529324508 * CHOOSE(CONTROL!$C$9, $C$13, 100%, $E$13) + CHOOSE(CONTROL!$C$28, 0, 0)</f>
        <v>351.77529324507998</v>
      </c>
    </row>
    <row r="652" spans="1:5" ht="15">
      <c r="A652" s="13">
        <v>61362</v>
      </c>
      <c r="B652" s="4">
        <f>61.0775 * CHOOSE(CONTROL!$C$9, $C$13, 100%, $E$13) + CHOOSE(CONTROL!$C$28, 0.0003, 0)</f>
        <v>61.077800000000003</v>
      </c>
      <c r="C652" s="4">
        <f>60.765 * CHOOSE(CONTROL!$C$9, $C$13, 100%, $E$13) + CHOOSE(CONTROL!$C$28, 0.0003, 0)</f>
        <v>60.765300000000003</v>
      </c>
      <c r="D652" s="4">
        <f>60.6079 * CHOOSE(CONTROL!$C$9, $C$13, 100%, $E$13) + CHOOSE(CONTROL!$C$28, 0, 0)</f>
        <v>60.607900000000001</v>
      </c>
      <c r="E652" s="4">
        <f>346.266025219818 * CHOOSE(CONTROL!$C$9, $C$13, 100%, $E$13) + CHOOSE(CONTROL!$C$28, 0, 0)</f>
        <v>346.266025219818</v>
      </c>
    </row>
    <row r="653" spans="1:5" ht="15">
      <c r="A653" s="13">
        <v>61393</v>
      </c>
      <c r="B653" s="4">
        <f>59.5471 * CHOOSE(CONTROL!$C$9, $C$13, 100%, $E$13) + CHOOSE(CONTROL!$C$28, 0.0003, 0)</f>
        <v>59.547400000000003</v>
      </c>
      <c r="C653" s="4">
        <f>59.2346 * CHOOSE(CONTROL!$C$9, $C$13, 100%, $E$13) + CHOOSE(CONTROL!$C$28, 0.0003, 0)</f>
        <v>59.234900000000003</v>
      </c>
      <c r="D653" s="4">
        <f>58.5817 * CHOOSE(CONTROL!$C$9, $C$13, 100%, $E$13) + CHOOSE(CONTROL!$C$28, 0, 0)</f>
        <v>58.581699999999998</v>
      </c>
      <c r="E653" s="4">
        <f>336.336435131364 * CHOOSE(CONTROL!$C$9, $C$13, 100%, $E$13) + CHOOSE(CONTROL!$C$28, 0, 0)</f>
        <v>336.336435131364</v>
      </c>
    </row>
    <row r="654" spans="1:5" ht="15">
      <c r="A654" s="13">
        <v>61422</v>
      </c>
      <c r="B654" s="4">
        <f>60.9164 * CHOOSE(CONTROL!$C$9, $C$13, 100%, $E$13) + CHOOSE(CONTROL!$C$28, 0.0003, 0)</f>
        <v>60.916700000000006</v>
      </c>
      <c r="C654" s="4">
        <f>60.6039 * CHOOSE(CONTROL!$C$9, $C$13, 100%, $E$13) + CHOOSE(CONTROL!$C$28, 0.0003, 0)</f>
        <v>60.604200000000006</v>
      </c>
      <c r="D654" s="4">
        <f>60.6221 * CHOOSE(CONTROL!$C$9, $C$13, 100%, $E$13) + CHOOSE(CONTROL!$C$28, 0, 0)</f>
        <v>60.622100000000003</v>
      </c>
      <c r="E654" s="4">
        <f>344.322387572815 * CHOOSE(CONTROL!$C$9, $C$13, 100%, $E$13) + CHOOSE(CONTROL!$C$28, 0, 0)</f>
        <v>344.32238757281499</v>
      </c>
    </row>
    <row r="655" spans="1:5" ht="15">
      <c r="A655" s="13">
        <v>61453</v>
      </c>
      <c r="B655" s="4">
        <f>64.5125 * CHOOSE(CONTROL!$C$9, $C$13, 100%, $E$13) + CHOOSE(CONTROL!$C$28, 0.0003, 0)</f>
        <v>64.512799999999999</v>
      </c>
      <c r="C655" s="4">
        <f>64.2 * CHOOSE(CONTROL!$C$9, $C$13, 100%, $E$13) + CHOOSE(CONTROL!$C$28, 0.0003, 0)</f>
        <v>64.200299999999999</v>
      </c>
      <c r="D655" s="4">
        <f>63.8162 * CHOOSE(CONTROL!$C$9, $C$13, 100%, $E$13) + CHOOSE(CONTROL!$C$28, 0, 0)</f>
        <v>63.816200000000002</v>
      </c>
      <c r="E655" s="4">
        <f>365.293923083352 * CHOOSE(CONTROL!$C$9, $C$13, 100%, $E$13) + CHOOSE(CONTROL!$C$28, 0, 0)</f>
        <v>365.29392308335201</v>
      </c>
    </row>
    <row r="656" spans="1:5" ht="15">
      <c r="A656" s="13">
        <v>61483</v>
      </c>
      <c r="B656" s="4">
        <f>67.0675 * CHOOSE(CONTROL!$C$9, $C$13, 100%, $E$13) + CHOOSE(CONTROL!$C$28, 0.0003, 0)</f>
        <v>67.067799999999991</v>
      </c>
      <c r="C656" s="4">
        <f>66.755 * CHOOSE(CONTROL!$C$9, $C$13, 100%, $E$13) + CHOOSE(CONTROL!$C$28, 0.0003, 0)</f>
        <v>66.755299999999991</v>
      </c>
      <c r="D656" s="4">
        <f>65.6561 * CHOOSE(CONTROL!$C$9, $C$13, 100%, $E$13) + CHOOSE(CONTROL!$C$28, 0, 0)</f>
        <v>65.656099999999995</v>
      </c>
      <c r="E656" s="4">
        <f>380.194478546047 * CHOOSE(CONTROL!$C$9, $C$13, 100%, $E$13) + CHOOSE(CONTROL!$C$28, 0, 0)</f>
        <v>380.19447854604698</v>
      </c>
    </row>
    <row r="657" spans="1:5" ht="15">
      <c r="A657" s="13">
        <v>61514</v>
      </c>
      <c r="B657" s="4">
        <f>68.6285 * CHOOSE(CONTROL!$C$9, $C$13, 100%, $E$13) + CHOOSE(CONTROL!$C$28, 0.0276, 0)</f>
        <v>68.656100000000009</v>
      </c>
      <c r="C657" s="4">
        <f>68.316 * CHOOSE(CONTROL!$C$9, $C$13, 100%, $E$13) + CHOOSE(CONTROL!$C$28, 0.0276, 0)</f>
        <v>68.343600000000009</v>
      </c>
      <c r="D657" s="4">
        <f>64.929 * CHOOSE(CONTROL!$C$9, $C$13, 100%, $E$13) + CHOOSE(CONTROL!$C$28, 0, 0)</f>
        <v>64.929000000000002</v>
      </c>
      <c r="E657" s="4">
        <f>389.298360817279 * CHOOSE(CONTROL!$C$9, $C$13, 100%, $E$13) + CHOOSE(CONTROL!$C$28, 0, 0)</f>
        <v>389.29836081727899</v>
      </c>
    </row>
    <row r="658" spans="1:5" ht="15">
      <c r="A658" s="13">
        <v>61544</v>
      </c>
      <c r="B658" s="4">
        <f>68.8398 * CHOOSE(CONTROL!$C$9, $C$13, 100%, $E$13) + CHOOSE(CONTROL!$C$28, 0.0276, 0)</f>
        <v>68.867400000000004</v>
      </c>
      <c r="C658" s="4">
        <f>68.5273 * CHOOSE(CONTROL!$C$9, $C$13, 100%, $E$13) + CHOOSE(CONTROL!$C$28, 0.0276, 0)</f>
        <v>68.554900000000004</v>
      </c>
      <c r="D658" s="4">
        <f>65.5212 * CHOOSE(CONTROL!$C$9, $C$13, 100%, $E$13) + CHOOSE(CONTROL!$C$28, 0, 0)</f>
        <v>65.521199999999993</v>
      </c>
      <c r="E658" s="4">
        <f>390.530153870465 * CHOOSE(CONTROL!$C$9, $C$13, 100%, $E$13) + CHOOSE(CONTROL!$C$28, 0, 0)</f>
        <v>390.53015387046503</v>
      </c>
    </row>
    <row r="659" spans="1:5" ht="15">
      <c r="A659" s="13">
        <v>61575</v>
      </c>
      <c r="B659" s="4">
        <f>68.8185 * CHOOSE(CONTROL!$C$9, $C$13, 100%, $E$13) + CHOOSE(CONTROL!$C$28, 0.0276, 0)</f>
        <v>68.846100000000007</v>
      </c>
      <c r="C659" s="4">
        <f>68.506 * CHOOSE(CONTROL!$C$9, $C$13, 100%, $E$13) + CHOOSE(CONTROL!$C$28, 0.0276, 0)</f>
        <v>68.533600000000007</v>
      </c>
      <c r="D659" s="4">
        <f>66.5896 * CHOOSE(CONTROL!$C$9, $C$13, 100%, $E$13) + CHOOSE(CONTROL!$C$28, 0, 0)</f>
        <v>66.589600000000004</v>
      </c>
      <c r="E659" s="4">
        <f>390.405939444934 * CHOOSE(CONTROL!$C$9, $C$13, 100%, $E$13) + CHOOSE(CONTROL!$C$28, 0, 0)</f>
        <v>390.40593944493401</v>
      </c>
    </row>
    <row r="660" spans="1:5" ht="15">
      <c r="A660" s="13">
        <v>61606</v>
      </c>
      <c r="B660" s="4">
        <f>70.4212 * CHOOSE(CONTROL!$C$9, $C$13, 100%, $E$13) + CHOOSE(CONTROL!$C$28, 0.0276, 0)</f>
        <v>70.448800000000006</v>
      </c>
      <c r="C660" s="4">
        <f>70.1087 * CHOOSE(CONTROL!$C$9, $C$13, 100%, $E$13) + CHOOSE(CONTROL!$C$28, 0.0276, 0)</f>
        <v>70.136300000000006</v>
      </c>
      <c r="D660" s="4">
        <f>65.884 * CHOOSE(CONTROL!$C$9, $C$13, 100%, $E$13) + CHOOSE(CONTROL!$C$28, 0, 0)</f>
        <v>65.884</v>
      </c>
      <c r="E660" s="4">
        <f>399.753074966165 * CHOOSE(CONTROL!$C$9, $C$13, 100%, $E$13) + CHOOSE(CONTROL!$C$28, 0, 0)</f>
        <v>399.753074966165</v>
      </c>
    </row>
    <row r="661" spans="1:5" ht="15">
      <c r="A661" s="13">
        <v>61636</v>
      </c>
      <c r="B661" s="4">
        <f>67.6896 * CHOOSE(CONTROL!$C$9, $C$13, 100%, $E$13) + CHOOSE(CONTROL!$C$28, 0.0276, 0)</f>
        <v>67.717200000000005</v>
      </c>
      <c r="C661" s="4">
        <f>67.3771 * CHOOSE(CONTROL!$C$9, $C$13, 100%, $E$13) + CHOOSE(CONTROL!$C$28, 0.0276, 0)</f>
        <v>67.404700000000005</v>
      </c>
      <c r="D661" s="4">
        <f>65.5506 * CHOOSE(CONTROL!$C$9, $C$13, 100%, $E$13) + CHOOSE(CONTROL!$C$28, 0, 0)</f>
        <v>65.550600000000003</v>
      </c>
      <c r="E661" s="4">
        <f>383.822574891774 * CHOOSE(CONTROL!$C$9, $C$13, 100%, $E$13) + CHOOSE(CONTROL!$C$28, 0, 0)</f>
        <v>383.82257489177402</v>
      </c>
    </row>
    <row r="662" spans="1:5" ht="15">
      <c r="A662" s="13">
        <v>61667</v>
      </c>
      <c r="B662" s="4">
        <f>65.5029 * CHOOSE(CONTROL!$C$9, $C$13, 100%, $E$13) + CHOOSE(CONTROL!$C$28, 0.0003, 0)</f>
        <v>65.503199999999993</v>
      </c>
      <c r="C662" s="4">
        <f>65.1904 * CHOOSE(CONTROL!$C$9, $C$13, 100%, $E$13) + CHOOSE(CONTROL!$C$28, 0.0003, 0)</f>
        <v>65.190699999999993</v>
      </c>
      <c r="D662" s="4">
        <f>64.658 * CHOOSE(CONTROL!$C$9, $C$13, 100%, $E$13) + CHOOSE(CONTROL!$C$28, 0, 0)</f>
        <v>64.658000000000001</v>
      </c>
      <c r="E662" s="4">
        <f>371.069893870558 * CHOOSE(CONTROL!$C$9, $C$13, 100%, $E$13) + CHOOSE(CONTROL!$C$28, 0, 0)</f>
        <v>371.06989387055802</v>
      </c>
    </row>
    <row r="663" spans="1:5" ht="15">
      <c r="A663" s="13">
        <v>61697</v>
      </c>
      <c r="B663" s="4">
        <f>64.0945 * CHOOSE(CONTROL!$C$9, $C$13, 100%, $E$13) + CHOOSE(CONTROL!$C$28, 0.0003, 0)</f>
        <v>64.094799999999992</v>
      </c>
      <c r="C663" s="4">
        <f>63.782 * CHOOSE(CONTROL!$C$9, $C$13, 100%, $E$13) + CHOOSE(CONTROL!$C$28, 0.0003, 0)</f>
        <v>63.782299999999999</v>
      </c>
      <c r="D663" s="4">
        <f>64.3511 * CHOOSE(CONTROL!$C$9, $C$13, 100%, $E$13) + CHOOSE(CONTROL!$C$28, 0, 0)</f>
        <v>64.351100000000002</v>
      </c>
      <c r="E663" s="4">
        <f>362.8562149823 * CHOOSE(CONTROL!$C$9, $C$13, 100%, $E$13) + CHOOSE(CONTROL!$C$28, 0, 0)</f>
        <v>362.8562149823</v>
      </c>
    </row>
    <row r="664" spans="1:5" ht="15">
      <c r="A664" s="13">
        <v>61728</v>
      </c>
      <c r="B664" s="4">
        <f>63.12 * CHOOSE(CONTROL!$C$9, $C$13, 100%, $E$13) + CHOOSE(CONTROL!$C$28, 0.0003, 0)</f>
        <v>63.1203</v>
      </c>
      <c r="C664" s="4">
        <f>62.8075 * CHOOSE(CONTROL!$C$9, $C$13, 100%, $E$13) + CHOOSE(CONTROL!$C$28, 0.0003, 0)</f>
        <v>62.8078</v>
      </c>
      <c r="D664" s="4">
        <f>62.0919 * CHOOSE(CONTROL!$C$9, $C$13, 100%, $E$13) + CHOOSE(CONTROL!$C$28, 0, 0)</f>
        <v>62.091900000000003</v>
      </c>
      <c r="E664" s="4">
        <f>357.173405014242 * CHOOSE(CONTROL!$C$9, $C$13, 100%, $E$13) + CHOOSE(CONTROL!$C$28, 0, 0)</f>
        <v>357.17340501424201</v>
      </c>
    </row>
    <row r="665" spans="1:5" ht="15">
      <c r="A665" s="13">
        <v>61759</v>
      </c>
      <c r="B665" s="4">
        <f>61.5368 * CHOOSE(CONTROL!$C$9, $C$13, 100%, $E$13) + CHOOSE(CONTROL!$C$28, 0.0003, 0)</f>
        <v>61.537100000000002</v>
      </c>
      <c r="C665" s="4">
        <f>61.2243 * CHOOSE(CONTROL!$C$9, $C$13, 100%, $E$13) + CHOOSE(CONTROL!$C$28, 0.0003, 0)</f>
        <v>61.224600000000002</v>
      </c>
      <c r="D665" s="4">
        <f>60.0154 * CHOOSE(CONTROL!$C$9, $C$13, 100%, $E$13) + CHOOSE(CONTROL!$C$28, 0, 0)</f>
        <v>60.0154</v>
      </c>
      <c r="E665" s="4">
        <f>346.931032838002 * CHOOSE(CONTROL!$C$9, $C$13, 100%, $E$13) + CHOOSE(CONTROL!$C$28, 0, 0)</f>
        <v>346.93103283800201</v>
      </c>
    </row>
    <row r="666" spans="1:5" ht="15">
      <c r="A666" s="13">
        <v>61787</v>
      </c>
      <c r="B666" s="4">
        <f>62.9534 * CHOOSE(CONTROL!$C$9, $C$13, 100%, $E$13) + CHOOSE(CONTROL!$C$28, 0.0003, 0)</f>
        <v>62.953700000000005</v>
      </c>
      <c r="C666" s="4">
        <f>62.6409 * CHOOSE(CONTROL!$C$9, $C$13, 100%, $E$13) + CHOOSE(CONTROL!$C$28, 0.0003, 0)</f>
        <v>62.641200000000005</v>
      </c>
      <c r="D666" s="4">
        <f>62.1064 * CHOOSE(CONTROL!$C$9, $C$13, 100%, $E$13) + CHOOSE(CONTROL!$C$28, 0, 0)</f>
        <v>62.106400000000001</v>
      </c>
      <c r="E666" s="4">
        <f>355.168542781358 * CHOOSE(CONTROL!$C$9, $C$13, 100%, $E$13) + CHOOSE(CONTROL!$C$28, 0, 0)</f>
        <v>355.16854278135798</v>
      </c>
    </row>
    <row r="667" spans="1:5" ht="15">
      <c r="A667" s="13">
        <v>61818</v>
      </c>
      <c r="B667" s="4">
        <f>66.6735 * CHOOSE(CONTROL!$C$9, $C$13, 100%, $E$13) + CHOOSE(CONTROL!$C$28, 0.0003, 0)</f>
        <v>66.6738</v>
      </c>
      <c r="C667" s="4">
        <f>66.361 * CHOOSE(CONTROL!$C$9, $C$13, 100%, $E$13) + CHOOSE(CONTROL!$C$28, 0.0003, 0)</f>
        <v>66.3613</v>
      </c>
      <c r="D667" s="4">
        <f>65.3797 * CHOOSE(CONTROL!$C$9, $C$13, 100%, $E$13) + CHOOSE(CONTROL!$C$28, 0, 0)</f>
        <v>65.3797</v>
      </c>
      <c r="E667" s="4">
        <f>376.800681660478 * CHOOSE(CONTROL!$C$9, $C$13, 100%, $E$13) + CHOOSE(CONTROL!$C$28, 0, 0)</f>
        <v>376.80068166047801</v>
      </c>
    </row>
    <row r="668" spans="1:5" ht="15">
      <c r="A668" s="13">
        <v>61848</v>
      </c>
      <c r="B668" s="4">
        <f>69.3166 * CHOOSE(CONTROL!$C$9, $C$13, 100%, $E$13) + CHOOSE(CONTROL!$C$28, 0.0003, 0)</f>
        <v>69.31689999999999</v>
      </c>
      <c r="C668" s="4">
        <f>69.0041 * CHOOSE(CONTROL!$C$9, $C$13, 100%, $E$13) + CHOOSE(CONTROL!$C$28, 0.0003, 0)</f>
        <v>69.00439999999999</v>
      </c>
      <c r="D668" s="4">
        <f>67.2653 * CHOOSE(CONTROL!$C$9, $C$13, 100%, $E$13) + CHOOSE(CONTROL!$C$28, 0, 0)</f>
        <v>67.265299999999996</v>
      </c>
      <c r="E668" s="4">
        <f>392.170604620247 * CHOOSE(CONTROL!$C$9, $C$13, 100%, $E$13) + CHOOSE(CONTROL!$C$28, 0, 0)</f>
        <v>392.17060462024699</v>
      </c>
    </row>
    <row r="669" spans="1:5" ht="15">
      <c r="A669" s="13">
        <v>61879</v>
      </c>
      <c r="B669" s="4">
        <f>70.9315 * CHOOSE(CONTROL!$C$9, $C$13, 100%, $E$13) + CHOOSE(CONTROL!$C$28, 0.0276, 0)</f>
        <v>70.959100000000007</v>
      </c>
      <c r="C669" s="4">
        <f>70.619 * CHOOSE(CONTROL!$C$9, $C$13, 100%, $E$13) + CHOOSE(CONTROL!$C$28, 0.0276, 0)</f>
        <v>70.646600000000007</v>
      </c>
      <c r="D669" s="4">
        <f>66.5202 * CHOOSE(CONTROL!$C$9, $C$13, 100%, $E$13) + CHOOSE(CONTROL!$C$28, 0, 0)</f>
        <v>66.520200000000003</v>
      </c>
      <c r="E669" s="4">
        <f>401.561259183024 * CHOOSE(CONTROL!$C$9, $C$13, 100%, $E$13) + CHOOSE(CONTROL!$C$28, 0, 0)</f>
        <v>401.56125918302399</v>
      </c>
    </row>
    <row r="670" spans="1:5" ht="15">
      <c r="A670" s="13">
        <v>61909</v>
      </c>
      <c r="B670" s="4">
        <f>71.15 * CHOOSE(CONTROL!$C$9, $C$13, 100%, $E$13) + CHOOSE(CONTROL!$C$28, 0.0276, 0)</f>
        <v>71.177600000000012</v>
      </c>
      <c r="C670" s="4">
        <f>70.8375 * CHOOSE(CONTROL!$C$9, $C$13, 100%, $E$13) + CHOOSE(CONTROL!$C$28, 0.0276, 0)</f>
        <v>70.865100000000012</v>
      </c>
      <c r="D670" s="4">
        <f>67.127 * CHOOSE(CONTROL!$C$9, $C$13, 100%, $E$13) + CHOOSE(CONTROL!$C$28, 0, 0)</f>
        <v>67.126999999999995</v>
      </c>
      <c r="E670" s="4">
        <f>402.831853717385 * CHOOSE(CONTROL!$C$9, $C$13, 100%, $E$13) + CHOOSE(CONTROL!$C$28, 0, 0)</f>
        <v>402.831853717385</v>
      </c>
    </row>
    <row r="671" spans="1:5" ht="15">
      <c r="A671" s="13">
        <v>61940</v>
      </c>
      <c r="B671" s="4">
        <f>71.128 * CHOOSE(CONTROL!$C$9, $C$13, 100%, $E$13) + CHOOSE(CONTROL!$C$28, 0.0276, 0)</f>
        <v>71.155600000000007</v>
      </c>
      <c r="C671" s="4">
        <f>70.8155 * CHOOSE(CONTROL!$C$9, $C$13, 100%, $E$13) + CHOOSE(CONTROL!$C$28, 0.0276, 0)</f>
        <v>70.843100000000007</v>
      </c>
      <c r="D671" s="4">
        <f>68.2219 * CHOOSE(CONTROL!$C$9, $C$13, 100%, $E$13) + CHOOSE(CONTROL!$C$28, 0, 0)</f>
        <v>68.221900000000005</v>
      </c>
      <c r="E671" s="4">
        <f>402.703726537449 * CHOOSE(CONTROL!$C$9, $C$13, 100%, $E$13) + CHOOSE(CONTROL!$C$28, 0, 0)</f>
        <v>402.70372653744897</v>
      </c>
    </row>
    <row r="672" spans="1:5" ht="15">
      <c r="A672" s="13">
        <v>61971</v>
      </c>
      <c r="B672" s="4">
        <f>72.7861 * CHOOSE(CONTROL!$C$9, $C$13, 100%, $E$13) + CHOOSE(CONTROL!$C$28, 0.0276, 0)</f>
        <v>72.813700000000011</v>
      </c>
      <c r="C672" s="4">
        <f>72.4736 * CHOOSE(CONTROL!$C$9, $C$13, 100%, $E$13) + CHOOSE(CONTROL!$C$28, 0.0276, 0)</f>
        <v>72.501200000000011</v>
      </c>
      <c r="D672" s="4">
        <f>67.4988 * CHOOSE(CONTROL!$C$9, $C$13, 100%, $E$13) + CHOOSE(CONTROL!$C$28, 0, 0)</f>
        <v>67.498800000000003</v>
      </c>
      <c r="E672" s="4">
        <f>412.3452968276 * CHOOSE(CONTROL!$C$9, $C$13, 100%, $E$13) + CHOOSE(CONTROL!$C$28, 0, 0)</f>
        <v>412.34529682760001</v>
      </c>
    </row>
    <row r="673" spans="1:5" ht="15">
      <c r="A673" s="13">
        <v>62001</v>
      </c>
      <c r="B673" s="4">
        <f>69.9602 * CHOOSE(CONTROL!$C$9, $C$13, 100%, $E$13) + CHOOSE(CONTROL!$C$28, 0.0276, 0)</f>
        <v>69.987800000000007</v>
      </c>
      <c r="C673" s="4">
        <f>69.6477 * CHOOSE(CONTROL!$C$9, $C$13, 100%, $E$13) + CHOOSE(CONTROL!$C$28, 0.0276, 0)</f>
        <v>69.675300000000007</v>
      </c>
      <c r="D673" s="4">
        <f>67.1572 * CHOOSE(CONTROL!$C$9, $C$13, 100%, $E$13) + CHOOSE(CONTROL!$C$28, 0, 0)</f>
        <v>67.157200000000003</v>
      </c>
      <c r="E673" s="4">
        <f>395.912986000865 * CHOOSE(CONTROL!$C$9, $C$13, 100%, $E$13) + CHOOSE(CONTROL!$C$28, 0, 0)</f>
        <v>395.91298600086498</v>
      </c>
    </row>
    <row r="674" spans="1:5" ht="15">
      <c r="A674" s="13">
        <v>62032</v>
      </c>
      <c r="B674" s="4">
        <f>67.698 * CHOOSE(CONTROL!$C$9, $C$13, 100%, $E$13) + CHOOSE(CONTROL!$C$28, 0.0003, 0)</f>
        <v>67.698299999999989</v>
      </c>
      <c r="C674" s="4">
        <f>67.3855 * CHOOSE(CONTROL!$C$9, $C$13, 100%, $E$13) + CHOOSE(CONTROL!$C$28, 0.0003, 0)</f>
        <v>67.385799999999989</v>
      </c>
      <c r="D674" s="4">
        <f>66.2424 * CHOOSE(CONTROL!$C$9, $C$13, 100%, $E$13) + CHOOSE(CONTROL!$C$28, 0, 0)</f>
        <v>66.242400000000004</v>
      </c>
      <c r="E674" s="4">
        <f>382.758595527481 * CHOOSE(CONTROL!$C$9, $C$13, 100%, $E$13) + CHOOSE(CONTROL!$C$28, 0, 0)</f>
        <v>382.75859552748102</v>
      </c>
    </row>
    <row r="675" spans="1:5" ht="15">
      <c r="A675" s="13">
        <v>62062</v>
      </c>
      <c r="B675" s="4">
        <f>66.241 * CHOOSE(CONTROL!$C$9, $C$13, 100%, $E$13) + CHOOSE(CONTROL!$C$28, 0.0003, 0)</f>
        <v>66.241299999999995</v>
      </c>
      <c r="C675" s="4">
        <f>65.9285 * CHOOSE(CONTROL!$C$9, $C$13, 100%, $E$13) + CHOOSE(CONTROL!$C$28, 0.0003, 0)</f>
        <v>65.928799999999995</v>
      </c>
      <c r="D675" s="4">
        <f>65.9279 * CHOOSE(CONTROL!$C$9, $C$13, 100%, $E$13) + CHOOSE(CONTROL!$C$28, 0, 0)</f>
        <v>65.927899999999994</v>
      </c>
      <c r="E675" s="4">
        <f>374.286185754242 * CHOOSE(CONTROL!$C$9, $C$13, 100%, $E$13) + CHOOSE(CONTROL!$C$28, 0, 0)</f>
        <v>374.28618575424201</v>
      </c>
    </row>
    <row r="676" spans="1:5" ht="15">
      <c r="A676" s="13">
        <v>62093</v>
      </c>
      <c r="B676" s="4">
        <f>65.233 * CHOOSE(CONTROL!$C$9, $C$13, 100%, $E$13) + CHOOSE(CONTROL!$C$28, 0.0003, 0)</f>
        <v>65.2333</v>
      </c>
      <c r="C676" s="4">
        <f>64.9205 * CHOOSE(CONTROL!$C$9, $C$13, 100%, $E$13) + CHOOSE(CONTROL!$C$28, 0.0003, 0)</f>
        <v>64.9208</v>
      </c>
      <c r="D676" s="4">
        <f>63.6126 * CHOOSE(CONTROL!$C$9, $C$13, 100%, $E$13) + CHOOSE(CONTROL!$C$28, 0, 0)</f>
        <v>63.6126</v>
      </c>
      <c r="E676" s="4">
        <f>368.424367272191 * CHOOSE(CONTROL!$C$9, $C$13, 100%, $E$13) + CHOOSE(CONTROL!$C$28, 0, 0)</f>
        <v>368.42436727219098</v>
      </c>
    </row>
    <row r="677" spans="1:5" ht="15">
      <c r="A677" s="13">
        <v>62124</v>
      </c>
      <c r="B677" s="4">
        <f>63.5951 * CHOOSE(CONTROL!$C$9, $C$13, 100%, $E$13) + CHOOSE(CONTROL!$C$28, 0.0003, 0)</f>
        <v>63.595400000000005</v>
      </c>
      <c r="C677" s="4">
        <f>63.2826 * CHOOSE(CONTROL!$C$9, $C$13, 100%, $E$13) + CHOOSE(CONTROL!$C$28, 0.0003, 0)</f>
        <v>63.282900000000005</v>
      </c>
      <c r="D677" s="4">
        <f>61.4847 * CHOOSE(CONTROL!$C$9, $C$13, 100%, $E$13) + CHOOSE(CONTROL!$C$28, 0, 0)</f>
        <v>61.484699999999997</v>
      </c>
      <c r="E677" s="4">
        <f>357.859360372399 * CHOOSE(CONTROL!$C$9, $C$13, 100%, $E$13) + CHOOSE(CONTROL!$C$28, 0, 0)</f>
        <v>357.85936037239901</v>
      </c>
    </row>
    <row r="678" spans="1:5" ht="15">
      <c r="A678" s="13">
        <v>62152</v>
      </c>
      <c r="B678" s="4">
        <f>65.0606 * CHOOSE(CONTROL!$C$9, $C$13, 100%, $E$13) + CHOOSE(CONTROL!$C$28, 0.0003, 0)</f>
        <v>65.06089999999999</v>
      </c>
      <c r="C678" s="4">
        <f>64.7481 * CHOOSE(CONTROL!$C$9, $C$13, 100%, $E$13) + CHOOSE(CONTROL!$C$28, 0.0003, 0)</f>
        <v>64.74839999999999</v>
      </c>
      <c r="D678" s="4">
        <f>63.6276 * CHOOSE(CONTROL!$C$9, $C$13, 100%, $E$13) + CHOOSE(CONTROL!$C$28, 0, 0)</f>
        <v>63.627600000000001</v>
      </c>
      <c r="E678" s="4">
        <f>366.356351878971 * CHOOSE(CONTROL!$C$9, $C$13, 100%, $E$13) + CHOOSE(CONTROL!$C$28, 0, 0)</f>
        <v>366.356351878971</v>
      </c>
    </row>
    <row r="679" spans="1:5" ht="15">
      <c r="A679" s="13">
        <v>62183</v>
      </c>
      <c r="B679" s="4">
        <f>68.909 * CHOOSE(CONTROL!$C$9, $C$13, 100%, $E$13) + CHOOSE(CONTROL!$C$28, 0.0003, 0)</f>
        <v>68.909300000000002</v>
      </c>
      <c r="C679" s="4">
        <f>68.5965 * CHOOSE(CONTROL!$C$9, $C$13, 100%, $E$13) + CHOOSE(CONTROL!$C$28, 0.0003, 0)</f>
        <v>68.596800000000002</v>
      </c>
      <c r="D679" s="4">
        <f>66.982 * CHOOSE(CONTROL!$C$9, $C$13, 100%, $E$13) + CHOOSE(CONTROL!$C$28, 0, 0)</f>
        <v>66.981999999999999</v>
      </c>
      <c r="E679" s="4">
        <f>388.669903132783 * CHOOSE(CONTROL!$C$9, $C$13, 100%, $E$13) + CHOOSE(CONTROL!$C$28, 0, 0)</f>
        <v>388.66990313278302</v>
      </c>
    </row>
    <row r="680" spans="1:5" ht="15">
      <c r="A680" s="13">
        <v>62213</v>
      </c>
      <c r="B680" s="4">
        <f>71.6434 * CHOOSE(CONTROL!$C$9, $C$13, 100%, $E$13) + CHOOSE(CONTROL!$C$28, 0.0003, 0)</f>
        <v>71.643699999999995</v>
      </c>
      <c r="C680" s="4">
        <f>71.3309 * CHOOSE(CONTROL!$C$9, $C$13, 100%, $E$13) + CHOOSE(CONTROL!$C$28, 0.0003, 0)</f>
        <v>71.331199999999995</v>
      </c>
      <c r="D680" s="4">
        <f>68.9143 * CHOOSE(CONTROL!$C$9, $C$13, 100%, $E$13) + CHOOSE(CONTROL!$C$28, 0, 0)</f>
        <v>68.914299999999997</v>
      </c>
      <c r="E680" s="4">
        <f>404.523978665785 * CHOOSE(CONTROL!$C$9, $C$13, 100%, $E$13) + CHOOSE(CONTROL!$C$28, 0, 0)</f>
        <v>404.52397866578502</v>
      </c>
    </row>
    <row r="681" spans="1:5" ht="15">
      <c r="A681" s="13">
        <v>62244</v>
      </c>
      <c r="B681" s="4">
        <f>73.314 * CHOOSE(CONTROL!$C$9, $C$13, 100%, $E$13) + CHOOSE(CONTROL!$C$28, 0.0276, 0)</f>
        <v>73.3416</v>
      </c>
      <c r="C681" s="4">
        <f>73.0015 * CHOOSE(CONTROL!$C$9, $C$13, 100%, $E$13) + CHOOSE(CONTROL!$C$28, 0.0276, 0)</f>
        <v>73.0291</v>
      </c>
      <c r="D681" s="4">
        <f>68.1508 * CHOOSE(CONTROL!$C$9, $C$13, 100%, $E$13) + CHOOSE(CONTROL!$C$28, 0, 0)</f>
        <v>68.150800000000004</v>
      </c>
      <c r="E681" s="4">
        <f>414.210438847289 * CHOOSE(CONTROL!$C$9, $C$13, 100%, $E$13) + CHOOSE(CONTROL!$C$28, 0, 0)</f>
        <v>414.21043884728903</v>
      </c>
    </row>
    <row r="682" spans="1:5" ht="15">
      <c r="A682" s="13">
        <v>62274</v>
      </c>
      <c r="B682" s="4">
        <f>73.54 * CHOOSE(CONTROL!$C$9, $C$13, 100%, $E$13) + CHOOSE(CONTROL!$C$28, 0.0276, 0)</f>
        <v>73.567600000000013</v>
      </c>
      <c r="C682" s="4">
        <f>73.2275 * CHOOSE(CONTROL!$C$9, $C$13, 100%, $E$13) + CHOOSE(CONTROL!$C$28, 0.0276, 0)</f>
        <v>73.255100000000013</v>
      </c>
      <c r="D682" s="4">
        <f>68.7726 * CHOOSE(CONTROL!$C$9, $C$13, 100%, $E$13) + CHOOSE(CONTROL!$C$28, 0, 0)</f>
        <v>68.772599999999997</v>
      </c>
      <c r="E682" s="4">
        <f>415.521057109482 * CHOOSE(CONTROL!$C$9, $C$13, 100%, $E$13) + CHOOSE(CONTROL!$C$28, 0, 0)</f>
        <v>415.521057109482</v>
      </c>
    </row>
    <row r="683" spans="1:5" ht="15">
      <c r="A683" s="13">
        <v>62305</v>
      </c>
      <c r="B683" s="4">
        <f>73.5172 * CHOOSE(CONTROL!$C$9, $C$13, 100%, $E$13) + CHOOSE(CONTROL!$C$28, 0.0276, 0)</f>
        <v>73.544800000000009</v>
      </c>
      <c r="C683" s="4">
        <f>73.2047 * CHOOSE(CONTROL!$C$9, $C$13, 100%, $E$13) + CHOOSE(CONTROL!$C$28, 0.0276, 0)</f>
        <v>73.232300000000009</v>
      </c>
      <c r="D683" s="4">
        <f>69.8947 * CHOOSE(CONTROL!$C$9, $C$13, 100%, $E$13) + CHOOSE(CONTROL!$C$28, 0, 0)</f>
        <v>69.8947</v>
      </c>
      <c r="E683" s="4">
        <f>415.388893923379 * CHOOSE(CONTROL!$C$9, $C$13, 100%, $E$13) + CHOOSE(CONTROL!$C$28, 0, 0)</f>
        <v>415.38889392337899</v>
      </c>
    </row>
    <row r="684" spans="1:5" ht="15">
      <c r="A684" s="13">
        <v>62336</v>
      </c>
      <c r="B684" s="4">
        <f>75.2325 * CHOOSE(CONTROL!$C$9, $C$13, 100%, $E$13) + CHOOSE(CONTROL!$C$28, 0.0276, 0)</f>
        <v>75.260100000000008</v>
      </c>
      <c r="C684" s="4">
        <f>74.92 * CHOOSE(CONTROL!$C$9, $C$13, 100%, $E$13) + CHOOSE(CONTROL!$C$28, 0.0276, 0)</f>
        <v>74.947600000000008</v>
      </c>
      <c r="D684" s="4">
        <f>69.1537 * CHOOSE(CONTROL!$C$9, $C$13, 100%, $E$13) + CHOOSE(CONTROL!$C$28, 0, 0)</f>
        <v>69.153700000000001</v>
      </c>
      <c r="E684" s="4">
        <f>425.334173677669 * CHOOSE(CONTROL!$C$9, $C$13, 100%, $E$13) + CHOOSE(CONTROL!$C$28, 0, 0)</f>
        <v>425.33417367766901</v>
      </c>
    </row>
    <row r="685" spans="1:5" ht="15">
      <c r="A685" s="13">
        <v>62366</v>
      </c>
      <c r="B685" s="4">
        <f>72.3091 * CHOOSE(CONTROL!$C$9, $C$13, 100%, $E$13) + CHOOSE(CONTROL!$C$28, 0.0276, 0)</f>
        <v>72.336700000000008</v>
      </c>
      <c r="C685" s="4">
        <f>71.9966 * CHOOSE(CONTROL!$C$9, $C$13, 100%, $E$13) + CHOOSE(CONTROL!$C$28, 0.0276, 0)</f>
        <v>72.024200000000008</v>
      </c>
      <c r="D685" s="4">
        <f>68.8036 * CHOOSE(CONTROL!$C$9, $C$13, 100%, $E$13) + CHOOSE(CONTROL!$C$28, 0, 0)</f>
        <v>68.803600000000003</v>
      </c>
      <c r="E685" s="4">
        <f>408.384245059892 * CHOOSE(CONTROL!$C$9, $C$13, 100%, $E$13) + CHOOSE(CONTROL!$C$28, 0, 0)</f>
        <v>408.38424505989201</v>
      </c>
    </row>
    <row r="686" spans="1:5" ht="15">
      <c r="A686" s="13">
        <v>62397</v>
      </c>
      <c r="B686" s="4">
        <f>69.9689 * CHOOSE(CONTROL!$C$9, $C$13, 100%, $E$13) + CHOOSE(CONTROL!$C$28, 0.0003, 0)</f>
        <v>69.969200000000001</v>
      </c>
      <c r="C686" s="4">
        <f>69.6564 * CHOOSE(CONTROL!$C$9, $C$13, 100%, $E$13) + CHOOSE(CONTROL!$C$28, 0.0003, 0)</f>
        <v>69.656700000000001</v>
      </c>
      <c r="D686" s="4">
        <f>67.8661 * CHOOSE(CONTROL!$C$9, $C$13, 100%, $E$13) + CHOOSE(CONTROL!$C$28, 0, 0)</f>
        <v>67.866100000000003</v>
      </c>
      <c r="E686" s="4">
        <f>394.815491286597 * CHOOSE(CONTROL!$C$9, $C$13, 100%, $E$13) + CHOOSE(CONTROL!$C$28, 0, 0)</f>
        <v>394.81549128659702</v>
      </c>
    </row>
    <row r="687" spans="1:5" ht="15">
      <c r="A687" s="13">
        <v>62427</v>
      </c>
      <c r="B687" s="4">
        <f>68.4617 * CHOOSE(CONTROL!$C$9, $C$13, 100%, $E$13) + CHOOSE(CONTROL!$C$28, 0.0003, 0)</f>
        <v>68.461999999999989</v>
      </c>
      <c r="C687" s="4">
        <f>68.1492 * CHOOSE(CONTROL!$C$9, $C$13, 100%, $E$13) + CHOOSE(CONTROL!$C$28, 0.0003, 0)</f>
        <v>68.149499999999989</v>
      </c>
      <c r="D687" s="4">
        <f>67.5439 * CHOOSE(CONTROL!$C$9, $C$13, 100%, $E$13) + CHOOSE(CONTROL!$C$28, 0, 0)</f>
        <v>67.543899999999994</v>
      </c>
      <c r="E687" s="4">
        <f>386.076200605501 * CHOOSE(CONTROL!$C$9, $C$13, 100%, $E$13) + CHOOSE(CONTROL!$C$28, 0, 0)</f>
        <v>386.07620060550101</v>
      </c>
    </row>
    <row r="688" spans="1:5" ht="15">
      <c r="A688" s="13">
        <v>62458</v>
      </c>
      <c r="B688" s="4">
        <f>67.4188 * CHOOSE(CONTROL!$C$9, $C$13, 100%, $E$13) + CHOOSE(CONTROL!$C$28, 0.0003, 0)</f>
        <v>67.4191</v>
      </c>
      <c r="C688" s="4">
        <f>67.1063 * CHOOSE(CONTROL!$C$9, $C$13, 100%, $E$13) + CHOOSE(CONTROL!$C$28, 0.0003, 0)</f>
        <v>67.1066</v>
      </c>
      <c r="D688" s="4">
        <f>65.1711 * CHOOSE(CONTROL!$C$9, $C$13, 100%, $E$13) + CHOOSE(CONTROL!$C$28, 0, 0)</f>
        <v>65.171099999999996</v>
      </c>
      <c r="E688" s="4">
        <f>380.029734841265 * CHOOSE(CONTROL!$C$9, $C$13, 100%, $E$13) + CHOOSE(CONTROL!$C$28, 0, 0)</f>
        <v>380.029734841265</v>
      </c>
    </row>
    <row r="689" spans="1:5" ht="15">
      <c r="A689" s="13">
        <v>62489</v>
      </c>
      <c r="B689" s="4">
        <f>65.7244 * CHOOSE(CONTROL!$C$9, $C$13, 100%, $E$13) + CHOOSE(CONTROL!$C$28, 0.0003, 0)</f>
        <v>65.724699999999999</v>
      </c>
      <c r="C689" s="4">
        <f>65.4119 * CHOOSE(CONTROL!$C$9, $C$13, 100%, $E$13) + CHOOSE(CONTROL!$C$28, 0.0003, 0)</f>
        <v>65.412199999999999</v>
      </c>
      <c r="D689" s="4">
        <f>62.9904 * CHOOSE(CONTROL!$C$9, $C$13, 100%, $E$13) + CHOOSE(CONTROL!$C$28, 0, 0)</f>
        <v>62.990400000000001</v>
      </c>
      <c r="E689" s="4">
        <f>369.131930224129 * CHOOSE(CONTROL!$C$9, $C$13, 100%, $E$13) + CHOOSE(CONTROL!$C$28, 0, 0)</f>
        <v>369.13193022412901</v>
      </c>
    </row>
    <row r="690" spans="1:5" ht="15">
      <c r="A690" s="13">
        <v>62517</v>
      </c>
      <c r="B690" s="4">
        <f>67.2405 * CHOOSE(CONTROL!$C$9, $C$13, 100%, $E$13) + CHOOSE(CONTROL!$C$28, 0.0003, 0)</f>
        <v>67.240799999999993</v>
      </c>
      <c r="C690" s="4">
        <f>66.928 * CHOOSE(CONTROL!$C$9, $C$13, 100%, $E$13) + CHOOSE(CONTROL!$C$28, 0.0003, 0)</f>
        <v>66.928299999999993</v>
      </c>
      <c r="D690" s="4">
        <f>65.1864 * CHOOSE(CONTROL!$C$9, $C$13, 100%, $E$13) + CHOOSE(CONTROL!$C$28, 0, 0)</f>
        <v>65.186400000000006</v>
      </c>
      <c r="E690" s="4">
        <f>377.896576963159 * CHOOSE(CONTROL!$C$9, $C$13, 100%, $E$13) + CHOOSE(CONTROL!$C$28, 0, 0)</f>
        <v>377.89657696315902</v>
      </c>
    </row>
    <row r="691" spans="1:5" ht="15">
      <c r="A691" s="13">
        <v>62548</v>
      </c>
      <c r="B691" s="4">
        <f>71.2217 * CHOOSE(CONTROL!$C$9, $C$13, 100%, $E$13) + CHOOSE(CONTROL!$C$28, 0.0003, 0)</f>
        <v>71.221999999999994</v>
      </c>
      <c r="C691" s="4">
        <f>70.9092 * CHOOSE(CONTROL!$C$9, $C$13, 100%, $E$13) + CHOOSE(CONTROL!$C$28, 0.0003, 0)</f>
        <v>70.909499999999994</v>
      </c>
      <c r="D691" s="4">
        <f>68.6241 * CHOOSE(CONTROL!$C$9, $C$13, 100%, $E$13) + CHOOSE(CONTROL!$C$28, 0, 0)</f>
        <v>68.624099999999999</v>
      </c>
      <c r="E691" s="4">
        <f>400.913005081466 * CHOOSE(CONTROL!$C$9, $C$13, 100%, $E$13) + CHOOSE(CONTROL!$C$28, 0, 0)</f>
        <v>400.913005081466</v>
      </c>
    </row>
    <row r="692" spans="1:5" ht="15">
      <c r="A692" s="13">
        <v>62578</v>
      </c>
      <c r="B692" s="4">
        <f>74.0504 * CHOOSE(CONTROL!$C$9, $C$13, 100%, $E$13) + CHOOSE(CONTROL!$C$28, 0.0003, 0)</f>
        <v>74.050699999999992</v>
      </c>
      <c r="C692" s="4">
        <f>73.7379 * CHOOSE(CONTROL!$C$9, $C$13, 100%, $E$13) + CHOOSE(CONTROL!$C$28, 0.0003, 0)</f>
        <v>73.738199999999992</v>
      </c>
      <c r="D692" s="4">
        <f>70.6043 * CHOOSE(CONTROL!$C$9, $C$13, 100%, $E$13) + CHOOSE(CONTROL!$C$28, 0, 0)</f>
        <v>70.604299999999995</v>
      </c>
      <c r="E692" s="4">
        <f>417.266483993757 * CHOOSE(CONTROL!$C$9, $C$13, 100%, $E$13) + CHOOSE(CONTROL!$C$28, 0, 0)</f>
        <v>417.26648399375699</v>
      </c>
    </row>
    <row r="693" spans="1:5" ht="15">
      <c r="A693" s="13">
        <v>62609</v>
      </c>
      <c r="B693" s="4">
        <f>75.7786 * CHOOSE(CONTROL!$C$9, $C$13, 100%, $E$13) + CHOOSE(CONTROL!$C$28, 0.0276, 0)</f>
        <v>75.806200000000004</v>
      </c>
      <c r="C693" s="4">
        <f>75.4661 * CHOOSE(CONTROL!$C$9, $C$13, 100%, $E$13) + CHOOSE(CONTROL!$C$28, 0.0276, 0)</f>
        <v>75.493700000000004</v>
      </c>
      <c r="D693" s="4">
        <f>69.8218 * CHOOSE(CONTROL!$C$9, $C$13, 100%, $E$13) + CHOOSE(CONTROL!$C$28, 0, 0)</f>
        <v>69.821799999999996</v>
      </c>
      <c r="E693" s="4">
        <f>427.258067670979 * CHOOSE(CONTROL!$C$9, $C$13, 100%, $E$13) + CHOOSE(CONTROL!$C$28, 0, 0)</f>
        <v>427.25806767097902</v>
      </c>
    </row>
    <row r="694" spans="1:5" ht="15">
      <c r="A694" s="13">
        <v>62639</v>
      </c>
      <c r="B694" s="4">
        <f>76.0125 * CHOOSE(CONTROL!$C$9, $C$13, 100%, $E$13) + CHOOSE(CONTROL!$C$28, 0.0276, 0)</f>
        <v>76.04010000000001</v>
      </c>
      <c r="C694" s="4">
        <f>75.7 * CHOOSE(CONTROL!$C$9, $C$13, 100%, $E$13) + CHOOSE(CONTROL!$C$28, 0.0276, 0)</f>
        <v>75.72760000000001</v>
      </c>
      <c r="D694" s="4">
        <f>70.4591 * CHOOSE(CONTROL!$C$9, $C$13, 100%, $E$13) + CHOOSE(CONTROL!$C$28, 0, 0)</f>
        <v>70.459100000000007</v>
      </c>
      <c r="E694" s="4">
        <f>428.609970408431 * CHOOSE(CONTROL!$C$9, $C$13, 100%, $E$13) + CHOOSE(CONTROL!$C$28, 0, 0)</f>
        <v>428.60997040843102</v>
      </c>
    </row>
    <row r="695" spans="1:5" ht="15">
      <c r="A695" s="13">
        <v>62670</v>
      </c>
      <c r="B695" s="4">
        <f>75.9889 * CHOOSE(CONTROL!$C$9, $C$13, 100%, $E$13) + CHOOSE(CONTROL!$C$28, 0.0276, 0)</f>
        <v>76.016500000000008</v>
      </c>
      <c r="C695" s="4">
        <f>75.6764 * CHOOSE(CONTROL!$C$9, $C$13, 100%, $E$13) + CHOOSE(CONTROL!$C$28, 0.0276, 0)</f>
        <v>75.704000000000008</v>
      </c>
      <c r="D695" s="4">
        <f>71.609 * CHOOSE(CONTROL!$C$9, $C$13, 100%, $E$13) + CHOOSE(CONTROL!$C$28, 0, 0)</f>
        <v>71.608999999999995</v>
      </c>
      <c r="E695" s="4">
        <f>428.473644081965 * CHOOSE(CONTROL!$C$9, $C$13, 100%, $E$13) + CHOOSE(CONTROL!$C$28, 0, 0)</f>
        <v>428.47364408196501</v>
      </c>
    </row>
    <row r="696" spans="1:5" ht="15">
      <c r="A696" s="13">
        <v>62701</v>
      </c>
      <c r="B696" s="4">
        <f>77.7633 * CHOOSE(CONTROL!$C$9, $C$13, 100%, $E$13) + CHOOSE(CONTROL!$C$28, 0.0276, 0)</f>
        <v>77.790900000000008</v>
      </c>
      <c r="C696" s="4">
        <f>77.4508 * CHOOSE(CONTROL!$C$9, $C$13, 100%, $E$13) + CHOOSE(CONTROL!$C$28, 0.0276, 0)</f>
        <v>77.478400000000008</v>
      </c>
      <c r="D696" s="4">
        <f>70.8496 * CHOOSE(CONTROL!$C$9, $C$13, 100%, $E$13) + CHOOSE(CONTROL!$C$28, 0, 0)</f>
        <v>70.849599999999995</v>
      </c>
      <c r="E696" s="4">
        <f>438.732200148516 * CHOOSE(CONTROL!$C$9, $C$13, 100%, $E$13) + CHOOSE(CONTROL!$C$28, 0, 0)</f>
        <v>438.73220014851597</v>
      </c>
    </row>
    <row r="697" spans="1:5" ht="15">
      <c r="A697" s="13">
        <v>62731</v>
      </c>
      <c r="B697" s="4">
        <f>74.7391 * CHOOSE(CONTROL!$C$9, $C$13, 100%, $E$13) + CHOOSE(CONTROL!$C$28, 0.0276, 0)</f>
        <v>74.7667</v>
      </c>
      <c r="C697" s="4">
        <f>74.4266 * CHOOSE(CONTROL!$C$9, $C$13, 100%, $E$13) + CHOOSE(CONTROL!$C$28, 0.0276, 0)</f>
        <v>74.4542</v>
      </c>
      <c r="D697" s="4">
        <f>70.4908 * CHOOSE(CONTROL!$C$9, $C$13, 100%, $E$13) + CHOOSE(CONTROL!$C$28, 0, 0)</f>
        <v>70.490799999999993</v>
      </c>
      <c r="E697" s="4">
        <f>421.248348779279 * CHOOSE(CONTROL!$C$9, $C$13, 100%, $E$13) + CHOOSE(CONTROL!$C$28, 0, 0)</f>
        <v>421.24834877927901</v>
      </c>
    </row>
    <row r="698" spans="1:5" ht="15">
      <c r="A698" s="13">
        <v>62762</v>
      </c>
      <c r="B698" s="4">
        <f>72.3182 * CHOOSE(CONTROL!$C$9, $C$13, 100%, $E$13) + CHOOSE(CONTROL!$C$28, 0.0003, 0)</f>
        <v>72.3185</v>
      </c>
      <c r="C698" s="4">
        <f>72.0057 * CHOOSE(CONTROL!$C$9, $C$13, 100%, $E$13) + CHOOSE(CONTROL!$C$28, 0.0003, 0)</f>
        <v>72.006</v>
      </c>
      <c r="D698" s="4">
        <f>69.5301 * CHOOSE(CONTROL!$C$9, $C$13, 100%, $E$13) + CHOOSE(CONTROL!$C$28, 0, 0)</f>
        <v>69.530100000000004</v>
      </c>
      <c r="E698" s="4">
        <f>407.252179262125 * CHOOSE(CONTROL!$C$9, $C$13, 100%, $E$13) + CHOOSE(CONTROL!$C$28, 0, 0)</f>
        <v>407.25217926212503</v>
      </c>
    </row>
    <row r="699" spans="1:5" ht="15">
      <c r="A699" s="13">
        <v>62792</v>
      </c>
      <c r="B699" s="4">
        <f>70.7589 * CHOOSE(CONTROL!$C$9, $C$13, 100%, $E$13) + CHOOSE(CONTROL!$C$28, 0.0003, 0)</f>
        <v>70.759199999999993</v>
      </c>
      <c r="C699" s="4">
        <f>70.4464 * CHOOSE(CONTROL!$C$9, $C$13, 100%, $E$13) + CHOOSE(CONTROL!$C$28, 0.0003, 0)</f>
        <v>70.446699999999993</v>
      </c>
      <c r="D699" s="4">
        <f>69.1999 * CHOOSE(CONTROL!$C$9, $C$13, 100%, $E$13) + CHOOSE(CONTROL!$C$28, 0, 0)</f>
        <v>69.1999</v>
      </c>
      <c r="E699" s="4">
        <f>398.237600924574 * CHOOSE(CONTROL!$C$9, $C$13, 100%, $E$13) + CHOOSE(CONTROL!$C$28, 0, 0)</f>
        <v>398.237600924574</v>
      </c>
    </row>
    <row r="700" spans="1:5" ht="15">
      <c r="A700" s="13">
        <v>62823</v>
      </c>
      <c r="B700" s="4">
        <f>69.6801 * CHOOSE(CONTROL!$C$9, $C$13, 100%, $E$13) + CHOOSE(CONTROL!$C$28, 0.0003, 0)</f>
        <v>69.680399999999992</v>
      </c>
      <c r="C700" s="4">
        <f>69.3676 * CHOOSE(CONTROL!$C$9, $C$13, 100%, $E$13) + CHOOSE(CONTROL!$C$28, 0.0003, 0)</f>
        <v>69.367899999999992</v>
      </c>
      <c r="D700" s="4">
        <f>66.7683 * CHOOSE(CONTROL!$C$9, $C$13, 100%, $E$13) + CHOOSE(CONTROL!$C$28, 0, 0)</f>
        <v>66.768299999999996</v>
      </c>
      <c r="E700" s="4">
        <f>392.000671488765 * CHOOSE(CONTROL!$C$9, $C$13, 100%, $E$13) + CHOOSE(CONTROL!$C$28, 0, 0)</f>
        <v>392.00067148876502</v>
      </c>
    </row>
    <row r="701" spans="1:5" ht="15">
      <c r="A701" s="13">
        <v>62854</v>
      </c>
      <c r="B701" s="4">
        <f>67.9273 * CHOOSE(CONTROL!$C$9, $C$13, 100%, $E$13) + CHOOSE(CONTROL!$C$28, 0.0003, 0)</f>
        <v>67.927599999999998</v>
      </c>
      <c r="C701" s="4">
        <f>67.6148 * CHOOSE(CONTROL!$C$9, $C$13, 100%, $E$13) + CHOOSE(CONTROL!$C$28, 0.0003, 0)</f>
        <v>67.615099999999998</v>
      </c>
      <c r="D701" s="4">
        <f>64.5335 * CHOOSE(CONTROL!$C$9, $C$13, 100%, $E$13) + CHOOSE(CONTROL!$C$28, 0, 0)</f>
        <v>64.533500000000004</v>
      </c>
      <c r="E701" s="4">
        <f>380.759586026189 * CHOOSE(CONTROL!$C$9, $C$13, 100%, $E$13) + CHOOSE(CONTROL!$C$28, 0, 0)</f>
        <v>380.75958602618903</v>
      </c>
    </row>
    <row r="702" spans="1:5" ht="15">
      <c r="A702" s="13">
        <v>62883</v>
      </c>
      <c r="B702" s="4">
        <f>69.4956 * CHOOSE(CONTROL!$C$9, $C$13, 100%, $E$13) + CHOOSE(CONTROL!$C$28, 0.0003, 0)</f>
        <v>69.495899999999992</v>
      </c>
      <c r="C702" s="4">
        <f>69.1831 * CHOOSE(CONTROL!$C$9, $C$13, 100%, $E$13) + CHOOSE(CONTROL!$C$28, 0.0003, 0)</f>
        <v>69.183399999999992</v>
      </c>
      <c r="D702" s="4">
        <f>66.784 * CHOOSE(CONTROL!$C$9, $C$13, 100%, $E$13) + CHOOSE(CONTROL!$C$28, 0, 0)</f>
        <v>66.784000000000006</v>
      </c>
      <c r="E702" s="4">
        <f>389.800319137498 * CHOOSE(CONTROL!$C$9, $C$13, 100%, $E$13) + CHOOSE(CONTROL!$C$28, 0, 0)</f>
        <v>389.80031913749798</v>
      </c>
    </row>
    <row r="703" spans="1:5" ht="15">
      <c r="A703" s="13">
        <v>62914</v>
      </c>
      <c r="B703" s="4">
        <f>73.6141 * CHOOSE(CONTROL!$C$9, $C$13, 100%, $E$13) + CHOOSE(CONTROL!$C$28, 0.0003, 0)</f>
        <v>73.614399999999989</v>
      </c>
      <c r="C703" s="4">
        <f>73.3016 * CHOOSE(CONTROL!$C$9, $C$13, 100%, $E$13) + CHOOSE(CONTROL!$C$28, 0.0003, 0)</f>
        <v>73.301899999999989</v>
      </c>
      <c r="D703" s="4">
        <f>70.3069 * CHOOSE(CONTROL!$C$9, $C$13, 100%, $E$13) + CHOOSE(CONTROL!$C$28, 0, 0)</f>
        <v>70.306899999999999</v>
      </c>
      <c r="E703" s="4">
        <f>413.541764741532 * CHOOSE(CONTROL!$C$9, $C$13, 100%, $E$13) + CHOOSE(CONTROL!$C$28, 0, 0)</f>
        <v>413.54176474153201</v>
      </c>
    </row>
    <row r="704" spans="1:5" ht="15">
      <c r="A704" s="13">
        <v>62944</v>
      </c>
      <c r="B704" s="4">
        <f>76.5404 * CHOOSE(CONTROL!$C$9, $C$13, 100%, $E$13) + CHOOSE(CONTROL!$C$28, 0.0003, 0)</f>
        <v>76.540700000000001</v>
      </c>
      <c r="C704" s="4">
        <f>76.2279 * CHOOSE(CONTROL!$C$9, $C$13, 100%, $E$13) + CHOOSE(CONTROL!$C$28, 0.0003, 0)</f>
        <v>76.228200000000001</v>
      </c>
      <c r="D704" s="4">
        <f>72.3362 * CHOOSE(CONTROL!$C$9, $C$13, 100%, $E$13) + CHOOSE(CONTROL!$C$28, 0, 0)</f>
        <v>72.336200000000005</v>
      </c>
      <c r="E704" s="4">
        <f>430.410378239561 * CHOOSE(CONTROL!$C$9, $C$13, 100%, $E$13) + CHOOSE(CONTROL!$C$28, 0, 0)</f>
        <v>430.410378239561</v>
      </c>
    </row>
    <row r="705" spans="1:5" ht="15">
      <c r="A705" s="13">
        <v>62975</v>
      </c>
      <c r="B705" s="4">
        <f>78.3283 * CHOOSE(CONTROL!$C$9, $C$13, 100%, $E$13) + CHOOSE(CONTROL!$C$28, 0.0276, 0)</f>
        <v>78.355900000000005</v>
      </c>
      <c r="C705" s="4">
        <f>78.0158 * CHOOSE(CONTROL!$C$9, $C$13, 100%, $E$13) + CHOOSE(CONTROL!$C$28, 0.0276, 0)</f>
        <v>78.043400000000005</v>
      </c>
      <c r="D705" s="4">
        <f>71.5343 * CHOOSE(CONTROL!$C$9, $C$13, 100%, $E$13) + CHOOSE(CONTROL!$C$28, 0, 0)</f>
        <v>71.534300000000002</v>
      </c>
      <c r="E705" s="4">
        <f>440.716696802615 * CHOOSE(CONTROL!$C$9, $C$13, 100%, $E$13) + CHOOSE(CONTROL!$C$28, 0, 0)</f>
        <v>440.71669680261499</v>
      </c>
    </row>
    <row r="706" spans="1:5" ht="15">
      <c r="A706" s="13">
        <v>63005</v>
      </c>
      <c r="B706" s="4">
        <f>78.5702 * CHOOSE(CONTROL!$C$9, $C$13, 100%, $E$13) + CHOOSE(CONTROL!$C$28, 0.0276, 0)</f>
        <v>78.597800000000007</v>
      </c>
      <c r="C706" s="4">
        <f>78.2577 * CHOOSE(CONTROL!$C$9, $C$13, 100%, $E$13) + CHOOSE(CONTROL!$C$28, 0.0276, 0)</f>
        <v>78.285300000000007</v>
      </c>
      <c r="D706" s="4">
        <f>72.1874 * CHOOSE(CONTROL!$C$9, $C$13, 100%, $E$13) + CHOOSE(CONTROL!$C$28, 0, 0)</f>
        <v>72.187399999999997</v>
      </c>
      <c r="E706" s="4">
        <f>442.111184476297 * CHOOSE(CONTROL!$C$9, $C$13, 100%, $E$13) + CHOOSE(CONTROL!$C$28, 0, 0)</f>
        <v>442.11118447629701</v>
      </c>
    </row>
    <row r="707" spans="1:5" ht="15">
      <c r="A707" s="13">
        <v>63036</v>
      </c>
      <c r="B707" s="4">
        <f>78.5458 * CHOOSE(CONTROL!$C$9, $C$13, 100%, $E$13) + CHOOSE(CONTROL!$C$28, 0.0276, 0)</f>
        <v>78.573400000000007</v>
      </c>
      <c r="C707" s="4">
        <f>78.2333 * CHOOSE(CONTROL!$C$9, $C$13, 100%, $E$13) + CHOOSE(CONTROL!$C$28, 0.0276, 0)</f>
        <v>78.260900000000007</v>
      </c>
      <c r="D707" s="4">
        <f>73.3658 * CHOOSE(CONTROL!$C$9, $C$13, 100%, $E$13) + CHOOSE(CONTROL!$C$28, 0, 0)</f>
        <v>73.365799999999993</v>
      </c>
      <c r="E707" s="4">
        <f>441.970563870547 * CHOOSE(CONTROL!$C$9, $C$13, 100%, $E$13) + CHOOSE(CONTROL!$C$28, 0, 0)</f>
        <v>441.97056387054698</v>
      </c>
    </row>
    <row r="708" spans="1:5" ht="15">
      <c r="A708" s="13">
        <v>63067</v>
      </c>
      <c r="B708" s="4">
        <f>80.3815 * CHOOSE(CONTROL!$C$9, $C$13, 100%, $E$13) + CHOOSE(CONTROL!$C$28, 0.0276, 0)</f>
        <v>80.409100000000009</v>
      </c>
      <c r="C708" s="4">
        <f>80.069 * CHOOSE(CONTROL!$C$9, $C$13, 100%, $E$13) + CHOOSE(CONTROL!$C$28, 0.0276, 0)</f>
        <v>80.096600000000009</v>
      </c>
      <c r="D708" s="4">
        <f>72.5876 * CHOOSE(CONTROL!$C$9, $C$13, 100%, $E$13) + CHOOSE(CONTROL!$C$28, 0, 0)</f>
        <v>72.587599999999995</v>
      </c>
      <c r="E708" s="4">
        <f>452.552264453194 * CHOOSE(CONTROL!$C$9, $C$13, 100%, $E$13) + CHOOSE(CONTROL!$C$28, 0, 0)</f>
        <v>452.55226445319403</v>
      </c>
    </row>
    <row r="709" spans="1:5" ht="15">
      <c r="A709" s="13">
        <v>63097</v>
      </c>
      <c r="B709" s="4">
        <f>77.2529 * CHOOSE(CONTROL!$C$9, $C$13, 100%, $E$13) + CHOOSE(CONTROL!$C$28, 0.0276, 0)</f>
        <v>77.280500000000004</v>
      </c>
      <c r="C709" s="4">
        <f>76.9404 * CHOOSE(CONTROL!$C$9, $C$13, 100%, $E$13) + CHOOSE(CONTROL!$C$28, 0.0276, 0)</f>
        <v>76.968000000000004</v>
      </c>
      <c r="D709" s="4">
        <f>72.2199 * CHOOSE(CONTROL!$C$9, $C$13, 100%, $E$13) + CHOOSE(CONTROL!$C$28, 0, 0)</f>
        <v>72.219899999999996</v>
      </c>
      <c r="E709" s="4">
        <f>434.517671765826 * CHOOSE(CONTROL!$C$9, $C$13, 100%, $E$13) + CHOOSE(CONTROL!$C$28, 0, 0)</f>
        <v>434.51767176582598</v>
      </c>
    </row>
    <row r="710" spans="1:5" ht="15">
      <c r="A710" s="13">
        <v>63128</v>
      </c>
      <c r="B710" s="4">
        <f>74.7485 * CHOOSE(CONTROL!$C$9, $C$13, 100%, $E$13) + CHOOSE(CONTROL!$C$28, 0.0003, 0)</f>
        <v>74.748800000000003</v>
      </c>
      <c r="C710" s="4">
        <f>74.436 * CHOOSE(CONTROL!$C$9, $C$13, 100%, $E$13) + CHOOSE(CONTROL!$C$28, 0.0003, 0)</f>
        <v>74.436300000000003</v>
      </c>
      <c r="D710" s="4">
        <f>71.2354 * CHOOSE(CONTROL!$C$9, $C$13, 100%, $E$13) + CHOOSE(CONTROL!$C$28, 0, 0)</f>
        <v>71.235399999999998</v>
      </c>
      <c r="E710" s="4">
        <f>420.080622908882 * CHOOSE(CONTROL!$C$9, $C$13, 100%, $E$13) + CHOOSE(CONTROL!$C$28, 0, 0)</f>
        <v>420.08062290888199</v>
      </c>
    </row>
    <row r="711" spans="1:5" ht="15">
      <c r="A711" s="13">
        <v>63158</v>
      </c>
      <c r="B711" s="4">
        <f>73.1354 * CHOOSE(CONTROL!$C$9, $C$13, 100%, $E$13) + CHOOSE(CONTROL!$C$28, 0.0003, 0)</f>
        <v>73.1357</v>
      </c>
      <c r="C711" s="4">
        <f>72.8229 * CHOOSE(CONTROL!$C$9, $C$13, 100%, $E$13) + CHOOSE(CONTROL!$C$28, 0.0003, 0)</f>
        <v>72.8232</v>
      </c>
      <c r="D711" s="4">
        <f>70.8969 * CHOOSE(CONTROL!$C$9, $C$13, 100%, $E$13) + CHOOSE(CONTROL!$C$28, 0, 0)</f>
        <v>70.896900000000002</v>
      </c>
      <c r="E711" s="4">
        <f>410.782085353699 * CHOOSE(CONTROL!$C$9, $C$13, 100%, $E$13) + CHOOSE(CONTROL!$C$28, 0, 0)</f>
        <v>410.78208535369902</v>
      </c>
    </row>
    <row r="712" spans="1:5" ht="15">
      <c r="A712" s="13">
        <v>63189</v>
      </c>
      <c r="B712" s="4">
        <f>72.0194 * CHOOSE(CONTROL!$C$9, $C$13, 100%, $E$13) + CHOOSE(CONTROL!$C$28, 0.0003, 0)</f>
        <v>72.0197</v>
      </c>
      <c r="C712" s="4">
        <f>71.7069 * CHOOSE(CONTROL!$C$9, $C$13, 100%, $E$13) + CHOOSE(CONTROL!$C$28, 0.0003, 0)</f>
        <v>71.7072</v>
      </c>
      <c r="D712" s="4">
        <f>68.4051 * CHOOSE(CONTROL!$C$9, $C$13, 100%, $E$13) + CHOOSE(CONTROL!$C$28, 0, 0)</f>
        <v>68.405100000000004</v>
      </c>
      <c r="E712" s="4">
        <f>404.348692640661 * CHOOSE(CONTROL!$C$9, $C$13, 100%, $E$13) + CHOOSE(CONTROL!$C$28, 0, 0)</f>
        <v>404.348692640661</v>
      </c>
    </row>
    <row r="713" spans="1:5" ht="15">
      <c r="A713" s="13">
        <v>63220</v>
      </c>
      <c r="B713" s="4">
        <f>70.2061 * CHOOSE(CONTROL!$C$9, $C$13, 100%, $E$13) + CHOOSE(CONTROL!$C$28, 0.0003, 0)</f>
        <v>70.206400000000002</v>
      </c>
      <c r="C713" s="4">
        <f>69.8936 * CHOOSE(CONTROL!$C$9, $C$13, 100%, $E$13) + CHOOSE(CONTROL!$C$28, 0.0003, 0)</f>
        <v>69.893900000000002</v>
      </c>
      <c r="D713" s="4">
        <f>66.1148 * CHOOSE(CONTROL!$C$9, $C$13, 100%, $E$13) + CHOOSE(CONTROL!$C$28, 0, 0)</f>
        <v>66.114800000000002</v>
      </c>
      <c r="E713" s="4">
        <f>392.753512986014 * CHOOSE(CONTROL!$C$9, $C$13, 100%, $E$13) + CHOOSE(CONTROL!$C$28, 0, 0)</f>
        <v>392.75351298601402</v>
      </c>
    </row>
    <row r="714" spans="1:5" ht="15">
      <c r="A714" s="13">
        <v>63248</v>
      </c>
      <c r="B714" s="4">
        <f>71.8285 * CHOOSE(CONTROL!$C$9, $C$13, 100%, $E$13) + CHOOSE(CONTROL!$C$28, 0.0003, 0)</f>
        <v>71.828800000000001</v>
      </c>
      <c r="C714" s="4">
        <f>71.516 * CHOOSE(CONTROL!$C$9, $C$13, 100%, $E$13) + CHOOSE(CONTROL!$C$28, 0.0003, 0)</f>
        <v>71.516300000000001</v>
      </c>
      <c r="D714" s="4">
        <f>68.4211 * CHOOSE(CONTROL!$C$9, $C$13, 100%, $E$13) + CHOOSE(CONTROL!$C$28, 0, 0)</f>
        <v>68.421099999999996</v>
      </c>
      <c r="E714" s="4">
        <f>402.079029190329 * CHOOSE(CONTROL!$C$9, $C$13, 100%, $E$13) + CHOOSE(CONTROL!$C$28, 0, 0)</f>
        <v>402.07902919032898</v>
      </c>
    </row>
    <row r="715" spans="1:5" ht="15">
      <c r="A715" s="13">
        <v>63279</v>
      </c>
      <c r="B715" s="4">
        <f>76.0891 * CHOOSE(CONTROL!$C$9, $C$13, 100%, $E$13) + CHOOSE(CONTROL!$C$28, 0.0003, 0)</f>
        <v>76.089399999999998</v>
      </c>
      <c r="C715" s="4">
        <f>75.7766 * CHOOSE(CONTROL!$C$9, $C$13, 100%, $E$13) + CHOOSE(CONTROL!$C$28, 0.0003, 0)</f>
        <v>75.776899999999998</v>
      </c>
      <c r="D715" s="4">
        <f>72.0314 * CHOOSE(CONTROL!$C$9, $C$13, 100%, $E$13) + CHOOSE(CONTROL!$C$28, 0, 0)</f>
        <v>72.031400000000005</v>
      </c>
      <c r="E715" s="4">
        <f>426.56833033089 * CHOOSE(CONTROL!$C$9, $C$13, 100%, $E$13) + CHOOSE(CONTROL!$C$28, 0, 0)</f>
        <v>426.56833033088998</v>
      </c>
    </row>
    <row r="716" spans="1:5" ht="15">
      <c r="A716" s="13">
        <v>63309</v>
      </c>
      <c r="B716" s="4">
        <f>79.1164 * CHOOSE(CONTROL!$C$9, $C$13, 100%, $E$13) + CHOOSE(CONTROL!$C$28, 0.0003, 0)</f>
        <v>79.116699999999994</v>
      </c>
      <c r="C716" s="4">
        <f>78.8039 * CHOOSE(CONTROL!$C$9, $C$13, 100%, $E$13) + CHOOSE(CONTROL!$C$28, 0.0003, 0)</f>
        <v>78.804199999999994</v>
      </c>
      <c r="D716" s="4">
        <f>74.1111 * CHOOSE(CONTROL!$C$9, $C$13, 100%, $E$13) + CHOOSE(CONTROL!$C$28, 0, 0)</f>
        <v>74.111099999999993</v>
      </c>
      <c r="E716" s="4">
        <f>443.968305154107 * CHOOSE(CONTROL!$C$9, $C$13, 100%, $E$13) + CHOOSE(CONTROL!$C$28, 0, 0)</f>
        <v>443.96830515410699</v>
      </c>
    </row>
    <row r="717" spans="1:5" ht="15">
      <c r="A717" s="13">
        <v>63340</v>
      </c>
      <c r="B717" s="4">
        <f>80.9659 * CHOOSE(CONTROL!$C$9, $C$13, 100%, $E$13) + CHOOSE(CONTROL!$C$28, 0.0276, 0)</f>
        <v>80.993500000000012</v>
      </c>
      <c r="C717" s="4">
        <f>80.6534 * CHOOSE(CONTROL!$C$9, $C$13, 100%, $E$13) + CHOOSE(CONTROL!$C$28, 0.0276, 0)</f>
        <v>80.681000000000012</v>
      </c>
      <c r="D717" s="4">
        <f>73.2893 * CHOOSE(CONTROL!$C$9, $C$13, 100%, $E$13) + CHOOSE(CONTROL!$C$28, 0, 0)</f>
        <v>73.289299999999997</v>
      </c>
      <c r="E717" s="4">
        <f>454.599272751897 * CHOOSE(CONTROL!$C$9, $C$13, 100%, $E$13) + CHOOSE(CONTROL!$C$28, 0, 0)</f>
        <v>454.59927275189699</v>
      </c>
    </row>
    <row r="718" spans="1:5" ht="15">
      <c r="A718" s="13">
        <v>63370</v>
      </c>
      <c r="B718" s="4">
        <f>81.2162 * CHOOSE(CONTROL!$C$9, $C$13, 100%, $E$13) + CHOOSE(CONTROL!$C$28, 0.0276, 0)</f>
        <v>81.243800000000007</v>
      </c>
      <c r="C718" s="4">
        <f>80.9037 * CHOOSE(CONTROL!$C$9, $C$13, 100%, $E$13) + CHOOSE(CONTROL!$C$28, 0.0276, 0)</f>
        <v>80.931300000000007</v>
      </c>
      <c r="D718" s="4">
        <f>73.9586 * CHOOSE(CONTROL!$C$9, $C$13, 100%, $E$13) + CHOOSE(CONTROL!$C$28, 0, 0)</f>
        <v>73.958600000000004</v>
      </c>
      <c r="E718" s="4">
        <f>456.0376867873 * CHOOSE(CONTROL!$C$9, $C$13, 100%, $E$13) + CHOOSE(CONTROL!$C$28, 0, 0)</f>
        <v>456.0376867873</v>
      </c>
    </row>
    <row r="719" spans="1:5" ht="15">
      <c r="A719" s="13">
        <v>63401</v>
      </c>
      <c r="B719" s="4">
        <f>81.191 * CHOOSE(CONTROL!$C$9, $C$13, 100%, $E$13) + CHOOSE(CONTROL!$C$28, 0.0276, 0)</f>
        <v>81.218600000000009</v>
      </c>
      <c r="C719" s="4">
        <f>80.8785 * CHOOSE(CONTROL!$C$9, $C$13, 100%, $E$13) + CHOOSE(CONTROL!$C$28, 0.0276, 0)</f>
        <v>80.906100000000009</v>
      </c>
      <c r="D719" s="4">
        <f>75.1662 * CHOOSE(CONTROL!$C$9, $C$13, 100%, $E$13) + CHOOSE(CONTROL!$C$28, 0, 0)</f>
        <v>75.166200000000003</v>
      </c>
      <c r="E719" s="4">
        <f>455.892636632469 * CHOOSE(CONTROL!$C$9, $C$13, 100%, $E$13) + CHOOSE(CONTROL!$C$28, 0, 0)</f>
        <v>455.89263663246902</v>
      </c>
    </row>
    <row r="720" spans="1:5" ht="15">
      <c r="A720" s="13">
        <v>63432</v>
      </c>
      <c r="B720" s="4">
        <f>83.09 * CHOOSE(CONTROL!$C$9, $C$13, 100%, $E$13) + CHOOSE(CONTROL!$C$28, 0.0276, 0)</f>
        <v>83.11760000000001</v>
      </c>
      <c r="C720" s="4">
        <f>82.7775 * CHOOSE(CONTROL!$C$9, $C$13, 100%, $E$13) + CHOOSE(CONTROL!$C$28, 0.0276, 0)</f>
        <v>82.80510000000001</v>
      </c>
      <c r="D720" s="4">
        <f>74.3687 * CHOOSE(CONTROL!$C$9, $C$13, 100%, $E$13) + CHOOSE(CONTROL!$C$28, 0, 0)</f>
        <v>74.368700000000004</v>
      </c>
      <c r="E720" s="4">
        <f>466.80766078347 * CHOOSE(CONTROL!$C$9, $C$13, 100%, $E$13) + CHOOSE(CONTROL!$C$28, 0, 0)</f>
        <v>466.80766078347</v>
      </c>
    </row>
    <row r="721" spans="1:5" ht="15">
      <c r="A721" s="13">
        <v>63462</v>
      </c>
      <c r="B721" s="4">
        <f>79.8535 * CHOOSE(CONTROL!$C$9, $C$13, 100%, $E$13) + CHOOSE(CONTROL!$C$28, 0.0276, 0)</f>
        <v>79.881100000000004</v>
      </c>
      <c r="C721" s="4">
        <f>79.541 * CHOOSE(CONTROL!$C$9, $C$13, 100%, $E$13) + CHOOSE(CONTROL!$C$28, 0.0276, 0)</f>
        <v>79.568600000000004</v>
      </c>
      <c r="D721" s="4">
        <f>73.9919 * CHOOSE(CONTROL!$C$9, $C$13, 100%, $E$13) + CHOOSE(CONTROL!$C$28, 0, 0)</f>
        <v>73.991900000000001</v>
      </c>
      <c r="E721" s="4">
        <f>448.20497842645 * CHOOSE(CONTROL!$C$9, $C$13, 100%, $E$13) + CHOOSE(CONTROL!$C$28, 0, 0)</f>
        <v>448.20497842645</v>
      </c>
    </row>
    <row r="722" spans="1:5" ht="15">
      <c r="A722" s="13">
        <v>63493</v>
      </c>
      <c r="B722" s="4">
        <f>77.2626 * CHOOSE(CONTROL!$C$9, $C$13, 100%, $E$13) + CHOOSE(CONTROL!$C$28, 0.0003, 0)</f>
        <v>77.262900000000002</v>
      </c>
      <c r="C722" s="4">
        <f>76.9501 * CHOOSE(CONTROL!$C$9, $C$13, 100%, $E$13) + CHOOSE(CONTROL!$C$28, 0.0003, 0)</f>
        <v>76.950400000000002</v>
      </c>
      <c r="D722" s="4">
        <f>72.9829 * CHOOSE(CONTROL!$C$9, $C$13, 100%, $E$13) + CHOOSE(CONTROL!$C$28, 0, 0)</f>
        <v>72.982900000000001</v>
      </c>
      <c r="E722" s="4">
        <f>433.313162530511 * CHOOSE(CONTROL!$C$9, $C$13, 100%, $E$13) + CHOOSE(CONTROL!$C$28, 0, 0)</f>
        <v>433.31316253051102</v>
      </c>
    </row>
    <row r="723" spans="1:5" ht="15">
      <c r="A723" s="13">
        <v>63523</v>
      </c>
      <c r="B723" s="4">
        <f>75.5939 * CHOOSE(CONTROL!$C$9, $C$13, 100%, $E$13) + CHOOSE(CONTROL!$C$28, 0.0003, 0)</f>
        <v>75.594200000000001</v>
      </c>
      <c r="C723" s="4">
        <f>75.2814 * CHOOSE(CONTROL!$C$9, $C$13, 100%, $E$13) + CHOOSE(CONTROL!$C$28, 0.0003, 0)</f>
        <v>75.281700000000001</v>
      </c>
      <c r="D723" s="4">
        <f>72.6361 * CHOOSE(CONTROL!$C$9, $C$13, 100%, $E$13) + CHOOSE(CONTROL!$C$28, 0, 0)</f>
        <v>72.636099999999999</v>
      </c>
      <c r="E723" s="4">
        <f>423.72172104234 * CHOOSE(CONTROL!$C$9, $C$13, 100%, $E$13) + CHOOSE(CONTROL!$C$28, 0, 0)</f>
        <v>423.72172104233999</v>
      </c>
    </row>
    <row r="724" spans="1:5" ht="15">
      <c r="A724" s="13">
        <v>63554</v>
      </c>
      <c r="B724" s="4">
        <f>74.4394 * CHOOSE(CONTROL!$C$9, $C$13, 100%, $E$13) + CHOOSE(CONTROL!$C$28, 0.0003, 0)</f>
        <v>74.439700000000002</v>
      </c>
      <c r="C724" s="4">
        <f>74.1269 * CHOOSE(CONTROL!$C$9, $C$13, 100%, $E$13) + CHOOSE(CONTROL!$C$28, 0.0003, 0)</f>
        <v>74.127200000000002</v>
      </c>
      <c r="D724" s="4">
        <f>70.0824 * CHOOSE(CONTROL!$C$9, $C$13, 100%, $E$13) + CHOOSE(CONTROL!$C$28, 0, 0)</f>
        <v>70.082400000000007</v>
      </c>
      <c r="E724" s="4">
        <f>417.085676458842 * CHOOSE(CONTROL!$C$9, $C$13, 100%, $E$13) + CHOOSE(CONTROL!$C$28, 0, 0)</f>
        <v>417.08567645884199</v>
      </c>
    </row>
    <row r="725" spans="1:5" ht="15">
      <c r="A725" s="13">
        <v>63585</v>
      </c>
      <c r="B725" s="4">
        <f>72.5635 * CHOOSE(CONTROL!$C$9, $C$13, 100%, $E$13) + CHOOSE(CONTROL!$C$28, 0.0003, 0)</f>
        <v>72.563800000000001</v>
      </c>
      <c r="C725" s="4">
        <f>72.251 * CHOOSE(CONTROL!$C$9, $C$13, 100%, $E$13) + CHOOSE(CONTROL!$C$28, 0.0003, 0)</f>
        <v>72.251300000000001</v>
      </c>
      <c r="D725" s="4">
        <f>67.7354 * CHOOSE(CONTROL!$C$9, $C$13, 100%, $E$13) + CHOOSE(CONTROL!$C$28, 0, 0)</f>
        <v>67.735399999999998</v>
      </c>
      <c r="E725" s="4">
        <f>405.125248645074 * CHOOSE(CONTROL!$C$9, $C$13, 100%, $E$13) + CHOOSE(CONTROL!$C$28, 0, 0)</f>
        <v>405.12524864507401</v>
      </c>
    </row>
    <row r="726" spans="1:5" ht="15">
      <c r="A726" s="13">
        <v>63613</v>
      </c>
      <c r="B726" s="4">
        <f>74.2419 * CHOOSE(CONTROL!$C$9, $C$13, 100%, $E$13) + CHOOSE(CONTROL!$C$28, 0.0003, 0)</f>
        <v>74.242199999999997</v>
      </c>
      <c r="C726" s="4">
        <f>73.9294 * CHOOSE(CONTROL!$C$9, $C$13, 100%, $E$13) + CHOOSE(CONTROL!$C$28, 0.0003, 0)</f>
        <v>73.929699999999997</v>
      </c>
      <c r="D726" s="4">
        <f>70.0989 * CHOOSE(CONTROL!$C$9, $C$13, 100%, $E$13) + CHOOSE(CONTROL!$C$28, 0, 0)</f>
        <v>70.0989</v>
      </c>
      <c r="E726" s="4">
        <f>414.744518609825 * CHOOSE(CONTROL!$C$9, $C$13, 100%, $E$13) + CHOOSE(CONTROL!$C$28, 0, 0)</f>
        <v>414.74451860982498</v>
      </c>
    </row>
    <row r="727" spans="1:5" ht="15">
      <c r="A727" s="13">
        <v>63644</v>
      </c>
      <c r="B727" s="4">
        <f>78.6495 * CHOOSE(CONTROL!$C$9, $C$13, 100%, $E$13) + CHOOSE(CONTROL!$C$28, 0.0003, 0)</f>
        <v>78.649799999999999</v>
      </c>
      <c r="C727" s="4">
        <f>78.337 * CHOOSE(CONTROL!$C$9, $C$13, 100%, $E$13) + CHOOSE(CONTROL!$C$28, 0.0003, 0)</f>
        <v>78.337299999999999</v>
      </c>
      <c r="D727" s="4">
        <f>73.7987 * CHOOSE(CONTROL!$C$9, $C$13, 100%, $E$13) + CHOOSE(CONTROL!$C$28, 0, 0)</f>
        <v>73.798699999999997</v>
      </c>
      <c r="E727" s="4">
        <f>440.005232736313 * CHOOSE(CONTROL!$C$9, $C$13, 100%, $E$13) + CHOOSE(CONTROL!$C$28, 0, 0)</f>
        <v>440.00523273631302</v>
      </c>
    </row>
    <row r="728" spans="1:5" ht="15">
      <c r="A728" s="13">
        <v>63674</v>
      </c>
      <c r="B728" s="4">
        <f>81.7812 * CHOOSE(CONTROL!$C$9, $C$13, 100%, $E$13) + CHOOSE(CONTROL!$C$28, 0.0003, 0)</f>
        <v>81.781499999999994</v>
      </c>
      <c r="C728" s="4">
        <f>81.4687 * CHOOSE(CONTROL!$C$9, $C$13, 100%, $E$13) + CHOOSE(CONTROL!$C$28, 0.0003, 0)</f>
        <v>81.468999999999994</v>
      </c>
      <c r="D728" s="4">
        <f>75.9299 * CHOOSE(CONTROL!$C$9, $C$13, 100%, $E$13) + CHOOSE(CONTROL!$C$28, 0, 0)</f>
        <v>75.929900000000004</v>
      </c>
      <c r="E728" s="4">
        <f>457.953306766461 * CHOOSE(CONTROL!$C$9, $C$13, 100%, $E$13) + CHOOSE(CONTROL!$C$28, 0, 0)</f>
        <v>457.95330676646103</v>
      </c>
    </row>
    <row r="729" spans="1:5" ht="15">
      <c r="A729" s="13">
        <v>63705</v>
      </c>
      <c r="B729" s="4">
        <f>83.6946 * CHOOSE(CONTROL!$C$9, $C$13, 100%, $E$13) + CHOOSE(CONTROL!$C$28, 0.0276, 0)</f>
        <v>83.722200000000001</v>
      </c>
      <c r="C729" s="4">
        <f>83.3821 * CHOOSE(CONTROL!$C$9, $C$13, 100%, $E$13) + CHOOSE(CONTROL!$C$28, 0.0276, 0)</f>
        <v>83.409700000000001</v>
      </c>
      <c r="D729" s="4">
        <f>75.0878 * CHOOSE(CONTROL!$C$9, $C$13, 100%, $E$13) + CHOOSE(CONTROL!$C$28, 0, 0)</f>
        <v>75.087800000000001</v>
      </c>
      <c r="E729" s="4">
        <f>468.919149843582 * CHOOSE(CONTROL!$C$9, $C$13, 100%, $E$13) + CHOOSE(CONTROL!$C$28, 0, 0)</f>
        <v>468.91914984358198</v>
      </c>
    </row>
    <row r="730" spans="1:5" ht="15">
      <c r="A730" s="13">
        <v>63735</v>
      </c>
      <c r="B730" s="4">
        <f>83.9535 * CHOOSE(CONTROL!$C$9, $C$13, 100%, $E$13) + CHOOSE(CONTROL!$C$28, 0.0276, 0)</f>
        <v>83.981100000000012</v>
      </c>
      <c r="C730" s="4">
        <f>83.641 * CHOOSE(CONTROL!$C$9, $C$13, 100%, $E$13) + CHOOSE(CONTROL!$C$28, 0.0276, 0)</f>
        <v>83.668600000000012</v>
      </c>
      <c r="D730" s="4">
        <f>75.7737 * CHOOSE(CONTROL!$C$9, $C$13, 100%, $E$13) + CHOOSE(CONTROL!$C$28, 0, 0)</f>
        <v>75.773700000000005</v>
      </c>
      <c r="E730" s="4">
        <f>470.4028739211 * CHOOSE(CONTROL!$C$9, $C$13, 100%, $E$13) + CHOOSE(CONTROL!$C$28, 0, 0)</f>
        <v>470.40287392110002</v>
      </c>
    </row>
    <row r="731" spans="1:5" ht="15">
      <c r="A731" s="13">
        <v>63766</v>
      </c>
      <c r="B731" s="4">
        <f>83.9274 * CHOOSE(CONTROL!$C$9, $C$13, 100%, $E$13) + CHOOSE(CONTROL!$C$28, 0.0276, 0)</f>
        <v>83.955000000000013</v>
      </c>
      <c r="C731" s="4">
        <f>83.6149 * CHOOSE(CONTROL!$C$9, $C$13, 100%, $E$13) + CHOOSE(CONTROL!$C$28, 0.0276, 0)</f>
        <v>83.642500000000013</v>
      </c>
      <c r="D731" s="4">
        <f>77.0112 * CHOOSE(CONTROL!$C$9, $C$13, 100%, $E$13) + CHOOSE(CONTROL!$C$28, 0, 0)</f>
        <v>77.011200000000002</v>
      </c>
      <c r="E731" s="4">
        <f>470.253254686392 * CHOOSE(CONTROL!$C$9, $C$13, 100%, $E$13) + CHOOSE(CONTROL!$C$28, 0, 0)</f>
        <v>470.25325468639198</v>
      </c>
    </row>
    <row r="732" spans="1:5" ht="15">
      <c r="A732" s="13">
        <v>63797</v>
      </c>
      <c r="B732" s="4">
        <f>85.8919 * CHOOSE(CONTROL!$C$9, $C$13, 100%, $E$13) + CHOOSE(CONTROL!$C$28, 0.0276, 0)</f>
        <v>85.919500000000014</v>
      </c>
      <c r="C732" s="4">
        <f>85.5794 * CHOOSE(CONTROL!$C$9, $C$13, 100%, $E$13) + CHOOSE(CONTROL!$C$28, 0.0276, 0)</f>
        <v>85.607000000000014</v>
      </c>
      <c r="D732" s="4">
        <f>76.1939 * CHOOSE(CONTROL!$C$9, $C$13, 100%, $E$13) + CHOOSE(CONTROL!$C$28, 0, 0)</f>
        <v>76.193899999999999</v>
      </c>
      <c r="E732" s="4">
        <f>481.512102098149 * CHOOSE(CONTROL!$C$9, $C$13, 100%, $E$13) + CHOOSE(CONTROL!$C$28, 0, 0)</f>
        <v>481.512102098149</v>
      </c>
    </row>
    <row r="733" spans="1:5" ht="15">
      <c r="A733" s="13">
        <v>63827</v>
      </c>
      <c r="B733" s="4">
        <f>82.5437 * CHOOSE(CONTROL!$C$9, $C$13, 100%, $E$13) + CHOOSE(CONTROL!$C$28, 0.0276, 0)</f>
        <v>82.571300000000008</v>
      </c>
      <c r="C733" s="4">
        <f>82.2312 * CHOOSE(CONTROL!$C$9, $C$13, 100%, $E$13) + CHOOSE(CONTROL!$C$28, 0.0276, 0)</f>
        <v>82.258800000000008</v>
      </c>
      <c r="D733" s="4">
        <f>75.8078 * CHOOSE(CONTROL!$C$9, $C$13, 100%, $E$13) + CHOOSE(CONTROL!$C$28, 0, 0)</f>
        <v>75.8078</v>
      </c>
      <c r="E733" s="4">
        <f>462.323435246883 * CHOOSE(CONTROL!$C$9, $C$13, 100%, $E$13) + CHOOSE(CONTROL!$C$28, 0, 0)</f>
        <v>462.32343524688298</v>
      </c>
    </row>
    <row r="734" spans="1:5" ht="15">
      <c r="A734" s="13">
        <v>63858</v>
      </c>
      <c r="B734" s="4">
        <f>79.8635 * CHOOSE(CONTROL!$C$9, $C$13, 100%, $E$13) + CHOOSE(CONTROL!$C$28, 0.0003, 0)</f>
        <v>79.863799999999998</v>
      </c>
      <c r="C734" s="4">
        <f>79.551 * CHOOSE(CONTROL!$C$9, $C$13, 100%, $E$13) + CHOOSE(CONTROL!$C$28, 0.0003, 0)</f>
        <v>79.551299999999998</v>
      </c>
      <c r="D734" s="4">
        <f>74.7738 * CHOOSE(CONTROL!$C$9, $C$13, 100%, $E$13) + CHOOSE(CONTROL!$C$28, 0, 0)</f>
        <v>74.773799999999994</v>
      </c>
      <c r="E734" s="4">
        <f>446.962527150222 * CHOOSE(CONTROL!$C$9, $C$13, 100%, $E$13) + CHOOSE(CONTROL!$C$28, 0, 0)</f>
        <v>446.962527150222</v>
      </c>
    </row>
    <row r="735" spans="1:5" ht="15">
      <c r="A735" s="13">
        <v>63888</v>
      </c>
      <c r="B735" s="4">
        <f>78.1372 * CHOOSE(CONTROL!$C$9, $C$13, 100%, $E$13) + CHOOSE(CONTROL!$C$28, 0.0003, 0)</f>
        <v>78.137500000000003</v>
      </c>
      <c r="C735" s="4">
        <f>77.8247 * CHOOSE(CONTROL!$C$9, $C$13, 100%, $E$13) + CHOOSE(CONTROL!$C$28, 0.0003, 0)</f>
        <v>77.825000000000003</v>
      </c>
      <c r="D735" s="4">
        <f>74.4184 * CHOOSE(CONTROL!$C$9, $C$13, 100%, $E$13) + CHOOSE(CONTROL!$C$28, 0, 0)</f>
        <v>74.418400000000005</v>
      </c>
      <c r="E735" s="4">
        <f>437.068955255174 * CHOOSE(CONTROL!$C$9, $C$13, 100%, $E$13) + CHOOSE(CONTROL!$C$28, 0, 0)</f>
        <v>437.06895525517399</v>
      </c>
    </row>
    <row r="736" spans="1:5" ht="15">
      <c r="A736" s="13">
        <v>63919</v>
      </c>
      <c r="B736" s="4">
        <f>76.9428 * CHOOSE(CONTROL!$C$9, $C$13, 100%, $E$13) + CHOOSE(CONTROL!$C$28, 0.0003, 0)</f>
        <v>76.943100000000001</v>
      </c>
      <c r="C736" s="4">
        <f>76.6303 * CHOOSE(CONTROL!$C$9, $C$13, 100%, $E$13) + CHOOSE(CONTROL!$C$28, 0.0003, 0)</f>
        <v>76.630600000000001</v>
      </c>
      <c r="D736" s="4">
        <f>71.8014 * CHOOSE(CONTROL!$C$9, $C$13, 100%, $E$13) + CHOOSE(CONTROL!$C$28, 0, 0)</f>
        <v>71.801400000000001</v>
      </c>
      <c r="E736" s="4">
        <f>430.223875267295 * CHOOSE(CONTROL!$C$9, $C$13, 100%, $E$13) + CHOOSE(CONTROL!$C$28, 0, 0)</f>
        <v>430.223875267295</v>
      </c>
    </row>
    <row r="737" spans="1:5" ht="15">
      <c r="A737" s="13">
        <v>63950</v>
      </c>
      <c r="B737" s="4">
        <f>75.0022 * CHOOSE(CONTROL!$C$9, $C$13, 100%, $E$13) + CHOOSE(CONTROL!$C$28, 0.0003, 0)</f>
        <v>75.002499999999998</v>
      </c>
      <c r="C737" s="4">
        <f>74.6897 * CHOOSE(CONTROL!$C$9, $C$13, 100%, $E$13) + CHOOSE(CONTROL!$C$28, 0.0003, 0)</f>
        <v>74.69</v>
      </c>
      <c r="D737" s="4">
        <f>69.3961 * CHOOSE(CONTROL!$C$9, $C$13, 100%, $E$13) + CHOOSE(CONTROL!$C$28, 0, 0)</f>
        <v>69.396100000000004</v>
      </c>
      <c r="E737" s="4">
        <f>417.886693977394 * CHOOSE(CONTROL!$C$9, $C$13, 100%, $E$13) + CHOOSE(CONTROL!$C$28, 0, 0)</f>
        <v>417.88669397739397</v>
      </c>
    </row>
    <row r="738" spans="1:5" ht="15">
      <c r="A738" s="13">
        <v>63978</v>
      </c>
      <c r="B738" s="4">
        <f>76.7386 * CHOOSE(CONTROL!$C$9, $C$13, 100%, $E$13) + CHOOSE(CONTROL!$C$28, 0.0003, 0)</f>
        <v>76.738900000000001</v>
      </c>
      <c r="C738" s="4">
        <f>76.4261 * CHOOSE(CONTROL!$C$9, $C$13, 100%, $E$13) + CHOOSE(CONTROL!$C$28, 0.0003, 0)</f>
        <v>76.426400000000001</v>
      </c>
      <c r="D738" s="4">
        <f>71.8182 * CHOOSE(CONTROL!$C$9, $C$13, 100%, $E$13) + CHOOSE(CONTROL!$C$28, 0, 0)</f>
        <v>71.818200000000004</v>
      </c>
      <c r="E738" s="4">
        <f>427.808970946034 * CHOOSE(CONTROL!$C$9, $C$13, 100%, $E$13) + CHOOSE(CONTROL!$C$28, 0, 0)</f>
        <v>427.80897094603398</v>
      </c>
    </row>
    <row r="739" spans="1:5" ht="15">
      <c r="A739" s="13">
        <v>64009</v>
      </c>
      <c r="B739" s="4">
        <f>81.2982 * CHOOSE(CONTROL!$C$9, $C$13, 100%, $E$13) + CHOOSE(CONTROL!$C$28, 0.0003, 0)</f>
        <v>81.29849999999999</v>
      </c>
      <c r="C739" s="4">
        <f>80.9857 * CHOOSE(CONTROL!$C$9, $C$13, 100%, $E$13) + CHOOSE(CONTROL!$C$28, 0.0003, 0)</f>
        <v>80.98599999999999</v>
      </c>
      <c r="D739" s="4">
        <f>75.6098 * CHOOSE(CONTROL!$C$9, $C$13, 100%, $E$13) + CHOOSE(CONTROL!$C$28, 0, 0)</f>
        <v>75.609800000000007</v>
      </c>
      <c r="E739" s="4">
        <f>453.865397567507 * CHOOSE(CONTROL!$C$9, $C$13, 100%, $E$13) + CHOOSE(CONTROL!$C$28, 0, 0)</f>
        <v>453.86539756750699</v>
      </c>
    </row>
    <row r="740" spans="1:5" ht="15">
      <c r="A740" s="13">
        <v>64039</v>
      </c>
      <c r="B740" s="4">
        <f>84.538 * CHOOSE(CONTROL!$C$9, $C$13, 100%, $E$13) + CHOOSE(CONTROL!$C$28, 0.0003, 0)</f>
        <v>84.538299999999992</v>
      </c>
      <c r="C740" s="4">
        <f>84.2255 * CHOOSE(CONTROL!$C$9, $C$13, 100%, $E$13) + CHOOSE(CONTROL!$C$28, 0.0003, 0)</f>
        <v>84.225799999999992</v>
      </c>
      <c r="D740" s="4">
        <f>77.7939 * CHOOSE(CONTROL!$C$9, $C$13, 100%, $E$13) + CHOOSE(CONTROL!$C$28, 0, 0)</f>
        <v>77.793899999999994</v>
      </c>
      <c r="E740" s="4">
        <f>472.378835929605 * CHOOSE(CONTROL!$C$9, $C$13, 100%, $E$13) + CHOOSE(CONTROL!$C$28, 0, 0)</f>
        <v>472.37883592960497</v>
      </c>
    </row>
    <row r="741" spans="1:5" ht="15">
      <c r="A741" s="13">
        <v>64070</v>
      </c>
      <c r="B741" s="4">
        <f>86.5174 * CHOOSE(CONTROL!$C$9, $C$13, 100%, $E$13) + CHOOSE(CONTROL!$C$28, 0.0276, 0)</f>
        <v>86.545000000000002</v>
      </c>
      <c r="C741" s="4">
        <f>86.2049 * CHOOSE(CONTROL!$C$9, $C$13, 100%, $E$13) + CHOOSE(CONTROL!$C$28, 0.0276, 0)</f>
        <v>86.232500000000002</v>
      </c>
      <c r="D741" s="4">
        <f>76.9309 * CHOOSE(CONTROL!$C$9, $C$13, 100%, $E$13) + CHOOSE(CONTROL!$C$28, 0, 0)</f>
        <v>76.930899999999994</v>
      </c>
      <c r="E741" s="4">
        <f>483.690103063655 * CHOOSE(CONTROL!$C$9, $C$13, 100%, $E$13) + CHOOSE(CONTROL!$C$28, 0, 0)</f>
        <v>483.69010306365499</v>
      </c>
    </row>
    <row r="742" spans="1:5" ht="15">
      <c r="A742" s="13">
        <v>64100</v>
      </c>
      <c r="B742" s="4">
        <f>86.7852 * CHOOSE(CONTROL!$C$9, $C$13, 100%, $E$13) + CHOOSE(CONTROL!$C$28, 0.0276, 0)</f>
        <v>86.81280000000001</v>
      </c>
      <c r="C742" s="4">
        <f>86.4727 * CHOOSE(CONTROL!$C$9, $C$13, 100%, $E$13) + CHOOSE(CONTROL!$C$28, 0.0276, 0)</f>
        <v>86.50030000000001</v>
      </c>
      <c r="D742" s="4">
        <f>77.6337 * CHOOSE(CONTROL!$C$9, $C$13, 100%, $E$13) + CHOOSE(CONTROL!$C$28, 0, 0)</f>
        <v>77.633700000000005</v>
      </c>
      <c r="E742" s="4">
        <f>485.220564449615 * CHOOSE(CONTROL!$C$9, $C$13, 100%, $E$13) + CHOOSE(CONTROL!$C$28, 0, 0)</f>
        <v>485.22056444961498</v>
      </c>
    </row>
    <row r="743" spans="1:5" ht="15">
      <c r="A743" s="13">
        <v>64131</v>
      </c>
      <c r="B743" s="4">
        <f>86.7582 * CHOOSE(CONTROL!$C$9, $C$13, 100%, $E$13) + CHOOSE(CONTROL!$C$28, 0.0276, 0)</f>
        <v>86.785800000000009</v>
      </c>
      <c r="C743" s="4">
        <f>86.4457 * CHOOSE(CONTROL!$C$9, $C$13, 100%, $E$13) + CHOOSE(CONTROL!$C$28, 0.0276, 0)</f>
        <v>86.473300000000009</v>
      </c>
      <c r="D743" s="4">
        <f>78.902 * CHOOSE(CONTROL!$C$9, $C$13, 100%, $E$13) + CHOOSE(CONTROL!$C$28, 0, 0)</f>
        <v>78.902000000000001</v>
      </c>
      <c r="E743" s="4">
        <f>485.066232209014 * CHOOSE(CONTROL!$C$9, $C$13, 100%, $E$13) + CHOOSE(CONTROL!$C$28, 0, 0)</f>
        <v>485.066232209014</v>
      </c>
    </row>
    <row r="744" spans="1:5" ht="15">
      <c r="A744" s="13">
        <v>64162</v>
      </c>
      <c r="B744" s="4">
        <f>88.7905 * CHOOSE(CONTROL!$C$9, $C$13, 100%, $E$13) + CHOOSE(CONTROL!$C$28, 0.0276, 0)</f>
        <v>88.818100000000001</v>
      </c>
      <c r="C744" s="4">
        <f>88.478 * CHOOSE(CONTROL!$C$9, $C$13, 100%, $E$13) + CHOOSE(CONTROL!$C$28, 0.0276, 0)</f>
        <v>88.505600000000001</v>
      </c>
      <c r="D744" s="4">
        <f>78.0644 * CHOOSE(CONTROL!$C$9, $C$13, 100%, $E$13) + CHOOSE(CONTROL!$C$28, 0, 0)</f>
        <v>78.064400000000006</v>
      </c>
      <c r="E744" s="4">
        <f>496.679733314241 * CHOOSE(CONTROL!$C$9, $C$13, 100%, $E$13) + CHOOSE(CONTROL!$C$28, 0, 0)</f>
        <v>496.67973331424099</v>
      </c>
    </row>
    <row r="745" spans="1:5" ht="15">
      <c r="A745" s="13">
        <v>64192</v>
      </c>
      <c r="B745" s="4">
        <f>85.3268 * CHOOSE(CONTROL!$C$9, $C$13, 100%, $E$13) + CHOOSE(CONTROL!$C$28, 0.0276, 0)</f>
        <v>85.354400000000012</v>
      </c>
      <c r="C745" s="4">
        <f>85.0143 * CHOOSE(CONTROL!$C$9, $C$13, 100%, $E$13) + CHOOSE(CONTROL!$C$28, 0.0276, 0)</f>
        <v>85.041900000000012</v>
      </c>
      <c r="D745" s="4">
        <f>77.6687 * CHOOSE(CONTROL!$C$9, $C$13, 100%, $E$13) + CHOOSE(CONTROL!$C$28, 0, 0)</f>
        <v>77.668700000000001</v>
      </c>
      <c r="E745" s="4">
        <f>476.88662345716 * CHOOSE(CONTROL!$C$9, $C$13, 100%, $E$13) + CHOOSE(CONTROL!$C$28, 0, 0)</f>
        <v>476.88662345716</v>
      </c>
    </row>
    <row r="746" spans="1:5" ht="15">
      <c r="A746" s="13">
        <v>64223</v>
      </c>
      <c r="B746" s="4">
        <f>82.5541 * CHOOSE(CONTROL!$C$9, $C$13, 100%, $E$13) + CHOOSE(CONTROL!$C$28, 0.0003, 0)</f>
        <v>82.554400000000001</v>
      </c>
      <c r="C746" s="4">
        <f>82.2416 * CHOOSE(CONTROL!$C$9, $C$13, 100%, $E$13) + CHOOSE(CONTROL!$C$28, 0.0003, 0)</f>
        <v>82.241900000000001</v>
      </c>
      <c r="D746" s="4">
        <f>76.6091 * CHOOSE(CONTROL!$C$9, $C$13, 100%, $E$13) + CHOOSE(CONTROL!$C$28, 0, 0)</f>
        <v>76.609099999999998</v>
      </c>
      <c r="E746" s="4">
        <f>461.041846755455 * CHOOSE(CONTROL!$C$9, $C$13, 100%, $E$13) + CHOOSE(CONTROL!$C$28, 0, 0)</f>
        <v>461.04184675545503</v>
      </c>
    </row>
    <row r="747" spans="1:5" ht="15">
      <c r="A747" s="13">
        <v>64253</v>
      </c>
      <c r="B747" s="4">
        <f>80.7682 * CHOOSE(CONTROL!$C$9, $C$13, 100%, $E$13) + CHOOSE(CONTROL!$C$28, 0.0003, 0)</f>
        <v>80.768499999999989</v>
      </c>
      <c r="C747" s="4">
        <f>80.4557 * CHOOSE(CONTROL!$C$9, $C$13, 100%, $E$13) + CHOOSE(CONTROL!$C$28, 0.0003, 0)</f>
        <v>80.455999999999989</v>
      </c>
      <c r="D747" s="4">
        <f>76.2448 * CHOOSE(CONTROL!$C$9, $C$13, 100%, $E$13) + CHOOSE(CONTROL!$C$28, 0, 0)</f>
        <v>76.244799999999998</v>
      </c>
      <c r="E747" s="4">
        <f>450.836627345712 * CHOOSE(CONTROL!$C$9, $C$13, 100%, $E$13) + CHOOSE(CONTROL!$C$28, 0, 0)</f>
        <v>450.83662734571197</v>
      </c>
    </row>
    <row r="748" spans="1:5" ht="15">
      <c r="A748" s="13">
        <v>64284</v>
      </c>
      <c r="B748" s="4">
        <f>79.5327 * CHOOSE(CONTROL!$C$9, $C$13, 100%, $E$13) + CHOOSE(CONTROL!$C$28, 0.0003, 0)</f>
        <v>79.533000000000001</v>
      </c>
      <c r="C748" s="4">
        <f>79.2202 * CHOOSE(CONTROL!$C$9, $C$13, 100%, $E$13) + CHOOSE(CONTROL!$C$28, 0.0003, 0)</f>
        <v>79.220500000000001</v>
      </c>
      <c r="D748" s="4">
        <f>73.563 * CHOOSE(CONTROL!$C$9, $C$13, 100%, $E$13) + CHOOSE(CONTROL!$C$28, 0, 0)</f>
        <v>73.563000000000002</v>
      </c>
      <c r="E748" s="4">
        <f>443.775927338215 * CHOOSE(CONTROL!$C$9, $C$13, 100%, $E$13) + CHOOSE(CONTROL!$C$28, 0, 0)</f>
        <v>443.77592733821501</v>
      </c>
    </row>
    <row r="749" spans="1:5" ht="15">
      <c r="A749" s="13">
        <v>64315</v>
      </c>
      <c r="B749" s="4">
        <f>77.5251 * CHOOSE(CONTROL!$C$9, $C$13, 100%, $E$13) + CHOOSE(CONTROL!$C$28, 0.0003, 0)</f>
        <v>77.525399999999991</v>
      </c>
      <c r="C749" s="4">
        <f>77.2126 * CHOOSE(CONTROL!$C$9, $C$13, 100%, $E$13) + CHOOSE(CONTROL!$C$28, 0.0003, 0)</f>
        <v>77.212899999999991</v>
      </c>
      <c r="D749" s="4">
        <f>71.0981 * CHOOSE(CONTROL!$C$9, $C$13, 100%, $E$13) + CHOOSE(CONTROL!$C$28, 0, 0)</f>
        <v>71.098100000000002</v>
      </c>
      <c r="E749" s="4">
        <f>431.050124837681 * CHOOSE(CONTROL!$C$9, $C$13, 100%, $E$13) + CHOOSE(CONTROL!$C$28, 0, 0)</f>
        <v>431.05012483768098</v>
      </c>
    </row>
    <row r="750" spans="1:5" ht="15">
      <c r="A750" s="13">
        <v>64344</v>
      </c>
      <c r="B750" s="4">
        <f>79.3214 * CHOOSE(CONTROL!$C$9, $C$13, 100%, $E$13) + CHOOSE(CONTROL!$C$28, 0.0003, 0)</f>
        <v>79.321699999999993</v>
      </c>
      <c r="C750" s="4">
        <f>79.0089 * CHOOSE(CONTROL!$C$9, $C$13, 100%, $E$13) + CHOOSE(CONTROL!$C$28, 0.0003, 0)</f>
        <v>79.009199999999993</v>
      </c>
      <c r="D750" s="4">
        <f>73.5802 * CHOOSE(CONTROL!$C$9, $C$13, 100%, $E$13) + CHOOSE(CONTROL!$C$28, 0, 0)</f>
        <v>73.580200000000005</v>
      </c>
      <c r="E750" s="4">
        <f>441.284953530835 * CHOOSE(CONTROL!$C$9, $C$13, 100%, $E$13) + CHOOSE(CONTROL!$C$28, 0, 0)</f>
        <v>441.28495353083503</v>
      </c>
    </row>
    <row r="751" spans="1:5" ht="15">
      <c r="A751" s="13">
        <v>64375</v>
      </c>
      <c r="B751" s="4">
        <f>84.0384 * CHOOSE(CONTROL!$C$9, $C$13, 100%, $E$13) + CHOOSE(CONTROL!$C$28, 0.0003, 0)</f>
        <v>84.038699999999992</v>
      </c>
      <c r="C751" s="4">
        <f>83.7259 * CHOOSE(CONTROL!$C$9, $C$13, 100%, $E$13) + CHOOSE(CONTROL!$C$28, 0.0003, 0)</f>
        <v>83.726199999999992</v>
      </c>
      <c r="D751" s="4">
        <f>77.4659 * CHOOSE(CONTROL!$C$9, $C$13, 100%, $E$13) + CHOOSE(CONTROL!$C$28, 0, 0)</f>
        <v>77.465900000000005</v>
      </c>
      <c r="E751" s="4">
        <f>468.162157590883 * CHOOSE(CONTROL!$C$9, $C$13, 100%, $E$13) + CHOOSE(CONTROL!$C$28, 0, 0)</f>
        <v>468.162157590883</v>
      </c>
    </row>
    <row r="752" spans="1:5" ht="15">
      <c r="A752" s="13">
        <v>64405</v>
      </c>
      <c r="B752" s="4">
        <f>87.3898 * CHOOSE(CONTROL!$C$9, $C$13, 100%, $E$13) + CHOOSE(CONTROL!$C$28, 0.0003, 0)</f>
        <v>87.39009999999999</v>
      </c>
      <c r="C752" s="4">
        <f>87.0773 * CHOOSE(CONTROL!$C$9, $C$13, 100%, $E$13) + CHOOSE(CONTROL!$C$28, 0.0003, 0)</f>
        <v>87.07759999999999</v>
      </c>
      <c r="D752" s="4">
        <f>79.7041 * CHOOSE(CONTROL!$C$9, $C$13, 100%, $E$13) + CHOOSE(CONTROL!$C$28, 0, 0)</f>
        <v>79.704099999999997</v>
      </c>
      <c r="E752" s="4">
        <f>487.258769261387 * CHOOSE(CONTROL!$C$9, $C$13, 100%, $E$13) + CHOOSE(CONTROL!$C$28, 0, 0)</f>
        <v>487.25876926138699</v>
      </c>
    </row>
    <row r="753" spans="1:5" ht="15">
      <c r="A753" s="13">
        <v>64436</v>
      </c>
      <c r="B753" s="4">
        <f>89.4375 * CHOOSE(CONTROL!$C$9, $C$13, 100%, $E$13) + CHOOSE(CONTROL!$C$28, 0.0276, 0)</f>
        <v>89.465100000000007</v>
      </c>
      <c r="C753" s="4">
        <f>89.125 * CHOOSE(CONTROL!$C$9, $C$13, 100%, $E$13) + CHOOSE(CONTROL!$C$28, 0.0276, 0)</f>
        <v>89.152600000000007</v>
      </c>
      <c r="D753" s="4">
        <f>78.8197 * CHOOSE(CONTROL!$C$9, $C$13, 100%, $E$13) + CHOOSE(CONTROL!$C$28, 0, 0)</f>
        <v>78.819699999999997</v>
      </c>
      <c r="E753" s="4">
        <f>498.92634131016 * CHOOSE(CONTROL!$C$9, $C$13, 100%, $E$13) + CHOOSE(CONTROL!$C$28, 0, 0)</f>
        <v>498.92634131016001</v>
      </c>
    </row>
    <row r="754" spans="1:5" ht="15">
      <c r="A754" s="13">
        <v>64466</v>
      </c>
      <c r="B754" s="4">
        <f>89.7146 * CHOOSE(CONTROL!$C$9, $C$13, 100%, $E$13) + CHOOSE(CONTROL!$C$28, 0.0276, 0)</f>
        <v>89.742200000000011</v>
      </c>
      <c r="C754" s="4">
        <f>89.4021 * CHOOSE(CONTROL!$C$9, $C$13, 100%, $E$13) + CHOOSE(CONTROL!$C$28, 0.0276, 0)</f>
        <v>89.429700000000011</v>
      </c>
      <c r="D754" s="4">
        <f>79.54 * CHOOSE(CONTROL!$C$9, $C$13, 100%, $E$13) + CHOOSE(CONTROL!$C$28, 0, 0)</f>
        <v>79.540000000000006</v>
      </c>
      <c r="E754" s="4">
        <f>500.505012229778 * CHOOSE(CONTROL!$C$9, $C$13, 100%, $E$13) + CHOOSE(CONTROL!$C$28, 0, 0)</f>
        <v>500.505012229778</v>
      </c>
    </row>
    <row r="755" spans="1:5" ht="15">
      <c r="A755" s="13">
        <v>64497</v>
      </c>
      <c r="B755" s="4">
        <f>89.6866 * CHOOSE(CONTROL!$C$9, $C$13, 100%, $E$13) + CHOOSE(CONTROL!$C$28, 0.0276, 0)</f>
        <v>89.714200000000005</v>
      </c>
      <c r="C755" s="4">
        <f>89.3741 * CHOOSE(CONTROL!$C$9, $C$13, 100%, $E$13) + CHOOSE(CONTROL!$C$28, 0.0276, 0)</f>
        <v>89.401700000000005</v>
      </c>
      <c r="D755" s="4">
        <f>80.8397 * CHOOSE(CONTROL!$C$9, $C$13, 100%, $E$13) + CHOOSE(CONTROL!$C$28, 0, 0)</f>
        <v>80.839699999999993</v>
      </c>
      <c r="E755" s="4">
        <f>500.345818523598 * CHOOSE(CONTROL!$C$9, $C$13, 100%, $E$13) + CHOOSE(CONTROL!$C$28, 0, 0)</f>
        <v>500.34581852359798</v>
      </c>
    </row>
    <row r="756" spans="1:5" ht="15">
      <c r="A756" s="13">
        <v>64528</v>
      </c>
      <c r="B756" s="4">
        <f>91.789 * CHOOSE(CONTROL!$C$9, $C$13, 100%, $E$13) + CHOOSE(CONTROL!$C$28, 0.0276, 0)</f>
        <v>91.816600000000008</v>
      </c>
      <c r="C756" s="4">
        <f>91.4765 * CHOOSE(CONTROL!$C$9, $C$13, 100%, $E$13) + CHOOSE(CONTROL!$C$28, 0.0276, 0)</f>
        <v>91.504100000000008</v>
      </c>
      <c r="D756" s="4">
        <f>79.9814 * CHOOSE(CONTROL!$C$9, $C$13, 100%, $E$13) + CHOOSE(CONTROL!$C$28, 0, 0)</f>
        <v>79.981399999999994</v>
      </c>
      <c r="E756" s="4">
        <f>512.325144913639 * CHOOSE(CONTROL!$C$9, $C$13, 100%, $E$13) + CHOOSE(CONTROL!$C$28, 0, 0)</f>
        <v>512.32514491363895</v>
      </c>
    </row>
    <row r="757" spans="1:5" ht="15">
      <c r="A757" s="13">
        <v>64558</v>
      </c>
      <c r="B757" s="4">
        <f>88.2059 * CHOOSE(CONTROL!$C$9, $C$13, 100%, $E$13) + CHOOSE(CONTROL!$C$28, 0.0276, 0)</f>
        <v>88.233500000000006</v>
      </c>
      <c r="C757" s="4">
        <f>87.8934 * CHOOSE(CONTROL!$C$9, $C$13, 100%, $E$13) + CHOOSE(CONTROL!$C$28, 0.0276, 0)</f>
        <v>87.921000000000006</v>
      </c>
      <c r="D757" s="4">
        <f>79.5758 * CHOOSE(CONTROL!$C$9, $C$13, 100%, $E$13) + CHOOSE(CONTROL!$C$28, 0, 0)</f>
        <v>79.575800000000001</v>
      </c>
      <c r="E757" s="4">
        <f>491.90855209606 * CHOOSE(CONTROL!$C$9, $C$13, 100%, $E$13) + CHOOSE(CONTROL!$C$28, 0, 0)</f>
        <v>491.90855209606002</v>
      </c>
    </row>
    <row r="758" spans="1:5" ht="15">
      <c r="A758" s="13">
        <v>64589</v>
      </c>
      <c r="B758" s="4">
        <f>85.3375 * CHOOSE(CONTROL!$C$9, $C$13, 100%, $E$13) + CHOOSE(CONTROL!$C$28, 0.0003, 0)</f>
        <v>85.337800000000001</v>
      </c>
      <c r="C758" s="4">
        <f>85.025 * CHOOSE(CONTROL!$C$9, $C$13, 100%, $E$13) + CHOOSE(CONTROL!$C$28, 0.0003, 0)</f>
        <v>85.025300000000001</v>
      </c>
      <c r="D758" s="4">
        <f>78.4899 * CHOOSE(CONTROL!$C$9, $C$13, 100%, $E$13) + CHOOSE(CONTROL!$C$28, 0, 0)</f>
        <v>78.489900000000006</v>
      </c>
      <c r="E758" s="4">
        <f>475.564664928251 * CHOOSE(CONTROL!$C$9, $C$13, 100%, $E$13) + CHOOSE(CONTROL!$C$28, 0, 0)</f>
        <v>475.56466492825098</v>
      </c>
    </row>
    <row r="759" spans="1:5" ht="15">
      <c r="A759" s="13">
        <v>64619</v>
      </c>
      <c r="B759" s="4">
        <f>83.4901 * CHOOSE(CONTROL!$C$9, $C$13, 100%, $E$13) + CHOOSE(CONTROL!$C$28, 0.0003, 0)</f>
        <v>83.490399999999994</v>
      </c>
      <c r="C759" s="4">
        <f>83.1776 * CHOOSE(CONTROL!$C$9, $C$13, 100%, $E$13) + CHOOSE(CONTROL!$C$28, 0.0003, 0)</f>
        <v>83.177899999999994</v>
      </c>
      <c r="D759" s="4">
        <f>78.1166 * CHOOSE(CONTROL!$C$9, $C$13, 100%, $E$13) + CHOOSE(CONTROL!$C$28, 0, 0)</f>
        <v>78.116600000000005</v>
      </c>
      <c r="E759" s="4">
        <f>465.037981107102 * CHOOSE(CONTROL!$C$9, $C$13, 100%, $E$13) + CHOOSE(CONTROL!$C$28, 0, 0)</f>
        <v>465.03798110710198</v>
      </c>
    </row>
    <row r="760" spans="1:5" ht="15">
      <c r="A760" s="13">
        <v>64650</v>
      </c>
      <c r="B760" s="4">
        <f>82.2119 * CHOOSE(CONTROL!$C$9, $C$13, 100%, $E$13) + CHOOSE(CONTROL!$C$28, 0.0003, 0)</f>
        <v>82.212199999999996</v>
      </c>
      <c r="C760" s="4">
        <f>81.8994 * CHOOSE(CONTROL!$C$9, $C$13, 100%, $E$13) + CHOOSE(CONTROL!$C$28, 0.0003, 0)</f>
        <v>81.899699999999996</v>
      </c>
      <c r="D760" s="4">
        <f>75.3682 * CHOOSE(CONTROL!$C$9, $C$13, 100%, $E$13) + CHOOSE(CONTROL!$C$28, 0, 0)</f>
        <v>75.368200000000002</v>
      </c>
      <c r="E760" s="4">
        <f>457.754869049369 * CHOOSE(CONTROL!$C$9, $C$13, 100%, $E$13) + CHOOSE(CONTROL!$C$28, 0, 0)</f>
        <v>457.75486904936901</v>
      </c>
    </row>
    <row r="761" spans="1:5" ht="15">
      <c r="A761" s="13">
        <v>64681</v>
      </c>
      <c r="B761" s="4">
        <f>80.135 * CHOOSE(CONTROL!$C$9, $C$13, 100%, $E$13) + CHOOSE(CONTROL!$C$28, 0.0003, 0)</f>
        <v>80.135300000000001</v>
      </c>
      <c r="C761" s="4">
        <f>79.8225 * CHOOSE(CONTROL!$C$9, $C$13, 100%, $E$13) + CHOOSE(CONTROL!$C$28, 0.0003, 0)</f>
        <v>79.822800000000001</v>
      </c>
      <c r="D761" s="4">
        <f>72.8422 * CHOOSE(CONTROL!$C$9, $C$13, 100%, $E$13) + CHOOSE(CONTROL!$C$28, 0, 0)</f>
        <v>72.842200000000005</v>
      </c>
      <c r="E761" s="4">
        <f>444.628203770068 * CHOOSE(CONTROL!$C$9, $C$13, 100%, $E$13) + CHOOSE(CONTROL!$C$28, 0, 0)</f>
        <v>444.62820377006801</v>
      </c>
    </row>
    <row r="762" spans="1:5" ht="15">
      <c r="A762" s="13">
        <v>64709</v>
      </c>
      <c r="B762" s="4">
        <f>81.9932 * CHOOSE(CONTROL!$C$9, $C$13, 100%, $E$13) + CHOOSE(CONTROL!$C$28, 0.0003, 0)</f>
        <v>81.993499999999997</v>
      </c>
      <c r="C762" s="4">
        <f>81.6807 * CHOOSE(CONTROL!$C$9, $C$13, 100%, $E$13) + CHOOSE(CONTROL!$C$28, 0.0003, 0)</f>
        <v>81.680999999999997</v>
      </c>
      <c r="D762" s="4">
        <f>75.3859 * CHOOSE(CONTROL!$C$9, $C$13, 100%, $E$13) + CHOOSE(CONTROL!$C$28, 0, 0)</f>
        <v>75.385900000000007</v>
      </c>
      <c r="E762" s="4">
        <f>455.185429567056 * CHOOSE(CONTROL!$C$9, $C$13, 100%, $E$13) + CHOOSE(CONTROL!$C$28, 0, 0)</f>
        <v>455.18542956705602</v>
      </c>
    </row>
    <row r="763" spans="1:5" ht="15">
      <c r="A763" s="13">
        <v>64740</v>
      </c>
      <c r="B763" s="4">
        <f>86.873 * CHOOSE(CONTROL!$C$9, $C$13, 100%, $E$13) + CHOOSE(CONTROL!$C$28, 0.0003, 0)</f>
        <v>86.8733</v>
      </c>
      <c r="C763" s="4">
        <f>86.5605 * CHOOSE(CONTROL!$C$9, $C$13, 100%, $E$13) + CHOOSE(CONTROL!$C$28, 0.0003, 0)</f>
        <v>86.5608</v>
      </c>
      <c r="D763" s="4">
        <f>79.3679 * CHOOSE(CONTROL!$C$9, $C$13, 100%, $E$13) + CHOOSE(CONTROL!$C$28, 0, 0)</f>
        <v>79.367900000000006</v>
      </c>
      <c r="E763" s="4">
        <f>482.909265554996 * CHOOSE(CONTROL!$C$9, $C$13, 100%, $E$13) + CHOOSE(CONTROL!$C$28, 0, 0)</f>
        <v>482.90926555499601</v>
      </c>
    </row>
    <row r="764" spans="1:5" ht="15">
      <c r="A764" s="13">
        <v>64770</v>
      </c>
      <c r="B764" s="4">
        <f>90.3401 * CHOOSE(CONTROL!$C$9, $C$13, 100%, $E$13) + CHOOSE(CONTROL!$C$28, 0.0003, 0)</f>
        <v>90.340400000000002</v>
      </c>
      <c r="C764" s="4">
        <f>90.0276 * CHOOSE(CONTROL!$C$9, $C$13, 100%, $E$13) + CHOOSE(CONTROL!$C$28, 0.0003, 0)</f>
        <v>90.027900000000002</v>
      </c>
      <c r="D764" s="4">
        <f>81.6617 * CHOOSE(CONTROL!$C$9, $C$13, 100%, $E$13) + CHOOSE(CONTROL!$C$28, 0, 0)</f>
        <v>81.661699999999996</v>
      </c>
      <c r="E764" s="4">
        <f>502.607420493121 * CHOOSE(CONTROL!$C$9, $C$13, 100%, $E$13) + CHOOSE(CONTROL!$C$28, 0, 0)</f>
        <v>502.60742049312103</v>
      </c>
    </row>
    <row r="765" spans="1:5" ht="15">
      <c r="A765" s="13">
        <v>64801</v>
      </c>
      <c r="B765" s="4">
        <f>92.4584 * CHOOSE(CONTROL!$C$9, $C$13, 100%, $E$13) + CHOOSE(CONTROL!$C$28, 0.0276, 0)</f>
        <v>92.486000000000004</v>
      </c>
      <c r="C765" s="4">
        <f>92.1459 * CHOOSE(CONTROL!$C$9, $C$13, 100%, $E$13) + CHOOSE(CONTROL!$C$28, 0.0276, 0)</f>
        <v>92.173500000000004</v>
      </c>
      <c r="D765" s="4">
        <f>80.7553 * CHOOSE(CONTROL!$C$9, $C$13, 100%, $E$13) + CHOOSE(CONTROL!$C$28, 0, 0)</f>
        <v>80.755300000000005</v>
      </c>
      <c r="E765" s="4">
        <f>514.64252106143 * CHOOSE(CONTROL!$C$9, $C$13, 100%, $E$13) + CHOOSE(CONTROL!$C$28, 0, 0)</f>
        <v>514.64252106142999</v>
      </c>
    </row>
    <row r="766" spans="1:5" ht="15">
      <c r="A766" s="13">
        <v>64831</v>
      </c>
      <c r="B766" s="4">
        <f>92.745 * CHOOSE(CONTROL!$C$9, $C$13, 100%, $E$13) + CHOOSE(CONTROL!$C$28, 0.0276, 0)</f>
        <v>92.772600000000011</v>
      </c>
      <c r="C766" s="4">
        <f>92.4325 * CHOOSE(CONTROL!$C$9, $C$13, 100%, $E$13) + CHOOSE(CONTROL!$C$28, 0.0276, 0)</f>
        <v>92.460100000000011</v>
      </c>
      <c r="D766" s="4">
        <f>81.4935 * CHOOSE(CONTROL!$C$9, $C$13, 100%, $E$13) + CHOOSE(CONTROL!$C$28, 0, 0)</f>
        <v>81.493499999999997</v>
      </c>
      <c r="E766" s="4">
        <f>516.270920115016 * CHOOSE(CONTROL!$C$9, $C$13, 100%, $E$13) + CHOOSE(CONTROL!$C$28, 0, 0)</f>
        <v>516.270920115016</v>
      </c>
    </row>
    <row r="767" spans="1:5" ht="15">
      <c r="A767" s="13">
        <v>64862</v>
      </c>
      <c r="B767" s="4">
        <f>92.7161 * CHOOSE(CONTROL!$C$9, $C$13, 100%, $E$13) + CHOOSE(CONTROL!$C$28, 0.0276, 0)</f>
        <v>92.743700000000004</v>
      </c>
      <c r="C767" s="4">
        <f>92.4036 * CHOOSE(CONTROL!$C$9, $C$13, 100%, $E$13) + CHOOSE(CONTROL!$C$28, 0.0276, 0)</f>
        <v>92.431200000000004</v>
      </c>
      <c r="D767" s="4">
        <f>82.8254 * CHOOSE(CONTROL!$C$9, $C$13, 100%, $E$13) + CHOOSE(CONTROL!$C$28, 0, 0)</f>
        <v>82.825400000000002</v>
      </c>
      <c r="E767" s="4">
        <f>516.106711807091 * CHOOSE(CONTROL!$C$9, $C$13, 100%, $E$13) + CHOOSE(CONTROL!$C$28, 0, 0)</f>
        <v>516.10671180709096</v>
      </c>
    </row>
    <row r="768" spans="1:5" ht="15">
      <c r="A768" s="13">
        <v>64893</v>
      </c>
      <c r="B768" s="4">
        <f>94.8911 * CHOOSE(CONTROL!$C$9, $C$13, 100%, $E$13) + CHOOSE(CONTROL!$C$28, 0.0276, 0)</f>
        <v>94.918700000000001</v>
      </c>
      <c r="C768" s="4">
        <f>94.5786 * CHOOSE(CONTROL!$C$9, $C$13, 100%, $E$13) + CHOOSE(CONTROL!$C$28, 0.0276, 0)</f>
        <v>94.606200000000001</v>
      </c>
      <c r="D768" s="4">
        <f>81.9458 * CHOOSE(CONTROL!$C$9, $C$13, 100%, $E$13) + CHOOSE(CONTROL!$C$28, 0, 0)</f>
        <v>81.945800000000006</v>
      </c>
      <c r="E768" s="4">
        <f>528.463386978419 * CHOOSE(CONTROL!$C$9, $C$13, 100%, $E$13) + CHOOSE(CONTROL!$C$28, 0, 0)</f>
        <v>528.46338697841895</v>
      </c>
    </row>
    <row r="769" spans="1:5" ht="15">
      <c r="A769" s="13">
        <v>64923</v>
      </c>
      <c r="B769" s="4">
        <f>91.1843 * CHOOSE(CONTROL!$C$9, $C$13, 100%, $E$13) + CHOOSE(CONTROL!$C$28, 0.0276, 0)</f>
        <v>91.2119</v>
      </c>
      <c r="C769" s="4">
        <f>90.8718 * CHOOSE(CONTROL!$C$9, $C$13, 100%, $E$13) + CHOOSE(CONTROL!$C$28, 0.0276, 0)</f>
        <v>90.8994</v>
      </c>
      <c r="D769" s="4">
        <f>81.5302 * CHOOSE(CONTROL!$C$9, $C$13, 100%, $E$13) + CHOOSE(CONTROL!$C$28, 0, 0)</f>
        <v>81.530199999999994</v>
      </c>
      <c r="E769" s="4">
        <f>507.403671487086 * CHOOSE(CONTROL!$C$9, $C$13, 100%, $E$13) + CHOOSE(CONTROL!$C$28, 0, 0)</f>
        <v>507.403671487086</v>
      </c>
    </row>
    <row r="770" spans="1:5" ht="15">
      <c r="A770" s="13">
        <v>64954</v>
      </c>
      <c r="B770" s="4">
        <f>88.217 * CHOOSE(CONTROL!$C$9, $C$13, 100%, $E$13) + CHOOSE(CONTROL!$C$28, 0.0003, 0)</f>
        <v>88.217299999999994</v>
      </c>
      <c r="C770" s="4">
        <f>87.9045 * CHOOSE(CONTROL!$C$9, $C$13, 100%, $E$13) + CHOOSE(CONTROL!$C$28, 0.0003, 0)</f>
        <v>87.904799999999994</v>
      </c>
      <c r="D770" s="4">
        <f>80.4174 * CHOOSE(CONTROL!$C$9, $C$13, 100%, $E$13) + CHOOSE(CONTROL!$C$28, 0, 0)</f>
        <v>80.417400000000001</v>
      </c>
      <c r="E770" s="4">
        <f>490.544951873491 * CHOOSE(CONTROL!$C$9, $C$13, 100%, $E$13) + CHOOSE(CONTROL!$C$28, 0, 0)</f>
        <v>490.54495187349102</v>
      </c>
    </row>
    <row r="771" spans="1:5" ht="15">
      <c r="A771" s="13">
        <v>64984</v>
      </c>
      <c r="B771" s="4">
        <f>86.3058 * CHOOSE(CONTROL!$C$9, $C$13, 100%, $E$13) + CHOOSE(CONTROL!$C$28, 0.0003, 0)</f>
        <v>86.306100000000001</v>
      </c>
      <c r="C771" s="4">
        <f>85.9933 * CHOOSE(CONTROL!$C$9, $C$13, 100%, $E$13) + CHOOSE(CONTROL!$C$28, 0.0003, 0)</f>
        <v>85.993600000000001</v>
      </c>
      <c r="D771" s="4">
        <f>80.0348 * CHOOSE(CONTROL!$C$9, $C$13, 100%, $E$13) + CHOOSE(CONTROL!$C$28, 0, 0)</f>
        <v>80.034800000000004</v>
      </c>
      <c r="E771" s="4">
        <f>479.686677511976 * CHOOSE(CONTROL!$C$9, $C$13, 100%, $E$13) + CHOOSE(CONTROL!$C$28, 0, 0)</f>
        <v>479.68667751197597</v>
      </c>
    </row>
    <row r="772" spans="1:5" ht="15">
      <c r="A772" s="13">
        <v>65015</v>
      </c>
      <c r="B772" s="4">
        <f>84.9835 * CHOOSE(CONTROL!$C$9, $C$13, 100%, $E$13) + CHOOSE(CONTROL!$C$28, 0.0003, 0)</f>
        <v>84.983800000000002</v>
      </c>
      <c r="C772" s="4">
        <f>84.671 * CHOOSE(CONTROL!$C$9, $C$13, 100%, $E$13) + CHOOSE(CONTROL!$C$28, 0.0003, 0)</f>
        <v>84.671300000000002</v>
      </c>
      <c r="D772" s="4">
        <f>77.2183 * CHOOSE(CONTROL!$C$9, $C$13, 100%, $E$13) + CHOOSE(CONTROL!$C$28, 0, 0)</f>
        <v>77.218299999999999</v>
      </c>
      <c r="E772" s="4">
        <f>472.174147424424 * CHOOSE(CONTROL!$C$9, $C$13, 100%, $E$13) + CHOOSE(CONTROL!$C$28, 0, 0)</f>
        <v>472.17414742442401</v>
      </c>
    </row>
    <row r="773" spans="1:5" ht="15">
      <c r="A773" s="13">
        <v>65046</v>
      </c>
      <c r="B773" s="4">
        <f>82.835 * CHOOSE(CONTROL!$C$9, $C$13, 100%, $E$13) + CHOOSE(CONTROL!$C$28, 0.0003, 0)</f>
        <v>82.835299999999989</v>
      </c>
      <c r="C773" s="4">
        <f>82.5225 * CHOOSE(CONTROL!$C$9, $C$13, 100%, $E$13) + CHOOSE(CONTROL!$C$28, 0.0003, 0)</f>
        <v>82.522799999999989</v>
      </c>
      <c r="D773" s="4">
        <f>74.6296 * CHOOSE(CONTROL!$C$9, $C$13, 100%, $E$13) + CHOOSE(CONTROL!$C$28, 0, 0)</f>
        <v>74.629599999999996</v>
      </c>
      <c r="E773" s="4">
        <f>458.633992188826 * CHOOSE(CONTROL!$C$9, $C$13, 100%, $E$13) + CHOOSE(CONTROL!$C$28, 0, 0)</f>
        <v>458.63399218882603</v>
      </c>
    </row>
    <row r="774" spans="1:5" ht="15">
      <c r="A774" s="13">
        <v>65074</v>
      </c>
      <c r="B774" s="4">
        <f>84.7573 * CHOOSE(CONTROL!$C$9, $C$13, 100%, $E$13) + CHOOSE(CONTROL!$C$28, 0.0003, 0)</f>
        <v>84.757599999999996</v>
      </c>
      <c r="C774" s="4">
        <f>84.4448 * CHOOSE(CONTROL!$C$9, $C$13, 100%, $E$13) + CHOOSE(CONTROL!$C$28, 0.0003, 0)</f>
        <v>84.445099999999996</v>
      </c>
      <c r="D774" s="4">
        <f>77.2364 * CHOOSE(CONTROL!$C$9, $C$13, 100%, $E$13) + CHOOSE(CONTROL!$C$28, 0, 0)</f>
        <v>77.236400000000003</v>
      </c>
      <c r="E774" s="4">
        <f>469.523770598418 * CHOOSE(CONTROL!$C$9, $C$13, 100%, $E$13) + CHOOSE(CONTROL!$C$28, 0, 0)</f>
        <v>469.52377059841803</v>
      </c>
    </row>
    <row r="775" spans="1:5" ht="15">
      <c r="A775" s="13">
        <v>65105</v>
      </c>
      <c r="B775" s="4">
        <f>89.8054 * CHOOSE(CONTROL!$C$9, $C$13, 100%, $E$13) + CHOOSE(CONTROL!$C$28, 0.0003, 0)</f>
        <v>89.805700000000002</v>
      </c>
      <c r="C775" s="4">
        <f>89.4929 * CHOOSE(CONTROL!$C$9, $C$13, 100%, $E$13) + CHOOSE(CONTROL!$C$28, 0.0003, 0)</f>
        <v>89.493200000000002</v>
      </c>
      <c r="D775" s="4">
        <f>81.3172 * CHOOSE(CONTROL!$C$9, $C$13, 100%, $E$13) + CHOOSE(CONTROL!$C$28, 0, 0)</f>
        <v>81.3172</v>
      </c>
      <c r="E775" s="4">
        <f>498.120907419979 * CHOOSE(CONTROL!$C$9, $C$13, 100%, $E$13) + CHOOSE(CONTROL!$C$28, 0, 0)</f>
        <v>498.12090741997901</v>
      </c>
    </row>
    <row r="776" spans="1:5" ht="15">
      <c r="A776" s="13">
        <v>65135</v>
      </c>
      <c r="B776" s="4">
        <f>93.3922 * CHOOSE(CONTROL!$C$9, $C$13, 100%, $E$13) + CHOOSE(CONTROL!$C$28, 0.0003, 0)</f>
        <v>93.392499999999998</v>
      </c>
      <c r="C776" s="4">
        <f>93.0797 * CHOOSE(CONTROL!$C$9, $C$13, 100%, $E$13) + CHOOSE(CONTROL!$C$28, 0.0003, 0)</f>
        <v>93.08</v>
      </c>
      <c r="D776" s="4">
        <f>83.6678 * CHOOSE(CONTROL!$C$9, $C$13, 100%, $E$13) + CHOOSE(CONTROL!$C$28, 0, 0)</f>
        <v>83.6678</v>
      </c>
      <c r="E776" s="4">
        <f>518.439554238654 * CHOOSE(CONTROL!$C$9, $C$13, 100%, $E$13) + CHOOSE(CONTROL!$C$28, 0, 0)</f>
        <v>518.43955423865395</v>
      </c>
    </row>
    <row r="777" spans="1:5" ht="15">
      <c r="A777" s="13">
        <v>65166</v>
      </c>
      <c r="B777" s="4">
        <f>95.5836 * CHOOSE(CONTROL!$C$9, $C$13, 100%, $E$13) + CHOOSE(CONTROL!$C$28, 0.0276, 0)</f>
        <v>95.611200000000011</v>
      </c>
      <c r="C777" s="4">
        <f>95.2711 * CHOOSE(CONTROL!$C$9, $C$13, 100%, $E$13) + CHOOSE(CONTROL!$C$28, 0.0276, 0)</f>
        <v>95.298700000000011</v>
      </c>
      <c r="D777" s="4">
        <f>82.7389 * CHOOSE(CONTROL!$C$9, $C$13, 100%, $E$13) + CHOOSE(CONTROL!$C$28, 0, 0)</f>
        <v>82.738900000000001</v>
      </c>
      <c r="E777" s="4">
        <f>530.853760474865 * CHOOSE(CONTROL!$C$9, $C$13, 100%, $E$13) + CHOOSE(CONTROL!$C$28, 0, 0)</f>
        <v>530.853760474865</v>
      </c>
    </row>
    <row r="778" spans="1:5" ht="15">
      <c r="A778" s="13">
        <v>65196</v>
      </c>
      <c r="B778" s="4">
        <f>95.8801 * CHOOSE(CONTROL!$C$9, $C$13, 100%, $E$13) + CHOOSE(CONTROL!$C$28, 0.0276, 0)</f>
        <v>95.907700000000006</v>
      </c>
      <c r="C778" s="4">
        <f>95.5676 * CHOOSE(CONTROL!$C$9, $C$13, 100%, $E$13) + CHOOSE(CONTROL!$C$28, 0.0276, 0)</f>
        <v>95.595200000000006</v>
      </c>
      <c r="D778" s="4">
        <f>83.4954 * CHOOSE(CONTROL!$C$9, $C$13, 100%, $E$13) + CHOOSE(CONTROL!$C$28, 0, 0)</f>
        <v>83.495400000000004</v>
      </c>
      <c r="E778" s="4">
        <f>532.533454098639 * CHOOSE(CONTROL!$C$9, $C$13, 100%, $E$13) + CHOOSE(CONTROL!$C$28, 0, 0)</f>
        <v>532.53345409863903</v>
      </c>
    </row>
    <row r="779" spans="1:5" ht="15">
      <c r="A779" s="13">
        <v>65227</v>
      </c>
      <c r="B779" s="4">
        <f>95.8502 * CHOOSE(CONTROL!$C$9, $C$13, 100%, $E$13) + CHOOSE(CONTROL!$C$28, 0.0276, 0)</f>
        <v>95.877800000000008</v>
      </c>
      <c r="C779" s="4">
        <f>95.5377 * CHOOSE(CONTROL!$C$9, $C$13, 100%, $E$13) + CHOOSE(CONTROL!$C$28, 0.0276, 0)</f>
        <v>95.565300000000008</v>
      </c>
      <c r="D779" s="4">
        <f>84.8604 * CHOOSE(CONTROL!$C$9, $C$13, 100%, $E$13) + CHOOSE(CONTROL!$C$28, 0, 0)</f>
        <v>84.860399999999998</v>
      </c>
      <c r="E779" s="4">
        <f>532.364073229014 * CHOOSE(CONTROL!$C$9, $C$13, 100%, $E$13) + CHOOSE(CONTROL!$C$28, 0, 0)</f>
        <v>532.36407322901402</v>
      </c>
    </row>
    <row r="780" spans="1:5" ht="15">
      <c r="A780" s="13">
        <v>65258</v>
      </c>
      <c r="B780" s="4">
        <f>98.1001 * CHOOSE(CONTROL!$C$9, $C$13, 100%, $E$13) + CHOOSE(CONTROL!$C$28, 0.0276, 0)</f>
        <v>98.127700000000004</v>
      </c>
      <c r="C780" s="4">
        <f>97.7876 * CHOOSE(CONTROL!$C$9, $C$13, 100%, $E$13) + CHOOSE(CONTROL!$C$28, 0.0276, 0)</f>
        <v>97.815200000000004</v>
      </c>
      <c r="D780" s="4">
        <f>83.959 * CHOOSE(CONTROL!$C$9, $C$13, 100%, $E$13) + CHOOSE(CONTROL!$C$28, 0, 0)</f>
        <v>83.959000000000003</v>
      </c>
      <c r="E780" s="4">
        <f>545.109983668239 * CHOOSE(CONTROL!$C$9, $C$13, 100%, $E$13) + CHOOSE(CONTROL!$C$28, 0, 0)</f>
        <v>545.10998366823901</v>
      </c>
    </row>
    <row r="781" spans="1:5" ht="15">
      <c r="A781" s="13">
        <v>65288</v>
      </c>
      <c r="B781" s="4">
        <f>94.2655 * CHOOSE(CONTROL!$C$9, $C$13, 100%, $E$13) + CHOOSE(CONTROL!$C$28, 0.0276, 0)</f>
        <v>94.29310000000001</v>
      </c>
      <c r="C781" s="4">
        <f>93.953 * CHOOSE(CONTROL!$C$9, $C$13, 100%, $E$13) + CHOOSE(CONTROL!$C$28, 0.0276, 0)</f>
        <v>93.98060000000001</v>
      </c>
      <c r="D781" s="4">
        <f>83.5331 * CHOOSE(CONTROL!$C$9, $C$13, 100%, $E$13) + CHOOSE(CONTROL!$C$28, 0, 0)</f>
        <v>83.533100000000005</v>
      </c>
      <c r="E781" s="4">
        <f>523.386887138929 * CHOOSE(CONTROL!$C$9, $C$13, 100%, $E$13) + CHOOSE(CONTROL!$C$28, 0, 0)</f>
        <v>523.38688713892896</v>
      </c>
    </row>
    <row r="782" spans="1:5" ht="15">
      <c r="A782" s="13">
        <v>65319</v>
      </c>
      <c r="B782" s="4">
        <f>91.1958 * CHOOSE(CONTROL!$C$9, $C$13, 100%, $E$13) + CHOOSE(CONTROL!$C$28, 0.0003, 0)</f>
        <v>91.196100000000001</v>
      </c>
      <c r="C782" s="4">
        <f>90.8833 * CHOOSE(CONTROL!$C$9, $C$13, 100%, $E$13) + CHOOSE(CONTROL!$C$28, 0.0003, 0)</f>
        <v>90.883600000000001</v>
      </c>
      <c r="D782" s="4">
        <f>82.3927 * CHOOSE(CONTROL!$C$9, $C$13, 100%, $E$13) + CHOOSE(CONTROL!$C$28, 0, 0)</f>
        <v>82.392700000000005</v>
      </c>
      <c r="E782" s="4">
        <f>505.997117857506 * CHOOSE(CONTROL!$C$9, $C$13, 100%, $E$13) + CHOOSE(CONTROL!$C$28, 0, 0)</f>
        <v>505.997117857506</v>
      </c>
    </row>
    <row r="783" spans="1:5" ht="15">
      <c r="A783" s="13">
        <v>65349</v>
      </c>
      <c r="B783" s="4">
        <f>89.2186 * CHOOSE(CONTROL!$C$9, $C$13, 100%, $E$13) + CHOOSE(CONTROL!$C$28, 0.0003, 0)</f>
        <v>89.218899999999991</v>
      </c>
      <c r="C783" s="4">
        <f>88.9061 * CHOOSE(CONTROL!$C$9, $C$13, 100%, $E$13) + CHOOSE(CONTROL!$C$28, 0.0003, 0)</f>
        <v>88.906399999999991</v>
      </c>
      <c r="D783" s="4">
        <f>82.0006 * CHOOSE(CONTROL!$C$9, $C$13, 100%, $E$13) + CHOOSE(CONTROL!$C$28, 0, 0)</f>
        <v>82.000600000000006</v>
      </c>
      <c r="E783" s="4">
        <f>494.796807853603 * CHOOSE(CONTROL!$C$9, $C$13, 100%, $E$13) + CHOOSE(CONTROL!$C$28, 0, 0)</f>
        <v>494.79680785360301</v>
      </c>
    </row>
    <row r="784" spans="1:5" ht="15">
      <c r="A784" s="13">
        <v>65380</v>
      </c>
      <c r="B784" s="4">
        <f>87.8507 * CHOOSE(CONTROL!$C$9, $C$13, 100%, $E$13) + CHOOSE(CONTROL!$C$28, 0.0003, 0)</f>
        <v>87.850999999999999</v>
      </c>
      <c r="C784" s="4">
        <f>87.5382 * CHOOSE(CONTROL!$C$9, $C$13, 100%, $E$13) + CHOOSE(CONTROL!$C$28, 0.0003, 0)</f>
        <v>87.538499999999999</v>
      </c>
      <c r="D784" s="4">
        <f>79.1142 * CHOOSE(CONTROL!$C$9, $C$13, 100%, $E$13) + CHOOSE(CONTROL!$C$28, 0, 0)</f>
        <v>79.114199999999997</v>
      </c>
      <c r="E784" s="4">
        <f>487.047633068293 * CHOOSE(CONTROL!$C$9, $C$13, 100%, $E$13) + CHOOSE(CONTROL!$C$28, 0, 0)</f>
        <v>487.04763306829301</v>
      </c>
    </row>
    <row r="785" spans="1:5" ht="15">
      <c r="A785" s="13">
        <v>65411</v>
      </c>
      <c r="B785" s="4">
        <f>85.6281 * CHOOSE(CONTROL!$C$9, $C$13, 100%, $E$13) + CHOOSE(CONTROL!$C$28, 0.0003, 0)</f>
        <v>85.628399999999999</v>
      </c>
      <c r="C785" s="4">
        <f>85.3156 * CHOOSE(CONTROL!$C$9, $C$13, 100%, $E$13) + CHOOSE(CONTROL!$C$28, 0.0003, 0)</f>
        <v>85.315899999999999</v>
      </c>
      <c r="D785" s="4">
        <f>76.4613 * CHOOSE(CONTROL!$C$9, $C$13, 100%, $E$13) + CHOOSE(CONTROL!$C$28, 0, 0)</f>
        <v>76.461299999999994</v>
      </c>
      <c r="E785" s="4">
        <f>473.080962942774 * CHOOSE(CONTROL!$C$9, $C$13, 100%, $E$13) + CHOOSE(CONTROL!$C$28, 0, 0)</f>
        <v>473.08096294277402</v>
      </c>
    </row>
    <row r="786" spans="1:5" ht="15">
      <c r="A786" s="13">
        <v>65439</v>
      </c>
      <c r="B786" s="4">
        <f>87.6168 * CHOOSE(CONTROL!$C$9, $C$13, 100%, $E$13) + CHOOSE(CONTROL!$C$28, 0.0003, 0)</f>
        <v>87.617099999999994</v>
      </c>
      <c r="C786" s="4">
        <f>87.3043 * CHOOSE(CONTROL!$C$9, $C$13, 100%, $E$13) + CHOOSE(CONTROL!$C$28, 0.0003, 0)</f>
        <v>87.304599999999994</v>
      </c>
      <c r="D786" s="4">
        <f>79.1328 * CHOOSE(CONTROL!$C$9, $C$13, 100%, $E$13) + CHOOSE(CONTROL!$C$28, 0, 0)</f>
        <v>79.132800000000003</v>
      </c>
      <c r="E786" s="4">
        <f>484.313769372268 * CHOOSE(CONTROL!$C$9, $C$13, 100%, $E$13) + CHOOSE(CONTROL!$C$28, 0, 0)</f>
        <v>484.31376937226798</v>
      </c>
    </row>
    <row r="787" spans="1:5" ht="15">
      <c r="A787" s="13">
        <v>65470</v>
      </c>
      <c r="B787" s="4">
        <f>92.839 * CHOOSE(CONTROL!$C$9, $C$13, 100%, $E$13) + CHOOSE(CONTROL!$C$28, 0.0003, 0)</f>
        <v>92.839299999999994</v>
      </c>
      <c r="C787" s="4">
        <f>92.5265 * CHOOSE(CONTROL!$C$9, $C$13, 100%, $E$13) + CHOOSE(CONTROL!$C$28, 0.0003, 0)</f>
        <v>92.526799999999994</v>
      </c>
      <c r="D787" s="4">
        <f>83.3147 * CHOOSE(CONTROL!$C$9, $C$13, 100%, $E$13) + CHOOSE(CONTROL!$C$28, 0, 0)</f>
        <v>83.314700000000002</v>
      </c>
      <c r="E787" s="4">
        <f>513.811716003708 * CHOOSE(CONTROL!$C$9, $C$13, 100%, $E$13) + CHOOSE(CONTROL!$C$28, 0, 0)</f>
        <v>513.81171600370806</v>
      </c>
    </row>
    <row r="788" spans="1:5" ht="15">
      <c r="A788" s="13">
        <v>65500</v>
      </c>
      <c r="B788" s="4">
        <f>96.5495 * CHOOSE(CONTROL!$C$9, $C$13, 100%, $E$13) + CHOOSE(CONTROL!$C$28, 0.0003, 0)</f>
        <v>96.549799999999991</v>
      </c>
      <c r="C788" s="4">
        <f>96.237 * CHOOSE(CONTROL!$C$9, $C$13, 100%, $E$13) + CHOOSE(CONTROL!$C$28, 0.0003, 0)</f>
        <v>96.237299999999991</v>
      </c>
      <c r="D788" s="4">
        <f>85.7237 * CHOOSE(CONTROL!$C$9, $C$13, 100%, $E$13) + CHOOSE(CONTROL!$C$28, 0, 0)</f>
        <v>85.723699999999994</v>
      </c>
      <c r="E788" s="4">
        <f>534.770400197172 * CHOOSE(CONTROL!$C$9, $C$13, 100%, $E$13) + CHOOSE(CONTROL!$C$28, 0, 0)</f>
        <v>534.77040019717197</v>
      </c>
    </row>
    <row r="789" spans="1:5" ht="15">
      <c r="A789" s="13">
        <v>65531</v>
      </c>
      <c r="B789" s="4">
        <f>98.8165 * CHOOSE(CONTROL!$C$9, $C$13, 100%, $E$13) + CHOOSE(CONTROL!$C$28, 0.0276, 0)</f>
        <v>98.844100000000012</v>
      </c>
      <c r="C789" s="4">
        <f>98.504 * CHOOSE(CONTROL!$C$9, $C$13, 100%, $E$13) + CHOOSE(CONTROL!$C$28, 0.0276, 0)</f>
        <v>98.531600000000012</v>
      </c>
      <c r="D789" s="4">
        <f>84.7718 * CHOOSE(CONTROL!$C$9, $C$13, 100%, $E$13) + CHOOSE(CONTROL!$C$28, 0, 0)</f>
        <v>84.771799999999999</v>
      </c>
      <c r="E789" s="4">
        <f>547.575653929823 * CHOOSE(CONTROL!$C$9, $C$13, 100%, $E$13) + CHOOSE(CONTROL!$C$28, 0, 0)</f>
        <v>547.57565392982303</v>
      </c>
    </row>
    <row r="790" spans="1:5" ht="15">
      <c r="A790" s="13">
        <v>65561</v>
      </c>
      <c r="B790" s="4">
        <f>99.1232 * CHOOSE(CONTROL!$C$9, $C$13, 100%, $E$13) + CHOOSE(CONTROL!$C$28, 0.0276, 0)</f>
        <v>99.150800000000004</v>
      </c>
      <c r="C790" s="4">
        <f>98.8107 * CHOOSE(CONTROL!$C$9, $C$13, 100%, $E$13) + CHOOSE(CONTROL!$C$28, 0.0276, 0)</f>
        <v>98.838300000000004</v>
      </c>
      <c r="D790" s="4">
        <f>85.547 * CHOOSE(CONTROL!$C$9, $C$13, 100%, $E$13) + CHOOSE(CONTROL!$C$28, 0, 0)</f>
        <v>85.546999999999997</v>
      </c>
      <c r="E790" s="4">
        <f>549.308257902746 * CHOOSE(CONTROL!$C$9, $C$13, 100%, $E$13) + CHOOSE(CONTROL!$C$28, 0, 0)</f>
        <v>549.30825790274605</v>
      </c>
    </row>
    <row r="791" spans="1:5" ht="15">
      <c r="A791" s="13">
        <v>65592</v>
      </c>
      <c r="B791" s="4">
        <f>99.0923 * CHOOSE(CONTROL!$C$9, $C$13, 100%, $E$13) + CHOOSE(CONTROL!$C$28, 0.0276, 0)</f>
        <v>99.119900000000001</v>
      </c>
      <c r="C791" s="4">
        <f>98.7798 * CHOOSE(CONTROL!$C$9, $C$13, 100%, $E$13) + CHOOSE(CONTROL!$C$28, 0.0276, 0)</f>
        <v>98.807400000000001</v>
      </c>
      <c r="D791" s="4">
        <f>86.9459 * CHOOSE(CONTROL!$C$9, $C$13, 100%, $E$13) + CHOOSE(CONTROL!$C$28, 0, 0)</f>
        <v>86.945899999999995</v>
      </c>
      <c r="E791" s="4">
        <f>549.133541535728 * CHOOSE(CONTROL!$C$9, $C$13, 100%, $E$13) + CHOOSE(CONTROL!$C$28, 0, 0)</f>
        <v>549.133541535728</v>
      </c>
    </row>
    <row r="792" spans="1:5" ht="15">
      <c r="A792" s="13">
        <v>65623</v>
      </c>
      <c r="B792" s="4">
        <f>101.4199 * CHOOSE(CONTROL!$C$9, $C$13, 100%, $E$13) + CHOOSE(CONTROL!$C$28, 0.0276, 0)</f>
        <v>101.44750000000001</v>
      </c>
      <c r="C792" s="4">
        <f>101.1074 * CHOOSE(CONTROL!$C$9, $C$13, 100%, $E$13) + CHOOSE(CONTROL!$C$28, 0.0276, 0)</f>
        <v>101.13500000000001</v>
      </c>
      <c r="D792" s="4">
        <f>86.0221 * CHOOSE(CONTROL!$C$9, $C$13, 100%, $E$13) + CHOOSE(CONTROL!$C$28, 0, 0)</f>
        <v>86.022099999999995</v>
      </c>
      <c r="E792" s="4">
        <f>562.280948153789 * CHOOSE(CONTROL!$C$9, $C$13, 100%, $E$13) + CHOOSE(CONTROL!$C$28, 0, 0)</f>
        <v>562.28094815378904</v>
      </c>
    </row>
    <row r="793" spans="1:5" ht="15">
      <c r="A793" s="13">
        <v>65653</v>
      </c>
      <c r="B793" s="4">
        <f>97.4529 * CHOOSE(CONTROL!$C$9, $C$13, 100%, $E$13) + CHOOSE(CONTROL!$C$28, 0.0276, 0)</f>
        <v>97.480500000000006</v>
      </c>
      <c r="C793" s="4">
        <f>97.1404 * CHOOSE(CONTROL!$C$9, $C$13, 100%, $E$13) + CHOOSE(CONTROL!$C$28, 0.0276, 0)</f>
        <v>97.168000000000006</v>
      </c>
      <c r="D793" s="4">
        <f>85.5856 * CHOOSE(CONTROL!$C$9, $C$13, 100%, $E$13) + CHOOSE(CONTROL!$C$28, 0, 0)</f>
        <v>85.585599999999999</v>
      </c>
      <c r="E793" s="4">
        <f>539.873574083806 * CHOOSE(CONTROL!$C$9, $C$13, 100%, $E$13) + CHOOSE(CONTROL!$C$28, 0, 0)</f>
        <v>539.87357408380603</v>
      </c>
    </row>
    <row r="794" spans="1:5" ht="15">
      <c r="A794" s="13">
        <v>65684</v>
      </c>
      <c r="B794" s="4">
        <f>94.2773 * CHOOSE(CONTROL!$C$9, $C$13, 100%, $E$13) + CHOOSE(CONTROL!$C$28, 0.0003, 0)</f>
        <v>94.277599999999993</v>
      </c>
      <c r="C794" s="4">
        <f>93.9648 * CHOOSE(CONTROL!$C$9, $C$13, 100%, $E$13) + CHOOSE(CONTROL!$C$28, 0.0003, 0)</f>
        <v>93.965099999999993</v>
      </c>
      <c r="D794" s="4">
        <f>84.4169 * CHOOSE(CONTROL!$C$9, $C$13, 100%, $E$13) + CHOOSE(CONTROL!$C$28, 0, 0)</f>
        <v>84.416899999999998</v>
      </c>
      <c r="E794" s="4">
        <f>521.936027070018 * CHOOSE(CONTROL!$C$9, $C$13, 100%, $E$13) + CHOOSE(CONTROL!$C$28, 0, 0)</f>
        <v>521.93602707001799</v>
      </c>
    </row>
    <row r="795" spans="1:5" ht="15">
      <c r="A795" s="13">
        <v>65714</v>
      </c>
      <c r="B795" s="4">
        <f>92.232 * CHOOSE(CONTROL!$C$9, $C$13, 100%, $E$13) + CHOOSE(CONTROL!$C$28, 0.0003, 0)</f>
        <v>92.232299999999995</v>
      </c>
      <c r="C795" s="4">
        <f>91.9195 * CHOOSE(CONTROL!$C$9, $C$13, 100%, $E$13) + CHOOSE(CONTROL!$C$28, 0.0003, 0)</f>
        <v>91.919799999999995</v>
      </c>
      <c r="D795" s="4">
        <f>84.0151 * CHOOSE(CONTROL!$C$9, $C$13, 100%, $E$13) + CHOOSE(CONTROL!$C$28, 0, 0)</f>
        <v>84.015100000000004</v>
      </c>
      <c r="E795" s="4">
        <f>510.382907300991 * CHOOSE(CONTROL!$C$9, $C$13, 100%, $E$13) + CHOOSE(CONTROL!$C$28, 0, 0)</f>
        <v>510.38290730099101</v>
      </c>
    </row>
    <row r="796" spans="1:5" ht="15">
      <c r="A796" s="13">
        <v>65745</v>
      </c>
      <c r="B796" s="4">
        <f>90.8169 * CHOOSE(CONTROL!$C$9, $C$13, 100%, $E$13) + CHOOSE(CONTROL!$C$28, 0.0003, 0)</f>
        <v>90.8172</v>
      </c>
      <c r="C796" s="4">
        <f>90.5044 * CHOOSE(CONTROL!$C$9, $C$13, 100%, $E$13) + CHOOSE(CONTROL!$C$28, 0.0003, 0)</f>
        <v>90.5047</v>
      </c>
      <c r="D796" s="4">
        <f>81.0571 * CHOOSE(CONTROL!$C$9, $C$13, 100%, $E$13) + CHOOSE(CONTROL!$C$28, 0, 0)</f>
        <v>81.057100000000005</v>
      </c>
      <c r="E796" s="4">
        <f>502.389633509945 * CHOOSE(CONTROL!$C$9, $C$13, 100%, $E$13) + CHOOSE(CONTROL!$C$28, 0, 0)</f>
        <v>502.38963350994499</v>
      </c>
    </row>
    <row r="797" spans="1:5" ht="15">
      <c r="A797" s="13">
        <v>65776</v>
      </c>
      <c r="B797" s="4">
        <f>88.5176 * CHOOSE(CONTROL!$C$9, $C$13, 100%, $E$13) + CHOOSE(CONTROL!$C$28, 0.0003, 0)</f>
        <v>88.517899999999997</v>
      </c>
      <c r="C797" s="4">
        <f>88.2051 * CHOOSE(CONTROL!$C$9, $C$13, 100%, $E$13) + CHOOSE(CONTROL!$C$28, 0.0003, 0)</f>
        <v>88.205399999999997</v>
      </c>
      <c r="D797" s="4">
        <f>78.3385 * CHOOSE(CONTROL!$C$9, $C$13, 100%, $E$13) + CHOOSE(CONTROL!$C$28, 0, 0)</f>
        <v>78.338499999999996</v>
      </c>
      <c r="E797" s="4">
        <f>487.983013275471 * CHOOSE(CONTROL!$C$9, $C$13, 100%, $E$13) + CHOOSE(CONTROL!$C$28, 0, 0)</f>
        <v>487.98301327547102</v>
      </c>
    </row>
    <row r="798" spans="1:5" ht="15">
      <c r="A798" s="13">
        <v>65805</v>
      </c>
      <c r="B798" s="4">
        <f>90.5749 * CHOOSE(CONTROL!$C$9, $C$13, 100%, $E$13) + CHOOSE(CONTROL!$C$28, 0.0003, 0)</f>
        <v>90.575199999999995</v>
      </c>
      <c r="C798" s="4">
        <f>90.2624 * CHOOSE(CONTROL!$C$9, $C$13, 100%, $E$13) + CHOOSE(CONTROL!$C$28, 0.0003, 0)</f>
        <v>90.262699999999995</v>
      </c>
      <c r="D798" s="4">
        <f>81.0762 * CHOOSE(CONTROL!$C$9, $C$13, 100%, $E$13) + CHOOSE(CONTROL!$C$28, 0, 0)</f>
        <v>81.0762</v>
      </c>
      <c r="E798" s="4">
        <f>499.569653107495 * CHOOSE(CONTROL!$C$9, $C$13, 100%, $E$13) + CHOOSE(CONTROL!$C$28, 0, 0)</f>
        <v>499.56965310749501</v>
      </c>
    </row>
    <row r="799" spans="1:5" ht="15">
      <c r="A799" s="13">
        <v>65836</v>
      </c>
      <c r="B799" s="4">
        <f>95.9773 * CHOOSE(CONTROL!$C$9, $C$13, 100%, $E$13) + CHOOSE(CONTROL!$C$28, 0.0003, 0)</f>
        <v>95.977599999999995</v>
      </c>
      <c r="C799" s="4">
        <f>95.6648 * CHOOSE(CONTROL!$C$9, $C$13, 100%, $E$13) + CHOOSE(CONTROL!$C$28, 0.0003, 0)</f>
        <v>95.665099999999995</v>
      </c>
      <c r="D799" s="4">
        <f>85.3619 * CHOOSE(CONTROL!$C$9, $C$13, 100%, $E$13) + CHOOSE(CONTROL!$C$28, 0, 0)</f>
        <v>85.361900000000006</v>
      </c>
      <c r="E799" s="4">
        <f>529.996785057825 * CHOOSE(CONTROL!$C$9, $C$13, 100%, $E$13) + CHOOSE(CONTROL!$C$28, 0, 0)</f>
        <v>529.99678505782504</v>
      </c>
    </row>
    <row r="800" spans="1:5" ht="15">
      <c r="A800" s="13">
        <v>65866</v>
      </c>
      <c r="B800" s="4">
        <f>99.8158 * CHOOSE(CONTROL!$C$9, $C$13, 100%, $E$13) + CHOOSE(CONTROL!$C$28, 0.0003, 0)</f>
        <v>99.816099999999992</v>
      </c>
      <c r="C800" s="4">
        <f>99.5033 * CHOOSE(CONTROL!$C$9, $C$13, 100%, $E$13) + CHOOSE(CONTROL!$C$28, 0.0003, 0)</f>
        <v>99.503599999999992</v>
      </c>
      <c r="D800" s="4">
        <f>87.8305 * CHOOSE(CONTROL!$C$9, $C$13, 100%, $E$13) + CHOOSE(CONTROL!$C$28, 0, 0)</f>
        <v>87.830500000000001</v>
      </c>
      <c r="E800" s="4">
        <f>551.615667803383 * CHOOSE(CONTROL!$C$9, $C$13, 100%, $E$13) + CHOOSE(CONTROL!$C$28, 0, 0)</f>
        <v>551.61566780338296</v>
      </c>
    </row>
    <row r="801" spans="1:5" ht="15">
      <c r="A801" s="13">
        <v>65897</v>
      </c>
      <c r="B801" s="4">
        <f>102.161 * CHOOSE(CONTROL!$C$9, $C$13, 100%, $E$13) + CHOOSE(CONTROL!$C$28, 0.0276, 0)</f>
        <v>102.18860000000001</v>
      </c>
      <c r="C801" s="4">
        <f>101.8485 * CHOOSE(CONTROL!$C$9, $C$13, 100%, $E$13) + CHOOSE(CONTROL!$C$28, 0.0276, 0)</f>
        <v>101.87610000000001</v>
      </c>
      <c r="D801" s="4">
        <f>86.855 * CHOOSE(CONTROL!$C$9, $C$13, 100%, $E$13) + CHOOSE(CONTROL!$C$28, 0, 0)</f>
        <v>86.855000000000004</v>
      </c>
      <c r="E801" s="4">
        <f>564.824287028613 * CHOOSE(CONTROL!$C$9, $C$13, 100%, $E$13) + CHOOSE(CONTROL!$C$28, 0, 0)</f>
        <v>564.82428702861296</v>
      </c>
    </row>
    <row r="802" spans="1:5" ht="15">
      <c r="A802" s="13">
        <v>65927</v>
      </c>
      <c r="B802" s="4">
        <f>102.4783 * CHOOSE(CONTROL!$C$9, $C$13, 100%, $E$13) + CHOOSE(CONTROL!$C$28, 0.0276, 0)</f>
        <v>102.50590000000001</v>
      </c>
      <c r="C802" s="4">
        <f>102.1658 * CHOOSE(CONTROL!$C$9, $C$13, 100%, $E$13) + CHOOSE(CONTROL!$C$28, 0.0276, 0)</f>
        <v>102.19340000000001</v>
      </c>
      <c r="D802" s="4">
        <f>87.6495 * CHOOSE(CONTROL!$C$9, $C$13, 100%, $E$13) + CHOOSE(CONTROL!$C$28, 0, 0)</f>
        <v>87.649500000000003</v>
      </c>
      <c r="E802" s="4">
        <f>566.611468026682 * CHOOSE(CONTROL!$C$9, $C$13, 100%, $E$13) + CHOOSE(CONTROL!$C$28, 0, 0)</f>
        <v>566.61146802668202</v>
      </c>
    </row>
    <row r="803" spans="1:5" ht="15">
      <c r="A803" s="13">
        <v>65958</v>
      </c>
      <c r="B803" s="4">
        <f>102.4463 * CHOOSE(CONTROL!$C$9, $C$13, 100%, $E$13) + CHOOSE(CONTROL!$C$28, 0.0276, 0)</f>
        <v>102.4739</v>
      </c>
      <c r="C803" s="4">
        <f>102.1338 * CHOOSE(CONTROL!$C$9, $C$13, 100%, $E$13) + CHOOSE(CONTROL!$C$28, 0.0276, 0)</f>
        <v>102.1614</v>
      </c>
      <c r="D803" s="4">
        <f>89.083 * CHOOSE(CONTROL!$C$9, $C$13, 100%, $E$13) + CHOOSE(CONTROL!$C$28, 0, 0)</f>
        <v>89.082999999999998</v>
      </c>
      <c r="E803" s="4">
        <f>566.431248094104 * CHOOSE(CONTROL!$C$9, $C$13, 100%, $E$13) + CHOOSE(CONTROL!$C$28, 0, 0)</f>
        <v>566.43124809410403</v>
      </c>
    </row>
    <row r="804" spans="1:5" ht="15">
      <c r="A804" s="13">
        <v>65989</v>
      </c>
      <c r="B804" s="4">
        <f>104.8542 * CHOOSE(CONTROL!$C$9, $C$13, 100%, $E$13) + CHOOSE(CONTROL!$C$28, 0.0276, 0)</f>
        <v>104.88180000000001</v>
      </c>
      <c r="C804" s="4">
        <f>104.5417 * CHOOSE(CONTROL!$C$9, $C$13, 100%, $E$13) + CHOOSE(CONTROL!$C$28, 0.0276, 0)</f>
        <v>104.56930000000001</v>
      </c>
      <c r="D804" s="4">
        <f>88.1363 * CHOOSE(CONTROL!$C$9, $C$13, 100%, $E$13) + CHOOSE(CONTROL!$C$28, 0, 0)</f>
        <v>88.136300000000006</v>
      </c>
      <c r="E804" s="4">
        <f>579.992798020633 * CHOOSE(CONTROL!$C$9, $C$13, 100%, $E$13) + CHOOSE(CONTROL!$C$28, 0, 0)</f>
        <v>579.99279802063302</v>
      </c>
    </row>
    <row r="805" spans="1:5" ht="15">
      <c r="A805" s="13">
        <v>66019</v>
      </c>
      <c r="B805" s="4">
        <f>100.7504 * CHOOSE(CONTROL!$C$9, $C$13, 100%, $E$13) + CHOOSE(CONTROL!$C$28, 0.0276, 0)</f>
        <v>100.77800000000001</v>
      </c>
      <c r="C805" s="4">
        <f>100.4379 * CHOOSE(CONTROL!$C$9, $C$13, 100%, $E$13) + CHOOSE(CONTROL!$C$28, 0.0276, 0)</f>
        <v>100.46550000000001</v>
      </c>
      <c r="D805" s="4">
        <f>87.689 * CHOOSE(CONTROL!$C$9, $C$13, 100%, $E$13) + CHOOSE(CONTROL!$C$28, 0, 0)</f>
        <v>87.688999999999993</v>
      </c>
      <c r="E805" s="4">
        <f>556.879591667446 * CHOOSE(CONTROL!$C$9, $C$13, 100%, $E$13) + CHOOSE(CONTROL!$C$28, 0, 0)</f>
        <v>556.87959166744599</v>
      </c>
    </row>
    <row r="806" spans="1:5" ht="15">
      <c r="A806" s="13">
        <v>66050</v>
      </c>
      <c r="B806" s="4">
        <f>97.4652 * CHOOSE(CONTROL!$C$9, $C$13, 100%, $E$13) + CHOOSE(CONTROL!$C$28, 0.0003, 0)</f>
        <v>97.465499999999992</v>
      </c>
      <c r="C806" s="4">
        <f>97.1527 * CHOOSE(CONTROL!$C$9, $C$13, 100%, $E$13) + CHOOSE(CONTROL!$C$28, 0.0003, 0)</f>
        <v>97.152999999999992</v>
      </c>
      <c r="D806" s="4">
        <f>86.4914 * CHOOSE(CONTROL!$C$9, $C$13, 100%, $E$13) + CHOOSE(CONTROL!$C$28, 0, 0)</f>
        <v>86.491399999999999</v>
      </c>
      <c r="E806" s="4">
        <f>538.377011922723 * CHOOSE(CONTROL!$C$9, $C$13, 100%, $E$13) + CHOOSE(CONTROL!$C$28, 0, 0)</f>
        <v>538.377011922723</v>
      </c>
    </row>
    <row r="807" spans="1:5" ht="15">
      <c r="A807" s="13">
        <v>66080</v>
      </c>
      <c r="B807" s="4">
        <f>95.3493 * CHOOSE(CONTROL!$C$9, $C$13, 100%, $E$13) + CHOOSE(CONTROL!$C$28, 0.0003, 0)</f>
        <v>95.349599999999995</v>
      </c>
      <c r="C807" s="4">
        <f>95.0368 * CHOOSE(CONTROL!$C$9, $C$13, 100%, $E$13) + CHOOSE(CONTROL!$C$28, 0.0003, 0)</f>
        <v>95.037099999999995</v>
      </c>
      <c r="D807" s="4">
        <f>86.0796 * CHOOSE(CONTROL!$C$9, $C$13, 100%, $E$13) + CHOOSE(CONTROL!$C$28, 0, 0)</f>
        <v>86.079599999999999</v>
      </c>
      <c r="E807" s="4">
        <f>526.459968880973 * CHOOSE(CONTROL!$C$9, $C$13, 100%, $E$13) + CHOOSE(CONTROL!$C$28, 0, 0)</f>
        <v>526.45996888097295</v>
      </c>
    </row>
    <row r="808" spans="1:5" ht="15">
      <c r="A808" s="13">
        <v>66111</v>
      </c>
      <c r="B808" s="4">
        <f>93.8854 * CHOOSE(CONTROL!$C$9, $C$13, 100%, $E$13) + CHOOSE(CONTROL!$C$28, 0.0003, 0)</f>
        <v>93.8857</v>
      </c>
      <c r="C808" s="4">
        <f>93.5729 * CHOOSE(CONTROL!$C$9, $C$13, 100%, $E$13) + CHOOSE(CONTROL!$C$28, 0.0003, 0)</f>
        <v>93.5732</v>
      </c>
      <c r="D808" s="4">
        <f>83.0483 * CHOOSE(CONTROL!$C$9, $C$13, 100%, $E$13) + CHOOSE(CONTROL!$C$28, 0, 0)</f>
        <v>83.048299999999998</v>
      </c>
      <c r="E808" s="4">
        <f>518.214906965508 * CHOOSE(CONTROL!$C$9, $C$13, 100%, $E$13) + CHOOSE(CONTROL!$C$28, 0, 0)</f>
        <v>518.21490696550802</v>
      </c>
    </row>
    <row r="809" spans="1:5" ht="15">
      <c r="A809" s="13">
        <v>66142</v>
      </c>
      <c r="B809" s="4">
        <f>91.5068 * CHOOSE(CONTROL!$C$9, $C$13, 100%, $E$13) + CHOOSE(CONTROL!$C$28, 0.0003, 0)</f>
        <v>91.507099999999994</v>
      </c>
      <c r="C809" s="4">
        <f>91.1943 * CHOOSE(CONTROL!$C$9, $C$13, 100%, $E$13) + CHOOSE(CONTROL!$C$28, 0.0003, 0)</f>
        <v>91.194599999999994</v>
      </c>
      <c r="D809" s="4">
        <f>80.2622 * CHOOSE(CONTROL!$C$9, $C$13, 100%, $E$13) + CHOOSE(CONTROL!$C$28, 0, 0)</f>
        <v>80.262200000000007</v>
      </c>
      <c r="E809" s="4">
        <f>503.354478193648 * CHOOSE(CONTROL!$C$9, $C$13, 100%, $E$13) + CHOOSE(CONTROL!$C$28, 0, 0)</f>
        <v>503.35447819364799</v>
      </c>
    </row>
    <row r="810" spans="1:5" ht="15">
      <c r="A810" s="13">
        <v>66170</v>
      </c>
      <c r="B810" s="4">
        <f>93.635 * CHOOSE(CONTROL!$C$9, $C$13, 100%, $E$13) + CHOOSE(CONTROL!$C$28, 0.0003, 0)</f>
        <v>93.635300000000001</v>
      </c>
      <c r="C810" s="4">
        <f>93.3225 * CHOOSE(CONTROL!$C$9, $C$13, 100%, $E$13) + CHOOSE(CONTROL!$C$28, 0.0003, 0)</f>
        <v>93.322800000000001</v>
      </c>
      <c r="D810" s="4">
        <f>83.0678 * CHOOSE(CONTROL!$C$9, $C$13, 100%, $E$13) + CHOOSE(CONTROL!$C$28, 0, 0)</f>
        <v>83.067800000000005</v>
      </c>
      <c r="E810" s="4">
        <f>515.306097180381 * CHOOSE(CONTROL!$C$9, $C$13, 100%, $E$13) + CHOOSE(CONTROL!$C$28, 0, 0)</f>
        <v>515.30609718038102</v>
      </c>
    </row>
    <row r="811" spans="1:5" ht="15">
      <c r="A811" s="13">
        <v>66201</v>
      </c>
      <c r="B811" s="4">
        <f>99.2238 * CHOOSE(CONTROL!$C$9, $C$13, 100%, $E$13) + CHOOSE(CONTROL!$C$28, 0.0003, 0)</f>
        <v>99.224099999999993</v>
      </c>
      <c r="C811" s="4">
        <f>98.9113 * CHOOSE(CONTROL!$C$9, $C$13, 100%, $E$13) + CHOOSE(CONTROL!$C$28, 0.0003, 0)</f>
        <v>98.911599999999993</v>
      </c>
      <c r="D811" s="4">
        <f>87.4597 * CHOOSE(CONTROL!$C$9, $C$13, 100%, $E$13) + CHOOSE(CONTROL!$C$28, 0, 0)</f>
        <v>87.459699999999998</v>
      </c>
      <c r="E811" s="4">
        <f>546.691683787146 * CHOOSE(CONTROL!$C$9, $C$13, 100%, $E$13) + CHOOSE(CONTROL!$C$28, 0, 0)</f>
        <v>546.69168378714596</v>
      </c>
    </row>
    <row r="812" spans="1:5" ht="15">
      <c r="A812" s="13">
        <v>66231</v>
      </c>
      <c r="B812" s="4">
        <f>103.1947 * CHOOSE(CONTROL!$C$9, $C$13, 100%, $E$13) + CHOOSE(CONTROL!$C$28, 0.0003, 0)</f>
        <v>103.19499999999999</v>
      </c>
      <c r="C812" s="4">
        <f>102.8822 * CHOOSE(CONTROL!$C$9, $C$13, 100%, $E$13) + CHOOSE(CONTROL!$C$28, 0.0003, 0)</f>
        <v>102.88249999999999</v>
      </c>
      <c r="D812" s="4">
        <f>89.9896 * CHOOSE(CONTROL!$C$9, $C$13, 100%, $E$13) + CHOOSE(CONTROL!$C$28, 0, 0)</f>
        <v>89.989599999999996</v>
      </c>
      <c r="E812" s="4">
        <f>568.991561339189 * CHOOSE(CONTROL!$C$9, $C$13, 100%, $E$13) + CHOOSE(CONTROL!$C$28, 0, 0)</f>
        <v>568.99156133918905</v>
      </c>
    </row>
    <row r="813" spans="1:5" ht="15">
      <c r="A813" s="13">
        <v>66262</v>
      </c>
      <c r="B813" s="4">
        <f>105.6209 * CHOOSE(CONTROL!$C$9, $C$13, 100%, $E$13) + CHOOSE(CONTROL!$C$28, 0.0276, 0)</f>
        <v>105.64850000000001</v>
      </c>
      <c r="C813" s="4">
        <f>105.3084 * CHOOSE(CONTROL!$C$9, $C$13, 100%, $E$13) + CHOOSE(CONTROL!$C$28, 0.0276, 0)</f>
        <v>105.33600000000001</v>
      </c>
      <c r="D813" s="4">
        <f>88.9899 * CHOOSE(CONTROL!$C$9, $C$13, 100%, $E$13) + CHOOSE(CONTROL!$C$28, 0, 0)</f>
        <v>88.989900000000006</v>
      </c>
      <c r="E813" s="4">
        <f>582.616252070014 * CHOOSE(CONTROL!$C$9, $C$13, 100%, $E$13) + CHOOSE(CONTROL!$C$28, 0, 0)</f>
        <v>582.61625207001396</v>
      </c>
    </row>
    <row r="814" spans="1:5" ht="15">
      <c r="A814" s="13">
        <v>66292</v>
      </c>
      <c r="B814" s="4">
        <f>105.9491 * CHOOSE(CONTROL!$C$9, $C$13, 100%, $E$13) + CHOOSE(CONTROL!$C$28, 0.0276, 0)</f>
        <v>105.97670000000001</v>
      </c>
      <c r="C814" s="4">
        <f>105.6366 * CHOOSE(CONTROL!$C$9, $C$13, 100%, $E$13) + CHOOSE(CONTROL!$C$28, 0.0276, 0)</f>
        <v>105.66420000000001</v>
      </c>
      <c r="D814" s="4">
        <f>89.8041 * CHOOSE(CONTROL!$C$9, $C$13, 100%, $E$13) + CHOOSE(CONTROL!$C$28, 0, 0)</f>
        <v>89.804100000000005</v>
      </c>
      <c r="E814" s="4">
        <f>584.459729269523 * CHOOSE(CONTROL!$C$9, $C$13, 100%, $E$13) + CHOOSE(CONTROL!$C$28, 0, 0)</f>
        <v>584.459729269523</v>
      </c>
    </row>
    <row r="815" spans="1:5" ht="15">
      <c r="A815" s="13">
        <v>66323</v>
      </c>
      <c r="B815" s="4">
        <f>105.916 * CHOOSE(CONTROL!$C$9, $C$13, 100%, $E$13) + CHOOSE(CONTROL!$C$28, 0.0276, 0)</f>
        <v>105.9436</v>
      </c>
      <c r="C815" s="4">
        <f>105.6035 * CHOOSE(CONTROL!$C$9, $C$13, 100%, $E$13) + CHOOSE(CONTROL!$C$28, 0.0276, 0)</f>
        <v>105.6311</v>
      </c>
      <c r="D815" s="4">
        <f>91.2732 * CHOOSE(CONTROL!$C$9, $C$13, 100%, $E$13) + CHOOSE(CONTROL!$C$28, 0, 0)</f>
        <v>91.273200000000003</v>
      </c>
      <c r="E815" s="4">
        <f>584.273832409068 * CHOOSE(CONTROL!$C$9, $C$13, 100%, $E$13) + CHOOSE(CONTROL!$C$28, 0, 0)</f>
        <v>584.27383240906795</v>
      </c>
    </row>
    <row r="816" spans="1:5" ht="15">
      <c r="A816" s="13">
        <v>66354</v>
      </c>
      <c r="B816" s="4">
        <f>108.407 * CHOOSE(CONTROL!$C$9, $C$13, 100%, $E$13) + CHOOSE(CONTROL!$C$28, 0.0276, 0)</f>
        <v>108.4346</v>
      </c>
      <c r="C816" s="4">
        <f>108.0945 * CHOOSE(CONTROL!$C$9, $C$13, 100%, $E$13) + CHOOSE(CONTROL!$C$28, 0.0276, 0)</f>
        <v>108.1221</v>
      </c>
      <c r="D816" s="4">
        <f>90.303 * CHOOSE(CONTROL!$C$9, $C$13, 100%, $E$13) + CHOOSE(CONTROL!$C$28, 0, 0)</f>
        <v>90.302999999999997</v>
      </c>
      <c r="E816" s="4">
        <f>598.262571158283 * CHOOSE(CONTROL!$C$9, $C$13, 100%, $E$13) + CHOOSE(CONTROL!$C$28, 0, 0)</f>
        <v>598.26257115828298</v>
      </c>
    </row>
    <row r="817" spans="1:5" ht="15">
      <c r="A817" s="13">
        <v>66384</v>
      </c>
      <c r="B817" s="4">
        <f>104.1616 * CHOOSE(CONTROL!$C$9, $C$13, 100%, $E$13) + CHOOSE(CONTROL!$C$28, 0.0276, 0)</f>
        <v>104.18920000000001</v>
      </c>
      <c r="C817" s="4">
        <f>103.8491 * CHOOSE(CONTROL!$C$9, $C$13, 100%, $E$13) + CHOOSE(CONTROL!$C$28, 0.0276, 0)</f>
        <v>103.87670000000001</v>
      </c>
      <c r="D817" s="4">
        <f>89.8446 * CHOOSE(CONTROL!$C$9, $C$13, 100%, $E$13) + CHOOSE(CONTROL!$C$28, 0, 0)</f>
        <v>89.8446</v>
      </c>
      <c r="E817" s="4">
        <f>574.42129880497 * CHOOSE(CONTROL!$C$9, $C$13, 100%, $E$13) + CHOOSE(CONTROL!$C$28, 0, 0)</f>
        <v>574.42129880496998</v>
      </c>
    </row>
    <row r="818" spans="1:5" ht="15">
      <c r="A818" s="13">
        <v>66415</v>
      </c>
      <c r="B818" s="4">
        <f>100.7631 * CHOOSE(CONTROL!$C$9, $C$13, 100%, $E$13) + CHOOSE(CONTROL!$C$28, 0.0003, 0)</f>
        <v>100.76339999999999</v>
      </c>
      <c r="C818" s="4">
        <f>100.4506 * CHOOSE(CONTROL!$C$9, $C$13, 100%, $E$13) + CHOOSE(CONTROL!$C$28, 0.0003, 0)</f>
        <v>100.45089999999999</v>
      </c>
      <c r="D818" s="4">
        <f>88.6173 * CHOOSE(CONTROL!$C$9, $C$13, 100%, $E$13) + CHOOSE(CONTROL!$C$28, 0, 0)</f>
        <v>88.6173</v>
      </c>
      <c r="E818" s="4">
        <f>555.335887798289 * CHOOSE(CONTROL!$C$9, $C$13, 100%, $E$13) + CHOOSE(CONTROL!$C$28, 0, 0)</f>
        <v>555.33588779828904</v>
      </c>
    </row>
    <row r="819" spans="1:5" ht="15">
      <c r="A819" s="13">
        <v>66445</v>
      </c>
      <c r="B819" s="4">
        <f>98.5742 * CHOOSE(CONTROL!$C$9, $C$13, 100%, $E$13) + CHOOSE(CONTROL!$C$28, 0.0003, 0)</f>
        <v>98.5745</v>
      </c>
      <c r="C819" s="4">
        <f>98.2617 * CHOOSE(CONTROL!$C$9, $C$13, 100%, $E$13) + CHOOSE(CONTROL!$C$28, 0.0003, 0)</f>
        <v>98.262</v>
      </c>
      <c r="D819" s="4">
        <f>88.1953 * CHOOSE(CONTROL!$C$9, $C$13, 100%, $E$13) + CHOOSE(CONTROL!$C$28, 0, 0)</f>
        <v>88.195300000000003</v>
      </c>
      <c r="E819" s="4">
        <f>543.043457900723 * CHOOSE(CONTROL!$C$9, $C$13, 100%, $E$13) + CHOOSE(CONTROL!$C$28, 0, 0)</f>
        <v>543.04345790072296</v>
      </c>
    </row>
    <row r="820" spans="1:5" ht="15">
      <c r="A820" s="13">
        <v>66476</v>
      </c>
      <c r="B820" s="4">
        <f>97.0597 * CHOOSE(CONTROL!$C$9, $C$13, 100%, $E$13) + CHOOSE(CONTROL!$C$28, 0.0003, 0)</f>
        <v>97.06</v>
      </c>
      <c r="C820" s="4">
        <f>96.7472 * CHOOSE(CONTROL!$C$9, $C$13, 100%, $E$13) + CHOOSE(CONTROL!$C$28, 0.0003, 0)</f>
        <v>96.747500000000002</v>
      </c>
      <c r="D820" s="4">
        <f>85.0888 * CHOOSE(CONTROL!$C$9, $C$13, 100%, $E$13) + CHOOSE(CONTROL!$C$28, 0, 0)</f>
        <v>85.088800000000006</v>
      </c>
      <c r="E820" s="4">
        <f>534.538676534921 * CHOOSE(CONTROL!$C$9, $C$13, 100%, $E$13) + CHOOSE(CONTROL!$C$28, 0, 0)</f>
        <v>534.53867653492102</v>
      </c>
    </row>
    <row r="821" spans="1:5" ht="15">
      <c r="A821" s="13">
        <v>66507</v>
      </c>
      <c r="B821" s="4">
        <f>94.5991 * CHOOSE(CONTROL!$C$9, $C$13, 100%, $E$13) + CHOOSE(CONTROL!$C$28, 0.0003, 0)</f>
        <v>94.599400000000003</v>
      </c>
      <c r="C821" s="4">
        <f>94.2866 * CHOOSE(CONTROL!$C$9, $C$13, 100%, $E$13) + CHOOSE(CONTROL!$C$28, 0.0003, 0)</f>
        <v>94.286900000000003</v>
      </c>
      <c r="D821" s="4">
        <f>82.2336 * CHOOSE(CONTROL!$C$9, $C$13, 100%, $E$13) + CHOOSE(CONTROL!$C$28, 0, 0)</f>
        <v>82.233599999999996</v>
      </c>
      <c r="E821" s="4">
        <f>519.210144256748 * CHOOSE(CONTROL!$C$9, $C$13, 100%, $E$13) + CHOOSE(CONTROL!$C$28, 0, 0)</f>
        <v>519.21014425674798</v>
      </c>
    </row>
    <row r="822" spans="1:5" ht="15">
      <c r="A822" s="13">
        <v>66535</v>
      </c>
      <c r="B822" s="4">
        <f>96.8007 * CHOOSE(CONTROL!$C$9, $C$13, 100%, $E$13) + CHOOSE(CONTROL!$C$28, 0.0003, 0)</f>
        <v>96.801000000000002</v>
      </c>
      <c r="C822" s="4">
        <f>96.4882 * CHOOSE(CONTROL!$C$9, $C$13, 100%, $E$13) + CHOOSE(CONTROL!$C$28, 0.0003, 0)</f>
        <v>96.488500000000002</v>
      </c>
      <c r="D822" s="4">
        <f>85.1088 * CHOOSE(CONTROL!$C$9, $C$13, 100%, $E$13) + CHOOSE(CONTROL!$C$28, 0, 0)</f>
        <v>85.108800000000002</v>
      </c>
      <c r="E822" s="4">
        <f>531.538239241563 * CHOOSE(CONTROL!$C$9, $C$13, 100%, $E$13) + CHOOSE(CONTROL!$C$28, 0, 0)</f>
        <v>531.53823924156302</v>
      </c>
    </row>
    <row r="823" spans="1:5" ht="15">
      <c r="A823" s="13">
        <v>66566</v>
      </c>
      <c r="B823" s="4">
        <f>102.5823 * CHOOSE(CONTROL!$C$9, $C$13, 100%, $E$13) + CHOOSE(CONTROL!$C$28, 0.0003, 0)</f>
        <v>102.5826</v>
      </c>
      <c r="C823" s="4">
        <f>102.2698 * CHOOSE(CONTROL!$C$9, $C$13, 100%, $E$13) + CHOOSE(CONTROL!$C$28, 0.0003, 0)</f>
        <v>102.2701</v>
      </c>
      <c r="D823" s="4">
        <f>89.6096 * CHOOSE(CONTROL!$C$9, $C$13, 100%, $E$13) + CHOOSE(CONTROL!$C$28, 0, 0)</f>
        <v>89.6096</v>
      </c>
      <c r="E823" s="4">
        <f>563.912471826441 * CHOOSE(CONTROL!$C$9, $C$13, 100%, $E$13) + CHOOSE(CONTROL!$C$28, 0, 0)</f>
        <v>563.91247182644099</v>
      </c>
    </row>
    <row r="824" spans="1:5" ht="15">
      <c r="A824" s="13">
        <v>66596</v>
      </c>
      <c r="B824" s="4">
        <f>106.6902 * CHOOSE(CONTROL!$C$9, $C$13, 100%, $E$13) + CHOOSE(CONTROL!$C$28, 0.0003, 0)</f>
        <v>106.6905</v>
      </c>
      <c r="C824" s="4">
        <f>106.3777 * CHOOSE(CONTROL!$C$9, $C$13, 100%, $E$13) + CHOOSE(CONTROL!$C$28, 0.0003, 0)</f>
        <v>106.378</v>
      </c>
      <c r="D824" s="4">
        <f>92.2023 * CHOOSE(CONTROL!$C$9, $C$13, 100%, $E$13) + CHOOSE(CONTROL!$C$28, 0, 0)</f>
        <v>92.202299999999994</v>
      </c>
      <c r="E824" s="4">
        <f>586.914795521374 * CHOOSE(CONTROL!$C$9, $C$13, 100%, $E$13) + CHOOSE(CONTROL!$C$28, 0, 0)</f>
        <v>586.914795521374</v>
      </c>
    </row>
    <row r="825" spans="1:5" ht="15">
      <c r="A825" s="13">
        <v>66627</v>
      </c>
      <c r="B825" s="4">
        <f>109.2001 * CHOOSE(CONTROL!$C$9, $C$13, 100%, $E$13) + CHOOSE(CONTROL!$C$28, 0.0276, 0)</f>
        <v>109.22770000000001</v>
      </c>
      <c r="C825" s="4">
        <f>108.8876 * CHOOSE(CONTROL!$C$9, $C$13, 100%, $E$13) + CHOOSE(CONTROL!$C$28, 0.0276, 0)</f>
        <v>108.91520000000001</v>
      </c>
      <c r="D825" s="4">
        <f>91.1778 * CHOOSE(CONTROL!$C$9, $C$13, 100%, $E$13) + CHOOSE(CONTROL!$C$28, 0, 0)</f>
        <v>91.177800000000005</v>
      </c>
      <c r="E825" s="4">
        <f>600.968664010219 * CHOOSE(CONTROL!$C$9, $C$13, 100%, $E$13) + CHOOSE(CONTROL!$C$28, 0, 0)</f>
        <v>600.96866401021896</v>
      </c>
    </row>
    <row r="826" spans="1:5" ht="15">
      <c r="A826" s="13">
        <v>66657</v>
      </c>
      <c r="B826" s="4">
        <f>109.5397 * CHOOSE(CONTROL!$C$9, $C$13, 100%, $E$13) + CHOOSE(CONTROL!$C$28, 0.0276, 0)</f>
        <v>109.5673</v>
      </c>
      <c r="C826" s="4">
        <f>109.2272 * CHOOSE(CONTROL!$C$9, $C$13, 100%, $E$13) + CHOOSE(CONTROL!$C$28, 0.0276, 0)</f>
        <v>109.2548</v>
      </c>
      <c r="D826" s="4">
        <f>92.0122 * CHOOSE(CONTROL!$C$9, $C$13, 100%, $E$13) + CHOOSE(CONTROL!$C$28, 0, 0)</f>
        <v>92.012200000000007</v>
      </c>
      <c r="E826" s="4">
        <f>602.870210741513 * CHOOSE(CONTROL!$C$9, $C$13, 100%, $E$13) + CHOOSE(CONTROL!$C$28, 0, 0)</f>
        <v>602.87021074151301</v>
      </c>
    </row>
    <row r="827" spans="1:5" ht="15">
      <c r="A827" s="13">
        <v>66688</v>
      </c>
      <c r="B827" s="4">
        <f>109.5054 * CHOOSE(CONTROL!$C$9, $C$13, 100%, $E$13) + CHOOSE(CONTROL!$C$28, 0.0276, 0)</f>
        <v>109.533</v>
      </c>
      <c r="C827" s="4">
        <f>109.1929 * CHOOSE(CONTROL!$C$9, $C$13, 100%, $E$13) + CHOOSE(CONTROL!$C$28, 0.0276, 0)</f>
        <v>109.2205</v>
      </c>
      <c r="D827" s="4">
        <f>93.5177 * CHOOSE(CONTROL!$C$9, $C$13, 100%, $E$13) + CHOOSE(CONTROL!$C$28, 0, 0)</f>
        <v>93.517700000000005</v>
      </c>
      <c r="E827" s="4">
        <f>602.678458129954 * CHOOSE(CONTROL!$C$9, $C$13, 100%, $E$13) + CHOOSE(CONTROL!$C$28, 0, 0)</f>
        <v>602.67845812995404</v>
      </c>
    </row>
    <row r="828" spans="1:5" ht="15">
      <c r="A828" s="13">
        <v>66719</v>
      </c>
      <c r="B828" s="4">
        <f>112.0823 * CHOOSE(CONTROL!$C$9, $C$13, 100%, $E$13) + CHOOSE(CONTROL!$C$28, 0.0276, 0)</f>
        <v>112.10990000000001</v>
      </c>
      <c r="C828" s="4">
        <f>111.7698 * CHOOSE(CONTROL!$C$9, $C$13, 100%, $E$13) + CHOOSE(CONTROL!$C$28, 0.0276, 0)</f>
        <v>111.79740000000001</v>
      </c>
      <c r="D828" s="4">
        <f>92.5234 * CHOOSE(CONTROL!$C$9, $C$13, 100%, $E$13) + CHOOSE(CONTROL!$C$28, 0, 0)</f>
        <v>92.523399999999995</v>
      </c>
      <c r="E828" s="4">
        <f>617.107842149769 * CHOOSE(CONTROL!$C$9, $C$13, 100%, $E$13) + CHOOSE(CONTROL!$C$28, 0, 0)</f>
        <v>617.107842149769</v>
      </c>
    </row>
    <row r="829" spans="1:5" ht="15">
      <c r="A829" s="13">
        <v>66749</v>
      </c>
      <c r="B829" s="4">
        <f>107.6905 * CHOOSE(CONTROL!$C$9, $C$13, 100%, $E$13) + CHOOSE(CONTROL!$C$28, 0.0276, 0)</f>
        <v>107.71810000000001</v>
      </c>
      <c r="C829" s="4">
        <f>107.378 * CHOOSE(CONTROL!$C$9, $C$13, 100%, $E$13) + CHOOSE(CONTROL!$C$28, 0.0276, 0)</f>
        <v>107.40560000000001</v>
      </c>
      <c r="D829" s="4">
        <f>92.0537 * CHOOSE(CONTROL!$C$9, $C$13, 100%, $E$13) + CHOOSE(CONTROL!$C$28, 0, 0)</f>
        <v>92.053700000000006</v>
      </c>
      <c r="E829" s="4">
        <f>592.515569717327 * CHOOSE(CONTROL!$C$9, $C$13, 100%, $E$13) + CHOOSE(CONTROL!$C$28, 0, 0)</f>
        <v>592.51556971732703</v>
      </c>
    </row>
    <row r="830" spans="1:5" ht="15">
      <c r="A830" s="13">
        <v>66780</v>
      </c>
      <c r="B830" s="4">
        <f>104.1747 * CHOOSE(CONTROL!$C$9, $C$13, 100%, $E$13) + CHOOSE(CONTROL!$C$28, 0.0003, 0)</f>
        <v>104.175</v>
      </c>
      <c r="C830" s="4">
        <f>103.8622 * CHOOSE(CONTROL!$C$9, $C$13, 100%, $E$13) + CHOOSE(CONTROL!$C$28, 0.0003, 0)</f>
        <v>103.8625</v>
      </c>
      <c r="D830" s="4">
        <f>90.7959 * CHOOSE(CONTROL!$C$9, $C$13, 100%, $E$13) + CHOOSE(CONTROL!$C$28, 0, 0)</f>
        <v>90.795900000000003</v>
      </c>
      <c r="E830" s="4">
        <f>572.828968263935 * CHOOSE(CONTROL!$C$9, $C$13, 100%, $E$13) + CHOOSE(CONTROL!$C$28, 0, 0)</f>
        <v>572.82896826393505</v>
      </c>
    </row>
    <row r="831" spans="1:5" ht="15">
      <c r="A831" s="13">
        <v>66810</v>
      </c>
      <c r="B831" s="4">
        <f>101.9103 * CHOOSE(CONTROL!$C$9, $C$13, 100%, $E$13) + CHOOSE(CONTROL!$C$28, 0.0003, 0)</f>
        <v>101.9106</v>
      </c>
      <c r="C831" s="4">
        <f>101.5978 * CHOOSE(CONTROL!$C$9, $C$13, 100%, $E$13) + CHOOSE(CONTROL!$C$28, 0.0003, 0)</f>
        <v>101.5981</v>
      </c>
      <c r="D831" s="4">
        <f>90.3635 * CHOOSE(CONTROL!$C$9, $C$13, 100%, $E$13) + CHOOSE(CONTROL!$C$28, 0, 0)</f>
        <v>90.363500000000002</v>
      </c>
      <c r="E831" s="4">
        <f>560.149326824596 * CHOOSE(CONTROL!$C$9, $C$13, 100%, $E$13) + CHOOSE(CONTROL!$C$28, 0, 0)</f>
        <v>560.14932682459596</v>
      </c>
    </row>
    <row r="832" spans="1:5" ht="15">
      <c r="A832" s="13">
        <v>66841</v>
      </c>
      <c r="B832" s="4">
        <f>100.3436 * CHOOSE(CONTROL!$C$9, $C$13, 100%, $E$13) + CHOOSE(CONTROL!$C$28, 0.0003, 0)</f>
        <v>100.34389999999999</v>
      </c>
      <c r="C832" s="4">
        <f>100.0311 * CHOOSE(CONTROL!$C$9, $C$13, 100%, $E$13) + CHOOSE(CONTROL!$C$28, 0.0003, 0)</f>
        <v>100.03139999999999</v>
      </c>
      <c r="D832" s="4">
        <f>87.1799 * CHOOSE(CONTROL!$C$9, $C$13, 100%, $E$13) + CHOOSE(CONTROL!$C$28, 0, 0)</f>
        <v>87.179900000000004</v>
      </c>
      <c r="E832" s="4">
        <f>551.376644845772 * CHOOSE(CONTROL!$C$9, $C$13, 100%, $E$13) + CHOOSE(CONTROL!$C$28, 0, 0)</f>
        <v>551.37664484577203</v>
      </c>
    </row>
    <row r="833" spans="1:5" ht="15">
      <c r="A833" s="13">
        <v>66872</v>
      </c>
      <c r="B833" s="4">
        <f>97.7981 * CHOOSE(CONTROL!$C$9, $C$13, 100%, $E$13) + CHOOSE(CONTROL!$C$28, 0.0003, 0)</f>
        <v>97.798400000000001</v>
      </c>
      <c r="C833" s="4">
        <f>97.4856 * CHOOSE(CONTROL!$C$9, $C$13, 100%, $E$13) + CHOOSE(CONTROL!$C$28, 0.0003, 0)</f>
        <v>97.485900000000001</v>
      </c>
      <c r="D833" s="4">
        <f>84.2539 * CHOOSE(CONTROL!$C$9, $C$13, 100%, $E$13) + CHOOSE(CONTROL!$C$28, 0, 0)</f>
        <v>84.253900000000002</v>
      </c>
      <c r="E833" s="4">
        <f>535.565263800836 * CHOOSE(CONTROL!$C$9, $C$13, 100%, $E$13) + CHOOSE(CONTROL!$C$28, 0, 0)</f>
        <v>535.56526380083596</v>
      </c>
    </row>
    <row r="834" spans="1:5" ht="15">
      <c r="A834" s="13">
        <v>66900</v>
      </c>
      <c r="B834" s="4">
        <f>100.0757 * CHOOSE(CONTROL!$C$9, $C$13, 100%, $E$13) + CHOOSE(CONTROL!$C$28, 0.0003, 0)</f>
        <v>100.07599999999999</v>
      </c>
      <c r="C834" s="4">
        <f>99.7632 * CHOOSE(CONTROL!$C$9, $C$13, 100%, $E$13) + CHOOSE(CONTROL!$C$28, 0.0003, 0)</f>
        <v>99.763499999999993</v>
      </c>
      <c r="D834" s="4">
        <f>87.2004 * CHOOSE(CONTROL!$C$9, $C$13, 100%, $E$13) + CHOOSE(CONTROL!$C$28, 0, 0)</f>
        <v>87.200400000000002</v>
      </c>
      <c r="E834" s="4">
        <f>548.281693777672 * CHOOSE(CONTROL!$C$9, $C$13, 100%, $E$13) + CHOOSE(CONTROL!$C$28, 0, 0)</f>
        <v>548.28169377767199</v>
      </c>
    </row>
    <row r="835" spans="1:5" ht="15">
      <c r="A835" s="13">
        <v>66931</v>
      </c>
      <c r="B835" s="4">
        <f>106.0567 * CHOOSE(CONTROL!$C$9, $C$13, 100%, $E$13) + CHOOSE(CONTROL!$C$28, 0.0003, 0)</f>
        <v>106.057</v>
      </c>
      <c r="C835" s="4">
        <f>105.7442 * CHOOSE(CONTROL!$C$9, $C$13, 100%, $E$13) + CHOOSE(CONTROL!$C$28, 0.0003, 0)</f>
        <v>105.7445</v>
      </c>
      <c r="D835" s="4">
        <f>91.8129 * CHOOSE(CONTROL!$C$9, $C$13, 100%, $E$13) + CHOOSE(CONTROL!$C$28, 0, 0)</f>
        <v>91.812899999999999</v>
      </c>
      <c r="E835" s="4">
        <f>581.675714688974 * CHOOSE(CONTROL!$C$9, $C$13, 100%, $E$13) + CHOOSE(CONTROL!$C$28, 0, 0)</f>
        <v>581.67571468897404</v>
      </c>
    </row>
    <row r="836" spans="1:5" ht="15">
      <c r="A836" s="13">
        <v>66961</v>
      </c>
      <c r="B836" s="4">
        <f>110.3064 * CHOOSE(CONTROL!$C$9, $C$13, 100%, $E$13) + CHOOSE(CONTROL!$C$28, 0.0003, 0)</f>
        <v>110.30669999999999</v>
      </c>
      <c r="C836" s="4">
        <f>109.9939 * CHOOSE(CONTROL!$C$9, $C$13, 100%, $E$13) + CHOOSE(CONTROL!$C$28, 0.0003, 0)</f>
        <v>109.99419999999999</v>
      </c>
      <c r="D836" s="4">
        <f>94.4698 * CHOOSE(CONTROL!$C$9, $C$13, 100%, $E$13) + CHOOSE(CONTROL!$C$28, 0, 0)</f>
        <v>94.469800000000006</v>
      </c>
      <c r="E836" s="4">
        <f>605.402611580297 * CHOOSE(CONTROL!$C$9, $C$13, 100%, $E$13) + CHOOSE(CONTROL!$C$28, 0, 0)</f>
        <v>605.40261158029705</v>
      </c>
    </row>
    <row r="837" spans="1:5" ht="15">
      <c r="A837" s="13">
        <v>66992</v>
      </c>
      <c r="B837" s="4">
        <f>112.9028 * CHOOSE(CONTROL!$C$9, $C$13, 100%, $E$13) + CHOOSE(CONTROL!$C$28, 0.0276, 0)</f>
        <v>112.93040000000001</v>
      </c>
      <c r="C837" s="4">
        <f>112.5903 * CHOOSE(CONTROL!$C$9, $C$13, 100%, $E$13) + CHOOSE(CONTROL!$C$28, 0.0276, 0)</f>
        <v>112.61790000000001</v>
      </c>
      <c r="D837" s="4">
        <f>93.4199 * CHOOSE(CONTROL!$C$9, $C$13, 100%, $E$13) + CHOOSE(CONTROL!$C$28, 0, 0)</f>
        <v>93.419899999999998</v>
      </c>
      <c r="E837" s="4">
        <f>619.899176926541 * CHOOSE(CONTROL!$C$9, $C$13, 100%, $E$13) + CHOOSE(CONTROL!$C$28, 0, 0)</f>
        <v>619.89917692654103</v>
      </c>
    </row>
    <row r="838" spans="1:5" ht="15">
      <c r="A838" s="13">
        <v>67022</v>
      </c>
      <c r="B838" s="4">
        <f>113.2541 * CHOOSE(CONTROL!$C$9, $C$13, 100%, $E$13) + CHOOSE(CONTROL!$C$28, 0.0276, 0)</f>
        <v>113.2817</v>
      </c>
      <c r="C838" s="4">
        <f>112.9416 * CHOOSE(CONTROL!$C$9, $C$13, 100%, $E$13) + CHOOSE(CONTROL!$C$28, 0.0276, 0)</f>
        <v>112.9692</v>
      </c>
      <c r="D838" s="4">
        <f>94.275 * CHOOSE(CONTROL!$C$9, $C$13, 100%, $E$13) + CHOOSE(CONTROL!$C$28, 0, 0)</f>
        <v>94.275000000000006</v>
      </c>
      <c r="E838" s="4">
        <f>621.86062237987 * CHOOSE(CONTROL!$C$9, $C$13, 100%, $E$13) + CHOOSE(CONTROL!$C$28, 0, 0)</f>
        <v>621.86062237987005</v>
      </c>
    </row>
    <row r="839" spans="1:5" ht="15">
      <c r="A839" s="13">
        <v>67053</v>
      </c>
      <c r="B839" s="4">
        <f>113.2187 * CHOOSE(CONTROL!$C$9, $C$13, 100%, $E$13) + CHOOSE(CONTROL!$C$28, 0.0276, 0)</f>
        <v>113.24630000000001</v>
      </c>
      <c r="C839" s="4">
        <f>112.9062 * CHOOSE(CONTROL!$C$9, $C$13, 100%, $E$13) + CHOOSE(CONTROL!$C$28, 0.0276, 0)</f>
        <v>112.93380000000001</v>
      </c>
      <c r="D839" s="4">
        <f>95.8178 * CHOOSE(CONTROL!$C$9, $C$13, 100%, $E$13) + CHOOSE(CONTROL!$C$28, 0, 0)</f>
        <v>95.817800000000005</v>
      </c>
      <c r="E839" s="4">
        <f>621.662829561047 * CHOOSE(CONTROL!$C$9, $C$13, 100%, $E$13) + CHOOSE(CONTROL!$C$28, 0, 0)</f>
        <v>621.66282956104703</v>
      </c>
    </row>
    <row r="840" spans="1:5" ht="15">
      <c r="A840" s="13">
        <v>67084</v>
      </c>
      <c r="B840" s="4">
        <f>115.8845 * CHOOSE(CONTROL!$C$9, $C$13, 100%, $E$13) + CHOOSE(CONTROL!$C$28, 0.0276, 0)</f>
        <v>115.91210000000001</v>
      </c>
      <c r="C840" s="4">
        <f>115.572 * CHOOSE(CONTROL!$C$9, $C$13, 100%, $E$13) + CHOOSE(CONTROL!$C$28, 0.0276, 0)</f>
        <v>115.59960000000001</v>
      </c>
      <c r="D840" s="4">
        <f>94.7989 * CHOOSE(CONTROL!$C$9, $C$13, 100%, $E$13) + CHOOSE(CONTROL!$C$28, 0, 0)</f>
        <v>94.798900000000003</v>
      </c>
      <c r="E840" s="4">
        <f>636.546739177487 * CHOOSE(CONTROL!$C$9, $C$13, 100%, $E$13) + CHOOSE(CONTROL!$C$28, 0, 0)</f>
        <v>636.54673917748698</v>
      </c>
    </row>
    <row r="841" spans="1:5" ht="15">
      <c r="A841" s="13">
        <v>67114</v>
      </c>
      <c r="B841" s="4">
        <f>111.3411 * CHOOSE(CONTROL!$C$9, $C$13, 100%, $E$13) + CHOOSE(CONTROL!$C$28, 0.0276, 0)</f>
        <v>111.3687</v>
      </c>
      <c r="C841" s="4">
        <f>111.0286 * CHOOSE(CONTROL!$C$9, $C$13, 100%, $E$13) + CHOOSE(CONTROL!$C$28, 0.0276, 0)</f>
        <v>111.0562</v>
      </c>
      <c r="D841" s="4">
        <f>94.3175 * CHOOSE(CONTROL!$C$9, $C$13, 100%, $E$13) + CHOOSE(CONTROL!$C$28, 0, 0)</f>
        <v>94.317499999999995</v>
      </c>
      <c r="E841" s="4">
        <f>611.179810163422 * CHOOSE(CONTROL!$C$9, $C$13, 100%, $E$13) + CHOOSE(CONTROL!$C$28, 0, 0)</f>
        <v>611.17981016342196</v>
      </c>
    </row>
    <row r="842" spans="1:5" ht="15">
      <c r="A842" s="13">
        <v>67145</v>
      </c>
      <c r="B842" s="4">
        <f>107.704 * CHOOSE(CONTROL!$C$9, $C$13, 100%, $E$13) + CHOOSE(CONTROL!$C$28, 0.0003, 0)</f>
        <v>107.70429999999999</v>
      </c>
      <c r="C842" s="4">
        <f>107.3915 * CHOOSE(CONTROL!$C$9, $C$13, 100%, $E$13) + CHOOSE(CONTROL!$C$28, 0.0003, 0)</f>
        <v>107.39179999999999</v>
      </c>
      <c r="D842" s="4">
        <f>93.0285 * CHOOSE(CONTROL!$C$9, $C$13, 100%, $E$13) + CHOOSE(CONTROL!$C$28, 0, 0)</f>
        <v>93.028499999999994</v>
      </c>
      <c r="E842" s="4">
        <f>590.873080764249 * CHOOSE(CONTROL!$C$9, $C$13, 100%, $E$13) + CHOOSE(CONTROL!$C$28, 0, 0)</f>
        <v>590.87308076424904</v>
      </c>
    </row>
    <row r="843" spans="1:5" ht="15">
      <c r="A843" s="13">
        <v>67175</v>
      </c>
      <c r="B843" s="4">
        <f>105.3615 * CHOOSE(CONTROL!$C$9, $C$13, 100%, $E$13) + CHOOSE(CONTROL!$C$28, 0.0003, 0)</f>
        <v>105.3618</v>
      </c>
      <c r="C843" s="4">
        <f>105.049 * CHOOSE(CONTROL!$C$9, $C$13, 100%, $E$13) + CHOOSE(CONTROL!$C$28, 0.0003, 0)</f>
        <v>105.0493</v>
      </c>
      <c r="D843" s="4">
        <f>92.5854 * CHOOSE(CONTROL!$C$9, $C$13, 100%, $E$13) + CHOOSE(CONTROL!$C$28, 0, 0)</f>
        <v>92.585400000000007</v>
      </c>
      <c r="E843" s="4">
        <f>577.794030619571 * CHOOSE(CONTROL!$C$9, $C$13, 100%, $E$13) + CHOOSE(CONTROL!$C$28, 0, 0)</f>
        <v>577.794030619571</v>
      </c>
    </row>
    <row r="844" spans="1:5" ht="15">
      <c r="A844" s="13">
        <v>67206</v>
      </c>
      <c r="B844" s="4">
        <f>103.7408 * CHOOSE(CONTROL!$C$9, $C$13, 100%, $E$13) + CHOOSE(CONTROL!$C$28, 0.0003, 0)</f>
        <v>103.74109999999999</v>
      </c>
      <c r="C844" s="4">
        <f>103.4283 * CHOOSE(CONTROL!$C$9, $C$13, 100%, $E$13) + CHOOSE(CONTROL!$C$28, 0.0003, 0)</f>
        <v>103.42859999999999</v>
      </c>
      <c r="D844" s="4">
        <f>89.3229 * CHOOSE(CONTROL!$C$9, $C$13, 100%, $E$13) + CHOOSE(CONTROL!$C$28, 0, 0)</f>
        <v>89.322900000000004</v>
      </c>
      <c r="E844" s="4">
        <f>568.745009158413 * CHOOSE(CONTROL!$C$9, $C$13, 100%, $E$13) + CHOOSE(CONTROL!$C$28, 0, 0)</f>
        <v>568.74500915841304</v>
      </c>
    </row>
    <row r="845" spans="1:5" ht="15">
      <c r="A845" s="13">
        <v>67237</v>
      </c>
      <c r="B845" s="4">
        <f>101.1074 * CHOOSE(CONTROL!$C$9, $C$13, 100%, $E$13) + CHOOSE(CONTROL!$C$28, 0.0003, 0)</f>
        <v>101.10769999999999</v>
      </c>
      <c r="C845" s="4">
        <f>100.7949 * CHOOSE(CONTROL!$C$9, $C$13, 100%, $E$13) + CHOOSE(CONTROL!$C$28, 0.0003, 0)</f>
        <v>100.79519999999999</v>
      </c>
      <c r="D845" s="4">
        <f>86.3243 * CHOOSE(CONTROL!$C$9, $C$13, 100%, $E$13) + CHOOSE(CONTROL!$C$28, 0, 0)</f>
        <v>86.324299999999994</v>
      </c>
      <c r="E845" s="4">
        <f>552.435569610562 * CHOOSE(CONTROL!$C$9, $C$13, 100%, $E$13) + CHOOSE(CONTROL!$C$28, 0, 0)</f>
        <v>552.43556961056197</v>
      </c>
    </row>
    <row r="846" spans="1:5" ht="15">
      <c r="A846" s="13">
        <v>67266</v>
      </c>
      <c r="B846" s="4">
        <f>103.4636 * CHOOSE(CONTROL!$C$9, $C$13, 100%, $E$13) + CHOOSE(CONTROL!$C$28, 0.0003, 0)</f>
        <v>103.4639</v>
      </c>
      <c r="C846" s="4">
        <f>103.1511 * CHOOSE(CONTROL!$C$9, $C$13, 100%, $E$13) + CHOOSE(CONTROL!$C$28, 0.0003, 0)</f>
        <v>103.1514</v>
      </c>
      <c r="D846" s="4">
        <f>89.3439 * CHOOSE(CONTROL!$C$9, $C$13, 100%, $E$13) + CHOOSE(CONTROL!$C$28, 0, 0)</f>
        <v>89.343900000000005</v>
      </c>
      <c r="E846" s="4">
        <f>565.552567131669 * CHOOSE(CONTROL!$C$9, $C$13, 100%, $E$13) + CHOOSE(CONTROL!$C$28, 0, 0)</f>
        <v>565.55256713166898</v>
      </c>
    </row>
    <row r="847" spans="1:5" ht="15">
      <c r="A847" s="13">
        <v>67297</v>
      </c>
      <c r="B847" s="4">
        <f>109.651 * CHOOSE(CONTROL!$C$9, $C$13, 100%, $E$13) + CHOOSE(CONTROL!$C$28, 0.0003, 0)</f>
        <v>109.65129999999999</v>
      </c>
      <c r="C847" s="4">
        <f>109.3385 * CHOOSE(CONTROL!$C$9, $C$13, 100%, $E$13) + CHOOSE(CONTROL!$C$28, 0.0003, 0)</f>
        <v>109.33879999999999</v>
      </c>
      <c r="D847" s="4">
        <f>94.0707 * CHOOSE(CONTROL!$C$9, $C$13, 100%, $E$13) + CHOOSE(CONTROL!$C$28, 0, 0)</f>
        <v>94.070700000000002</v>
      </c>
      <c r="E847" s="4">
        <f>599.998499701677 * CHOOSE(CONTROL!$C$9, $C$13, 100%, $E$13) + CHOOSE(CONTROL!$C$28, 0, 0)</f>
        <v>599.99849970167702</v>
      </c>
    </row>
    <row r="848" spans="1:5" ht="15">
      <c r="A848" s="13">
        <v>67327</v>
      </c>
      <c r="B848" s="4">
        <f>114.0473 * CHOOSE(CONTROL!$C$9, $C$13, 100%, $E$13) + CHOOSE(CONTROL!$C$28, 0.0003, 0)</f>
        <v>114.0476</v>
      </c>
      <c r="C848" s="4">
        <f>113.7348 * CHOOSE(CONTROL!$C$9, $C$13, 100%, $E$13) + CHOOSE(CONTROL!$C$28, 0.0003, 0)</f>
        <v>113.7351</v>
      </c>
      <c r="D848" s="4">
        <f>96.7936 * CHOOSE(CONTROL!$C$9, $C$13, 100%, $E$13) + CHOOSE(CONTROL!$C$28, 0, 0)</f>
        <v>96.793599999999998</v>
      </c>
      <c r="E848" s="4">
        <f>624.472793845077 * CHOOSE(CONTROL!$C$9, $C$13, 100%, $E$13) + CHOOSE(CONTROL!$C$28, 0, 0)</f>
        <v>624.47279384507704</v>
      </c>
    </row>
    <row r="849" spans="1:5" ht="15">
      <c r="A849" s="13">
        <v>67358</v>
      </c>
      <c r="B849" s="4">
        <f>116.7333 * CHOOSE(CONTROL!$C$9, $C$13, 100%, $E$13) + CHOOSE(CONTROL!$C$28, 0.0276, 0)</f>
        <v>116.76090000000001</v>
      </c>
      <c r="C849" s="4">
        <f>116.4208 * CHOOSE(CONTROL!$C$9, $C$13, 100%, $E$13) + CHOOSE(CONTROL!$C$28, 0.0276, 0)</f>
        <v>116.44840000000001</v>
      </c>
      <c r="D849" s="4">
        <f>95.7176 * CHOOSE(CONTROL!$C$9, $C$13, 100%, $E$13) + CHOOSE(CONTROL!$C$28, 0, 0)</f>
        <v>95.717600000000004</v>
      </c>
      <c r="E849" s="4">
        <f>639.426000999727 * CHOOSE(CONTROL!$C$9, $C$13, 100%, $E$13) + CHOOSE(CONTROL!$C$28, 0, 0)</f>
        <v>639.42600099972697</v>
      </c>
    </row>
    <row r="850" spans="1:5" ht="15">
      <c r="A850" s="13">
        <v>67388</v>
      </c>
      <c r="B850" s="4">
        <f>117.0967 * CHOOSE(CONTROL!$C$9, $C$13, 100%, $E$13) + CHOOSE(CONTROL!$C$28, 0.0276, 0)</f>
        <v>117.12430000000001</v>
      </c>
      <c r="C850" s="4">
        <f>116.7842 * CHOOSE(CONTROL!$C$9, $C$13, 100%, $E$13) + CHOOSE(CONTROL!$C$28, 0.0276, 0)</f>
        <v>116.81180000000001</v>
      </c>
      <c r="D850" s="4">
        <f>96.5939 * CHOOSE(CONTROL!$C$9, $C$13, 100%, $E$13) + CHOOSE(CONTROL!$C$28, 0, 0)</f>
        <v>96.593900000000005</v>
      </c>
      <c r="E850" s="4">
        <f>641.449231984836 * CHOOSE(CONTROL!$C$9, $C$13, 100%, $E$13) + CHOOSE(CONTROL!$C$28, 0, 0)</f>
        <v>641.44923198483605</v>
      </c>
    </row>
    <row r="851" spans="1:5" ht="15">
      <c r="A851" s="13">
        <v>67419</v>
      </c>
      <c r="B851" s="4">
        <f>117.06 * CHOOSE(CONTROL!$C$9, $C$13, 100%, $E$13) + CHOOSE(CONTROL!$C$28, 0.0276, 0)</f>
        <v>117.08760000000001</v>
      </c>
      <c r="C851" s="4">
        <f>116.7475 * CHOOSE(CONTROL!$C$9, $C$13, 100%, $E$13) + CHOOSE(CONTROL!$C$28, 0.0276, 0)</f>
        <v>116.77510000000001</v>
      </c>
      <c r="D851" s="4">
        <f>98.175 * CHOOSE(CONTROL!$C$9, $C$13, 100%, $E$13) + CHOOSE(CONTROL!$C$28, 0, 0)</f>
        <v>98.174999999999997</v>
      </c>
      <c r="E851" s="4">
        <f>641.24520869222 * CHOOSE(CONTROL!$C$9, $C$13, 100%, $E$13) + CHOOSE(CONTROL!$C$28, 0, 0)</f>
        <v>641.24520869221999</v>
      </c>
    </row>
    <row r="852" spans="1:5" ht="15">
      <c r="A852" s="13">
        <v>67450</v>
      </c>
      <c r="B852" s="4">
        <f>119.8178 * CHOOSE(CONTROL!$C$9, $C$13, 100%, $E$13) + CHOOSE(CONTROL!$C$28, 0.0276, 0)</f>
        <v>119.84540000000001</v>
      </c>
      <c r="C852" s="4">
        <f>119.5053 * CHOOSE(CONTROL!$C$9, $C$13, 100%, $E$13) + CHOOSE(CONTROL!$C$28, 0.0276, 0)</f>
        <v>119.53290000000001</v>
      </c>
      <c r="D852" s="4">
        <f>97.1308 * CHOOSE(CONTROL!$C$9, $C$13, 100%, $E$13) + CHOOSE(CONTROL!$C$28, 0, 0)</f>
        <v>97.130799999999994</v>
      </c>
      <c r="E852" s="4">
        <f>656.597961461577 * CHOOSE(CONTROL!$C$9, $C$13, 100%, $E$13) + CHOOSE(CONTROL!$C$28, 0, 0)</f>
        <v>656.59796146157703</v>
      </c>
    </row>
    <row r="853" spans="1:5" ht="15">
      <c r="A853" s="13">
        <v>67480</v>
      </c>
      <c r="B853" s="4">
        <f>115.1177 * CHOOSE(CONTROL!$C$9, $C$13, 100%, $E$13) + CHOOSE(CONTROL!$C$28, 0.0276, 0)</f>
        <v>115.14530000000001</v>
      </c>
      <c r="C853" s="4">
        <f>114.8052 * CHOOSE(CONTROL!$C$9, $C$13, 100%, $E$13) + CHOOSE(CONTROL!$C$28, 0.0276, 0)</f>
        <v>114.83280000000001</v>
      </c>
      <c r="D853" s="4">
        <f>96.6375 * CHOOSE(CONTROL!$C$9, $C$13, 100%, $E$13) + CHOOSE(CONTROL!$C$28, 0, 0)</f>
        <v>96.637500000000003</v>
      </c>
      <c r="E853" s="4">
        <f>630.43197418357 * CHOOSE(CONTROL!$C$9, $C$13, 100%, $E$13) + CHOOSE(CONTROL!$C$28, 0, 0)</f>
        <v>630.43197418356999</v>
      </c>
    </row>
    <row r="854" spans="1:5" ht="15">
      <c r="A854" s="13">
        <v>67511</v>
      </c>
      <c r="B854" s="4">
        <f>111.3551 * CHOOSE(CONTROL!$C$9, $C$13, 100%, $E$13) + CHOOSE(CONTROL!$C$28, 0.0003, 0)</f>
        <v>111.35539999999999</v>
      </c>
      <c r="C854" s="4">
        <f>111.0426 * CHOOSE(CONTROL!$C$9, $C$13, 100%, $E$13) + CHOOSE(CONTROL!$C$28, 0.0003, 0)</f>
        <v>111.04289999999999</v>
      </c>
      <c r="D854" s="4">
        <f>95.3165 * CHOOSE(CONTROL!$C$9, $C$13, 100%, $E$13) + CHOOSE(CONTROL!$C$28, 0, 0)</f>
        <v>95.316500000000005</v>
      </c>
      <c r="E854" s="4">
        <f>609.485582808323 * CHOOSE(CONTROL!$C$9, $C$13, 100%, $E$13) + CHOOSE(CONTROL!$C$28, 0, 0)</f>
        <v>609.48558280832299</v>
      </c>
    </row>
    <row r="855" spans="1:5" ht="15">
      <c r="A855" s="13">
        <v>67541</v>
      </c>
      <c r="B855" s="4">
        <f>108.9318 * CHOOSE(CONTROL!$C$9, $C$13, 100%, $E$13) + CHOOSE(CONTROL!$C$28, 0.0003, 0)</f>
        <v>108.93209999999999</v>
      </c>
      <c r="C855" s="4">
        <f>108.6193 * CHOOSE(CONTROL!$C$9, $C$13, 100%, $E$13) + CHOOSE(CONTROL!$C$28, 0.0003, 0)</f>
        <v>108.61959999999999</v>
      </c>
      <c r="D855" s="4">
        <f>94.8624 * CHOOSE(CONTROL!$C$9, $C$13, 100%, $E$13) + CHOOSE(CONTROL!$C$28, 0, 0)</f>
        <v>94.862399999999994</v>
      </c>
      <c r="E855" s="4">
        <f>595.994542584087 * CHOOSE(CONTROL!$C$9, $C$13, 100%, $E$13) + CHOOSE(CONTROL!$C$28, 0, 0)</f>
        <v>595.99454258408696</v>
      </c>
    </row>
    <row r="856" spans="1:5" ht="15">
      <c r="A856" s="13">
        <v>67572</v>
      </c>
      <c r="B856" s="4">
        <f>107.2551 * CHOOSE(CONTROL!$C$9, $C$13, 100%, $E$13) + CHOOSE(CONTROL!$C$28, 0.0003, 0)</f>
        <v>107.25539999999999</v>
      </c>
      <c r="C856" s="4">
        <f>106.9426 * CHOOSE(CONTROL!$C$9, $C$13, 100%, $E$13) + CHOOSE(CONTROL!$C$28, 0.0003, 0)</f>
        <v>106.94289999999999</v>
      </c>
      <c r="D856" s="4">
        <f>91.519 * CHOOSE(CONTROL!$C$9, $C$13, 100%, $E$13) + CHOOSE(CONTROL!$C$28, 0, 0)</f>
        <v>91.519000000000005</v>
      </c>
      <c r="E856" s="4">
        <f>586.660476946903 * CHOOSE(CONTROL!$C$9, $C$13, 100%, $E$13) + CHOOSE(CONTROL!$C$28, 0, 0)</f>
        <v>586.66047694690303</v>
      </c>
    </row>
    <row r="857" spans="1:5" ht="15">
      <c r="A857" s="13">
        <v>67603</v>
      </c>
      <c r="B857" s="4">
        <f>104.5309 * CHOOSE(CONTROL!$C$9, $C$13, 100%, $E$13) + CHOOSE(CONTROL!$C$28, 0.0003, 0)</f>
        <v>104.5312</v>
      </c>
      <c r="C857" s="4">
        <f>104.2184 * CHOOSE(CONTROL!$C$9, $C$13, 100%, $E$13) + CHOOSE(CONTROL!$C$28, 0.0003, 0)</f>
        <v>104.2187</v>
      </c>
      <c r="D857" s="4">
        <f>88.4461 * CHOOSE(CONTROL!$C$9, $C$13, 100%, $E$13) + CHOOSE(CONTROL!$C$28, 0, 0)</f>
        <v>88.446100000000001</v>
      </c>
      <c r="E857" s="4">
        <f>569.837290053295 * CHOOSE(CONTROL!$C$9, $C$13, 100%, $E$13) + CHOOSE(CONTROL!$C$28, 0, 0)</f>
        <v>569.83729005329496</v>
      </c>
    </row>
    <row r="858" spans="1:5" ht="15">
      <c r="A858" s="13">
        <v>67631</v>
      </c>
      <c r="B858" s="4">
        <f>106.9684 * CHOOSE(CONTROL!$C$9, $C$13, 100%, $E$13) + CHOOSE(CONTROL!$C$28, 0.0003, 0)</f>
        <v>106.9687</v>
      </c>
      <c r="C858" s="4">
        <f>106.6559 * CHOOSE(CONTROL!$C$9, $C$13, 100%, $E$13) + CHOOSE(CONTROL!$C$28, 0.0003, 0)</f>
        <v>106.6562</v>
      </c>
      <c r="D858" s="4">
        <f>91.5405 * CHOOSE(CONTROL!$C$9, $C$13, 100%, $E$13) + CHOOSE(CONTROL!$C$28, 0, 0)</f>
        <v>91.540499999999994</v>
      </c>
      <c r="E858" s="4">
        <f>583.367472996316 * CHOOSE(CONTROL!$C$9, $C$13, 100%, $E$13) + CHOOSE(CONTROL!$C$28, 0, 0)</f>
        <v>583.367472996316</v>
      </c>
    </row>
    <row r="859" spans="1:5" ht="15">
      <c r="A859" s="13">
        <v>67662</v>
      </c>
      <c r="B859" s="4">
        <f>113.3693 * CHOOSE(CONTROL!$C$9, $C$13, 100%, $E$13) + CHOOSE(CONTROL!$C$28, 0.0003, 0)</f>
        <v>113.36959999999999</v>
      </c>
      <c r="C859" s="4">
        <f>113.0568 * CHOOSE(CONTROL!$C$9, $C$13, 100%, $E$13) + CHOOSE(CONTROL!$C$28, 0.0003, 0)</f>
        <v>113.05709999999999</v>
      </c>
      <c r="D859" s="4">
        <f>96.3846 * CHOOSE(CONTROL!$C$9, $C$13, 100%, $E$13) + CHOOSE(CONTROL!$C$28, 0, 0)</f>
        <v>96.384600000000006</v>
      </c>
      <c r="E859" s="4">
        <f>618.89845244228 * CHOOSE(CONTROL!$C$9, $C$13, 100%, $E$13) + CHOOSE(CONTROL!$C$28, 0, 0)</f>
        <v>618.89845244228002</v>
      </c>
    </row>
    <row r="860" spans="1:5" ht="15">
      <c r="A860" s="13">
        <v>67692</v>
      </c>
      <c r="B860" s="4">
        <f>117.9172 * CHOOSE(CONTROL!$C$9, $C$13, 100%, $E$13) + CHOOSE(CONTROL!$C$28, 0.0003, 0)</f>
        <v>117.91749999999999</v>
      </c>
      <c r="C860" s="4">
        <f>117.6047 * CHOOSE(CONTROL!$C$9, $C$13, 100%, $E$13) + CHOOSE(CONTROL!$C$28, 0.0003, 0)</f>
        <v>117.60499999999999</v>
      </c>
      <c r="D860" s="4">
        <f>99.175 * CHOOSE(CONTROL!$C$9, $C$13, 100%, $E$13) + CHOOSE(CONTROL!$C$28, 0, 0)</f>
        <v>99.174999999999997</v>
      </c>
      <c r="E860" s="4">
        <f>644.143686851197 * CHOOSE(CONTROL!$C$9, $C$13, 100%, $E$13) + CHOOSE(CONTROL!$C$28, 0, 0)</f>
        <v>644.143686851197</v>
      </c>
    </row>
    <row r="861" spans="1:5" ht="15">
      <c r="A861" s="13">
        <v>67723</v>
      </c>
      <c r="B861" s="4">
        <f>120.6959 * CHOOSE(CONTROL!$C$9, $C$13, 100%, $E$13) + CHOOSE(CONTROL!$C$28, 0.0276, 0)</f>
        <v>120.7235</v>
      </c>
      <c r="C861" s="4">
        <f>120.3834 * CHOOSE(CONTROL!$C$9, $C$13, 100%, $E$13) + CHOOSE(CONTROL!$C$28, 0.0276, 0)</f>
        <v>120.411</v>
      </c>
      <c r="D861" s="4">
        <f>98.0724 * CHOOSE(CONTROL!$C$9, $C$13, 100%, $E$13) + CHOOSE(CONTROL!$C$28, 0, 0)</f>
        <v>98.072400000000002</v>
      </c>
      <c r="E861" s="4">
        <f>659.567920031219 * CHOOSE(CONTROL!$C$9, $C$13, 100%, $E$13) + CHOOSE(CONTROL!$C$28, 0, 0)</f>
        <v>659.56792003121905</v>
      </c>
    </row>
    <row r="862" spans="1:5" ht="15">
      <c r="A862" s="13">
        <v>67753</v>
      </c>
      <c r="B862" s="4">
        <f>121.0718 * CHOOSE(CONTROL!$C$9, $C$13, 100%, $E$13) + CHOOSE(CONTROL!$C$28, 0.0276, 0)</f>
        <v>121.0994</v>
      </c>
      <c r="C862" s="4">
        <f>120.7593 * CHOOSE(CONTROL!$C$9, $C$13, 100%, $E$13) + CHOOSE(CONTROL!$C$28, 0.0276, 0)</f>
        <v>120.7869</v>
      </c>
      <c r="D862" s="4">
        <f>98.9703 * CHOOSE(CONTROL!$C$9, $C$13, 100%, $E$13) + CHOOSE(CONTROL!$C$28, 0, 0)</f>
        <v>98.970299999999995</v>
      </c>
      <c r="E862" s="4">
        <f>661.654882792359 * CHOOSE(CONTROL!$C$9, $C$13, 100%, $E$13) + CHOOSE(CONTROL!$C$28, 0, 0)</f>
        <v>661.65488279235899</v>
      </c>
    </row>
    <row r="863" spans="1:5" ht="15">
      <c r="A863" s="13">
        <v>67784</v>
      </c>
      <c r="B863" s="4">
        <f>121.0339 * CHOOSE(CONTROL!$C$9, $C$13, 100%, $E$13) + CHOOSE(CONTROL!$C$28, 0.0276, 0)</f>
        <v>121.06150000000001</v>
      </c>
      <c r="C863" s="4">
        <f>120.7214 * CHOOSE(CONTROL!$C$9, $C$13, 100%, $E$13) + CHOOSE(CONTROL!$C$28, 0.0276, 0)</f>
        <v>120.74900000000001</v>
      </c>
      <c r="D863" s="4">
        <f>100.5907 * CHOOSE(CONTROL!$C$9, $C$13, 100%, $E$13) + CHOOSE(CONTROL!$C$28, 0, 0)</f>
        <v>100.5907</v>
      </c>
      <c r="E863" s="4">
        <f>661.444432766025 * CHOOSE(CONTROL!$C$9, $C$13, 100%, $E$13) + CHOOSE(CONTROL!$C$28, 0, 0)</f>
        <v>661.44443276602499</v>
      </c>
    </row>
    <row r="864" spans="1:5" ht="15">
      <c r="A864" s="13">
        <v>67815</v>
      </c>
      <c r="B864" s="4">
        <f>123.8868 * CHOOSE(CONTROL!$C$9, $C$13, 100%, $E$13) + CHOOSE(CONTROL!$C$28, 0.0276, 0)</f>
        <v>123.9144</v>
      </c>
      <c r="C864" s="4">
        <f>123.5743 * CHOOSE(CONTROL!$C$9, $C$13, 100%, $E$13) + CHOOSE(CONTROL!$C$28, 0.0276, 0)</f>
        <v>123.6019</v>
      </c>
      <c r="D864" s="4">
        <f>99.5206 * CHOOSE(CONTROL!$C$9, $C$13, 100%, $E$13) + CHOOSE(CONTROL!$C$28, 0, 0)</f>
        <v>99.520600000000002</v>
      </c>
      <c r="E864" s="4">
        <f>677.280797247617 * CHOOSE(CONTROL!$C$9, $C$13, 100%, $E$13) + CHOOSE(CONTROL!$C$28, 0, 0)</f>
        <v>677.28079724761699</v>
      </c>
    </row>
    <row r="865" spans="1:5" ht="15">
      <c r="A865" s="13">
        <v>67845</v>
      </c>
      <c r="B865" s="4">
        <f>119.0246 * CHOOSE(CONTROL!$C$9, $C$13, 100%, $E$13) + CHOOSE(CONTROL!$C$28, 0.0276, 0)</f>
        <v>119.05220000000001</v>
      </c>
      <c r="C865" s="4">
        <f>118.7121 * CHOOSE(CONTROL!$C$9, $C$13, 100%, $E$13) + CHOOSE(CONTROL!$C$28, 0.0276, 0)</f>
        <v>118.73970000000001</v>
      </c>
      <c r="D865" s="4">
        <f>99.015 * CHOOSE(CONTROL!$C$9, $C$13, 100%, $E$13) + CHOOSE(CONTROL!$C$28, 0, 0)</f>
        <v>99.015000000000001</v>
      </c>
      <c r="E865" s="4">
        <f>650.290581370353 * CHOOSE(CONTROL!$C$9, $C$13, 100%, $E$13) + CHOOSE(CONTROL!$C$28, 0, 0)</f>
        <v>650.29058137035304</v>
      </c>
    </row>
    <row r="866" spans="1:5" ht="15">
      <c r="A866" s="13">
        <v>67876</v>
      </c>
      <c r="B866" s="4">
        <f>115.1322 * CHOOSE(CONTROL!$C$9, $C$13, 100%, $E$13) + CHOOSE(CONTROL!$C$28, 0.0003, 0)</f>
        <v>115.13249999999999</v>
      </c>
      <c r="C866" s="4">
        <f>114.8197 * CHOOSE(CONTROL!$C$9, $C$13, 100%, $E$13) + CHOOSE(CONTROL!$C$28, 0.0003, 0)</f>
        <v>114.82</v>
      </c>
      <c r="D866" s="4">
        <f>97.6613 * CHOOSE(CONTROL!$C$9, $C$13, 100%, $E$13) + CHOOSE(CONTROL!$C$28, 0, 0)</f>
        <v>97.661299999999997</v>
      </c>
      <c r="E866" s="4">
        <f>628.684378666785 * CHOOSE(CONTROL!$C$9, $C$13, 100%, $E$13) + CHOOSE(CONTROL!$C$28, 0, 0)</f>
        <v>628.68437866678505</v>
      </c>
    </row>
    <row r="867" spans="1:5" ht="15">
      <c r="A867" s="13">
        <v>67906</v>
      </c>
      <c r="B867" s="4">
        <f>112.6253 * CHOOSE(CONTROL!$C$9, $C$13, 100%, $E$13) + CHOOSE(CONTROL!$C$28, 0.0003, 0)</f>
        <v>112.62559999999999</v>
      </c>
      <c r="C867" s="4">
        <f>112.3128 * CHOOSE(CONTROL!$C$9, $C$13, 100%, $E$13) + CHOOSE(CONTROL!$C$28, 0.0003, 0)</f>
        <v>112.31309999999999</v>
      </c>
      <c r="D867" s="4">
        <f>97.1959 * CHOOSE(CONTROL!$C$9, $C$13, 100%, $E$13) + CHOOSE(CONTROL!$C$28, 0, 0)</f>
        <v>97.195899999999995</v>
      </c>
      <c r="E867" s="4">
        <f>614.768370675486 * CHOOSE(CONTROL!$C$9, $C$13, 100%, $E$13) + CHOOSE(CONTROL!$C$28, 0, 0)</f>
        <v>614.76837067548604</v>
      </c>
    </row>
    <row r="868" spans="1:5" ht="15">
      <c r="A868" s="13">
        <v>67937</v>
      </c>
      <c r="B868" s="4">
        <f>110.8908 * CHOOSE(CONTROL!$C$9, $C$13, 100%, $E$13) + CHOOSE(CONTROL!$C$28, 0.0003, 0)</f>
        <v>110.89109999999999</v>
      </c>
      <c r="C868" s="4">
        <f>110.5783 * CHOOSE(CONTROL!$C$9, $C$13, 100%, $E$13) + CHOOSE(CONTROL!$C$28, 0.0003, 0)</f>
        <v>110.57859999999999</v>
      </c>
      <c r="D868" s="4">
        <f>93.7695 * CHOOSE(CONTROL!$C$9, $C$13, 100%, $E$13) + CHOOSE(CONTROL!$C$28, 0, 0)</f>
        <v>93.769499999999994</v>
      </c>
      <c r="E868" s="4">
        <f>605.140281970731 * CHOOSE(CONTROL!$C$9, $C$13, 100%, $E$13) + CHOOSE(CONTROL!$C$28, 0, 0)</f>
        <v>605.14028197073105</v>
      </c>
    </row>
    <row r="869" spans="1:5" ht="15">
      <c r="A869" s="13">
        <v>67968</v>
      </c>
      <c r="B869" s="4">
        <f>108.0726 * CHOOSE(CONTROL!$C$9, $C$13, 100%, $E$13) + CHOOSE(CONTROL!$C$28, 0.0003, 0)</f>
        <v>108.07289999999999</v>
      </c>
      <c r="C869" s="4">
        <f>107.7601 * CHOOSE(CONTROL!$C$9, $C$13, 100%, $E$13) + CHOOSE(CONTROL!$C$28, 0.0003, 0)</f>
        <v>107.76039999999999</v>
      </c>
      <c r="D869" s="4">
        <f>90.6204 * CHOOSE(CONTROL!$C$9, $C$13, 100%, $E$13) + CHOOSE(CONTROL!$C$28, 0, 0)</f>
        <v>90.620400000000004</v>
      </c>
      <c r="E869" s="4">
        <f>587.787164689974 * CHOOSE(CONTROL!$C$9, $C$13, 100%, $E$13) + CHOOSE(CONTROL!$C$28, 0, 0)</f>
        <v>587.78716468997402</v>
      </c>
    </row>
    <row r="870" spans="1:5" ht="15">
      <c r="A870" s="13">
        <v>67996</v>
      </c>
      <c r="B870" s="4">
        <f>110.5941 * CHOOSE(CONTROL!$C$9, $C$13, 100%, $E$13) + CHOOSE(CONTROL!$C$28, 0.0003, 0)</f>
        <v>110.59439999999999</v>
      </c>
      <c r="C870" s="4">
        <f>110.2816 * CHOOSE(CONTROL!$C$9, $C$13, 100%, $E$13) + CHOOSE(CONTROL!$C$28, 0.0003, 0)</f>
        <v>110.28189999999999</v>
      </c>
      <c r="D870" s="4">
        <f>93.7916 * CHOOSE(CONTROL!$C$9, $C$13, 100%, $E$13) + CHOOSE(CONTROL!$C$28, 0, 0)</f>
        <v>93.791600000000003</v>
      </c>
      <c r="E870" s="4">
        <f>601.7435483957 * CHOOSE(CONTROL!$C$9, $C$13, 100%, $E$13) + CHOOSE(CONTROL!$C$28, 0, 0)</f>
        <v>601.74354839570003</v>
      </c>
    </row>
    <row r="871" spans="1:5" ht="15">
      <c r="A871" s="13">
        <v>68027</v>
      </c>
      <c r="B871" s="4">
        <f>117.2158 * CHOOSE(CONTROL!$C$9, $C$13, 100%, $E$13) + CHOOSE(CONTROL!$C$28, 0.0003, 0)</f>
        <v>117.2161</v>
      </c>
      <c r="C871" s="4">
        <f>116.9033 * CHOOSE(CONTROL!$C$9, $C$13, 100%, $E$13) + CHOOSE(CONTROL!$C$28, 0.0003, 0)</f>
        <v>116.9036</v>
      </c>
      <c r="D871" s="4">
        <f>98.7559 * CHOOSE(CONTROL!$C$9, $C$13, 100%, $E$13) + CHOOSE(CONTROL!$C$28, 0, 0)</f>
        <v>98.755899999999997</v>
      </c>
      <c r="E871" s="4">
        <f>638.393753694212 * CHOOSE(CONTROL!$C$9, $C$13, 100%, $E$13) + CHOOSE(CONTROL!$C$28, 0, 0)</f>
        <v>638.39375369421202</v>
      </c>
    </row>
    <row r="872" spans="1:5" ht="15">
      <c r="A872" s="13">
        <v>68057</v>
      </c>
      <c r="B872" s="4">
        <f>121.9207 * CHOOSE(CONTROL!$C$9, $C$13, 100%, $E$13) + CHOOSE(CONTROL!$C$28, 0.0003, 0)</f>
        <v>121.92099999999999</v>
      </c>
      <c r="C872" s="4">
        <f>121.6082 * CHOOSE(CONTROL!$C$9, $C$13, 100%, $E$13) + CHOOSE(CONTROL!$C$28, 0.0003, 0)</f>
        <v>121.60849999999999</v>
      </c>
      <c r="D872" s="4">
        <f>101.6154 * CHOOSE(CONTROL!$C$9, $C$13, 100%, $E$13) + CHOOSE(CONTROL!$C$28, 0, 0)</f>
        <v>101.61539999999999</v>
      </c>
      <c r="E872" s="4">
        <f>664.434212987009 * CHOOSE(CONTROL!$C$9, $C$13, 100%, $E$13) + CHOOSE(CONTROL!$C$28, 0, 0)</f>
        <v>664.434212987009</v>
      </c>
    </row>
    <row r="873" spans="1:5" ht="15">
      <c r="A873" s="13">
        <v>68088</v>
      </c>
      <c r="B873" s="4">
        <f>124.7952 * CHOOSE(CONTROL!$C$9, $C$13, 100%, $E$13) + CHOOSE(CONTROL!$C$28, 0.0276, 0)</f>
        <v>124.8228</v>
      </c>
      <c r="C873" s="4">
        <f>124.4827 * CHOOSE(CONTROL!$C$9, $C$13, 100%, $E$13) + CHOOSE(CONTROL!$C$28, 0.0276, 0)</f>
        <v>124.5103</v>
      </c>
      <c r="D873" s="4">
        <f>100.4855 * CHOOSE(CONTROL!$C$9, $C$13, 100%, $E$13) + CHOOSE(CONTROL!$C$28, 0, 0)</f>
        <v>100.4855</v>
      </c>
      <c r="E873" s="4">
        <f>680.344309512202 * CHOOSE(CONTROL!$C$9, $C$13, 100%, $E$13) + CHOOSE(CONTROL!$C$28, 0, 0)</f>
        <v>680.34430951220202</v>
      </c>
    </row>
    <row r="874" spans="1:5" ht="15">
      <c r="A874" s="13">
        <v>68118</v>
      </c>
      <c r="B874" s="4">
        <f>125.1841 * CHOOSE(CONTROL!$C$9, $C$13, 100%, $E$13) + CHOOSE(CONTROL!$C$28, 0.0276, 0)</f>
        <v>125.21170000000001</v>
      </c>
      <c r="C874" s="4">
        <f>124.8716 * CHOOSE(CONTROL!$C$9, $C$13, 100%, $E$13) + CHOOSE(CONTROL!$C$28, 0.0276, 0)</f>
        <v>124.89920000000001</v>
      </c>
      <c r="D874" s="4">
        <f>101.4057 * CHOOSE(CONTROL!$C$9, $C$13, 100%, $E$13) + CHOOSE(CONTROL!$C$28, 0, 0)</f>
        <v>101.4057</v>
      </c>
      <c r="E874" s="4">
        <f>682.497011600318 * CHOOSE(CONTROL!$C$9, $C$13, 100%, $E$13) + CHOOSE(CONTROL!$C$28, 0, 0)</f>
        <v>682.49701160031805</v>
      </c>
    </row>
    <row r="875" spans="1:5" ht="15">
      <c r="A875" s="13">
        <v>68149</v>
      </c>
      <c r="B875" s="4">
        <f>125.1449 * CHOOSE(CONTROL!$C$9, $C$13, 100%, $E$13) + CHOOSE(CONTROL!$C$28, 0.0276, 0)</f>
        <v>125.17250000000001</v>
      </c>
      <c r="C875" s="4">
        <f>124.8324 * CHOOSE(CONTROL!$C$9, $C$13, 100%, $E$13) + CHOOSE(CONTROL!$C$28, 0.0276, 0)</f>
        <v>124.86000000000001</v>
      </c>
      <c r="D875" s="4">
        <f>103.0662 * CHOOSE(CONTROL!$C$9, $C$13, 100%, $E$13) + CHOOSE(CONTROL!$C$28, 0, 0)</f>
        <v>103.06619999999999</v>
      </c>
      <c r="E875" s="4">
        <f>682.279932398155 * CHOOSE(CONTROL!$C$9, $C$13, 100%, $E$13) + CHOOSE(CONTROL!$C$28, 0, 0)</f>
        <v>682.27993239815498</v>
      </c>
    </row>
    <row r="876" spans="1:5" ht="15">
      <c r="A876" s="13">
        <v>68180</v>
      </c>
      <c r="B876" s="4">
        <f>128.0962 * CHOOSE(CONTROL!$C$9, $C$13, 100%, $E$13) + CHOOSE(CONTROL!$C$28, 0.0276, 0)</f>
        <v>128.12380000000002</v>
      </c>
      <c r="C876" s="4">
        <f>127.7837 * CHOOSE(CONTROL!$C$9, $C$13, 100%, $E$13) + CHOOSE(CONTROL!$C$28, 0.0276, 0)</f>
        <v>127.8113</v>
      </c>
      <c r="D876" s="4">
        <f>101.9696 * CHOOSE(CONTROL!$C$9, $C$13, 100%, $E$13) + CHOOSE(CONTROL!$C$28, 0, 0)</f>
        <v>101.9696</v>
      </c>
      <c r="E876" s="4">
        <f>698.615142360917 * CHOOSE(CONTROL!$C$9, $C$13, 100%, $E$13) + CHOOSE(CONTROL!$C$28, 0, 0)</f>
        <v>698.61514236091705</v>
      </c>
    </row>
    <row r="877" spans="1:5" ht="15">
      <c r="A877" s="13">
        <v>68210</v>
      </c>
      <c r="B877" s="4">
        <f>123.0662 * CHOOSE(CONTROL!$C$9, $C$13, 100%, $E$13) + CHOOSE(CONTROL!$C$28, 0.0276, 0)</f>
        <v>123.0938</v>
      </c>
      <c r="C877" s="4">
        <f>122.7537 * CHOOSE(CONTROL!$C$9, $C$13, 100%, $E$13) + CHOOSE(CONTROL!$C$28, 0.0276, 0)</f>
        <v>122.7813</v>
      </c>
      <c r="D877" s="4">
        <f>101.4515 * CHOOSE(CONTROL!$C$9, $C$13, 100%, $E$13) + CHOOSE(CONTROL!$C$28, 0, 0)</f>
        <v>101.4515</v>
      </c>
      <c r="E877" s="4">
        <f>670.774734683519 * CHOOSE(CONTROL!$C$9, $C$13, 100%, $E$13) + CHOOSE(CONTROL!$C$28, 0, 0)</f>
        <v>670.774734683519</v>
      </c>
    </row>
    <row r="878" spans="1:5" ht="15">
      <c r="A878" s="13">
        <v>68241</v>
      </c>
      <c r="B878" s="4">
        <f>119.0396 * CHOOSE(CONTROL!$C$9, $C$13, 100%, $E$13) + CHOOSE(CONTROL!$C$28, 0.0003, 0)</f>
        <v>119.03989999999999</v>
      </c>
      <c r="C878" s="4">
        <f>118.7271 * CHOOSE(CONTROL!$C$9, $C$13, 100%, $E$13) + CHOOSE(CONTROL!$C$28, 0.0003, 0)</f>
        <v>118.72739999999999</v>
      </c>
      <c r="D878" s="4">
        <f>100.0642 * CHOOSE(CONTROL!$C$9, $C$13, 100%, $E$13) + CHOOSE(CONTROL!$C$28, 0, 0)</f>
        <v>100.0642</v>
      </c>
      <c r="E878" s="4">
        <f>648.487936594789 * CHOOSE(CONTROL!$C$9, $C$13, 100%, $E$13) + CHOOSE(CONTROL!$C$28, 0, 0)</f>
        <v>648.48793659478895</v>
      </c>
    </row>
    <row r="879" spans="1:5" ht="15">
      <c r="A879" s="13">
        <v>68271</v>
      </c>
      <c r="B879" s="4">
        <f>116.4461 * CHOOSE(CONTROL!$C$9, $C$13, 100%, $E$13) + CHOOSE(CONTROL!$C$28, 0.0003, 0)</f>
        <v>116.4464</v>
      </c>
      <c r="C879" s="4">
        <f>116.1336 * CHOOSE(CONTROL!$C$9, $C$13, 100%, $E$13) + CHOOSE(CONTROL!$C$28, 0.0003, 0)</f>
        <v>116.1339</v>
      </c>
      <c r="D879" s="4">
        <f>99.5873 * CHOOSE(CONTROL!$C$9, $C$13, 100%, $E$13) + CHOOSE(CONTROL!$C$28, 0, 0)</f>
        <v>99.587299999999999</v>
      </c>
      <c r="E879" s="4">
        <f>634.133574351764 * CHOOSE(CONTROL!$C$9, $C$13, 100%, $E$13) + CHOOSE(CONTROL!$C$28, 0, 0)</f>
        <v>634.13357435176397</v>
      </c>
    </row>
    <row r="880" spans="1:5" ht="15">
      <c r="A880" s="13">
        <v>68302</v>
      </c>
      <c r="B880" s="4">
        <f>114.6518 * CHOOSE(CONTROL!$C$9, $C$13, 100%, $E$13) + CHOOSE(CONTROL!$C$28, 0.0003, 0)</f>
        <v>114.65209999999999</v>
      </c>
      <c r="C880" s="4">
        <f>114.3393 * CHOOSE(CONTROL!$C$9, $C$13, 100%, $E$13) + CHOOSE(CONTROL!$C$28, 0.0003, 0)</f>
        <v>114.33959999999999</v>
      </c>
      <c r="D880" s="4">
        <f>96.0759 * CHOOSE(CONTROL!$C$9, $C$13, 100%, $E$13) + CHOOSE(CONTROL!$C$28, 0, 0)</f>
        <v>96.075900000000004</v>
      </c>
      <c r="E880" s="4">
        <f>624.202200852809 * CHOOSE(CONTROL!$C$9, $C$13, 100%, $E$13) + CHOOSE(CONTROL!$C$28, 0, 0)</f>
        <v>624.20220085280903</v>
      </c>
    </row>
    <row r="881" spans="1:5" ht="15">
      <c r="A881" s="13">
        <v>68333</v>
      </c>
      <c r="B881" s="4">
        <f>111.7364 * CHOOSE(CONTROL!$C$9, $C$13, 100%, $E$13) + CHOOSE(CONTROL!$C$28, 0.0003, 0)</f>
        <v>111.7367</v>
      </c>
      <c r="C881" s="4">
        <f>111.4239 * CHOOSE(CONTROL!$C$9, $C$13, 100%, $E$13) + CHOOSE(CONTROL!$C$28, 0.0003, 0)</f>
        <v>111.4242</v>
      </c>
      <c r="D881" s="4">
        <f>92.8487 * CHOOSE(CONTROL!$C$9, $C$13, 100%, $E$13) + CHOOSE(CONTROL!$C$28, 0, 0)</f>
        <v>92.848699999999994</v>
      </c>
      <c r="E881" s="4">
        <f>606.302460377708 * CHOOSE(CONTROL!$C$9, $C$13, 100%, $E$13) + CHOOSE(CONTROL!$C$28, 0, 0)</f>
        <v>606.30246037770803</v>
      </c>
    </row>
    <row r="882" spans="1:5" ht="15">
      <c r="A882" s="13">
        <v>68361</v>
      </c>
      <c r="B882" s="4">
        <f>114.3449 * CHOOSE(CONTROL!$C$9, $C$13, 100%, $E$13) + CHOOSE(CONTROL!$C$28, 0.0003, 0)</f>
        <v>114.34519999999999</v>
      </c>
      <c r="C882" s="4">
        <f>114.0324 * CHOOSE(CONTROL!$C$9, $C$13, 100%, $E$13) + CHOOSE(CONTROL!$C$28, 0.0003, 0)</f>
        <v>114.03269999999999</v>
      </c>
      <c r="D882" s="4">
        <f>96.0986 * CHOOSE(CONTROL!$C$9, $C$13, 100%, $E$13) + CHOOSE(CONTROL!$C$28, 0, 0)</f>
        <v>96.098600000000005</v>
      </c>
      <c r="E882" s="4">
        <f>620.698470170165 * CHOOSE(CONTROL!$C$9, $C$13, 100%, $E$13) + CHOOSE(CONTROL!$C$28, 0, 0)</f>
        <v>620.69847017016502</v>
      </c>
    </row>
    <row r="883" spans="1:5" ht="15">
      <c r="A883" s="13">
        <v>68392</v>
      </c>
      <c r="B883" s="4">
        <f>121.1951 * CHOOSE(CONTROL!$C$9, $C$13, 100%, $E$13) + CHOOSE(CONTROL!$C$28, 0.0003, 0)</f>
        <v>121.19539999999999</v>
      </c>
      <c r="C883" s="4">
        <f>120.8826 * CHOOSE(CONTROL!$C$9, $C$13, 100%, $E$13) + CHOOSE(CONTROL!$C$28, 0.0003, 0)</f>
        <v>120.88289999999999</v>
      </c>
      <c r="D883" s="4">
        <f>101.1859 * CHOOSE(CONTROL!$C$9, $C$13, 100%, $E$13) + CHOOSE(CONTROL!$C$28, 0, 0)</f>
        <v>101.1859</v>
      </c>
      <c r="E883" s="4">
        <f>658.50315693558 * CHOOSE(CONTROL!$C$9, $C$13, 100%, $E$13) + CHOOSE(CONTROL!$C$28, 0, 0)</f>
        <v>658.50315693558002</v>
      </c>
    </row>
    <row r="884" spans="1:5" ht="15">
      <c r="A884" s="13">
        <v>68422</v>
      </c>
      <c r="B884" s="4">
        <f>126.0622 * CHOOSE(CONTROL!$C$9, $C$13, 100%, $E$13) + CHOOSE(CONTROL!$C$28, 0.0003, 0)</f>
        <v>126.0625</v>
      </c>
      <c r="C884" s="4">
        <f>125.7497 * CHOOSE(CONTROL!$C$9, $C$13, 100%, $E$13) + CHOOSE(CONTROL!$C$28, 0.0003, 0)</f>
        <v>125.75</v>
      </c>
      <c r="D884" s="4">
        <f>104.1164 * CHOOSE(CONTROL!$C$9, $C$13, 100%, $E$13) + CHOOSE(CONTROL!$C$28, 0, 0)</f>
        <v>104.1164</v>
      </c>
      <c r="E884" s="4">
        <f>685.3638906961 * CHOOSE(CONTROL!$C$9, $C$13, 100%, $E$13) + CHOOSE(CONTROL!$C$28, 0, 0)</f>
        <v>685.36389069610004</v>
      </c>
    </row>
    <row r="885" spans="1:5" ht="15">
      <c r="A885" s="13">
        <v>68453</v>
      </c>
      <c r="B885" s="4">
        <f>129.0359 * CHOOSE(CONTROL!$C$9, $C$13, 100%, $E$13) + CHOOSE(CONTROL!$C$28, 0.0276, 0)</f>
        <v>129.0635</v>
      </c>
      <c r="C885" s="4">
        <f>128.7234 * CHOOSE(CONTROL!$C$9, $C$13, 100%, $E$13) + CHOOSE(CONTROL!$C$28, 0.0276, 0)</f>
        <v>128.751</v>
      </c>
      <c r="D885" s="4">
        <f>102.9584 * CHOOSE(CONTROL!$C$9, $C$13, 100%, $E$13) + CHOOSE(CONTROL!$C$28, 0, 0)</f>
        <v>102.9584</v>
      </c>
      <c r="E885" s="4">
        <f>701.775155261837 * CHOOSE(CONTROL!$C$9, $C$13, 100%, $E$13) + CHOOSE(CONTROL!$C$28, 0, 0)</f>
        <v>701.77515526183697</v>
      </c>
    </row>
    <row r="886" spans="1:5" ht="15">
      <c r="A886" s="13">
        <v>68483</v>
      </c>
      <c r="B886" s="4">
        <f>129.4383 * CHOOSE(CONTROL!$C$9, $C$13, 100%, $E$13) + CHOOSE(CONTROL!$C$28, 0.0276, 0)</f>
        <v>129.4659</v>
      </c>
      <c r="C886" s="4">
        <f>129.1258 * CHOOSE(CONTROL!$C$9, $C$13, 100%, $E$13) + CHOOSE(CONTROL!$C$28, 0.0276, 0)</f>
        <v>129.1534</v>
      </c>
      <c r="D886" s="4">
        <f>103.9015 * CHOOSE(CONTROL!$C$9, $C$13, 100%, $E$13) + CHOOSE(CONTROL!$C$28, 0, 0)</f>
        <v>103.9015</v>
      </c>
      <c r="E886" s="4">
        <f>703.995667465728 * CHOOSE(CONTROL!$C$9, $C$13, 100%, $E$13) + CHOOSE(CONTROL!$C$28, 0, 0)</f>
        <v>703.99566746572805</v>
      </c>
    </row>
    <row r="887" spans="1:5" ht="15">
      <c r="A887" s="13">
        <v>68514</v>
      </c>
      <c r="B887" s="4">
        <f>129.3977 * CHOOSE(CONTROL!$C$9, $C$13, 100%, $E$13) + CHOOSE(CONTROL!$C$28, 0.0276, 0)</f>
        <v>129.42529999999999</v>
      </c>
      <c r="C887" s="4">
        <f>129.0852 * CHOOSE(CONTROL!$C$9, $C$13, 100%, $E$13) + CHOOSE(CONTROL!$C$28, 0.0276, 0)</f>
        <v>129.11279999999999</v>
      </c>
      <c r="D887" s="4">
        <f>105.6032 * CHOOSE(CONTROL!$C$9, $C$13, 100%, $E$13) + CHOOSE(CONTROL!$C$28, 0, 0)</f>
        <v>105.6032</v>
      </c>
      <c r="E887" s="4">
        <f>703.771750268697 * CHOOSE(CONTROL!$C$9, $C$13, 100%, $E$13) + CHOOSE(CONTROL!$C$28, 0, 0)</f>
        <v>703.77175026869702</v>
      </c>
    </row>
    <row r="888" spans="1:5" ht="15">
      <c r="A888" s="13">
        <v>68545</v>
      </c>
      <c r="B888" s="4">
        <f>132.4509 * CHOOSE(CONTROL!$C$9, $C$13, 100%, $E$13) + CHOOSE(CONTROL!$C$28, 0.0276, 0)</f>
        <v>132.4785</v>
      </c>
      <c r="C888" s="4">
        <f>132.1384 * CHOOSE(CONTROL!$C$9, $C$13, 100%, $E$13) + CHOOSE(CONTROL!$C$28, 0.0276, 0)</f>
        <v>132.166</v>
      </c>
      <c r="D888" s="4">
        <f>104.4794 * CHOOSE(CONTROL!$C$9, $C$13, 100%, $E$13) + CHOOSE(CONTROL!$C$28, 0, 0)</f>
        <v>104.4794</v>
      </c>
      <c r="E888" s="4">
        <f>720.621519345286 * CHOOSE(CONTROL!$C$9, $C$13, 100%, $E$13) + CHOOSE(CONTROL!$C$28, 0, 0)</f>
        <v>720.62151934528595</v>
      </c>
    </row>
    <row r="889" spans="1:5" ht="15">
      <c r="A889" s="13">
        <v>68575</v>
      </c>
      <c r="B889" s="4">
        <f>127.2473 * CHOOSE(CONTROL!$C$9, $C$13, 100%, $E$13) + CHOOSE(CONTROL!$C$28, 0.0276, 0)</f>
        <v>127.2749</v>
      </c>
      <c r="C889" s="4">
        <f>126.9348 * CHOOSE(CONTROL!$C$9, $C$13, 100%, $E$13) + CHOOSE(CONTROL!$C$28, 0.0276, 0)</f>
        <v>126.9624</v>
      </c>
      <c r="D889" s="4">
        <f>103.9484 * CHOOSE(CONTROL!$C$9, $C$13, 100%, $E$13) + CHOOSE(CONTROL!$C$28, 0, 0)</f>
        <v>103.94840000000001</v>
      </c>
      <c r="E889" s="4">
        <f>691.90413882605 * CHOOSE(CONTROL!$C$9, $C$13, 100%, $E$13) + CHOOSE(CONTROL!$C$28, 0, 0)</f>
        <v>691.90413882605003</v>
      </c>
    </row>
    <row r="890" spans="1:5" ht="15">
      <c r="A890" s="13">
        <v>68606</v>
      </c>
      <c r="B890" s="4">
        <f>123.0818 * CHOOSE(CONTROL!$C$9, $C$13, 100%, $E$13) + CHOOSE(CONTROL!$C$28, 0.0003, 0)</f>
        <v>123.0821</v>
      </c>
      <c r="C890" s="4">
        <f>122.7693 * CHOOSE(CONTROL!$C$9, $C$13, 100%, $E$13) + CHOOSE(CONTROL!$C$28, 0.0003, 0)</f>
        <v>122.7696</v>
      </c>
      <c r="D890" s="4">
        <f>102.5267 * CHOOSE(CONTROL!$C$9, $C$13, 100%, $E$13) + CHOOSE(CONTROL!$C$28, 0, 0)</f>
        <v>102.52670000000001</v>
      </c>
      <c r="E890" s="4">
        <f>668.915306597525 * CHOOSE(CONTROL!$C$9, $C$13, 100%, $E$13) + CHOOSE(CONTROL!$C$28, 0, 0)</f>
        <v>668.91530659752505</v>
      </c>
    </row>
    <row r="891" spans="1:5" ht="15">
      <c r="A891" s="13">
        <v>68636</v>
      </c>
      <c r="B891" s="4">
        <f>120.3988 * CHOOSE(CONTROL!$C$9, $C$13, 100%, $E$13) + CHOOSE(CONTROL!$C$28, 0.0003, 0)</f>
        <v>120.39909999999999</v>
      </c>
      <c r="C891" s="4">
        <f>120.0863 * CHOOSE(CONTROL!$C$9, $C$13, 100%, $E$13) + CHOOSE(CONTROL!$C$28, 0.0003, 0)</f>
        <v>120.08659999999999</v>
      </c>
      <c r="D891" s="4">
        <f>102.0379 * CHOOSE(CONTROL!$C$9, $C$13, 100%, $E$13) + CHOOSE(CONTROL!$C$28, 0, 0)</f>
        <v>102.03789999999999</v>
      </c>
      <c r="E891" s="4">
        <f>654.108781943845 * CHOOSE(CONTROL!$C$9, $C$13, 100%, $E$13) + CHOOSE(CONTROL!$C$28, 0, 0)</f>
        <v>654.10878194384497</v>
      </c>
    </row>
    <row r="892" spans="1:5" ht="15">
      <c r="A892" s="13">
        <v>68667</v>
      </c>
      <c r="B892" s="4">
        <f>118.5426 * CHOOSE(CONTROL!$C$9, $C$13, 100%, $E$13) + CHOOSE(CONTROL!$C$28, 0.0003, 0)</f>
        <v>118.54289999999999</v>
      </c>
      <c r="C892" s="4">
        <f>118.2301 * CHOOSE(CONTROL!$C$9, $C$13, 100%, $E$13) + CHOOSE(CONTROL!$C$28, 0.0003, 0)</f>
        <v>118.23039999999999</v>
      </c>
      <c r="D892" s="4">
        <f>98.4395 * CHOOSE(CONTROL!$C$9, $C$13, 100%, $E$13) + CHOOSE(CONTROL!$C$28, 0, 0)</f>
        <v>98.439499999999995</v>
      </c>
      <c r="E892" s="4">
        <f>643.864570179673 * CHOOSE(CONTROL!$C$9, $C$13, 100%, $E$13) + CHOOSE(CONTROL!$C$28, 0, 0)</f>
        <v>643.86457017967302</v>
      </c>
    </row>
    <row r="893" spans="1:5" ht="15">
      <c r="A893" s="13">
        <v>68698</v>
      </c>
      <c r="B893" s="4">
        <f>115.5266 * CHOOSE(CONTROL!$C$9, $C$13, 100%, $E$13) + CHOOSE(CONTROL!$C$28, 0.0003, 0)</f>
        <v>115.5269</v>
      </c>
      <c r="C893" s="4">
        <f>115.2141 * CHOOSE(CONTROL!$C$9, $C$13, 100%, $E$13) + CHOOSE(CONTROL!$C$28, 0.0003, 0)</f>
        <v>115.2144</v>
      </c>
      <c r="D893" s="4">
        <f>95.1323 * CHOOSE(CONTROL!$C$9, $C$13, 100%, $E$13) + CHOOSE(CONTROL!$C$28, 0, 0)</f>
        <v>95.132300000000001</v>
      </c>
      <c r="E893" s="4">
        <f>625.400987879605 * CHOOSE(CONTROL!$C$9, $C$13, 100%, $E$13) + CHOOSE(CONTROL!$C$28, 0, 0)</f>
        <v>625.40098787960505</v>
      </c>
    </row>
    <row r="894" spans="1:5" ht="15">
      <c r="A894" s="13">
        <v>68727</v>
      </c>
      <c r="B894" s="4">
        <f>118.2251 * CHOOSE(CONTROL!$C$9, $C$13, 100%, $E$13) + CHOOSE(CONTROL!$C$28, 0.0003, 0)</f>
        <v>118.22539999999999</v>
      </c>
      <c r="C894" s="4">
        <f>117.9126 * CHOOSE(CONTROL!$C$9, $C$13, 100%, $E$13) + CHOOSE(CONTROL!$C$28, 0.0003, 0)</f>
        <v>117.91289999999999</v>
      </c>
      <c r="D894" s="4">
        <f>98.4627 * CHOOSE(CONTROL!$C$9, $C$13, 100%, $E$13) + CHOOSE(CONTROL!$C$28, 0, 0)</f>
        <v>98.462699999999998</v>
      </c>
      <c r="E894" s="4">
        <f>640.250471980525 * CHOOSE(CONTROL!$C$9, $C$13, 100%, $E$13) + CHOOSE(CONTROL!$C$28, 0, 0)</f>
        <v>640.25047198052505</v>
      </c>
    </row>
    <row r="895" spans="1:5" ht="15">
      <c r="A895" s="13">
        <v>68758</v>
      </c>
      <c r="B895" s="4">
        <f>125.3116 * CHOOSE(CONTROL!$C$9, $C$13, 100%, $E$13) + CHOOSE(CONTROL!$C$28, 0.0003, 0)</f>
        <v>125.31189999999999</v>
      </c>
      <c r="C895" s="4">
        <f>124.9991 * CHOOSE(CONTROL!$C$9, $C$13, 100%, $E$13) + CHOOSE(CONTROL!$C$28, 0.0003, 0)</f>
        <v>124.99939999999999</v>
      </c>
      <c r="D895" s="4">
        <f>103.6762 * CHOOSE(CONTROL!$C$9, $C$13, 100%, $E$13) + CHOOSE(CONTROL!$C$28, 0, 0)</f>
        <v>103.67619999999999</v>
      </c>
      <c r="E895" s="4">
        <f>679.24600637905 * CHOOSE(CONTROL!$C$9, $C$13, 100%, $E$13) + CHOOSE(CONTROL!$C$28, 0, 0)</f>
        <v>679.24600637904996</v>
      </c>
    </row>
    <row r="896" spans="1:5" ht="15">
      <c r="A896" s="13">
        <v>68788</v>
      </c>
      <c r="B896" s="4">
        <f>130.3467 * CHOOSE(CONTROL!$C$9, $C$13, 100%, $E$13) + CHOOSE(CONTROL!$C$28, 0.0003, 0)</f>
        <v>130.34700000000001</v>
      </c>
      <c r="C896" s="4">
        <f>130.0342 * CHOOSE(CONTROL!$C$9, $C$13, 100%, $E$13) + CHOOSE(CONTROL!$C$28, 0.0003, 0)</f>
        <v>130.03450000000001</v>
      </c>
      <c r="D896" s="4">
        <f>106.6794 * CHOOSE(CONTROL!$C$9, $C$13, 100%, $E$13) + CHOOSE(CONTROL!$C$28, 0, 0)</f>
        <v>106.6794</v>
      </c>
      <c r="E896" s="4">
        <f>706.952853253027 * CHOOSE(CONTROL!$C$9, $C$13, 100%, $E$13) + CHOOSE(CONTROL!$C$28, 0, 0)</f>
        <v>706.952853253027</v>
      </c>
    </row>
    <row r="897" spans="1:5" ht="15">
      <c r="A897" s="13">
        <v>68819</v>
      </c>
      <c r="B897" s="4">
        <f>133.423 * CHOOSE(CONTROL!$C$9, $C$13, 100%, $E$13) + CHOOSE(CONTROL!$C$28, 0.0276, 0)</f>
        <v>133.45060000000001</v>
      </c>
      <c r="C897" s="4">
        <f>133.1105 * CHOOSE(CONTROL!$C$9, $C$13, 100%, $E$13) + CHOOSE(CONTROL!$C$28, 0.0276, 0)</f>
        <v>133.13810000000001</v>
      </c>
      <c r="D897" s="4">
        <f>105.4927 * CHOOSE(CONTROL!$C$9, $C$13, 100%, $E$13) + CHOOSE(CONTROL!$C$28, 0, 0)</f>
        <v>105.4927</v>
      </c>
      <c r="E897" s="4">
        <f>723.881072652585 * CHOOSE(CONTROL!$C$9, $C$13, 100%, $E$13) + CHOOSE(CONTROL!$C$28, 0, 0)</f>
        <v>723.88107265258498</v>
      </c>
    </row>
    <row r="898" spans="1:5" ht="15">
      <c r="A898" s="13">
        <v>68849</v>
      </c>
      <c r="B898" s="4">
        <f>133.8392 * CHOOSE(CONTROL!$C$9, $C$13, 100%, $E$13) + CHOOSE(CONTROL!$C$28, 0.0276, 0)</f>
        <v>133.86680000000001</v>
      </c>
      <c r="C898" s="4">
        <f>133.5267 * CHOOSE(CONTROL!$C$9, $C$13, 100%, $E$13) + CHOOSE(CONTROL!$C$28, 0.0276, 0)</f>
        <v>133.55430000000001</v>
      </c>
      <c r="D898" s="4">
        <f>106.4592 * CHOOSE(CONTROL!$C$9, $C$13, 100%, $E$13) + CHOOSE(CONTROL!$C$28, 0, 0)</f>
        <v>106.4592</v>
      </c>
      <c r="E898" s="4">
        <f>726.171530990899 * CHOOSE(CONTROL!$C$9, $C$13, 100%, $E$13) + CHOOSE(CONTROL!$C$28, 0, 0)</f>
        <v>726.17153099089899</v>
      </c>
    </row>
    <row r="899" spans="1:5" ht="15">
      <c r="A899" s="13">
        <v>68880</v>
      </c>
      <c r="B899" s="4">
        <f>133.7973 * CHOOSE(CONTROL!$C$9, $C$13, 100%, $E$13) + CHOOSE(CONTROL!$C$28, 0.0276, 0)</f>
        <v>133.82490000000001</v>
      </c>
      <c r="C899" s="4">
        <f>133.4848 * CHOOSE(CONTROL!$C$9, $C$13, 100%, $E$13) + CHOOSE(CONTROL!$C$28, 0.0276, 0)</f>
        <v>133.51240000000001</v>
      </c>
      <c r="D899" s="4">
        <f>108.203 * CHOOSE(CONTROL!$C$9, $C$13, 100%, $E$13) + CHOOSE(CONTROL!$C$28, 0, 0)</f>
        <v>108.203</v>
      </c>
      <c r="E899" s="4">
        <f>725.940560402161 * CHOOSE(CONTROL!$C$9, $C$13, 100%, $E$13) + CHOOSE(CONTROL!$C$28, 0, 0)</f>
        <v>725.94056040216105</v>
      </c>
    </row>
    <row r="900" spans="1:5" ht="15">
      <c r="A900" s="13">
        <v>68911</v>
      </c>
      <c r="B900" s="4">
        <f>136.9557 * CHOOSE(CONTROL!$C$9, $C$13, 100%, $E$13) + CHOOSE(CONTROL!$C$28, 0.0276, 0)</f>
        <v>136.98330000000001</v>
      </c>
      <c r="C900" s="4">
        <f>136.6432 * CHOOSE(CONTROL!$C$9, $C$13, 100%, $E$13) + CHOOSE(CONTROL!$C$28, 0.0276, 0)</f>
        <v>136.67080000000001</v>
      </c>
      <c r="D900" s="4">
        <f>107.0514 * CHOOSE(CONTROL!$C$9, $C$13, 100%, $E$13) + CHOOSE(CONTROL!$C$28, 0, 0)</f>
        <v>107.0514</v>
      </c>
      <c r="E900" s="4">
        <f>743.321097204663 * CHOOSE(CONTROL!$C$9, $C$13, 100%, $E$13) + CHOOSE(CONTROL!$C$28, 0, 0)</f>
        <v>743.32109720466303</v>
      </c>
    </row>
    <row r="901" spans="1:5" ht="15">
      <c r="A901" s="13">
        <v>68941</v>
      </c>
      <c r="B901" s="4">
        <f>131.5727 * CHOOSE(CONTROL!$C$9, $C$13, 100%, $E$13) + CHOOSE(CONTROL!$C$28, 0.0276, 0)</f>
        <v>131.6003</v>
      </c>
      <c r="C901" s="4">
        <f>131.2602 * CHOOSE(CONTROL!$C$9, $C$13, 100%, $E$13) + CHOOSE(CONTROL!$C$28, 0.0276, 0)</f>
        <v>131.2878</v>
      </c>
      <c r="D901" s="4">
        <f>106.5072 * CHOOSE(CONTROL!$C$9, $C$13, 100%, $E$13) + CHOOSE(CONTROL!$C$28, 0, 0)</f>
        <v>106.5072</v>
      </c>
      <c r="E901" s="4">
        <f>713.69911919907 * CHOOSE(CONTROL!$C$9, $C$13, 100%, $E$13) + CHOOSE(CONTROL!$C$28, 0, 0)</f>
        <v>713.69911919906997</v>
      </c>
    </row>
    <row r="902" spans="1:5" ht="15">
      <c r="A902" s="13">
        <v>68972</v>
      </c>
      <c r="B902" s="4">
        <f>127.2634 * CHOOSE(CONTROL!$C$9, $C$13, 100%, $E$13) + CHOOSE(CONTROL!$C$28, 0.0003, 0)</f>
        <v>127.2637</v>
      </c>
      <c r="C902" s="4">
        <f>126.9509 * CHOOSE(CONTROL!$C$9, $C$13, 100%, $E$13) + CHOOSE(CONTROL!$C$28, 0.0003, 0)</f>
        <v>126.9512</v>
      </c>
      <c r="D902" s="4">
        <f>105.0503 * CHOOSE(CONTROL!$C$9, $C$13, 100%, $E$13) + CHOOSE(CONTROL!$C$28, 0, 0)</f>
        <v>105.05029999999999</v>
      </c>
      <c r="E902" s="4">
        <f>689.986138755347 * CHOOSE(CONTROL!$C$9, $C$13, 100%, $E$13) + CHOOSE(CONTROL!$C$28, 0, 0)</f>
        <v>689.98613875534704</v>
      </c>
    </row>
    <row r="903" spans="1:5" ht="15">
      <c r="A903" s="13">
        <v>69002</v>
      </c>
      <c r="B903" s="4">
        <f>124.4879 * CHOOSE(CONTROL!$C$9, $C$13, 100%, $E$13) + CHOOSE(CONTROL!$C$28, 0.0003, 0)</f>
        <v>124.48819999999999</v>
      </c>
      <c r="C903" s="4">
        <f>124.1754 * CHOOSE(CONTROL!$C$9, $C$13, 100%, $E$13) + CHOOSE(CONTROL!$C$28, 0.0003, 0)</f>
        <v>124.17569999999999</v>
      </c>
      <c r="D903" s="4">
        <f>104.5494 * CHOOSE(CONTROL!$C$9, $C$13, 100%, $E$13) + CHOOSE(CONTROL!$C$28, 0, 0)</f>
        <v>104.54940000000001</v>
      </c>
      <c r="E903" s="4">
        <f>674.713208575076 * CHOOSE(CONTROL!$C$9, $C$13, 100%, $E$13) + CHOOSE(CONTROL!$C$28, 0, 0)</f>
        <v>674.71320857507601</v>
      </c>
    </row>
    <row r="904" spans="1:5" ht="15">
      <c r="A904" s="13">
        <v>69033</v>
      </c>
      <c r="B904" s="4">
        <f>122.5676 * CHOOSE(CONTROL!$C$9, $C$13, 100%, $E$13) + CHOOSE(CONTROL!$C$28, 0.0003, 0)</f>
        <v>122.56789999999999</v>
      </c>
      <c r="C904" s="4">
        <f>122.2551 * CHOOSE(CONTROL!$C$9, $C$13, 100%, $E$13) + CHOOSE(CONTROL!$C$28, 0.0003, 0)</f>
        <v>122.25539999999999</v>
      </c>
      <c r="D904" s="4">
        <f>100.8617 * CHOOSE(CONTROL!$C$9, $C$13, 100%, $E$13) + CHOOSE(CONTROL!$C$28, 0, 0)</f>
        <v>100.8617</v>
      </c>
      <c r="E904" s="4">
        <f>664.146304140332 * CHOOSE(CONTROL!$C$9, $C$13, 100%, $E$13) + CHOOSE(CONTROL!$C$28, 0, 0)</f>
        <v>664.14630414033195</v>
      </c>
    </row>
    <row r="905" spans="1:5" ht="15">
      <c r="A905" s="13">
        <v>69064</v>
      </c>
      <c r="B905" s="4">
        <f>119.4476 * CHOOSE(CONTROL!$C$9, $C$13, 100%, $E$13) + CHOOSE(CONTROL!$C$28, 0.0003, 0)</f>
        <v>119.44789999999999</v>
      </c>
      <c r="C905" s="4">
        <f>119.1351 * CHOOSE(CONTROL!$C$9, $C$13, 100%, $E$13) + CHOOSE(CONTROL!$C$28, 0.0003, 0)</f>
        <v>119.13539999999999</v>
      </c>
      <c r="D905" s="4">
        <f>97.4725 * CHOOSE(CONTROL!$C$9, $C$13, 100%, $E$13) + CHOOSE(CONTROL!$C$28, 0, 0)</f>
        <v>97.472499999999997</v>
      </c>
      <c r="E905" s="4">
        <f>645.101118997814 * CHOOSE(CONTROL!$C$9, $C$13, 100%, $E$13) + CHOOSE(CONTROL!$C$28, 0, 0)</f>
        <v>645.10111899781396</v>
      </c>
    </row>
    <row r="906" spans="1:5" ht="15">
      <c r="A906" s="13">
        <v>69092</v>
      </c>
      <c r="B906" s="4">
        <f>122.2392 * CHOOSE(CONTROL!$C$9, $C$13, 100%, $E$13) + CHOOSE(CONTROL!$C$28, 0.0003, 0)</f>
        <v>122.23949999999999</v>
      </c>
      <c r="C906" s="4">
        <f>121.9267 * CHOOSE(CONTROL!$C$9, $C$13, 100%, $E$13) + CHOOSE(CONTROL!$C$28, 0.0003, 0)</f>
        <v>121.92699999999999</v>
      </c>
      <c r="D906" s="4">
        <f>100.8855 * CHOOSE(CONTROL!$C$9, $C$13, 100%, $E$13) + CHOOSE(CONTROL!$C$28, 0, 0)</f>
        <v>100.88549999999999</v>
      </c>
      <c r="E906" s="4">
        <f>660.418361847912 * CHOOSE(CONTROL!$C$9, $C$13, 100%, $E$13) + CHOOSE(CONTROL!$C$28, 0, 0)</f>
        <v>660.41836184791202</v>
      </c>
    </row>
    <row r="907" spans="1:5" ht="15">
      <c r="A907" s="13">
        <v>69123</v>
      </c>
      <c r="B907" s="4">
        <f>129.5702 * CHOOSE(CONTROL!$C$9, $C$13, 100%, $E$13) + CHOOSE(CONTROL!$C$28, 0.0003, 0)</f>
        <v>129.57050000000001</v>
      </c>
      <c r="C907" s="4">
        <f>129.2577 * CHOOSE(CONTROL!$C$9, $C$13, 100%, $E$13) + CHOOSE(CONTROL!$C$28, 0.0003, 0)</f>
        <v>129.25800000000001</v>
      </c>
      <c r="D907" s="4">
        <f>106.2283 * CHOOSE(CONTROL!$C$9, $C$13, 100%, $E$13) + CHOOSE(CONTROL!$C$28, 0, 0)</f>
        <v>106.2283</v>
      </c>
      <c r="E907" s="4">
        <f>700.64225557999 * CHOOSE(CONTROL!$C$9, $C$13, 100%, $E$13) + CHOOSE(CONTROL!$C$28, 0, 0)</f>
        <v>700.64225557998998</v>
      </c>
    </row>
    <row r="908" spans="1:5" ht="15">
      <c r="A908" s="13">
        <v>69153</v>
      </c>
      <c r="B908" s="4">
        <f>134.779 * CHOOSE(CONTROL!$C$9, $C$13, 100%, $E$13) + CHOOSE(CONTROL!$C$28, 0.0003, 0)</f>
        <v>134.77930000000001</v>
      </c>
      <c r="C908" s="4">
        <f>134.4665 * CHOOSE(CONTROL!$C$9, $C$13, 100%, $E$13) + CHOOSE(CONTROL!$C$28, 0.0003, 0)</f>
        <v>134.46680000000001</v>
      </c>
      <c r="D908" s="4">
        <f>109.3059 * CHOOSE(CONTROL!$C$9, $C$13, 100%, $E$13) + CHOOSE(CONTROL!$C$28, 0, 0)</f>
        <v>109.30589999999999</v>
      </c>
      <c r="E908" s="4">
        <f>729.221868130498 * CHOOSE(CONTROL!$C$9, $C$13, 100%, $E$13) + CHOOSE(CONTROL!$C$28, 0, 0)</f>
        <v>729.22186813049802</v>
      </c>
    </row>
    <row r="909" spans="1:5" ht="15">
      <c r="A909" s="13">
        <v>69184</v>
      </c>
      <c r="B909" s="4">
        <f>137.9614 * CHOOSE(CONTROL!$C$9, $C$13, 100%, $E$13) + CHOOSE(CONTROL!$C$28, 0.0276, 0)</f>
        <v>137.989</v>
      </c>
      <c r="C909" s="4">
        <f>137.6489 * CHOOSE(CONTROL!$C$9, $C$13, 100%, $E$13) + CHOOSE(CONTROL!$C$28, 0.0276, 0)</f>
        <v>137.6765</v>
      </c>
      <c r="D909" s="4">
        <f>108.0898 * CHOOSE(CONTROL!$C$9, $C$13, 100%, $E$13) + CHOOSE(CONTROL!$C$28, 0, 0)</f>
        <v>108.0898</v>
      </c>
      <c r="E909" s="4">
        <f>746.683326441141 * CHOOSE(CONTROL!$C$9, $C$13, 100%, $E$13) + CHOOSE(CONTROL!$C$28, 0, 0)</f>
        <v>746.68332644114105</v>
      </c>
    </row>
    <row r="910" spans="1:5" ht="15">
      <c r="A910" s="13">
        <v>69214</v>
      </c>
      <c r="B910" s="4">
        <f>138.392 * CHOOSE(CONTROL!$C$9, $C$13, 100%, $E$13) + CHOOSE(CONTROL!$C$28, 0.0276, 0)</f>
        <v>138.4196</v>
      </c>
      <c r="C910" s="4">
        <f>138.0795 * CHOOSE(CONTROL!$C$9, $C$13, 100%, $E$13) + CHOOSE(CONTROL!$C$28, 0.0276, 0)</f>
        <v>138.1071</v>
      </c>
      <c r="D910" s="4">
        <f>109.0803 * CHOOSE(CONTROL!$C$9, $C$13, 100%, $E$13) + CHOOSE(CONTROL!$C$28, 0, 0)</f>
        <v>109.08029999999999</v>
      </c>
      <c r="E910" s="4">
        <f>749.045934217112 * CHOOSE(CONTROL!$C$9, $C$13, 100%, $E$13) + CHOOSE(CONTROL!$C$28, 0, 0)</f>
        <v>749.04593421711195</v>
      </c>
    </row>
    <row r="911" spans="1:5" ht="15">
      <c r="A911" s="13">
        <v>69245</v>
      </c>
      <c r="B911" s="4">
        <f>138.3486 * CHOOSE(CONTROL!$C$9, $C$13, 100%, $E$13) + CHOOSE(CONTROL!$C$28, 0.0276, 0)</f>
        <v>138.37620000000001</v>
      </c>
      <c r="C911" s="4">
        <f>138.0361 * CHOOSE(CONTROL!$C$9, $C$13, 100%, $E$13) + CHOOSE(CONTROL!$C$28, 0.0276, 0)</f>
        <v>138.06370000000001</v>
      </c>
      <c r="D911" s="4">
        <f>110.8674 * CHOOSE(CONTROL!$C$9, $C$13, 100%, $E$13) + CHOOSE(CONTROL!$C$28, 0, 0)</f>
        <v>110.8674</v>
      </c>
      <c r="E911" s="4">
        <f>748.807688054829 * CHOOSE(CONTROL!$C$9, $C$13, 100%, $E$13) + CHOOSE(CONTROL!$C$28, 0, 0)</f>
        <v>748.80768805482899</v>
      </c>
    </row>
    <row r="912" spans="1:5" ht="15">
      <c r="A912" s="13">
        <v>69276</v>
      </c>
      <c r="B912" s="4">
        <f>141.616 * CHOOSE(CONTROL!$C$9, $C$13, 100%, $E$13) + CHOOSE(CONTROL!$C$28, 0.0276, 0)</f>
        <v>141.64360000000002</v>
      </c>
      <c r="C912" s="4">
        <f>141.3035 * CHOOSE(CONTROL!$C$9, $C$13, 100%, $E$13) + CHOOSE(CONTROL!$C$28, 0.0276, 0)</f>
        <v>141.33110000000002</v>
      </c>
      <c r="D912" s="4">
        <f>109.6872 * CHOOSE(CONTROL!$C$9, $C$13, 100%, $E$13) + CHOOSE(CONTROL!$C$28, 0, 0)</f>
        <v>109.6872</v>
      </c>
      <c r="E912" s="4">
        <f>766.73571176661 * CHOOSE(CONTROL!$C$9, $C$13, 100%, $E$13) + CHOOSE(CONTROL!$C$28, 0, 0)</f>
        <v>766.73571176661005</v>
      </c>
    </row>
    <row r="913" spans="1:5" ht="15">
      <c r="A913" s="13">
        <v>69306</v>
      </c>
      <c r="B913" s="4">
        <f>136.0472 * CHOOSE(CONTROL!$C$9, $C$13, 100%, $E$13) + CHOOSE(CONTROL!$C$28, 0.0276, 0)</f>
        <v>136.07480000000001</v>
      </c>
      <c r="C913" s="4">
        <f>135.7347 * CHOOSE(CONTROL!$C$9, $C$13, 100%, $E$13) + CHOOSE(CONTROL!$C$28, 0.0276, 0)</f>
        <v>135.76230000000001</v>
      </c>
      <c r="D913" s="4">
        <f>109.1295 * CHOOSE(CONTROL!$C$9, $C$13, 100%, $E$13) + CHOOSE(CONTROL!$C$28, 0, 0)</f>
        <v>109.12949999999999</v>
      </c>
      <c r="E913" s="4">
        <f>736.180641453841 * CHOOSE(CONTROL!$C$9, $C$13, 100%, $E$13) + CHOOSE(CONTROL!$C$28, 0, 0)</f>
        <v>736.18064145384096</v>
      </c>
    </row>
    <row r="914" spans="1:5" ht="15">
      <c r="A914" s="13">
        <v>69337</v>
      </c>
      <c r="B914" s="4">
        <f>131.5893 * CHOOSE(CONTROL!$C$9, $C$13, 100%, $E$13) + CHOOSE(CONTROL!$C$28, 0.0003, 0)</f>
        <v>131.58960000000002</v>
      </c>
      <c r="C914" s="4">
        <f>131.2768 * CHOOSE(CONTROL!$C$9, $C$13, 100%, $E$13) + CHOOSE(CONTROL!$C$28, 0.0003, 0)</f>
        <v>131.27710000000002</v>
      </c>
      <c r="D914" s="4">
        <f>107.6365 * CHOOSE(CONTROL!$C$9, $C$13, 100%, $E$13) + CHOOSE(CONTROL!$C$28, 0, 0)</f>
        <v>107.6365</v>
      </c>
      <c r="E914" s="4">
        <f>711.720702126141 * CHOOSE(CONTROL!$C$9, $C$13, 100%, $E$13) + CHOOSE(CONTROL!$C$28, 0, 0)</f>
        <v>711.72070212614096</v>
      </c>
    </row>
    <row r="915" spans="1:5" ht="15">
      <c r="A915" s="13">
        <v>69367</v>
      </c>
      <c r="B915" s="4">
        <f>128.7181 * CHOOSE(CONTROL!$C$9, $C$13, 100%, $E$13) + CHOOSE(CONTROL!$C$28, 0.0003, 0)</f>
        <v>128.7184</v>
      </c>
      <c r="C915" s="4">
        <f>128.4056 * CHOOSE(CONTROL!$C$9, $C$13, 100%, $E$13) + CHOOSE(CONTROL!$C$28, 0.0003, 0)</f>
        <v>128.4059</v>
      </c>
      <c r="D915" s="4">
        <f>107.1231 * CHOOSE(CONTROL!$C$9, $C$13, 100%, $E$13) + CHOOSE(CONTROL!$C$28, 0, 0)</f>
        <v>107.12309999999999</v>
      </c>
      <c r="E915" s="4">
        <f>695.966674645191 * CHOOSE(CONTROL!$C$9, $C$13, 100%, $E$13) + CHOOSE(CONTROL!$C$28, 0, 0)</f>
        <v>695.96667464519101</v>
      </c>
    </row>
    <row r="916" spans="1:5" ht="15">
      <c r="A916" s="13">
        <v>69398</v>
      </c>
      <c r="B916" s="4">
        <f>126.7315 * CHOOSE(CONTROL!$C$9, $C$13, 100%, $E$13) + CHOOSE(CONTROL!$C$28, 0.0003, 0)</f>
        <v>126.73179999999999</v>
      </c>
      <c r="C916" s="4">
        <f>126.419 * CHOOSE(CONTROL!$C$9, $C$13, 100%, $E$13) + CHOOSE(CONTROL!$C$28, 0.0003, 0)</f>
        <v>126.41929999999999</v>
      </c>
      <c r="D916" s="4">
        <f>103.344 * CHOOSE(CONTROL!$C$9, $C$13, 100%, $E$13) + CHOOSE(CONTROL!$C$28, 0, 0)</f>
        <v>103.34399999999999</v>
      </c>
      <c r="E916" s="4">
        <f>685.066912720753 * CHOOSE(CONTROL!$C$9, $C$13, 100%, $E$13) + CHOOSE(CONTROL!$C$28, 0, 0)</f>
        <v>685.06691272075295</v>
      </c>
    </row>
    <row r="917" spans="1:5" ht="15">
      <c r="A917" s="13">
        <v>69429</v>
      </c>
      <c r="B917" s="4">
        <f>123.5038 * CHOOSE(CONTROL!$C$9, $C$13, 100%, $E$13) + CHOOSE(CONTROL!$C$28, 0.0003, 0)</f>
        <v>123.50409999999999</v>
      </c>
      <c r="C917" s="4">
        <f>123.1913 * CHOOSE(CONTROL!$C$9, $C$13, 100%, $E$13) + CHOOSE(CONTROL!$C$28, 0.0003, 0)</f>
        <v>123.19159999999999</v>
      </c>
      <c r="D917" s="4">
        <f>99.8707 * CHOOSE(CONTROL!$C$9, $C$13, 100%, $E$13) + CHOOSE(CONTROL!$C$28, 0, 0)</f>
        <v>99.870699999999999</v>
      </c>
      <c r="E917" s="4">
        <f>665.421804246245 * CHOOSE(CONTROL!$C$9, $C$13, 100%, $E$13) + CHOOSE(CONTROL!$C$28, 0, 0)</f>
        <v>665.42180424624496</v>
      </c>
    </row>
    <row r="918" spans="1:5" ht="15">
      <c r="A918" s="13">
        <v>69457</v>
      </c>
      <c r="B918" s="4">
        <f>126.3918 * CHOOSE(CONTROL!$C$9, $C$13, 100%, $E$13) + CHOOSE(CONTROL!$C$28, 0.0003, 0)</f>
        <v>126.3921</v>
      </c>
      <c r="C918" s="4">
        <f>126.0793 * CHOOSE(CONTROL!$C$9, $C$13, 100%, $E$13) + CHOOSE(CONTROL!$C$28, 0.0003, 0)</f>
        <v>126.0796</v>
      </c>
      <c r="D918" s="4">
        <f>103.3684 * CHOOSE(CONTROL!$C$9, $C$13, 100%, $E$13) + CHOOSE(CONTROL!$C$28, 0, 0)</f>
        <v>103.36839999999999</v>
      </c>
      <c r="E918" s="4">
        <f>681.221540246121 * CHOOSE(CONTROL!$C$9, $C$13, 100%, $E$13) + CHOOSE(CONTROL!$C$28, 0, 0)</f>
        <v>681.22154024612098</v>
      </c>
    </row>
    <row r="919" spans="1:5" ht="15">
      <c r="A919" s="13">
        <v>69488</v>
      </c>
      <c r="B919" s="4">
        <f>133.9757 * CHOOSE(CONTROL!$C$9, $C$13, 100%, $E$13) + CHOOSE(CONTROL!$C$28, 0.0003, 0)</f>
        <v>133.976</v>
      </c>
      <c r="C919" s="4">
        <f>133.6632 * CHOOSE(CONTROL!$C$9, $C$13, 100%, $E$13) + CHOOSE(CONTROL!$C$28, 0.0003, 0)</f>
        <v>133.6635</v>
      </c>
      <c r="D919" s="4">
        <f>108.8437 * CHOOSE(CONTROL!$C$9, $C$13, 100%, $E$13) + CHOOSE(CONTROL!$C$28, 0, 0)</f>
        <v>108.8437</v>
      </c>
      <c r="E919" s="4">
        <f>722.71248663076 * CHOOSE(CONTROL!$C$9, $C$13, 100%, $E$13) + CHOOSE(CONTROL!$C$28, 0, 0)</f>
        <v>722.71248663076005</v>
      </c>
    </row>
    <row r="920" spans="1:5" ht="15">
      <c r="A920" s="13">
        <v>69518</v>
      </c>
      <c r="B920" s="4">
        <f>139.3642 * CHOOSE(CONTROL!$C$9, $C$13, 100%, $E$13) + CHOOSE(CONTROL!$C$28, 0.0003, 0)</f>
        <v>139.36450000000002</v>
      </c>
      <c r="C920" s="4">
        <f>139.0517 * CHOOSE(CONTROL!$C$9, $C$13, 100%, $E$13) + CHOOSE(CONTROL!$C$28, 0.0003, 0)</f>
        <v>139.05200000000002</v>
      </c>
      <c r="D920" s="4">
        <f>111.9976 * CHOOSE(CONTROL!$C$9, $C$13, 100%, $E$13) + CHOOSE(CONTROL!$C$28, 0, 0)</f>
        <v>111.99760000000001</v>
      </c>
      <c r="E920" s="4">
        <f>752.192356976608 * CHOOSE(CONTROL!$C$9, $C$13, 100%, $E$13) + CHOOSE(CONTROL!$C$28, 0, 0)</f>
        <v>752.19235697660804</v>
      </c>
    </row>
    <row r="921" spans="1:5" ht="15">
      <c r="A921" s="13">
        <v>69549</v>
      </c>
      <c r="B921" s="4">
        <f>142.6564 * CHOOSE(CONTROL!$C$9, $C$13, 100%, $E$13) + CHOOSE(CONTROL!$C$28, 0.0276, 0)</f>
        <v>142.684</v>
      </c>
      <c r="C921" s="4">
        <f>142.3439 * CHOOSE(CONTROL!$C$9, $C$13, 100%, $E$13) + CHOOSE(CONTROL!$C$28, 0.0276, 0)</f>
        <v>142.3715</v>
      </c>
      <c r="D921" s="4">
        <f>110.7514 * CHOOSE(CONTROL!$C$9, $C$13, 100%, $E$13) + CHOOSE(CONTROL!$C$28, 0, 0)</f>
        <v>110.7514</v>
      </c>
      <c r="E921" s="4">
        <f>770.203851224037 * CHOOSE(CONTROL!$C$9, $C$13, 100%, $E$13) + CHOOSE(CONTROL!$C$28, 0, 0)</f>
        <v>770.20385122403695</v>
      </c>
    </row>
    <row r="922" spans="1:5" ht="15">
      <c r="A922" s="13">
        <v>69579</v>
      </c>
      <c r="B922" s="4">
        <f>143.1018 * CHOOSE(CONTROL!$C$9, $C$13, 100%, $E$13) + CHOOSE(CONTROL!$C$28, 0.0276, 0)</f>
        <v>143.1294</v>
      </c>
      <c r="C922" s="4">
        <f>142.7893 * CHOOSE(CONTROL!$C$9, $C$13, 100%, $E$13) + CHOOSE(CONTROL!$C$28, 0.0276, 0)</f>
        <v>142.8169</v>
      </c>
      <c r="D922" s="4">
        <f>111.7664 * CHOOSE(CONTROL!$C$9, $C$13, 100%, $E$13) + CHOOSE(CONTROL!$C$28, 0, 0)</f>
        <v>111.7664</v>
      </c>
      <c r="E922" s="4">
        <f>772.640881144951 * CHOOSE(CONTROL!$C$9, $C$13, 100%, $E$13) + CHOOSE(CONTROL!$C$28, 0, 0)</f>
        <v>772.64088114495098</v>
      </c>
    </row>
    <row r="923" spans="1:5" ht="15">
      <c r="A923" s="13">
        <v>69610</v>
      </c>
      <c r="B923" s="4">
        <f>143.0569 * CHOOSE(CONTROL!$C$9, $C$13, 100%, $E$13) + CHOOSE(CONTROL!$C$28, 0.0276, 0)</f>
        <v>143.08450000000002</v>
      </c>
      <c r="C923" s="4">
        <f>142.7444 * CHOOSE(CONTROL!$C$9, $C$13, 100%, $E$13) + CHOOSE(CONTROL!$C$28, 0.0276, 0)</f>
        <v>142.77200000000002</v>
      </c>
      <c r="D923" s="4">
        <f>113.5978 * CHOOSE(CONTROL!$C$9, $C$13, 100%, $E$13) + CHOOSE(CONTROL!$C$28, 0, 0)</f>
        <v>113.59780000000001</v>
      </c>
      <c r="E923" s="4">
        <f>772.395130228556 * CHOOSE(CONTROL!$C$9, $C$13, 100%, $E$13) + CHOOSE(CONTROL!$C$28, 0, 0)</f>
        <v>772.39513022855601</v>
      </c>
    </row>
    <row r="924" spans="1:5" ht="15">
      <c r="A924" s="13">
        <v>69641</v>
      </c>
      <c r="B924" s="4">
        <f>146.4371 * CHOOSE(CONTROL!$C$9, $C$13, 100%, $E$13) + CHOOSE(CONTROL!$C$28, 0.0276, 0)</f>
        <v>146.46469999999999</v>
      </c>
      <c r="C924" s="4">
        <f>146.1246 * CHOOSE(CONTROL!$C$9, $C$13, 100%, $E$13) + CHOOSE(CONTROL!$C$28, 0.0276, 0)</f>
        <v>146.15219999999999</v>
      </c>
      <c r="D924" s="4">
        <f>112.3883 * CHOOSE(CONTROL!$C$9, $C$13, 100%, $E$13) + CHOOSE(CONTROL!$C$28, 0, 0)</f>
        <v>112.3883</v>
      </c>
      <c r="E924" s="4">
        <f>790.887886687258 * CHOOSE(CONTROL!$C$9, $C$13, 100%, $E$13) + CHOOSE(CONTROL!$C$28, 0, 0)</f>
        <v>790.88788668725795</v>
      </c>
    </row>
    <row r="925" spans="1:5" ht="15">
      <c r="A925" s="13">
        <v>69671</v>
      </c>
      <c r="B925" s="4">
        <f>140.6762 * CHOOSE(CONTROL!$C$9, $C$13, 100%, $E$13) + CHOOSE(CONTROL!$C$28, 0.0276, 0)</f>
        <v>140.7038</v>
      </c>
      <c r="C925" s="4">
        <f>140.3637 * CHOOSE(CONTROL!$C$9, $C$13, 100%, $E$13) + CHOOSE(CONTROL!$C$28, 0.0276, 0)</f>
        <v>140.3913</v>
      </c>
      <c r="D925" s="4">
        <f>111.8169 * CHOOSE(CONTROL!$C$9, $C$13, 100%, $E$13) + CHOOSE(CONTROL!$C$28, 0, 0)</f>
        <v>111.8169</v>
      </c>
      <c r="E925" s="4">
        <f>759.370331659637 * CHOOSE(CONTROL!$C$9, $C$13, 100%, $E$13) + CHOOSE(CONTROL!$C$28, 0, 0)</f>
        <v>759.37033165963703</v>
      </c>
    </row>
    <row r="926" spans="1:5" ht="15">
      <c r="A926" s="13">
        <v>69702</v>
      </c>
      <c r="B926" s="4">
        <f>136.0644 * CHOOSE(CONTROL!$C$9, $C$13, 100%, $E$13) + CHOOSE(CONTROL!$C$28, 0.0003, 0)</f>
        <v>136.06470000000002</v>
      </c>
      <c r="C926" s="4">
        <f>135.7519 * CHOOSE(CONTROL!$C$9, $C$13, 100%, $E$13) + CHOOSE(CONTROL!$C$28, 0.0003, 0)</f>
        <v>135.75220000000002</v>
      </c>
      <c r="D926" s="4">
        <f>110.2867 * CHOOSE(CONTROL!$C$9, $C$13, 100%, $E$13) + CHOOSE(CONTROL!$C$28, 0, 0)</f>
        <v>110.2867</v>
      </c>
      <c r="E926" s="4">
        <f>734.139904243114 * CHOOSE(CONTROL!$C$9, $C$13, 100%, $E$13) + CHOOSE(CONTROL!$C$28, 0, 0)</f>
        <v>734.13990424311396</v>
      </c>
    </row>
    <row r="927" spans="1:5" ht="15">
      <c r="A927" s="13">
        <v>69732</v>
      </c>
      <c r="B927" s="4">
        <f>133.0941 * CHOOSE(CONTROL!$C$9, $C$13, 100%, $E$13) + CHOOSE(CONTROL!$C$28, 0.0003, 0)</f>
        <v>133.09440000000001</v>
      </c>
      <c r="C927" s="4">
        <f>132.7816 * CHOOSE(CONTROL!$C$9, $C$13, 100%, $E$13) + CHOOSE(CONTROL!$C$28, 0.0003, 0)</f>
        <v>132.78190000000001</v>
      </c>
      <c r="D927" s="4">
        <f>109.7607 * CHOOSE(CONTROL!$C$9, $C$13, 100%, $E$13) + CHOOSE(CONTROL!$C$28, 0, 0)</f>
        <v>109.7607</v>
      </c>
      <c r="E927" s="4">
        <f>717.889624896514 * CHOOSE(CONTROL!$C$9, $C$13, 100%, $E$13) + CHOOSE(CONTROL!$C$28, 0, 0)</f>
        <v>717.88962489651396</v>
      </c>
    </row>
    <row r="928" spans="1:5" ht="15">
      <c r="A928" s="13">
        <v>69763</v>
      </c>
      <c r="B928" s="4">
        <f>131.0391 * CHOOSE(CONTROL!$C$9, $C$13, 100%, $E$13) + CHOOSE(CONTROL!$C$28, 0.0003, 0)</f>
        <v>131.0394</v>
      </c>
      <c r="C928" s="4">
        <f>130.7266 * CHOOSE(CONTROL!$C$9, $C$13, 100%, $E$13) + CHOOSE(CONTROL!$C$28, 0.0003, 0)</f>
        <v>130.7269</v>
      </c>
      <c r="D928" s="4">
        <f>105.8879 * CHOOSE(CONTROL!$C$9, $C$13, 100%, $E$13) + CHOOSE(CONTROL!$C$28, 0, 0)</f>
        <v>105.8879</v>
      </c>
      <c r="E928" s="4">
        <f>706.646520471456 * CHOOSE(CONTROL!$C$9, $C$13, 100%, $E$13) + CHOOSE(CONTROL!$C$28, 0, 0)</f>
        <v>706.64652047145603</v>
      </c>
    </row>
    <row r="929" spans="1:5" ht="15">
      <c r="A929" s="13">
        <v>69794</v>
      </c>
      <c r="B929" s="4">
        <f>127.7 * CHOOSE(CONTROL!$C$9, $C$13, 100%, $E$13) + CHOOSE(CONTROL!$C$28, 0.0003, 0)</f>
        <v>127.7003</v>
      </c>
      <c r="C929" s="4">
        <f>127.3875 * CHOOSE(CONTROL!$C$9, $C$13, 100%, $E$13) + CHOOSE(CONTROL!$C$28, 0.0003, 0)</f>
        <v>127.3878</v>
      </c>
      <c r="D929" s="4">
        <f>102.3284 * CHOOSE(CONTROL!$C$9, $C$13, 100%, $E$13) + CHOOSE(CONTROL!$C$28, 0, 0)</f>
        <v>102.3284</v>
      </c>
      <c r="E929" s="4">
        <f>686.382591080001 * CHOOSE(CONTROL!$C$9, $C$13, 100%, $E$13) + CHOOSE(CONTROL!$C$28, 0, 0)</f>
        <v>686.38259108000102</v>
      </c>
    </row>
    <row r="930" spans="1:5" ht="15">
      <c r="A930" s="13">
        <v>69822</v>
      </c>
      <c r="B930" s="4">
        <f>130.6876 * CHOOSE(CONTROL!$C$9, $C$13, 100%, $E$13) + CHOOSE(CONTROL!$C$28, 0.0003, 0)</f>
        <v>130.68790000000001</v>
      </c>
      <c r="C930" s="4">
        <f>130.3751 * CHOOSE(CONTROL!$C$9, $C$13, 100%, $E$13) + CHOOSE(CONTROL!$C$28, 0.0003, 0)</f>
        <v>130.37540000000001</v>
      </c>
      <c r="D930" s="4">
        <f>105.9128 * CHOOSE(CONTROL!$C$9, $C$13, 100%, $E$13) + CHOOSE(CONTROL!$C$28, 0, 0)</f>
        <v>105.9128</v>
      </c>
      <c r="E930" s="4">
        <f>702.680018763874 * CHOOSE(CONTROL!$C$9, $C$13, 100%, $E$13) + CHOOSE(CONTROL!$C$28, 0, 0)</f>
        <v>702.68001876387405</v>
      </c>
    </row>
    <row r="931" spans="1:5" ht="15">
      <c r="A931" s="13">
        <v>69853</v>
      </c>
      <c r="B931" s="4">
        <f>138.5332 * CHOOSE(CONTROL!$C$9, $C$13, 100%, $E$13) + CHOOSE(CONTROL!$C$28, 0.0003, 0)</f>
        <v>138.5335</v>
      </c>
      <c r="C931" s="4">
        <f>138.2207 * CHOOSE(CONTROL!$C$9, $C$13, 100%, $E$13) + CHOOSE(CONTROL!$C$28, 0.0003, 0)</f>
        <v>138.221</v>
      </c>
      <c r="D931" s="4">
        <f>111.5239 * CHOOSE(CONTROL!$C$9, $C$13, 100%, $E$13) + CHOOSE(CONTROL!$C$28, 0, 0)</f>
        <v>111.5239</v>
      </c>
      <c r="E931" s="4">
        <f>745.477929959629 * CHOOSE(CONTROL!$C$9, $C$13, 100%, $E$13) + CHOOSE(CONTROL!$C$28, 0, 0)</f>
        <v>745.47792995962902</v>
      </c>
    </row>
    <row r="932" spans="1:5" ht="15">
      <c r="A932" s="13">
        <v>69883</v>
      </c>
      <c r="B932" s="4">
        <f>144.1075 * CHOOSE(CONTROL!$C$9, $C$13, 100%, $E$13) + CHOOSE(CONTROL!$C$28, 0.0003, 0)</f>
        <v>144.1078</v>
      </c>
      <c r="C932" s="4">
        <f>143.795 * CHOOSE(CONTROL!$C$9, $C$13, 100%, $E$13) + CHOOSE(CONTROL!$C$28, 0.0003, 0)</f>
        <v>143.7953</v>
      </c>
      <c r="D932" s="4">
        <f>114.7561 * CHOOSE(CONTROL!$C$9, $C$13, 100%, $E$13) + CHOOSE(CONTROL!$C$28, 0, 0)</f>
        <v>114.7561</v>
      </c>
      <c r="E932" s="4">
        <f>775.886416221372 * CHOOSE(CONTROL!$C$9, $C$13, 100%, $E$13) + CHOOSE(CONTROL!$C$28, 0, 0)</f>
        <v>775.88641622137197</v>
      </c>
    </row>
    <row r="933" spans="1:5" ht="15">
      <c r="A933" s="13">
        <v>69914</v>
      </c>
      <c r="B933" s="4">
        <f>147.5133 * CHOOSE(CONTROL!$C$9, $C$13, 100%, $E$13) + CHOOSE(CONTROL!$C$28, 0.0276, 0)</f>
        <v>147.54089999999999</v>
      </c>
      <c r="C933" s="4">
        <f>147.2008 * CHOOSE(CONTROL!$C$9, $C$13, 100%, $E$13) + CHOOSE(CONTROL!$C$28, 0.0276, 0)</f>
        <v>147.22839999999999</v>
      </c>
      <c r="D933" s="4">
        <f>113.4789 * CHOOSE(CONTROL!$C$9, $C$13, 100%, $E$13) + CHOOSE(CONTROL!$C$28, 0, 0)</f>
        <v>113.4789</v>
      </c>
      <c r="E933" s="4">
        <f>794.465272537594 * CHOOSE(CONTROL!$C$9, $C$13, 100%, $E$13) + CHOOSE(CONTROL!$C$28, 0, 0)</f>
        <v>794.46527253759405</v>
      </c>
    </row>
    <row r="934" spans="1:5" ht="15">
      <c r="A934" s="13">
        <v>69944</v>
      </c>
      <c r="B934" s="4">
        <f>147.9742 * CHOOSE(CONTROL!$C$9, $C$13, 100%, $E$13) + CHOOSE(CONTROL!$C$28, 0.0276, 0)</f>
        <v>148.0018</v>
      </c>
      <c r="C934" s="4">
        <f>147.6617 * CHOOSE(CONTROL!$C$9, $C$13, 100%, $E$13) + CHOOSE(CONTROL!$C$28, 0.0276, 0)</f>
        <v>147.6893</v>
      </c>
      <c r="D934" s="4">
        <f>114.5191 * CHOOSE(CONTROL!$C$9, $C$13, 100%, $E$13) + CHOOSE(CONTROL!$C$28, 0, 0)</f>
        <v>114.51909999999999</v>
      </c>
      <c r="E934" s="4">
        <f>796.979068901017 * CHOOSE(CONTROL!$C$9, $C$13, 100%, $E$13) + CHOOSE(CONTROL!$C$28, 0, 0)</f>
        <v>796.97906890101694</v>
      </c>
    </row>
    <row r="935" spans="1:5" ht="15">
      <c r="A935" s="13">
        <v>69975</v>
      </c>
      <c r="B935" s="4">
        <f>147.9277 * CHOOSE(CONTROL!$C$9, $C$13, 100%, $E$13) + CHOOSE(CONTROL!$C$28, 0.0276, 0)</f>
        <v>147.95529999999999</v>
      </c>
      <c r="C935" s="4">
        <f>147.6152 * CHOOSE(CONTROL!$C$9, $C$13, 100%, $E$13) + CHOOSE(CONTROL!$C$28, 0.0276, 0)</f>
        <v>147.64279999999999</v>
      </c>
      <c r="D935" s="4">
        <f>116.3959 * CHOOSE(CONTROL!$C$9, $C$13, 100%, $E$13) + CHOOSE(CONTROL!$C$28, 0, 0)</f>
        <v>116.3959</v>
      </c>
      <c r="E935" s="4">
        <f>796.725576830756 * CHOOSE(CONTROL!$C$9, $C$13, 100%, $E$13) + CHOOSE(CONTROL!$C$28, 0, 0)</f>
        <v>796.72557683075604</v>
      </c>
    </row>
    <row r="936" spans="1:5" ht="15">
      <c r="A936" s="13">
        <v>70006</v>
      </c>
      <c r="B936" s="4">
        <f>151.4245 * CHOOSE(CONTROL!$C$9, $C$13, 100%, $E$13) + CHOOSE(CONTROL!$C$28, 0.0276, 0)</f>
        <v>151.4521</v>
      </c>
      <c r="C936" s="4">
        <f>151.112 * CHOOSE(CONTROL!$C$9, $C$13, 100%, $E$13) + CHOOSE(CONTROL!$C$28, 0.0276, 0)</f>
        <v>151.1396</v>
      </c>
      <c r="D936" s="4">
        <f>115.1564 * CHOOSE(CONTROL!$C$9, $C$13, 100%, $E$13) + CHOOSE(CONTROL!$C$28, 0, 0)</f>
        <v>115.1564</v>
      </c>
      <c r="E936" s="4">
        <f>815.800855117906 * CHOOSE(CONTROL!$C$9, $C$13, 100%, $E$13) + CHOOSE(CONTROL!$C$28, 0, 0)</f>
        <v>815.80085511790605</v>
      </c>
    </row>
    <row r="937" spans="1:5" ht="15">
      <c r="A937" s="13">
        <v>70036</v>
      </c>
      <c r="B937" s="4">
        <f>145.4648 * CHOOSE(CONTROL!$C$9, $C$13, 100%, $E$13) + CHOOSE(CONTROL!$C$28, 0.0276, 0)</f>
        <v>145.4924</v>
      </c>
      <c r="C937" s="4">
        <f>145.1523 * CHOOSE(CONTROL!$C$9, $C$13, 100%, $E$13) + CHOOSE(CONTROL!$C$28, 0.0276, 0)</f>
        <v>145.1799</v>
      </c>
      <c r="D937" s="4">
        <f>114.5708 * CHOOSE(CONTROL!$C$9, $C$13, 100%, $E$13) + CHOOSE(CONTROL!$C$28, 0, 0)</f>
        <v>114.57080000000001</v>
      </c>
      <c r="E937" s="4">
        <f>783.290497106916 * CHOOSE(CONTROL!$C$9, $C$13, 100%, $E$13) + CHOOSE(CONTROL!$C$28, 0, 0)</f>
        <v>783.29049710691595</v>
      </c>
    </row>
    <row r="938" spans="1:5" ht="15">
      <c r="A938" s="13">
        <v>70067</v>
      </c>
      <c r="B938" s="4">
        <f>140.694 * CHOOSE(CONTROL!$C$9, $C$13, 100%, $E$13) + CHOOSE(CONTROL!$C$28, 0.0003, 0)</f>
        <v>140.6943</v>
      </c>
      <c r="C938" s="4">
        <f>140.3815 * CHOOSE(CONTROL!$C$9, $C$13, 100%, $E$13) + CHOOSE(CONTROL!$C$28, 0.0003, 0)</f>
        <v>140.3818</v>
      </c>
      <c r="D938" s="4">
        <f>113.0028 * CHOOSE(CONTROL!$C$9, $C$13, 100%, $E$13) + CHOOSE(CONTROL!$C$28, 0, 0)</f>
        <v>113.00279999999999</v>
      </c>
      <c r="E938" s="4">
        <f>757.265311226772 * CHOOSE(CONTROL!$C$9, $C$13, 100%, $E$13) + CHOOSE(CONTROL!$C$28, 0, 0)</f>
        <v>757.26531122677204</v>
      </c>
    </row>
    <row r="939" spans="1:5" ht="15">
      <c r="A939" s="13">
        <v>70097</v>
      </c>
      <c r="B939" s="4">
        <f>137.6212 * CHOOSE(CONTROL!$C$9, $C$13, 100%, $E$13) + CHOOSE(CONTROL!$C$28, 0.0003, 0)</f>
        <v>137.6215</v>
      </c>
      <c r="C939" s="4">
        <f>137.3087 * CHOOSE(CONTROL!$C$9, $C$13, 100%, $E$13) + CHOOSE(CONTROL!$C$28, 0.0003, 0)</f>
        <v>137.309</v>
      </c>
      <c r="D939" s="4">
        <f>112.4637 * CHOOSE(CONTROL!$C$9, $C$13, 100%, $E$13) + CHOOSE(CONTROL!$C$28, 0, 0)</f>
        <v>112.4637</v>
      </c>
      <c r="E939" s="4">
        <f>740.503148080754 * CHOOSE(CONTROL!$C$9, $C$13, 100%, $E$13) + CHOOSE(CONTROL!$C$28, 0, 0)</f>
        <v>740.50314808075404</v>
      </c>
    </row>
    <row r="940" spans="1:5" ht="15">
      <c r="A940" s="13">
        <v>70128</v>
      </c>
      <c r="B940" s="4">
        <f>135.4952 * CHOOSE(CONTROL!$C$9, $C$13, 100%, $E$13) + CHOOSE(CONTROL!$C$28, 0.0003, 0)</f>
        <v>135.49550000000002</v>
      </c>
      <c r="C940" s="4">
        <f>135.1827 * CHOOSE(CONTROL!$C$9, $C$13, 100%, $E$13) + CHOOSE(CONTROL!$C$28, 0.0003, 0)</f>
        <v>135.18300000000002</v>
      </c>
      <c r="D940" s="4">
        <f>108.4948 * CHOOSE(CONTROL!$C$9, $C$13, 100%, $E$13) + CHOOSE(CONTROL!$C$28, 0, 0)</f>
        <v>108.4948</v>
      </c>
      <c r="E940" s="4">
        <f>728.905885866307 * CHOOSE(CONTROL!$C$9, $C$13, 100%, $E$13) + CHOOSE(CONTROL!$C$28, 0, 0)</f>
        <v>728.90588586630702</v>
      </c>
    </row>
    <row r="941" spans="1:5" ht="15">
      <c r="A941" s="13">
        <v>70159</v>
      </c>
      <c r="B941" s="4">
        <f>132.041 * CHOOSE(CONTROL!$C$9, $C$13, 100%, $E$13) + CHOOSE(CONTROL!$C$28, 0.0003, 0)</f>
        <v>132.04130000000001</v>
      </c>
      <c r="C941" s="4">
        <f>131.7285 * CHOOSE(CONTROL!$C$9, $C$13, 100%, $E$13) + CHOOSE(CONTROL!$C$28, 0.0003, 0)</f>
        <v>131.72880000000001</v>
      </c>
      <c r="D941" s="4">
        <f>104.8471 * CHOOSE(CONTROL!$C$9, $C$13, 100%, $E$13) + CHOOSE(CONTROL!$C$28, 0, 0)</f>
        <v>104.8471</v>
      </c>
      <c r="E941" s="4">
        <f>708.003642699022 * CHOOSE(CONTROL!$C$9, $C$13, 100%, $E$13) + CHOOSE(CONTROL!$C$28, 0, 0)</f>
        <v>708.00364269902195</v>
      </c>
    </row>
    <row r="942" spans="1:5" ht="15">
      <c r="A942" s="13">
        <v>70188</v>
      </c>
      <c r="B942" s="4">
        <f>135.1316 * CHOOSE(CONTROL!$C$9, $C$13, 100%, $E$13) + CHOOSE(CONTROL!$C$28, 0.0003, 0)</f>
        <v>135.1319</v>
      </c>
      <c r="C942" s="4">
        <f>134.8191 * CHOOSE(CONTROL!$C$9, $C$13, 100%, $E$13) + CHOOSE(CONTROL!$C$28, 0.0003, 0)</f>
        <v>134.8194</v>
      </c>
      <c r="D942" s="4">
        <f>108.5204 * CHOOSE(CONTROL!$C$9, $C$13, 100%, $E$13) + CHOOSE(CONTROL!$C$28, 0, 0)</f>
        <v>108.5204</v>
      </c>
      <c r="E942" s="4">
        <f>724.814439354936 * CHOOSE(CONTROL!$C$9, $C$13, 100%, $E$13) + CHOOSE(CONTROL!$C$28, 0, 0)</f>
        <v>724.81443935493598</v>
      </c>
    </row>
    <row r="943" spans="1:5" ht="15">
      <c r="A943" s="13">
        <v>70219</v>
      </c>
      <c r="B943" s="4">
        <f>143.2479 * CHOOSE(CONTROL!$C$9, $C$13, 100%, $E$13) + CHOOSE(CONTROL!$C$28, 0.0003, 0)</f>
        <v>143.2482</v>
      </c>
      <c r="C943" s="4">
        <f>142.9354 * CHOOSE(CONTROL!$C$9, $C$13, 100%, $E$13) + CHOOSE(CONTROL!$C$28, 0.0003, 0)</f>
        <v>142.9357</v>
      </c>
      <c r="D943" s="4">
        <f>114.2706 * CHOOSE(CONTROL!$C$9, $C$13, 100%, $E$13) + CHOOSE(CONTROL!$C$28, 0, 0)</f>
        <v>114.2706</v>
      </c>
      <c r="E943" s="4">
        <f>768.960484753357 * CHOOSE(CONTROL!$C$9, $C$13, 100%, $E$13) + CHOOSE(CONTROL!$C$28, 0, 0)</f>
        <v>768.96048475335704</v>
      </c>
    </row>
    <row r="944" spans="1:5" ht="15">
      <c r="A944" s="13">
        <v>70249</v>
      </c>
      <c r="B944" s="4">
        <f>149.0145 * CHOOSE(CONTROL!$C$9, $C$13, 100%, $E$13) + CHOOSE(CONTROL!$C$28, 0.0003, 0)</f>
        <v>149.01480000000001</v>
      </c>
      <c r="C944" s="4">
        <f>148.702 * CHOOSE(CONTROL!$C$9, $C$13, 100%, $E$13) + CHOOSE(CONTROL!$C$28, 0.0003, 0)</f>
        <v>148.70230000000001</v>
      </c>
      <c r="D944" s="4">
        <f>117.583 * CHOOSE(CONTROL!$C$9, $C$13, 100%, $E$13) + CHOOSE(CONTROL!$C$28, 0, 0)</f>
        <v>117.583</v>
      </c>
      <c r="E944" s="4">
        <f>800.326838332345 * CHOOSE(CONTROL!$C$9, $C$13, 100%, $E$13) + CHOOSE(CONTROL!$C$28, 0, 0)</f>
        <v>800.32683833234501</v>
      </c>
    </row>
    <row r="945" spans="1:5" ht="15">
      <c r="A945" s="13">
        <v>70280</v>
      </c>
      <c r="B945" s="4">
        <f>152.5379 * CHOOSE(CONTROL!$C$9, $C$13, 100%, $E$13) + CHOOSE(CONTROL!$C$28, 0.0276, 0)</f>
        <v>152.56550000000001</v>
      </c>
      <c r="C945" s="4">
        <f>152.2254 * CHOOSE(CONTROL!$C$9, $C$13, 100%, $E$13) + CHOOSE(CONTROL!$C$28, 0.0276, 0)</f>
        <v>152.25300000000001</v>
      </c>
      <c r="D945" s="4">
        <f>116.2741 * CHOOSE(CONTROL!$C$9, $C$13, 100%, $E$13) + CHOOSE(CONTROL!$C$28, 0, 0)</f>
        <v>116.2741</v>
      </c>
      <c r="E945" s="4">
        <f>819.490928622528 * CHOOSE(CONTROL!$C$9, $C$13, 100%, $E$13) + CHOOSE(CONTROL!$C$28, 0, 0)</f>
        <v>819.49092862252803</v>
      </c>
    </row>
    <row r="946" spans="1:5" ht="15">
      <c r="A946" s="13">
        <v>70310</v>
      </c>
      <c r="B946" s="4">
        <f>153.0146 * CHOOSE(CONTROL!$C$9, $C$13, 100%, $E$13) + CHOOSE(CONTROL!$C$28, 0.0276, 0)</f>
        <v>153.04220000000001</v>
      </c>
      <c r="C946" s="4">
        <f>152.7021 * CHOOSE(CONTROL!$C$9, $C$13, 100%, $E$13) + CHOOSE(CONTROL!$C$28, 0.0276, 0)</f>
        <v>152.72970000000001</v>
      </c>
      <c r="D946" s="4">
        <f>117.3401 * CHOOSE(CONTROL!$C$9, $C$13, 100%, $E$13) + CHOOSE(CONTROL!$C$28, 0, 0)</f>
        <v>117.34010000000001</v>
      </c>
      <c r="E946" s="4">
        <f>822.083909571399 * CHOOSE(CONTROL!$C$9, $C$13, 100%, $E$13) + CHOOSE(CONTROL!$C$28, 0, 0)</f>
        <v>822.08390957139898</v>
      </c>
    </row>
    <row r="947" spans="1:5" ht="15">
      <c r="A947" s="13">
        <v>70341</v>
      </c>
      <c r="B947" s="4">
        <f>152.9665 * CHOOSE(CONTROL!$C$9, $C$13, 100%, $E$13) + CHOOSE(CONTROL!$C$28, 0.0276, 0)</f>
        <v>152.9941</v>
      </c>
      <c r="C947" s="4">
        <f>152.654 * CHOOSE(CONTROL!$C$9, $C$13, 100%, $E$13) + CHOOSE(CONTROL!$C$28, 0.0276, 0)</f>
        <v>152.6816</v>
      </c>
      <c r="D947" s="4">
        <f>119.2635 * CHOOSE(CONTROL!$C$9, $C$13, 100%, $E$13) + CHOOSE(CONTROL!$C$28, 0, 0)</f>
        <v>119.26349999999999</v>
      </c>
      <c r="E947" s="4">
        <f>821.822432500925 * CHOOSE(CONTROL!$C$9, $C$13, 100%, $E$13) + CHOOSE(CONTROL!$C$28, 0, 0)</f>
        <v>821.82243250092495</v>
      </c>
    </row>
    <row r="948" spans="1:5" ht="15">
      <c r="A948" s="13">
        <v>70372</v>
      </c>
      <c r="B948" s="4">
        <f>156.5839 * CHOOSE(CONTROL!$C$9, $C$13, 100%, $E$13) + CHOOSE(CONTROL!$C$28, 0.0276, 0)</f>
        <v>156.61150000000001</v>
      </c>
      <c r="C948" s="4">
        <f>156.2714 * CHOOSE(CONTROL!$C$9, $C$13, 100%, $E$13) + CHOOSE(CONTROL!$C$28, 0.0276, 0)</f>
        <v>156.29900000000001</v>
      </c>
      <c r="D948" s="4">
        <f>117.9932 * CHOOSE(CONTROL!$C$9, $C$13, 100%, $E$13) + CHOOSE(CONTROL!$C$28, 0, 0)</f>
        <v>117.9932</v>
      </c>
      <c r="E948" s="4">
        <f>841.49858205412 * CHOOSE(CONTROL!$C$9, $C$13, 100%, $E$13) + CHOOSE(CONTROL!$C$28, 0, 0)</f>
        <v>841.49858205411999</v>
      </c>
    </row>
    <row r="949" spans="1:5" ht="15">
      <c r="A949" s="13">
        <v>70402</v>
      </c>
      <c r="B949" s="4">
        <f>150.4187 * CHOOSE(CONTROL!$C$9, $C$13, 100%, $E$13) + CHOOSE(CONTROL!$C$28, 0.0276, 0)</f>
        <v>150.44630000000001</v>
      </c>
      <c r="C949" s="4">
        <f>150.1062 * CHOOSE(CONTROL!$C$9, $C$13, 100%, $E$13) + CHOOSE(CONTROL!$C$28, 0.0276, 0)</f>
        <v>150.13380000000001</v>
      </c>
      <c r="D949" s="4">
        <f>117.3931 * CHOOSE(CONTROL!$C$9, $C$13, 100%, $E$13) + CHOOSE(CONTROL!$C$28, 0, 0)</f>
        <v>117.3931</v>
      </c>
      <c r="E949" s="4">
        <f>807.964147765784 * CHOOSE(CONTROL!$C$9, $C$13, 100%, $E$13) + CHOOSE(CONTROL!$C$28, 0, 0)</f>
        <v>807.96414776578399</v>
      </c>
    </row>
    <row r="950" spans="1:5" ht="15">
      <c r="A950" s="13">
        <v>70433</v>
      </c>
      <c r="B950" s="4">
        <f>145.4832 * CHOOSE(CONTROL!$C$9, $C$13, 100%, $E$13) + CHOOSE(CONTROL!$C$28, 0.0003, 0)</f>
        <v>145.48350000000002</v>
      </c>
      <c r="C950" s="4">
        <f>145.1707 * CHOOSE(CONTROL!$C$9, $C$13, 100%, $E$13) + CHOOSE(CONTROL!$C$28, 0.0003, 0)</f>
        <v>145.17100000000002</v>
      </c>
      <c r="D950" s="4">
        <f>115.7861 * CHOOSE(CONTROL!$C$9, $C$13, 100%, $E$13) + CHOOSE(CONTROL!$C$28, 0, 0)</f>
        <v>115.7861</v>
      </c>
      <c r="E950" s="4">
        <f>781.119168530415 * CHOOSE(CONTROL!$C$9, $C$13, 100%, $E$13) + CHOOSE(CONTROL!$C$28, 0, 0)</f>
        <v>781.11916853041498</v>
      </c>
    </row>
    <row r="951" spans="1:5" ht="15">
      <c r="A951" s="13">
        <v>70463</v>
      </c>
      <c r="B951" s="4">
        <f>142.3044 * CHOOSE(CONTROL!$C$9, $C$13, 100%, $E$13) + CHOOSE(CONTROL!$C$28, 0.0003, 0)</f>
        <v>142.3047</v>
      </c>
      <c r="C951" s="4">
        <f>141.9919 * CHOOSE(CONTROL!$C$9, $C$13, 100%, $E$13) + CHOOSE(CONTROL!$C$28, 0.0003, 0)</f>
        <v>141.9922</v>
      </c>
      <c r="D951" s="4">
        <f>115.2337 * CHOOSE(CONTROL!$C$9, $C$13, 100%, $E$13) + CHOOSE(CONTROL!$C$28, 0, 0)</f>
        <v>115.2337</v>
      </c>
      <c r="E951" s="4">
        <f>763.828997245298 * CHOOSE(CONTROL!$C$9, $C$13, 100%, $E$13) + CHOOSE(CONTROL!$C$28, 0, 0)</f>
        <v>763.82899724529796</v>
      </c>
    </row>
    <row r="952" spans="1:5" ht="15">
      <c r="A952" s="13">
        <v>70494</v>
      </c>
      <c r="B952" s="4">
        <f>140.1051 * CHOOSE(CONTROL!$C$9, $C$13, 100%, $E$13) + CHOOSE(CONTROL!$C$28, 0.0003, 0)</f>
        <v>140.1054</v>
      </c>
      <c r="C952" s="4">
        <f>139.7926 * CHOOSE(CONTROL!$C$9, $C$13, 100%, $E$13) + CHOOSE(CONTROL!$C$28, 0.0003, 0)</f>
        <v>139.7929</v>
      </c>
      <c r="D952" s="4">
        <f>111.1664 * CHOOSE(CONTROL!$C$9, $C$13, 100%, $E$13) + CHOOSE(CONTROL!$C$28, 0, 0)</f>
        <v>111.1664</v>
      </c>
      <c r="E952" s="4">
        <f>751.866421271096 * CHOOSE(CONTROL!$C$9, $C$13, 100%, $E$13) + CHOOSE(CONTROL!$C$28, 0, 0)</f>
        <v>751.86642127109599</v>
      </c>
    </row>
    <row r="953" spans="1:5" ht="15">
      <c r="A953" s="13">
        <v>70525</v>
      </c>
      <c r="B953" s="4">
        <f>136.5317 * CHOOSE(CONTROL!$C$9, $C$13, 100%, $E$13) + CHOOSE(CONTROL!$C$28, 0.0003, 0)</f>
        <v>136.53200000000001</v>
      </c>
      <c r="C953" s="4">
        <f>136.2192 * CHOOSE(CONTROL!$C$9, $C$13, 100%, $E$13) + CHOOSE(CONTROL!$C$28, 0.0003, 0)</f>
        <v>136.21950000000001</v>
      </c>
      <c r="D953" s="4">
        <f>107.4282 * CHOOSE(CONTROL!$C$9, $C$13, 100%, $E$13) + CHOOSE(CONTROL!$C$28, 0, 0)</f>
        <v>107.4282</v>
      </c>
      <c r="E953" s="4">
        <f>730.305757444041 * CHOOSE(CONTROL!$C$9, $C$13, 100%, $E$13) + CHOOSE(CONTROL!$C$28, 0, 0)</f>
        <v>730.30575744404098</v>
      </c>
    </row>
    <row r="954" spans="1:5" ht="15">
      <c r="A954" s="13">
        <v>70553</v>
      </c>
      <c r="B954" s="4">
        <f>139.729 * CHOOSE(CONTROL!$C$9, $C$13, 100%, $E$13) + CHOOSE(CONTROL!$C$28, 0.0003, 0)</f>
        <v>139.72930000000002</v>
      </c>
      <c r="C954" s="4">
        <f>139.4165 * CHOOSE(CONTROL!$C$9, $C$13, 100%, $E$13) + CHOOSE(CONTROL!$C$28, 0.0003, 0)</f>
        <v>139.41680000000002</v>
      </c>
      <c r="D954" s="4">
        <f>111.1926 * CHOOSE(CONTROL!$C$9, $C$13, 100%, $E$13) + CHOOSE(CONTROL!$C$28, 0, 0)</f>
        <v>111.1926</v>
      </c>
      <c r="E954" s="4">
        <f>747.646094194616 * CHOOSE(CONTROL!$C$9, $C$13, 100%, $E$13) + CHOOSE(CONTROL!$C$28, 0, 0)</f>
        <v>747.64609419461601</v>
      </c>
    </row>
    <row r="955" spans="1:5" ht="15">
      <c r="A955" s="13">
        <v>70584</v>
      </c>
      <c r="B955" s="4">
        <f>148.1252 * CHOOSE(CONTROL!$C$9, $C$13, 100%, $E$13) + CHOOSE(CONTROL!$C$28, 0.0003, 0)</f>
        <v>148.12550000000002</v>
      </c>
      <c r="C955" s="4">
        <f>147.8127 * CHOOSE(CONTROL!$C$9, $C$13, 100%, $E$13) + CHOOSE(CONTROL!$C$28, 0.0003, 0)</f>
        <v>147.81300000000002</v>
      </c>
      <c r="D955" s="4">
        <f>117.0854 * CHOOSE(CONTROL!$C$9, $C$13, 100%, $E$13) + CHOOSE(CONTROL!$C$28, 0, 0)</f>
        <v>117.08540000000001</v>
      </c>
      <c r="E955" s="4">
        <f>793.182740023088 * CHOOSE(CONTROL!$C$9, $C$13, 100%, $E$13) + CHOOSE(CONTROL!$C$28, 0, 0)</f>
        <v>793.18274002308794</v>
      </c>
    </row>
    <row r="956" spans="1:5" ht="15">
      <c r="A956" s="13">
        <v>70614</v>
      </c>
      <c r="B956" s="4">
        <f>154.0909 * CHOOSE(CONTROL!$C$9, $C$13, 100%, $E$13) + CHOOSE(CONTROL!$C$28, 0.0003, 0)</f>
        <v>154.09120000000001</v>
      </c>
      <c r="C956" s="4">
        <f>153.7784 * CHOOSE(CONTROL!$C$9, $C$13, 100%, $E$13) + CHOOSE(CONTROL!$C$28, 0.0003, 0)</f>
        <v>153.77870000000001</v>
      </c>
      <c r="D956" s="4">
        <f>120.4799 * CHOOSE(CONTROL!$C$9, $C$13, 100%, $E$13) + CHOOSE(CONTROL!$C$28, 0, 0)</f>
        <v>120.4799</v>
      </c>
      <c r="E956" s="4">
        <f>825.537133739814 * CHOOSE(CONTROL!$C$9, $C$13, 100%, $E$13) + CHOOSE(CONTROL!$C$28, 0, 0)</f>
        <v>825.53713373981395</v>
      </c>
    </row>
    <row r="957" spans="1:5" ht="15">
      <c r="A957" s="13">
        <v>70645</v>
      </c>
      <c r="B957" s="4">
        <f>157.7357 * CHOOSE(CONTROL!$C$9, $C$13, 100%, $E$13) + CHOOSE(CONTROL!$C$28, 0.0276, 0)</f>
        <v>157.76330000000002</v>
      </c>
      <c r="C957" s="4">
        <f>157.4232 * CHOOSE(CONTROL!$C$9, $C$13, 100%, $E$13) + CHOOSE(CONTROL!$C$28, 0.0276, 0)</f>
        <v>157.45080000000002</v>
      </c>
      <c r="D957" s="4">
        <f>119.1386 * CHOOSE(CONTROL!$C$9, $C$13, 100%, $E$13) + CHOOSE(CONTROL!$C$28, 0, 0)</f>
        <v>119.1386</v>
      </c>
      <c r="E957" s="4">
        <f>845.304892874138 * CHOOSE(CONTROL!$C$9, $C$13, 100%, $E$13) + CHOOSE(CONTROL!$C$28, 0, 0)</f>
        <v>845.30489287413798</v>
      </c>
    </row>
    <row r="958" spans="1:5" ht="15">
      <c r="A958" s="13">
        <v>70675</v>
      </c>
      <c r="B958" s="4">
        <f>158.2289 * CHOOSE(CONTROL!$C$9, $C$13, 100%, $E$13) + CHOOSE(CONTROL!$C$28, 0.0276, 0)</f>
        <v>158.25650000000002</v>
      </c>
      <c r="C958" s="4">
        <f>157.9164 * CHOOSE(CONTROL!$C$9, $C$13, 100%, $E$13) + CHOOSE(CONTROL!$C$28, 0.0276, 0)</f>
        <v>157.94400000000002</v>
      </c>
      <c r="D958" s="4">
        <f>120.231 * CHOOSE(CONTROL!$C$9, $C$13, 100%, $E$13) + CHOOSE(CONTROL!$C$28, 0, 0)</f>
        <v>120.23099999999999</v>
      </c>
      <c r="E958" s="4">
        <f>847.979552722898 * CHOOSE(CONTROL!$C$9, $C$13, 100%, $E$13) + CHOOSE(CONTROL!$C$28, 0, 0)</f>
        <v>847.97955272289801</v>
      </c>
    </row>
    <row r="959" spans="1:5" ht="15">
      <c r="A959" s="13">
        <v>70706</v>
      </c>
      <c r="B959" s="4">
        <f>158.1792 * CHOOSE(CONTROL!$C$9, $C$13, 100%, $E$13) + CHOOSE(CONTROL!$C$28, 0.0276, 0)</f>
        <v>158.20680000000002</v>
      </c>
      <c r="C959" s="4">
        <f>157.8667 * CHOOSE(CONTROL!$C$9, $C$13, 100%, $E$13) + CHOOSE(CONTROL!$C$28, 0.0276, 0)</f>
        <v>157.89430000000002</v>
      </c>
      <c r="D959" s="4">
        <f>122.2021 * CHOOSE(CONTROL!$C$9, $C$13, 100%, $E$13) + CHOOSE(CONTROL!$C$28, 0, 0)</f>
        <v>122.2021</v>
      </c>
      <c r="E959" s="4">
        <f>847.709839124704 * CHOOSE(CONTROL!$C$9, $C$13, 100%, $E$13) + CHOOSE(CONTROL!$C$28, 0, 0)</f>
        <v>847.70983912470399</v>
      </c>
    </row>
    <row r="960" spans="1:5" ht="15">
      <c r="A960" s="13">
        <v>70737</v>
      </c>
      <c r="B960" s="4">
        <f>161.9214 * CHOOSE(CONTROL!$C$9, $C$13, 100%, $E$13) + CHOOSE(CONTROL!$C$28, 0.0276, 0)</f>
        <v>161.94900000000001</v>
      </c>
      <c r="C960" s="4">
        <f>161.6089 * CHOOSE(CONTROL!$C$9, $C$13, 100%, $E$13) + CHOOSE(CONTROL!$C$28, 0.0276, 0)</f>
        <v>161.63650000000001</v>
      </c>
      <c r="D960" s="4">
        <f>120.9004 * CHOOSE(CONTROL!$C$9, $C$13, 100%, $E$13) + CHOOSE(CONTROL!$C$28, 0, 0)</f>
        <v>120.9004</v>
      </c>
      <c r="E960" s="4">
        <f>868.005787388825 * CHOOSE(CONTROL!$C$9, $C$13, 100%, $E$13) + CHOOSE(CONTROL!$C$28, 0, 0)</f>
        <v>868.00578738882496</v>
      </c>
    </row>
    <row r="961" spans="1:5" ht="15">
      <c r="A961" s="13">
        <v>70767</v>
      </c>
      <c r="B961" s="4">
        <f>155.5434 * CHOOSE(CONTROL!$C$9, $C$13, 100%, $E$13) + CHOOSE(CONTROL!$C$28, 0.0276, 0)</f>
        <v>155.571</v>
      </c>
      <c r="C961" s="4">
        <f>155.2309 * CHOOSE(CONTROL!$C$9, $C$13, 100%, $E$13) + CHOOSE(CONTROL!$C$28, 0.0276, 0)</f>
        <v>155.2585</v>
      </c>
      <c r="D961" s="4">
        <f>120.2853 * CHOOSE(CONTROL!$C$9, $C$13, 100%, $E$13) + CHOOSE(CONTROL!$C$28, 0, 0)</f>
        <v>120.28530000000001</v>
      </c>
      <c r="E961" s="4">
        <f>833.415018420406 * CHOOSE(CONTROL!$C$9, $C$13, 100%, $E$13) + CHOOSE(CONTROL!$C$28, 0, 0)</f>
        <v>833.415018420406</v>
      </c>
    </row>
    <row r="962" spans="1:5" ht="15">
      <c r="A962" s="13">
        <v>70798</v>
      </c>
      <c r="B962" s="4">
        <f>150.4377 * CHOOSE(CONTROL!$C$9, $C$13, 100%, $E$13) + CHOOSE(CONTROL!$C$28, 0.0003, 0)</f>
        <v>150.43800000000002</v>
      </c>
      <c r="C962" s="4">
        <f>150.1252 * CHOOSE(CONTROL!$C$9, $C$13, 100%, $E$13) + CHOOSE(CONTROL!$C$28, 0.0003, 0)</f>
        <v>150.12550000000002</v>
      </c>
      <c r="D962" s="4">
        <f>118.6386 * CHOOSE(CONTROL!$C$9, $C$13, 100%, $E$13) + CHOOSE(CONTROL!$C$28, 0, 0)</f>
        <v>118.6386</v>
      </c>
      <c r="E962" s="4">
        <f>805.724422339124 * CHOOSE(CONTROL!$C$9, $C$13, 100%, $E$13) + CHOOSE(CONTROL!$C$28, 0, 0)</f>
        <v>805.72442233912398</v>
      </c>
    </row>
    <row r="963" spans="1:5" ht="15">
      <c r="A963" s="13">
        <v>70828</v>
      </c>
      <c r="B963" s="4">
        <f>147.1493 * CHOOSE(CONTROL!$C$9, $C$13, 100%, $E$13) + CHOOSE(CONTROL!$C$28, 0.0003, 0)</f>
        <v>147.14960000000002</v>
      </c>
      <c r="C963" s="4">
        <f>146.8368 * CHOOSE(CONTROL!$C$9, $C$13, 100%, $E$13) + CHOOSE(CONTROL!$C$28, 0.0003, 0)</f>
        <v>146.83710000000002</v>
      </c>
      <c r="D963" s="4">
        <f>118.0724 * CHOOSE(CONTROL!$C$9, $C$13, 100%, $E$13) + CHOOSE(CONTROL!$C$28, 0, 0)</f>
        <v>118.0724</v>
      </c>
      <c r="E963" s="4">
        <f>787.889610658525 * CHOOSE(CONTROL!$C$9, $C$13, 100%, $E$13) + CHOOSE(CONTROL!$C$28, 0, 0)</f>
        <v>787.88961065852504</v>
      </c>
    </row>
    <row r="964" spans="1:5" ht="15">
      <c r="A964" s="13">
        <v>70859</v>
      </c>
      <c r="B964" s="4">
        <f>144.8741 * CHOOSE(CONTROL!$C$9, $C$13, 100%, $E$13) + CHOOSE(CONTROL!$C$28, 0.0003, 0)</f>
        <v>144.87440000000001</v>
      </c>
      <c r="C964" s="4">
        <f>144.5616 * CHOOSE(CONTROL!$C$9, $C$13, 100%, $E$13) + CHOOSE(CONTROL!$C$28, 0.0003, 0)</f>
        <v>144.56190000000001</v>
      </c>
      <c r="D964" s="4">
        <f>113.9042 * CHOOSE(CONTROL!$C$9, $C$13, 100%, $E$13) + CHOOSE(CONTROL!$C$28, 0, 0)</f>
        <v>113.9042</v>
      </c>
      <c r="E964" s="4">
        <f>775.550213541136 * CHOOSE(CONTROL!$C$9, $C$13, 100%, $E$13) + CHOOSE(CONTROL!$C$28, 0, 0)</f>
        <v>775.55021354113603</v>
      </c>
    </row>
    <row r="965" spans="1:5" ht="15">
      <c r="A965" s="13">
        <v>70890</v>
      </c>
      <c r="B965" s="4">
        <f>141.1774 * CHOOSE(CONTROL!$C$9, $C$13, 100%, $E$13) + CHOOSE(CONTROL!$C$28, 0.0003, 0)</f>
        <v>141.17770000000002</v>
      </c>
      <c r="C965" s="4">
        <f>140.8649 * CHOOSE(CONTROL!$C$9, $C$13, 100%, $E$13) + CHOOSE(CONTROL!$C$28, 0.0003, 0)</f>
        <v>140.86520000000002</v>
      </c>
      <c r="D965" s="4">
        <f>110.0733 * CHOOSE(CONTROL!$C$9, $C$13, 100%, $E$13) + CHOOSE(CONTROL!$C$28, 0, 0)</f>
        <v>110.0733</v>
      </c>
      <c r="E965" s="4">
        <f>753.310388803528 * CHOOSE(CONTROL!$C$9, $C$13, 100%, $E$13) + CHOOSE(CONTROL!$C$28, 0, 0)</f>
        <v>753.31038880352799</v>
      </c>
    </row>
    <row r="966" spans="1:5" ht="15">
      <c r="A966" s="13">
        <v>70918</v>
      </c>
      <c r="B966" s="4">
        <f>144.485 * CHOOSE(CONTROL!$C$9, $C$13, 100%, $E$13) + CHOOSE(CONTROL!$C$28, 0.0003, 0)</f>
        <v>144.48530000000002</v>
      </c>
      <c r="C966" s="4">
        <f>144.1725 * CHOOSE(CONTROL!$C$9, $C$13, 100%, $E$13) + CHOOSE(CONTROL!$C$28, 0.0003, 0)</f>
        <v>144.17280000000002</v>
      </c>
      <c r="D966" s="4">
        <f>113.9311 * CHOOSE(CONTROL!$C$9, $C$13, 100%, $E$13) + CHOOSE(CONTROL!$C$28, 0, 0)</f>
        <v>113.9311</v>
      </c>
      <c r="E966" s="4">
        <f>771.196946161747 * CHOOSE(CONTROL!$C$9, $C$13, 100%, $E$13) + CHOOSE(CONTROL!$C$28, 0, 0)</f>
        <v>771.19694616174695</v>
      </c>
    </row>
    <row r="967" spans="1:5" ht="15">
      <c r="A967" s="13">
        <v>70949</v>
      </c>
      <c r="B967" s="4">
        <f>153.1709 * CHOOSE(CONTROL!$C$9, $C$13, 100%, $E$13) + CHOOSE(CONTROL!$C$28, 0.0003, 0)</f>
        <v>153.1712</v>
      </c>
      <c r="C967" s="4">
        <f>152.8584 * CHOOSE(CONTROL!$C$9, $C$13, 100%, $E$13) + CHOOSE(CONTROL!$C$28, 0.0003, 0)</f>
        <v>152.8587</v>
      </c>
      <c r="D967" s="4">
        <f>119.9701 * CHOOSE(CONTROL!$C$9, $C$13, 100%, $E$13) + CHOOSE(CONTROL!$C$28, 0, 0)</f>
        <v>119.9701</v>
      </c>
      <c r="E967" s="4">
        <f>818.167996333816 * CHOOSE(CONTROL!$C$9, $C$13, 100%, $E$13) + CHOOSE(CONTROL!$C$28, 0, 0)</f>
        <v>818.16799633381595</v>
      </c>
    </row>
    <row r="968" spans="1:5" ht="15">
      <c r="A968" s="13">
        <v>70979</v>
      </c>
      <c r="B968" s="4">
        <f>159.3423 * CHOOSE(CONTROL!$C$9, $C$13, 100%, $E$13) + CHOOSE(CONTROL!$C$28, 0.0003, 0)</f>
        <v>159.3426</v>
      </c>
      <c r="C968" s="4">
        <f>159.0298 * CHOOSE(CONTROL!$C$9, $C$13, 100%, $E$13) + CHOOSE(CONTROL!$C$28, 0.0003, 0)</f>
        <v>159.0301</v>
      </c>
      <c r="D968" s="4">
        <f>123.4487 * CHOOSE(CONTROL!$C$9, $C$13, 100%, $E$13) + CHOOSE(CONTROL!$C$28, 0, 0)</f>
        <v>123.4487</v>
      </c>
      <c r="E968" s="4">
        <f>851.541553452618 * CHOOSE(CONTROL!$C$9, $C$13, 100%, $E$13) + CHOOSE(CONTROL!$C$28, 0, 0)</f>
        <v>851.54155345261802</v>
      </c>
    </row>
    <row r="969" spans="1:5" ht="15">
      <c r="A969" s="13">
        <v>71010</v>
      </c>
      <c r="B969" s="4">
        <f>163.1129 * CHOOSE(CONTROL!$C$9, $C$13, 100%, $E$13) + CHOOSE(CONTROL!$C$28, 0.0276, 0)</f>
        <v>163.1405</v>
      </c>
      <c r="C969" s="4">
        <f>162.8004 * CHOOSE(CONTROL!$C$9, $C$13, 100%, $E$13) + CHOOSE(CONTROL!$C$28, 0.0276, 0)</f>
        <v>162.828</v>
      </c>
      <c r="D969" s="4">
        <f>122.0741 * CHOOSE(CONTROL!$C$9, $C$13, 100%, $E$13) + CHOOSE(CONTROL!$C$28, 0, 0)</f>
        <v>122.0741</v>
      </c>
      <c r="E969" s="4">
        <f>871.931996999673 * CHOOSE(CONTROL!$C$9, $C$13, 100%, $E$13) + CHOOSE(CONTROL!$C$28, 0, 0)</f>
        <v>871.93199699967295</v>
      </c>
    </row>
    <row r="970" spans="1:5" ht="15">
      <c r="A970" s="13">
        <v>71040</v>
      </c>
      <c r="B970" s="4">
        <f>163.6231 * CHOOSE(CONTROL!$C$9, $C$13, 100%, $E$13) + CHOOSE(CONTROL!$C$28, 0.0276, 0)</f>
        <v>163.6507</v>
      </c>
      <c r="C970" s="4">
        <f>163.3106 * CHOOSE(CONTROL!$C$9, $C$13, 100%, $E$13) + CHOOSE(CONTROL!$C$28, 0.0276, 0)</f>
        <v>163.3382</v>
      </c>
      <c r="D970" s="4">
        <f>123.1936 * CHOOSE(CONTROL!$C$9, $C$13, 100%, $E$13) + CHOOSE(CONTROL!$C$28, 0, 0)</f>
        <v>123.1936</v>
      </c>
      <c r="E970" s="4">
        <f>874.690908633669 * CHOOSE(CONTROL!$C$9, $C$13, 100%, $E$13) + CHOOSE(CONTROL!$C$28, 0, 0)</f>
        <v>874.69090863366898</v>
      </c>
    </row>
    <row r="971" spans="1:5" ht="15">
      <c r="A971" s="13">
        <v>71071</v>
      </c>
      <c r="B971" s="4">
        <f>163.5717 * CHOOSE(CONTROL!$C$9, $C$13, 100%, $E$13) + CHOOSE(CONTROL!$C$28, 0.0276, 0)</f>
        <v>163.5993</v>
      </c>
      <c r="C971" s="4">
        <f>163.2592 * CHOOSE(CONTROL!$C$9, $C$13, 100%, $E$13) + CHOOSE(CONTROL!$C$28, 0.0276, 0)</f>
        <v>163.2868</v>
      </c>
      <c r="D971" s="4">
        <f>125.2136 * CHOOSE(CONTROL!$C$9, $C$13, 100%, $E$13) + CHOOSE(CONTROL!$C$28, 0, 0)</f>
        <v>125.2136</v>
      </c>
      <c r="E971" s="4">
        <f>874.412699057132 * CHOOSE(CONTROL!$C$9, $C$13, 100%, $E$13) + CHOOSE(CONTROL!$C$28, 0, 0)</f>
        <v>874.41269905713204</v>
      </c>
    </row>
    <row r="972" spans="1:5" ht="15">
      <c r="A972" s="13">
        <v>71102</v>
      </c>
      <c r="B972" s="4">
        <f>167.443 * CHOOSE(CONTROL!$C$9, $C$13, 100%, $E$13) + CHOOSE(CONTROL!$C$28, 0.0276, 0)</f>
        <v>167.47060000000002</v>
      </c>
      <c r="C972" s="4">
        <f>167.1305 * CHOOSE(CONTROL!$C$9, $C$13, 100%, $E$13) + CHOOSE(CONTROL!$C$28, 0.0276, 0)</f>
        <v>167.15810000000002</v>
      </c>
      <c r="D972" s="4">
        <f>123.8796 * CHOOSE(CONTROL!$C$9, $C$13, 100%, $E$13) + CHOOSE(CONTROL!$C$28, 0, 0)</f>
        <v>123.8796</v>
      </c>
      <c r="E972" s="4">
        <f>895.347969691573 * CHOOSE(CONTROL!$C$9, $C$13, 100%, $E$13) + CHOOSE(CONTROL!$C$28, 0, 0)</f>
        <v>895.34796969157298</v>
      </c>
    </row>
    <row r="973" spans="1:5" ht="15">
      <c r="A973" s="13">
        <v>71132</v>
      </c>
      <c r="B973" s="4">
        <f>160.845 * CHOOSE(CONTROL!$C$9, $C$13, 100%, $E$13) + CHOOSE(CONTROL!$C$28, 0.0276, 0)</f>
        <v>160.87260000000001</v>
      </c>
      <c r="C973" s="4">
        <f>160.5325 * CHOOSE(CONTROL!$C$9, $C$13, 100%, $E$13) + CHOOSE(CONTROL!$C$28, 0.0276, 0)</f>
        <v>160.56010000000001</v>
      </c>
      <c r="D973" s="4">
        <f>123.2493 * CHOOSE(CONTROL!$C$9, $C$13, 100%, $E$13) + CHOOSE(CONTROL!$C$28, 0, 0)</f>
        <v>123.24930000000001</v>
      </c>
      <c r="E973" s="4">
        <f>859.667591500649 * CHOOSE(CONTROL!$C$9, $C$13, 100%, $E$13) + CHOOSE(CONTROL!$C$28, 0, 0)</f>
        <v>859.667591500649</v>
      </c>
    </row>
    <row r="974" spans="1:5" ht="15">
      <c r="A974" s="13">
        <v>71163</v>
      </c>
      <c r="B974" s="4">
        <f>155.5631 * CHOOSE(CONTROL!$C$9, $C$13, 100%, $E$13) + CHOOSE(CONTROL!$C$28, 0.0003, 0)</f>
        <v>155.5634</v>
      </c>
      <c r="C974" s="4">
        <f>155.2506 * CHOOSE(CONTROL!$C$9, $C$13, 100%, $E$13) + CHOOSE(CONTROL!$C$28, 0.0003, 0)</f>
        <v>155.2509</v>
      </c>
      <c r="D974" s="4">
        <f>121.5617 * CHOOSE(CONTROL!$C$9, $C$13, 100%, $E$13) + CHOOSE(CONTROL!$C$28, 0, 0)</f>
        <v>121.5617</v>
      </c>
      <c r="E974" s="4">
        <f>831.104741642806 * CHOOSE(CONTROL!$C$9, $C$13, 100%, $E$13) + CHOOSE(CONTROL!$C$28, 0, 0)</f>
        <v>831.10474164280595</v>
      </c>
    </row>
    <row r="975" spans="1:5" ht="15">
      <c r="A975" s="13">
        <v>71193</v>
      </c>
      <c r="B975" s="4">
        <f>152.1612 * CHOOSE(CONTROL!$C$9, $C$13, 100%, $E$13) + CHOOSE(CONTROL!$C$28, 0.0003, 0)</f>
        <v>152.16150000000002</v>
      </c>
      <c r="C975" s="4">
        <f>151.8487 * CHOOSE(CONTROL!$C$9, $C$13, 100%, $E$13) + CHOOSE(CONTROL!$C$28, 0.0003, 0)</f>
        <v>151.84900000000002</v>
      </c>
      <c r="D975" s="4">
        <f>120.9815 * CHOOSE(CONTROL!$C$9, $C$13, 100%, $E$13) + CHOOSE(CONTROL!$C$28, 0, 0)</f>
        <v>120.9815</v>
      </c>
      <c r="E975" s="4">
        <f>812.708133394269 * CHOOSE(CONTROL!$C$9, $C$13, 100%, $E$13) + CHOOSE(CONTROL!$C$28, 0, 0)</f>
        <v>812.708133394269</v>
      </c>
    </row>
    <row r="976" spans="1:5" ht="15">
      <c r="A976" s="13">
        <v>71224</v>
      </c>
      <c r="B976" s="4">
        <f>149.8075 * CHOOSE(CONTROL!$C$9, $C$13, 100%, $E$13) + CHOOSE(CONTROL!$C$28, 0.0003, 0)</f>
        <v>149.80780000000001</v>
      </c>
      <c r="C976" s="4">
        <f>149.495 * CHOOSE(CONTROL!$C$9, $C$13, 100%, $E$13) + CHOOSE(CONTROL!$C$28, 0.0003, 0)</f>
        <v>149.49530000000001</v>
      </c>
      <c r="D976" s="4">
        <f>116.71 * CHOOSE(CONTROL!$C$9, $C$13, 100%, $E$13) + CHOOSE(CONTROL!$C$28, 0, 0)</f>
        <v>116.71</v>
      </c>
      <c r="E976" s="4">
        <f>799.980045267681 * CHOOSE(CONTROL!$C$9, $C$13, 100%, $E$13) + CHOOSE(CONTROL!$C$28, 0, 0)</f>
        <v>799.98004526768102</v>
      </c>
    </row>
    <row r="977" spans="1:5" ht="15">
      <c r="A977" s="13">
        <v>71255</v>
      </c>
      <c r="B977" s="4">
        <f>145.9833 * CHOOSE(CONTROL!$C$9, $C$13, 100%, $E$13) + CHOOSE(CONTROL!$C$28, 0.0003, 0)</f>
        <v>145.98360000000002</v>
      </c>
      <c r="C977" s="4">
        <f>145.6708 * CHOOSE(CONTROL!$C$9, $C$13, 100%, $E$13) + CHOOSE(CONTROL!$C$28, 0.0003, 0)</f>
        <v>145.67110000000002</v>
      </c>
      <c r="D977" s="4">
        <f>112.784 * CHOOSE(CONTROL!$C$9, $C$13, 100%, $E$13) + CHOOSE(CONTROL!$C$28, 0, 0)</f>
        <v>112.78400000000001</v>
      </c>
      <c r="E977" s="4">
        <f>777.039666050839 * CHOOSE(CONTROL!$C$9, $C$13, 100%, $E$13) + CHOOSE(CONTROL!$C$28, 0, 0)</f>
        <v>777.03966605083895</v>
      </c>
    </row>
    <row r="978" spans="1:5" ht="15">
      <c r="A978" s="13">
        <v>71283</v>
      </c>
      <c r="B978" s="4">
        <f>149.405 * CHOOSE(CONTROL!$C$9, $C$13, 100%, $E$13) + CHOOSE(CONTROL!$C$28, 0.0003, 0)</f>
        <v>149.40530000000001</v>
      </c>
      <c r="C978" s="4">
        <f>149.0925 * CHOOSE(CONTROL!$C$9, $C$13, 100%, $E$13) + CHOOSE(CONTROL!$C$28, 0.0003, 0)</f>
        <v>149.09280000000001</v>
      </c>
      <c r="D978" s="4">
        <f>116.7375 * CHOOSE(CONTROL!$C$9, $C$13, 100%, $E$13) + CHOOSE(CONTROL!$C$28, 0, 0)</f>
        <v>116.7375</v>
      </c>
      <c r="E978" s="4">
        <f>795.489649965842 * CHOOSE(CONTROL!$C$9, $C$13, 100%, $E$13) + CHOOSE(CONTROL!$C$28, 0, 0)</f>
        <v>795.48964996584198</v>
      </c>
    </row>
    <row r="979" spans="1:5" ht="15">
      <c r="A979" s="13">
        <v>71314</v>
      </c>
      <c r="B979" s="4">
        <f>158.3906 * CHOOSE(CONTROL!$C$9, $C$13, 100%, $E$13) + CHOOSE(CONTROL!$C$28, 0.0003, 0)</f>
        <v>158.39090000000002</v>
      </c>
      <c r="C979" s="4">
        <f>158.0781 * CHOOSE(CONTROL!$C$9, $C$13, 100%, $E$13) + CHOOSE(CONTROL!$C$28, 0.0003, 0)</f>
        <v>158.07840000000002</v>
      </c>
      <c r="D979" s="4">
        <f>122.9262 * CHOOSE(CONTROL!$C$9, $C$13, 100%, $E$13) + CHOOSE(CONTROL!$C$28, 0, 0)</f>
        <v>122.92619999999999</v>
      </c>
      <c r="E979" s="4">
        <f>843.940288218331 * CHOOSE(CONTROL!$C$9, $C$13, 100%, $E$13) + CHOOSE(CONTROL!$C$28, 0, 0)</f>
        <v>843.94028821833103</v>
      </c>
    </row>
    <row r="980" spans="1:5" ht="15">
      <c r="A980" s="13">
        <v>71344</v>
      </c>
      <c r="B980" s="4">
        <f>164.7749 * CHOOSE(CONTROL!$C$9, $C$13, 100%, $E$13) + CHOOSE(CONTROL!$C$28, 0.0003, 0)</f>
        <v>164.77520000000001</v>
      </c>
      <c r="C980" s="4">
        <f>164.4624 * CHOOSE(CONTROL!$C$9, $C$13, 100%, $E$13) + CHOOSE(CONTROL!$C$28, 0.0003, 0)</f>
        <v>164.46270000000001</v>
      </c>
      <c r="D980" s="4">
        <f>126.4912 * CHOOSE(CONTROL!$C$9, $C$13, 100%, $E$13) + CHOOSE(CONTROL!$C$28, 0, 0)</f>
        <v>126.49120000000001</v>
      </c>
      <c r="E980" s="4">
        <f>878.365112386376 * CHOOSE(CONTROL!$C$9, $C$13, 100%, $E$13) + CHOOSE(CONTROL!$C$28, 0, 0)</f>
        <v>878.36511238637604</v>
      </c>
    </row>
    <row r="981" spans="1:5" ht="15">
      <c r="A981" s="13">
        <v>71375</v>
      </c>
      <c r="B981" s="4">
        <f>168.6756 * CHOOSE(CONTROL!$C$9, $C$13, 100%, $E$13) + CHOOSE(CONTROL!$C$28, 0.0276, 0)</f>
        <v>168.70320000000001</v>
      </c>
      <c r="C981" s="4">
        <f>168.3631 * CHOOSE(CONTROL!$C$9, $C$13, 100%, $E$13) + CHOOSE(CONTROL!$C$28, 0.0276, 0)</f>
        <v>168.39070000000001</v>
      </c>
      <c r="D981" s="4">
        <f>125.0825 * CHOOSE(CONTROL!$C$9, $C$13, 100%, $E$13) + CHOOSE(CONTROL!$C$28, 0, 0)</f>
        <v>125.0825</v>
      </c>
      <c r="E981" s="4">
        <f>899.397854905163 * CHOOSE(CONTROL!$C$9, $C$13, 100%, $E$13) + CHOOSE(CONTROL!$C$28, 0, 0)</f>
        <v>899.39785490516294</v>
      </c>
    </row>
    <row r="982" spans="1:5" ht="15">
      <c r="A982" s="13">
        <v>71405</v>
      </c>
      <c r="B982" s="4">
        <f>169.2034 * CHOOSE(CONTROL!$C$9, $C$13, 100%, $E$13) + CHOOSE(CONTROL!$C$28, 0.0276, 0)</f>
        <v>169.23099999999999</v>
      </c>
      <c r="C982" s="4">
        <f>168.8909 * CHOOSE(CONTROL!$C$9, $C$13, 100%, $E$13) + CHOOSE(CONTROL!$C$28, 0.0276, 0)</f>
        <v>168.91849999999999</v>
      </c>
      <c r="D982" s="4">
        <f>126.2298 * CHOOSE(CONTROL!$C$9, $C$13, 100%, $E$13) + CHOOSE(CONTROL!$C$28, 0, 0)</f>
        <v>126.2298</v>
      </c>
      <c r="E982" s="4">
        <f>902.24367225563 * CHOOSE(CONTROL!$C$9, $C$13, 100%, $E$13) + CHOOSE(CONTROL!$C$28, 0, 0)</f>
        <v>902.24367225563003</v>
      </c>
    </row>
    <row r="983" spans="1:5" ht="15">
      <c r="A983" s="13">
        <v>71436</v>
      </c>
      <c r="B983" s="4">
        <f>169.1502 * CHOOSE(CONTROL!$C$9, $C$13, 100%, $E$13) + CHOOSE(CONTROL!$C$28, 0.0276, 0)</f>
        <v>169.17780000000002</v>
      </c>
      <c r="C983" s="4">
        <f>168.8377 * CHOOSE(CONTROL!$C$9, $C$13, 100%, $E$13) + CHOOSE(CONTROL!$C$28, 0.0276, 0)</f>
        <v>168.86530000000002</v>
      </c>
      <c r="D983" s="4">
        <f>128.2998 * CHOOSE(CONTROL!$C$9, $C$13, 100%, $E$13) + CHOOSE(CONTROL!$C$28, 0, 0)</f>
        <v>128.2998</v>
      </c>
      <c r="E983" s="4">
        <f>901.956699077432 * CHOOSE(CONTROL!$C$9, $C$13, 100%, $E$13) + CHOOSE(CONTROL!$C$28, 0, 0)</f>
        <v>901.95669907743195</v>
      </c>
    </row>
    <row r="984" spans="1:5" ht="15">
      <c r="A984" s="13">
        <v>71467</v>
      </c>
      <c r="B984" s="4">
        <f>173.1551 * CHOOSE(CONTROL!$C$9, $C$13, 100%, $E$13) + CHOOSE(CONTROL!$C$28, 0.0276, 0)</f>
        <v>173.18270000000001</v>
      </c>
      <c r="C984" s="4">
        <f>172.8426 * CHOOSE(CONTROL!$C$9, $C$13, 100%, $E$13) + CHOOSE(CONTROL!$C$28, 0.0276, 0)</f>
        <v>172.87020000000001</v>
      </c>
      <c r="D984" s="4">
        <f>126.9327 * CHOOSE(CONTROL!$C$9, $C$13, 100%, $E$13) + CHOOSE(CONTROL!$C$28, 0, 0)</f>
        <v>126.9327</v>
      </c>
      <c r="E984" s="4">
        <f>923.551430736858 * CHOOSE(CONTROL!$C$9, $C$13, 100%, $E$13) + CHOOSE(CONTROL!$C$28, 0, 0)</f>
        <v>923.55143073685804</v>
      </c>
    </row>
    <row r="985" spans="1:5" ht="15">
      <c r="A985" s="13">
        <v>71497</v>
      </c>
      <c r="B985" s="4">
        <f>166.3294 * CHOOSE(CONTROL!$C$9, $C$13, 100%, $E$13) + CHOOSE(CONTROL!$C$28, 0.0276, 0)</f>
        <v>166.357</v>
      </c>
      <c r="C985" s="4">
        <f>166.0169 * CHOOSE(CONTROL!$C$9, $C$13, 100%, $E$13) + CHOOSE(CONTROL!$C$28, 0.0276, 0)</f>
        <v>166.0445</v>
      </c>
      <c r="D985" s="4">
        <f>126.2868 * CHOOSE(CONTROL!$C$9, $C$13, 100%, $E$13) + CHOOSE(CONTROL!$C$28, 0, 0)</f>
        <v>126.2868</v>
      </c>
      <c r="E985" s="4">
        <f>886.747120632919 * CHOOSE(CONTROL!$C$9, $C$13, 100%, $E$13) + CHOOSE(CONTROL!$C$28, 0, 0)</f>
        <v>886.74712063291895</v>
      </c>
    </row>
    <row r="986" spans="1:5" ht="15">
      <c r="A986" s="13">
        <v>71528</v>
      </c>
      <c r="B986" s="4">
        <f>160.8654 * CHOOSE(CONTROL!$C$9, $C$13, 100%, $E$13) + CHOOSE(CONTROL!$C$28, 0.0003, 0)</f>
        <v>160.8657</v>
      </c>
      <c r="C986" s="4">
        <f>160.5529 * CHOOSE(CONTROL!$C$9, $C$13, 100%, $E$13) + CHOOSE(CONTROL!$C$28, 0.0003, 0)</f>
        <v>160.5532</v>
      </c>
      <c r="D986" s="4">
        <f>124.5573 * CHOOSE(CONTROL!$C$9, $C$13, 100%, $E$13) + CHOOSE(CONTROL!$C$28, 0, 0)</f>
        <v>124.5573</v>
      </c>
      <c r="E986" s="4">
        <f>857.284541004555 * CHOOSE(CONTROL!$C$9, $C$13, 100%, $E$13) + CHOOSE(CONTROL!$C$28, 0, 0)</f>
        <v>857.28454100455497</v>
      </c>
    </row>
    <row r="987" spans="1:5" ht="15">
      <c r="A987" s="13">
        <v>71558</v>
      </c>
      <c r="B987" s="4">
        <f>157.3461 * CHOOSE(CONTROL!$C$9, $C$13, 100%, $E$13) + CHOOSE(CONTROL!$C$28, 0.0003, 0)</f>
        <v>157.34640000000002</v>
      </c>
      <c r="C987" s="4">
        <f>157.0336 * CHOOSE(CONTROL!$C$9, $C$13, 100%, $E$13) + CHOOSE(CONTROL!$C$28, 0.0003, 0)</f>
        <v>157.03390000000002</v>
      </c>
      <c r="D987" s="4">
        <f>123.9627 * CHOOSE(CONTROL!$C$9, $C$13, 100%, $E$13) + CHOOSE(CONTROL!$C$28, 0, 0)</f>
        <v>123.9627</v>
      </c>
      <c r="E987" s="4">
        <f>838.308439596188 * CHOOSE(CONTROL!$C$9, $C$13, 100%, $E$13) + CHOOSE(CONTROL!$C$28, 0, 0)</f>
        <v>838.30843959618801</v>
      </c>
    </row>
    <row r="988" spans="1:5" ht="15">
      <c r="A988" s="13">
        <v>71589</v>
      </c>
      <c r="B988" s="4">
        <f>154.9112 * CHOOSE(CONTROL!$C$9, $C$13, 100%, $E$13) + CHOOSE(CONTROL!$C$28, 0.0003, 0)</f>
        <v>154.91150000000002</v>
      </c>
      <c r="C988" s="4">
        <f>154.5987 * CHOOSE(CONTROL!$C$9, $C$13, 100%, $E$13) + CHOOSE(CONTROL!$C$28, 0.0003, 0)</f>
        <v>154.59900000000002</v>
      </c>
      <c r="D988" s="4">
        <f>119.5853 * CHOOSE(CONTROL!$C$9, $C$13, 100%, $E$13) + CHOOSE(CONTROL!$C$28, 0, 0)</f>
        <v>119.5853</v>
      </c>
      <c r="E988" s="4">
        <f>825.179416693614 * CHOOSE(CONTROL!$C$9, $C$13, 100%, $E$13) + CHOOSE(CONTROL!$C$28, 0, 0)</f>
        <v>825.17941669361403</v>
      </c>
    </row>
    <row r="989" spans="1:5" ht="15">
      <c r="A989" s="13">
        <v>71620</v>
      </c>
      <c r="B989" s="4">
        <f>150.955 * CHOOSE(CONTROL!$C$9, $C$13, 100%, $E$13) + CHOOSE(CONTROL!$C$28, 0.0003, 0)</f>
        <v>150.95530000000002</v>
      </c>
      <c r="C989" s="4">
        <f>150.6425 * CHOOSE(CONTROL!$C$9, $C$13, 100%, $E$13) + CHOOSE(CONTROL!$C$28, 0.0003, 0)</f>
        <v>150.64280000000002</v>
      </c>
      <c r="D989" s="4">
        <f>115.562 * CHOOSE(CONTROL!$C$9, $C$13, 100%, $E$13) + CHOOSE(CONTROL!$C$28, 0, 0)</f>
        <v>115.562</v>
      </c>
      <c r="E989" s="4">
        <f>801.516415531441 * CHOOSE(CONTROL!$C$9, $C$13, 100%, $E$13) + CHOOSE(CONTROL!$C$28, 0, 0)</f>
        <v>801.516415531441</v>
      </c>
    </row>
    <row r="990" spans="1:5" ht="15">
      <c r="A990" s="13">
        <v>71649</v>
      </c>
      <c r="B990" s="4">
        <f>154.4948 * CHOOSE(CONTROL!$C$9, $C$13, 100%, $E$13) + CHOOSE(CONTROL!$C$28, 0.0003, 0)</f>
        <v>154.49510000000001</v>
      </c>
      <c r="C990" s="4">
        <f>154.1823 * CHOOSE(CONTROL!$C$9, $C$13, 100%, $E$13) + CHOOSE(CONTROL!$C$28, 0.0003, 0)</f>
        <v>154.18260000000001</v>
      </c>
      <c r="D990" s="4">
        <f>119.6135 * CHOOSE(CONTROL!$C$9, $C$13, 100%, $E$13) + CHOOSE(CONTROL!$C$28, 0, 0)</f>
        <v>119.6135</v>
      </c>
      <c r="E990" s="4">
        <f>820.547573939766 * CHOOSE(CONTROL!$C$9, $C$13, 100%, $E$13) + CHOOSE(CONTROL!$C$28, 0, 0)</f>
        <v>820.54757393976604</v>
      </c>
    </row>
    <row r="991" spans="1:5" ht="15">
      <c r="A991" s="13">
        <v>71680</v>
      </c>
      <c r="B991" s="4">
        <f>163.7904 * CHOOSE(CONTROL!$C$9, $C$13, 100%, $E$13) + CHOOSE(CONTROL!$C$28, 0.0003, 0)</f>
        <v>163.79070000000002</v>
      </c>
      <c r="C991" s="4">
        <f>163.4779 * CHOOSE(CONTROL!$C$9, $C$13, 100%, $E$13) + CHOOSE(CONTROL!$C$28, 0.0003, 0)</f>
        <v>163.47820000000002</v>
      </c>
      <c r="D991" s="4">
        <f>125.9557 * CHOOSE(CONTROL!$C$9, $C$13, 100%, $E$13) + CHOOSE(CONTROL!$C$28, 0, 0)</f>
        <v>125.95569999999999</v>
      </c>
      <c r="E991" s="4">
        <f>870.524407297208 * CHOOSE(CONTROL!$C$9, $C$13, 100%, $E$13) + CHOOSE(CONTROL!$C$28, 0, 0)</f>
        <v>870.52440729720797</v>
      </c>
    </row>
    <row r="992" spans="1:5" ht="15">
      <c r="A992" s="13">
        <v>71710</v>
      </c>
      <c r="B992" s="4">
        <f>170.395 * CHOOSE(CONTROL!$C$9, $C$13, 100%, $E$13) + CHOOSE(CONTROL!$C$28, 0.0003, 0)</f>
        <v>170.39530000000002</v>
      </c>
      <c r="C992" s="4">
        <f>170.0825 * CHOOSE(CONTROL!$C$9, $C$13, 100%, $E$13) + CHOOSE(CONTROL!$C$28, 0.0003, 0)</f>
        <v>170.08280000000002</v>
      </c>
      <c r="D992" s="4">
        <f>129.6091 * CHOOSE(CONTROL!$C$9, $C$13, 100%, $E$13) + CHOOSE(CONTROL!$C$28, 0, 0)</f>
        <v>129.60910000000001</v>
      </c>
      <c r="E992" s="4">
        <f>906.033613426546 * CHOOSE(CONTROL!$C$9, $C$13, 100%, $E$13) + CHOOSE(CONTROL!$C$28, 0, 0)</f>
        <v>906.03361342654603</v>
      </c>
    </row>
    <row r="993" spans="1:5" ht="15">
      <c r="A993" s="13">
        <v>71741</v>
      </c>
      <c r="B993" s="4">
        <f>174.4302 * CHOOSE(CONTROL!$C$9, $C$13, 100%, $E$13) + CHOOSE(CONTROL!$C$28, 0.0276, 0)</f>
        <v>174.45780000000002</v>
      </c>
      <c r="C993" s="4">
        <f>174.1177 * CHOOSE(CONTROL!$C$9, $C$13, 100%, $E$13) + CHOOSE(CONTROL!$C$28, 0.0276, 0)</f>
        <v>174.14530000000002</v>
      </c>
      <c r="D993" s="4">
        <f>128.1654 * CHOOSE(CONTROL!$C$9, $C$13, 100%, $E$13) + CHOOSE(CONTROL!$C$28, 0, 0)</f>
        <v>128.16540000000001</v>
      </c>
      <c r="E993" s="4">
        <f>927.728887334676 * CHOOSE(CONTROL!$C$9, $C$13, 100%, $E$13) + CHOOSE(CONTROL!$C$28, 0, 0)</f>
        <v>927.72888733467596</v>
      </c>
    </row>
    <row r="994" spans="1:5" ht="15">
      <c r="A994" s="13">
        <v>71771</v>
      </c>
      <c r="B994" s="4">
        <f>174.9762 * CHOOSE(CONTROL!$C$9, $C$13, 100%, $E$13) + CHOOSE(CONTROL!$C$28, 0.0276, 0)</f>
        <v>175.00380000000001</v>
      </c>
      <c r="C994" s="4">
        <f>174.6637 * CHOOSE(CONTROL!$C$9, $C$13, 100%, $E$13) + CHOOSE(CONTROL!$C$28, 0.0276, 0)</f>
        <v>174.69130000000001</v>
      </c>
      <c r="D994" s="4">
        <f>129.3412 * CHOOSE(CONTROL!$C$9, $C$13, 100%, $E$13) + CHOOSE(CONTROL!$C$28, 0, 0)</f>
        <v>129.34119999999999</v>
      </c>
      <c r="E994" s="4">
        <f>930.664347931683 * CHOOSE(CONTROL!$C$9, $C$13, 100%, $E$13) + CHOOSE(CONTROL!$C$28, 0, 0)</f>
        <v>930.66434793168298</v>
      </c>
    </row>
    <row r="995" spans="1:5" ht="15">
      <c r="A995" s="13">
        <v>71802</v>
      </c>
      <c r="B995" s="4">
        <f>174.9212 * CHOOSE(CONTROL!$C$9, $C$13, 100%, $E$13) + CHOOSE(CONTROL!$C$28, 0.0276, 0)</f>
        <v>174.94880000000001</v>
      </c>
      <c r="C995" s="4">
        <f>174.6087 * CHOOSE(CONTROL!$C$9, $C$13, 100%, $E$13) + CHOOSE(CONTROL!$C$28, 0.0276, 0)</f>
        <v>174.63630000000001</v>
      </c>
      <c r="D995" s="4">
        <f>131.4626 * CHOOSE(CONTROL!$C$9, $C$13, 100%, $E$13) + CHOOSE(CONTROL!$C$28, 0, 0)</f>
        <v>131.46260000000001</v>
      </c>
      <c r="E995" s="4">
        <f>930.368335098371 * CHOOSE(CONTROL!$C$9, $C$13, 100%, $E$13) + CHOOSE(CONTROL!$C$28, 0, 0)</f>
        <v>930.36833509837095</v>
      </c>
    </row>
    <row r="996" spans="1:5" ht="15">
      <c r="A996" s="13">
        <v>71833</v>
      </c>
      <c r="B996" s="4">
        <f>179.0643 * CHOOSE(CONTROL!$C$9, $C$13, 100%, $E$13) + CHOOSE(CONTROL!$C$28, 0.0276, 0)</f>
        <v>179.09190000000001</v>
      </c>
      <c r="C996" s="4">
        <f>178.7518 * CHOOSE(CONTROL!$C$9, $C$13, 100%, $E$13) + CHOOSE(CONTROL!$C$28, 0.0276, 0)</f>
        <v>178.77940000000001</v>
      </c>
      <c r="D996" s="4">
        <f>130.0616 * CHOOSE(CONTROL!$C$9, $C$13, 100%, $E$13) + CHOOSE(CONTROL!$C$28, 0, 0)</f>
        <v>130.0616</v>
      </c>
      <c r="E996" s="4">
        <f>952.643300805069 * CHOOSE(CONTROL!$C$9, $C$13, 100%, $E$13) + CHOOSE(CONTROL!$C$28, 0, 0)</f>
        <v>952.64330080506898</v>
      </c>
    </row>
    <row r="997" spans="1:5" ht="15">
      <c r="A997" s="13">
        <v>71863</v>
      </c>
      <c r="B997" s="4">
        <f>172.0031 * CHOOSE(CONTROL!$C$9, $C$13, 100%, $E$13) + CHOOSE(CONTROL!$C$28, 0.0276, 0)</f>
        <v>172.0307</v>
      </c>
      <c r="C997" s="4">
        <f>171.6906 * CHOOSE(CONTROL!$C$9, $C$13, 100%, $E$13) + CHOOSE(CONTROL!$C$28, 0.0276, 0)</f>
        <v>171.7182</v>
      </c>
      <c r="D997" s="4">
        <f>129.3996 * CHOOSE(CONTROL!$C$9, $C$13, 100%, $E$13) + CHOOSE(CONTROL!$C$28, 0, 0)</f>
        <v>129.39959999999999</v>
      </c>
      <c r="E997" s="4">
        <f>914.679654932856 * CHOOSE(CONTROL!$C$9, $C$13, 100%, $E$13) + CHOOSE(CONTROL!$C$28, 0, 0)</f>
        <v>914.67965493285601</v>
      </c>
    </row>
    <row r="998" spans="1:5" ht="15">
      <c r="A998" s="13">
        <v>71894</v>
      </c>
      <c r="B998" s="4">
        <f>166.3505 * CHOOSE(CONTROL!$C$9, $C$13, 100%, $E$13) + CHOOSE(CONTROL!$C$28, 0.0003, 0)</f>
        <v>166.35080000000002</v>
      </c>
      <c r="C998" s="4">
        <f>166.038 * CHOOSE(CONTROL!$C$9, $C$13, 100%, $E$13) + CHOOSE(CONTROL!$C$28, 0.0003, 0)</f>
        <v>166.03830000000002</v>
      </c>
      <c r="D998" s="4">
        <f>127.6273 * CHOOSE(CONTROL!$C$9, $C$13, 100%, $E$13) + CHOOSE(CONTROL!$C$28, 0, 0)</f>
        <v>127.62730000000001</v>
      </c>
      <c r="E998" s="4">
        <f>884.289004046198 * CHOOSE(CONTROL!$C$9, $C$13, 100%, $E$13) + CHOOSE(CONTROL!$C$28, 0, 0)</f>
        <v>884.28900404619799</v>
      </c>
    </row>
    <row r="999" spans="1:5" ht="15">
      <c r="A999" s="13">
        <v>71924</v>
      </c>
      <c r="B999" s="4">
        <f>162.7099 * CHOOSE(CONTROL!$C$9, $C$13, 100%, $E$13) + CHOOSE(CONTROL!$C$28, 0.0003, 0)</f>
        <v>162.71020000000001</v>
      </c>
      <c r="C999" s="4">
        <f>162.3974 * CHOOSE(CONTROL!$C$9, $C$13, 100%, $E$13) + CHOOSE(CONTROL!$C$28, 0.0003, 0)</f>
        <v>162.39770000000001</v>
      </c>
      <c r="D999" s="4">
        <f>127.0179 * CHOOSE(CONTROL!$C$9, $C$13, 100%, $E$13) + CHOOSE(CONTROL!$C$28, 0, 0)</f>
        <v>127.0179</v>
      </c>
      <c r="E999" s="4">
        <f>864.715155443468 * CHOOSE(CONTROL!$C$9, $C$13, 100%, $E$13) + CHOOSE(CONTROL!$C$28, 0, 0)</f>
        <v>864.71515544346801</v>
      </c>
    </row>
    <row r="1000" spans="1:5" ht="15">
      <c r="A1000" s="13">
        <v>71955</v>
      </c>
      <c r="B1000" s="4">
        <f>160.191 * CHOOSE(CONTROL!$C$9, $C$13, 100%, $E$13) + CHOOSE(CONTROL!$C$28, 0.0003, 0)</f>
        <v>160.19130000000001</v>
      </c>
      <c r="C1000" s="4">
        <f>159.8785 * CHOOSE(CONTROL!$C$9, $C$13, 100%, $E$13) + CHOOSE(CONTROL!$C$28, 0.0003, 0)</f>
        <v>159.87880000000001</v>
      </c>
      <c r="D1000" s="4">
        <f>122.5319 * CHOOSE(CONTROL!$C$9, $C$13, 100%, $E$13) + CHOOSE(CONTROL!$C$28, 0, 0)</f>
        <v>122.53189999999999</v>
      </c>
      <c r="E1000" s="4">
        <f>851.172568319462 * CHOOSE(CONTROL!$C$9, $C$13, 100%, $E$13) + CHOOSE(CONTROL!$C$28, 0, 0)</f>
        <v>851.17256831946202</v>
      </c>
    </row>
    <row r="1001" spans="1:5" ht="15">
      <c r="A1001" s="13">
        <v>71986</v>
      </c>
      <c r="B1001" s="4">
        <f>156.0983 * CHOOSE(CONTROL!$C$9, $C$13, 100%, $E$13) + CHOOSE(CONTROL!$C$28, 0.0003, 0)</f>
        <v>156.0986</v>
      </c>
      <c r="C1001" s="4">
        <f>155.7858 * CHOOSE(CONTROL!$C$9, $C$13, 100%, $E$13) + CHOOSE(CONTROL!$C$28, 0.0003, 0)</f>
        <v>155.7861</v>
      </c>
      <c r="D1001" s="4">
        <f>118.4088 * CHOOSE(CONTROL!$C$9, $C$13, 100%, $E$13) + CHOOSE(CONTROL!$C$28, 0, 0)</f>
        <v>118.4088</v>
      </c>
      <c r="E1001" s="4">
        <f>826.764182620681 * CHOOSE(CONTROL!$C$9, $C$13, 100%, $E$13) + CHOOSE(CONTROL!$C$28, 0, 0)</f>
        <v>826.76418262068103</v>
      </c>
    </row>
    <row r="1002" spans="1:5" ht="15">
      <c r="A1002" s="13">
        <v>72014</v>
      </c>
      <c r="B1002" s="4">
        <f>159.7602 * CHOOSE(CONTROL!$C$9, $C$13, 100%, $E$13) + CHOOSE(CONTROL!$C$28, 0.0003, 0)</f>
        <v>159.76050000000001</v>
      </c>
      <c r="C1002" s="4">
        <f>159.4477 * CHOOSE(CONTROL!$C$9, $C$13, 100%, $E$13) + CHOOSE(CONTROL!$C$28, 0.0003, 0)</f>
        <v>159.44800000000001</v>
      </c>
      <c r="D1002" s="4">
        <f>122.5608 * CHOOSE(CONTROL!$C$9, $C$13, 100%, $E$13) + CHOOSE(CONTROL!$C$28, 0, 0)</f>
        <v>122.5608</v>
      </c>
      <c r="E1002" s="4">
        <f>846.394822518869 * CHOOSE(CONTROL!$C$9, $C$13, 100%, $E$13) + CHOOSE(CONTROL!$C$28, 0, 0)</f>
        <v>846.39482251886898</v>
      </c>
    </row>
    <row r="1003" spans="1:5" ht="15">
      <c r="A1003" s="13">
        <v>72045</v>
      </c>
      <c r="B1003" s="4">
        <f>169.3764 * CHOOSE(CONTROL!$C$9, $C$13, 100%, $E$13) + CHOOSE(CONTROL!$C$28, 0.0003, 0)</f>
        <v>169.3767</v>
      </c>
      <c r="C1003" s="4">
        <f>169.0639 * CHOOSE(CONTROL!$C$9, $C$13, 100%, $E$13) + CHOOSE(CONTROL!$C$28, 0.0003, 0)</f>
        <v>169.0642</v>
      </c>
      <c r="D1003" s="4">
        <f>129.0603 * CHOOSE(CONTROL!$C$9, $C$13, 100%, $E$13) + CHOOSE(CONTROL!$C$28, 0, 0)</f>
        <v>129.06030000000001</v>
      </c>
      <c r="E1003" s="4">
        <f>897.94592612707 * CHOOSE(CONTROL!$C$9, $C$13, 100%, $E$13) + CHOOSE(CONTROL!$C$28, 0, 0)</f>
        <v>897.94592612707004</v>
      </c>
    </row>
    <row r="1004" spans="1:5" ht="15">
      <c r="A1004" s="13">
        <v>72075</v>
      </c>
      <c r="B1004" s="4">
        <f>176.2089 * CHOOSE(CONTROL!$C$9, $C$13, 100%, $E$13) + CHOOSE(CONTROL!$C$28, 0.0003, 0)</f>
        <v>176.20920000000001</v>
      </c>
      <c r="C1004" s="4">
        <f>175.8964 * CHOOSE(CONTROL!$C$9, $C$13, 100%, $E$13) + CHOOSE(CONTROL!$C$28, 0.0003, 0)</f>
        <v>175.89670000000001</v>
      </c>
      <c r="D1004" s="4">
        <f>132.8043 * CHOOSE(CONTROL!$C$9, $C$13, 100%, $E$13) + CHOOSE(CONTROL!$C$28, 0, 0)</f>
        <v>132.80430000000001</v>
      </c>
      <c r="E1004" s="4">
        <f>934.573672249483 * CHOOSE(CONTROL!$C$9, $C$13, 100%, $E$13) + CHOOSE(CONTROL!$C$28, 0, 0)</f>
        <v>934.57367224948302</v>
      </c>
    </row>
    <row r="1005" spans="1:5" ht="15">
      <c r="A1005" s="13">
        <v>72106</v>
      </c>
      <c r="B1005" s="4">
        <f>180.3834 * CHOOSE(CONTROL!$C$9, $C$13, 100%, $E$13) + CHOOSE(CONTROL!$C$28, 0.0276, 0)</f>
        <v>180.411</v>
      </c>
      <c r="C1005" s="4">
        <f>180.0709 * CHOOSE(CONTROL!$C$9, $C$13, 100%, $E$13) + CHOOSE(CONTROL!$C$28, 0.0276, 0)</f>
        <v>180.0985</v>
      </c>
      <c r="D1005" s="4">
        <f>131.3249 * CHOOSE(CONTROL!$C$9, $C$13, 100%, $E$13) + CHOOSE(CONTROL!$C$28, 0, 0)</f>
        <v>131.32490000000001</v>
      </c>
      <c r="E1005" s="4">
        <f>956.952347285718 * CHOOSE(CONTROL!$C$9, $C$13, 100%, $E$13) + CHOOSE(CONTROL!$C$28, 0, 0)</f>
        <v>956.95234728571802</v>
      </c>
    </row>
    <row r="1006" spans="1:5" ht="15">
      <c r="A1006" s="13">
        <v>72136</v>
      </c>
      <c r="B1006" s="4">
        <f>180.9482 * CHOOSE(CONTROL!$C$9, $C$13, 100%, $E$13) + CHOOSE(CONTROL!$C$28, 0.0276, 0)</f>
        <v>180.97580000000002</v>
      </c>
      <c r="C1006" s="4">
        <f>180.6357 * CHOOSE(CONTROL!$C$9, $C$13, 100%, $E$13) + CHOOSE(CONTROL!$C$28, 0.0276, 0)</f>
        <v>180.66330000000002</v>
      </c>
      <c r="D1006" s="4">
        <f>132.5297 * CHOOSE(CONTROL!$C$9, $C$13, 100%, $E$13) + CHOOSE(CONTROL!$C$28, 0, 0)</f>
        <v>132.52969999999999</v>
      </c>
      <c r="E1006" s="4">
        <f>959.980274891531 * CHOOSE(CONTROL!$C$9, $C$13, 100%, $E$13) + CHOOSE(CONTROL!$C$28, 0, 0)</f>
        <v>959.98027489153105</v>
      </c>
    </row>
    <row r="1007" spans="1:5" ht="15">
      <c r="A1007" s="13">
        <v>72167</v>
      </c>
      <c r="B1007" s="4">
        <f>180.8913 * CHOOSE(CONTROL!$C$9, $C$13, 100%, $E$13) + CHOOSE(CONTROL!$C$28, 0.0276, 0)</f>
        <v>180.91890000000001</v>
      </c>
      <c r="C1007" s="4">
        <f>180.5788 * CHOOSE(CONTROL!$C$9, $C$13, 100%, $E$13) + CHOOSE(CONTROL!$C$28, 0.0276, 0)</f>
        <v>180.60640000000001</v>
      </c>
      <c r="D1007" s="4">
        <f>134.7038 * CHOOSE(CONTROL!$C$9, $C$13, 100%, $E$13) + CHOOSE(CONTROL!$C$28, 0, 0)</f>
        <v>134.7038</v>
      </c>
      <c r="E1007" s="4">
        <f>959.67493765397 * CHOOSE(CONTROL!$C$9, $C$13, 100%, $E$13) + CHOOSE(CONTROL!$C$28, 0, 0)</f>
        <v>959.67493765397001</v>
      </c>
    </row>
    <row r="1008" spans="1:5" ht="15">
      <c r="A1008" s="13">
        <v>72198</v>
      </c>
      <c r="B1008" s="4">
        <f>185.1773 * CHOOSE(CONTROL!$C$9, $C$13, 100%, $E$13) + CHOOSE(CONTROL!$C$28, 0.0276, 0)</f>
        <v>185.20490000000001</v>
      </c>
      <c r="C1008" s="4">
        <f>184.8648 * CHOOSE(CONTROL!$C$9, $C$13, 100%, $E$13) + CHOOSE(CONTROL!$C$28, 0.0276, 0)</f>
        <v>184.89240000000001</v>
      </c>
      <c r="D1008" s="4">
        <f>133.268 * CHOOSE(CONTROL!$C$9, $C$13, 100%, $E$13) + CHOOSE(CONTROL!$C$28, 0, 0)</f>
        <v>133.268</v>
      </c>
      <c r="E1008" s="4">
        <f>982.651564780429 * CHOOSE(CONTROL!$C$9, $C$13, 100%, $E$13) + CHOOSE(CONTROL!$C$28, 0, 0)</f>
        <v>982.651564780429</v>
      </c>
    </row>
    <row r="1009" spans="1:5" ht="15">
      <c r="A1009" s="13">
        <v>72228</v>
      </c>
      <c r="B1009" s="4">
        <f>177.8725 * CHOOSE(CONTROL!$C$9, $C$13, 100%, $E$13) + CHOOSE(CONTROL!$C$28, 0.0276, 0)</f>
        <v>177.90010000000001</v>
      </c>
      <c r="C1009" s="4">
        <f>177.56 * CHOOSE(CONTROL!$C$9, $C$13, 100%, $E$13) + CHOOSE(CONTROL!$C$28, 0.0276, 0)</f>
        <v>177.58760000000001</v>
      </c>
      <c r="D1009" s="4">
        <f>132.5897 * CHOOSE(CONTROL!$C$9, $C$13, 100%, $E$13) + CHOOSE(CONTROL!$C$28, 0, 0)</f>
        <v>132.58969999999999</v>
      </c>
      <c r="E1009" s="4">
        <f>943.492064063241 * CHOOSE(CONTROL!$C$9, $C$13, 100%, $E$13) + CHOOSE(CONTROL!$C$28, 0, 0)</f>
        <v>943.49206406324095</v>
      </c>
    </row>
    <row r="1010" spans="1:5" ht="15">
      <c r="A1010" s="13">
        <v>72259</v>
      </c>
      <c r="B1010" s="4">
        <f>172.0249 * CHOOSE(CONTROL!$C$9, $C$13, 100%, $E$13) + CHOOSE(CONTROL!$C$28, 0.0003, 0)</f>
        <v>172.02520000000001</v>
      </c>
      <c r="C1010" s="4">
        <f>171.7124 * CHOOSE(CONTROL!$C$9, $C$13, 100%, $E$13) + CHOOSE(CONTROL!$C$28, 0.0003, 0)</f>
        <v>171.71270000000001</v>
      </c>
      <c r="D1010" s="4">
        <f>130.7733 * CHOOSE(CONTROL!$C$9, $C$13, 100%, $E$13) + CHOOSE(CONTROL!$C$28, 0, 0)</f>
        <v>130.77330000000001</v>
      </c>
      <c r="E1010" s="4">
        <f>912.144107673653 * CHOOSE(CONTROL!$C$9, $C$13, 100%, $E$13) + CHOOSE(CONTROL!$C$28, 0, 0)</f>
        <v>912.14410767365302</v>
      </c>
    </row>
    <row r="1011" spans="1:5" ht="15">
      <c r="A1011" s="13">
        <v>72289</v>
      </c>
      <c r="B1011" s="4">
        <f>168.2587 * CHOOSE(CONTROL!$C$9, $C$13, 100%, $E$13) + CHOOSE(CONTROL!$C$28, 0.0003, 0)</f>
        <v>168.25900000000001</v>
      </c>
      <c r="C1011" s="4">
        <f>167.9462 * CHOOSE(CONTROL!$C$9, $C$13, 100%, $E$13) + CHOOSE(CONTROL!$C$28, 0.0003, 0)</f>
        <v>167.94650000000001</v>
      </c>
      <c r="D1011" s="4">
        <f>130.1489 * CHOOSE(CONTROL!$C$9, $C$13, 100%, $E$13) + CHOOSE(CONTROL!$C$28, 0, 0)</f>
        <v>130.1489</v>
      </c>
      <c r="E1011" s="4">
        <f>891.953682839937 * CHOOSE(CONTROL!$C$9, $C$13, 100%, $E$13) + CHOOSE(CONTROL!$C$28, 0, 0)</f>
        <v>891.95368283993696</v>
      </c>
    </row>
    <row r="1012" spans="1:5" ht="15">
      <c r="A1012" s="13">
        <v>72320</v>
      </c>
      <c r="B1012" s="4">
        <f>165.6529 * CHOOSE(CONTROL!$C$9, $C$13, 100%, $E$13) + CHOOSE(CONTROL!$C$28, 0.0003, 0)</f>
        <v>165.6532</v>
      </c>
      <c r="C1012" s="4">
        <f>165.3404 * CHOOSE(CONTROL!$C$9, $C$13, 100%, $E$13) + CHOOSE(CONTROL!$C$28, 0.0003, 0)</f>
        <v>165.3407</v>
      </c>
      <c r="D1012" s="4">
        <f>125.5516 * CHOOSE(CONTROL!$C$9, $C$13, 100%, $E$13) + CHOOSE(CONTROL!$C$28, 0, 0)</f>
        <v>125.55159999999999</v>
      </c>
      <c r="E1012" s="4">
        <f>877.984504221526 * CHOOSE(CONTROL!$C$9, $C$13, 100%, $E$13) + CHOOSE(CONTROL!$C$28, 0, 0)</f>
        <v>877.98450422152598</v>
      </c>
    </row>
    <row r="1013" spans="1:5" ht="15">
      <c r="A1013" s="13">
        <v>72351</v>
      </c>
      <c r="B1013" s="4">
        <f>161.419 * CHOOSE(CONTROL!$C$9, $C$13, 100%, $E$13) + CHOOSE(CONTROL!$C$28, 0.0003, 0)</f>
        <v>161.41930000000002</v>
      </c>
      <c r="C1013" s="4">
        <f>161.1065 * CHOOSE(CONTROL!$C$9, $C$13, 100%, $E$13) + CHOOSE(CONTROL!$C$28, 0.0003, 0)</f>
        <v>161.10680000000002</v>
      </c>
      <c r="D1013" s="4">
        <f>121.3263 * CHOOSE(CONTROL!$C$9, $C$13, 100%, $E$13) + CHOOSE(CONTROL!$C$28, 0, 0)</f>
        <v>121.3263</v>
      </c>
      <c r="E1013" s="4">
        <f>852.807254373233 * CHOOSE(CONTROL!$C$9, $C$13, 100%, $E$13) + CHOOSE(CONTROL!$C$28, 0, 0)</f>
        <v>852.80725437323304</v>
      </c>
    </row>
    <row r="1014" spans="1:5" ht="15">
      <c r="A1014" s="13">
        <v>72379</v>
      </c>
      <c r="B1014" s="4">
        <f>165.2072 * CHOOSE(CONTROL!$C$9, $C$13, 100%, $E$13) + CHOOSE(CONTROL!$C$28, 0.0003, 0)</f>
        <v>165.20750000000001</v>
      </c>
      <c r="C1014" s="4">
        <f>164.8947 * CHOOSE(CONTROL!$C$9, $C$13, 100%, $E$13) + CHOOSE(CONTROL!$C$28, 0.0003, 0)</f>
        <v>164.89500000000001</v>
      </c>
      <c r="D1014" s="4">
        <f>125.5812 * CHOOSE(CONTROL!$C$9, $C$13, 100%, $E$13) + CHOOSE(CONTROL!$C$28, 0, 0)</f>
        <v>125.5812</v>
      </c>
      <c r="E1014" s="4">
        <f>873.056259428213 * CHOOSE(CONTROL!$C$9, $C$13, 100%, $E$13) + CHOOSE(CONTROL!$C$28, 0, 0)</f>
        <v>873.05625942821302</v>
      </c>
    </row>
    <row r="1015" spans="1:5" ht="15">
      <c r="A1015" s="13">
        <v>72410</v>
      </c>
      <c r="B1015" s="4">
        <f>175.1552 * CHOOSE(CONTROL!$C$9, $C$13, 100%, $E$13) + CHOOSE(CONTROL!$C$28, 0.0003, 0)</f>
        <v>175.15550000000002</v>
      </c>
      <c r="C1015" s="4">
        <f>174.8427 * CHOOSE(CONTROL!$C$9, $C$13, 100%, $E$13) + CHOOSE(CONTROL!$C$28, 0.0003, 0)</f>
        <v>174.84300000000002</v>
      </c>
      <c r="D1015" s="4">
        <f>132.2419 * CHOOSE(CONTROL!$C$9, $C$13, 100%, $E$13) + CHOOSE(CONTROL!$C$28, 0, 0)</f>
        <v>132.24189999999999</v>
      </c>
      <c r="E1015" s="4">
        <f>926.231222800073 * CHOOSE(CONTROL!$C$9, $C$13, 100%, $E$13) + CHOOSE(CONTROL!$C$28, 0, 0)</f>
        <v>926.23122280007306</v>
      </c>
    </row>
    <row r="1016" spans="1:5" ht="15">
      <c r="A1016" s="13">
        <v>72440</v>
      </c>
      <c r="B1016" s="4">
        <f>182.2234 * CHOOSE(CONTROL!$C$9, $C$13, 100%, $E$13) + CHOOSE(CONTROL!$C$28, 0.0003, 0)</f>
        <v>182.22370000000001</v>
      </c>
      <c r="C1016" s="4">
        <f>181.9109 * CHOOSE(CONTROL!$C$9, $C$13, 100%, $E$13) + CHOOSE(CONTROL!$C$28, 0.0003, 0)</f>
        <v>181.91120000000001</v>
      </c>
      <c r="D1016" s="4">
        <f>136.0787 * CHOOSE(CONTROL!$C$9, $C$13, 100%, $E$13) + CHOOSE(CONTROL!$C$28, 0, 0)</f>
        <v>136.0787</v>
      </c>
      <c r="E1016" s="4">
        <f>964.012742925341 * CHOOSE(CONTROL!$C$9, $C$13, 100%, $E$13) + CHOOSE(CONTROL!$C$28, 0, 0)</f>
        <v>964.01274292534094</v>
      </c>
    </row>
    <row r="1017" spans="1:5" ht="15">
      <c r="A1017" s="13">
        <v>72471</v>
      </c>
      <c r="B1017" s="4">
        <f>186.5419 * CHOOSE(CONTROL!$C$9, $C$13, 100%, $E$13) + CHOOSE(CONTROL!$C$28, 0.0276, 0)</f>
        <v>186.56950000000001</v>
      </c>
      <c r="C1017" s="4">
        <f>186.2294 * CHOOSE(CONTROL!$C$9, $C$13, 100%, $E$13) + CHOOSE(CONTROL!$C$28, 0.0276, 0)</f>
        <v>186.25700000000001</v>
      </c>
      <c r="D1017" s="4">
        <f>134.5626 * CHOOSE(CONTROL!$C$9, $C$13, 100%, $E$13) + CHOOSE(CONTROL!$C$28, 0, 0)</f>
        <v>134.5626</v>
      </c>
      <c r="E1017" s="4">
        <f>987.096346225218 * CHOOSE(CONTROL!$C$9, $C$13, 100%, $E$13) + CHOOSE(CONTROL!$C$28, 0, 0)</f>
        <v>987.09634622521799</v>
      </c>
    </row>
    <row r="1018" spans="1:5" ht="15">
      <c r="A1018" s="13">
        <v>72501</v>
      </c>
      <c r="B1018" s="4">
        <f>187.1263 * CHOOSE(CONTROL!$C$9, $C$13, 100%, $E$13) + CHOOSE(CONTROL!$C$28, 0.0276, 0)</f>
        <v>187.15389999999999</v>
      </c>
      <c r="C1018" s="4">
        <f>186.8138 * CHOOSE(CONTROL!$C$9, $C$13, 100%, $E$13) + CHOOSE(CONTROL!$C$28, 0.0276, 0)</f>
        <v>186.84139999999999</v>
      </c>
      <c r="D1018" s="4">
        <f>135.7974 * CHOOSE(CONTROL!$C$9, $C$13, 100%, $E$13) + CHOOSE(CONTROL!$C$28, 0, 0)</f>
        <v>135.79740000000001</v>
      </c>
      <c r="E1018" s="4">
        <f>990.219653550614 * CHOOSE(CONTROL!$C$9, $C$13, 100%, $E$13) + CHOOSE(CONTROL!$C$28, 0, 0)</f>
        <v>990.219653550614</v>
      </c>
    </row>
    <row r="1019" spans="1:5" ht="15">
      <c r="A1019" s="13">
        <v>72532</v>
      </c>
      <c r="B1019" s="4">
        <f>187.0673 * CHOOSE(CONTROL!$C$9, $C$13, 100%, $E$13) + CHOOSE(CONTROL!$C$28, 0.0276, 0)</f>
        <v>187.0949</v>
      </c>
      <c r="C1019" s="4">
        <f>186.7548 * CHOOSE(CONTROL!$C$9, $C$13, 100%, $E$13) + CHOOSE(CONTROL!$C$28, 0.0276, 0)</f>
        <v>186.7824</v>
      </c>
      <c r="D1019" s="4">
        <f>138.0253 * CHOOSE(CONTROL!$C$9, $C$13, 100%, $E$13) + CHOOSE(CONTROL!$C$28, 0, 0)</f>
        <v>138.02529999999999</v>
      </c>
      <c r="E1019" s="4">
        <f>989.90469819007 * CHOOSE(CONTROL!$C$9, $C$13, 100%, $E$13) + CHOOSE(CONTROL!$C$28, 0, 0)</f>
        <v>989.90469819007001</v>
      </c>
    </row>
    <row r="1020" spans="1:5" ht="15">
      <c r="A1020" s="13">
        <v>72563</v>
      </c>
      <c r="B1020" s="4">
        <f>191.5012 * CHOOSE(CONTROL!$C$9, $C$13, 100%, $E$13) + CHOOSE(CONTROL!$C$28, 0.0276, 0)</f>
        <v>191.52880000000002</v>
      </c>
      <c r="C1020" s="4">
        <f>191.1887 * CHOOSE(CONTROL!$C$9, $C$13, 100%, $E$13) + CHOOSE(CONTROL!$C$28, 0.0276, 0)</f>
        <v>191.21630000000002</v>
      </c>
      <c r="D1020" s="4">
        <f>136.554 * CHOOSE(CONTROL!$C$9, $C$13, 100%, $E$13) + CHOOSE(CONTROL!$C$28, 0, 0)</f>
        <v>136.554</v>
      </c>
      <c r="E1020" s="4">
        <f>1013.60508907101 * CHOOSE(CONTROL!$C$9, $C$13, 100%, $E$13) + CHOOSE(CONTROL!$C$28, 0, 0)</f>
        <v>1013.60508907101</v>
      </c>
    </row>
    <row r="1021" spans="1:5" ht="15">
      <c r="A1021" s="13">
        <v>72593</v>
      </c>
      <c r="B1021" s="4">
        <f>183.9445 * CHOOSE(CONTROL!$C$9, $C$13, 100%, $E$13) + CHOOSE(CONTROL!$C$28, 0.0276, 0)</f>
        <v>183.97210000000001</v>
      </c>
      <c r="C1021" s="4">
        <f>183.632 * CHOOSE(CONTROL!$C$9, $C$13, 100%, $E$13) + CHOOSE(CONTROL!$C$28, 0.0276, 0)</f>
        <v>183.65960000000001</v>
      </c>
      <c r="D1021" s="4">
        <f>135.8588 * CHOOSE(CONTROL!$C$9, $C$13, 100%, $E$13) + CHOOSE(CONTROL!$C$28, 0, 0)</f>
        <v>135.8588</v>
      </c>
      <c r="E1021" s="4">
        <f>973.212064081233 * CHOOSE(CONTROL!$C$9, $C$13, 100%, $E$13) + CHOOSE(CONTROL!$C$28, 0, 0)</f>
        <v>973.21206408123305</v>
      </c>
    </row>
    <row r="1022" spans="1:5" ht="15">
      <c r="A1022" s="13">
        <v>72624</v>
      </c>
      <c r="B1022" s="4">
        <f>177.8951 * CHOOSE(CONTROL!$C$9, $C$13, 100%, $E$13) + CHOOSE(CONTROL!$C$28, 0.0003, 0)</f>
        <v>177.89540000000002</v>
      </c>
      <c r="C1022" s="4">
        <f>177.5826 * CHOOSE(CONTROL!$C$9, $C$13, 100%, $E$13) + CHOOSE(CONTROL!$C$28, 0.0003, 0)</f>
        <v>177.58290000000002</v>
      </c>
      <c r="D1022" s="4">
        <f>133.9974 * CHOOSE(CONTROL!$C$9, $C$13, 100%, $E$13) + CHOOSE(CONTROL!$C$28, 0, 0)</f>
        <v>133.9974</v>
      </c>
      <c r="E1022" s="4">
        <f>940.876647065373 * CHOOSE(CONTROL!$C$9, $C$13, 100%, $E$13) + CHOOSE(CONTROL!$C$28, 0, 0)</f>
        <v>940.87664706537305</v>
      </c>
    </row>
    <row r="1023" spans="1:5" ht="15">
      <c r="A1023" s="13">
        <v>72654</v>
      </c>
      <c r="B1023" s="4">
        <f>173.9989 * CHOOSE(CONTROL!$C$9, $C$13, 100%, $E$13) + CHOOSE(CONTROL!$C$28, 0.0003, 0)</f>
        <v>173.9992</v>
      </c>
      <c r="C1023" s="4">
        <f>173.6864 * CHOOSE(CONTROL!$C$9, $C$13, 100%, $E$13) + CHOOSE(CONTROL!$C$28, 0.0003, 0)</f>
        <v>173.6867</v>
      </c>
      <c r="D1023" s="4">
        <f>133.3575 * CHOOSE(CONTROL!$C$9, $C$13, 100%, $E$13) + CHOOSE(CONTROL!$C$28, 0, 0)</f>
        <v>133.35749999999999</v>
      </c>
      <c r="E1023" s="4">
        <f>920.050223849395 * CHOOSE(CONTROL!$C$9, $C$13, 100%, $E$13) + CHOOSE(CONTROL!$C$28, 0, 0)</f>
        <v>920.05022384939502</v>
      </c>
    </row>
    <row r="1024" spans="1:5" ht="15">
      <c r="A1024" s="13">
        <v>72685</v>
      </c>
      <c r="B1024" s="4">
        <f>171.3032 * CHOOSE(CONTROL!$C$9, $C$13, 100%, $E$13) + CHOOSE(CONTROL!$C$28, 0.0003, 0)</f>
        <v>171.30350000000001</v>
      </c>
      <c r="C1024" s="4">
        <f>170.9907 * CHOOSE(CONTROL!$C$9, $C$13, 100%, $E$13) + CHOOSE(CONTROL!$C$28, 0.0003, 0)</f>
        <v>170.99100000000001</v>
      </c>
      <c r="D1024" s="4">
        <f>128.6462 * CHOOSE(CONTROL!$C$9, $C$13, 100%, $E$13) + CHOOSE(CONTROL!$C$28, 0, 0)</f>
        <v>128.64619999999999</v>
      </c>
      <c r="E1024" s="4">
        <f>905.641016104504 * CHOOSE(CONTROL!$C$9, $C$13, 100%, $E$13) + CHOOSE(CONTROL!$C$28, 0, 0)</f>
        <v>905.64101610450405</v>
      </c>
    </row>
    <row r="1025" spans="1:5" ht="15">
      <c r="A1025" s="13">
        <v>72716</v>
      </c>
      <c r="B1025" s="4">
        <f>166.9233 * CHOOSE(CONTROL!$C$9, $C$13, 100%, $E$13) + CHOOSE(CONTROL!$C$28, 0.0003, 0)</f>
        <v>166.92360000000002</v>
      </c>
      <c r="C1025" s="4">
        <f>166.6108 * CHOOSE(CONTROL!$C$9, $C$13, 100%, $E$13) + CHOOSE(CONTROL!$C$28, 0.0003, 0)</f>
        <v>166.61110000000002</v>
      </c>
      <c r="D1025" s="4">
        <f>124.3161 * CHOOSE(CONTROL!$C$9, $C$13, 100%, $E$13) + CHOOSE(CONTROL!$C$28, 0, 0)</f>
        <v>124.31610000000001</v>
      </c>
      <c r="E1025" s="4">
        <f>879.670682885989 * CHOOSE(CONTROL!$C$9, $C$13, 100%, $E$13) + CHOOSE(CONTROL!$C$28, 0, 0)</f>
        <v>879.67068288598898</v>
      </c>
    </row>
    <row r="1026" spans="1:5" ht="15">
      <c r="A1026" s="13">
        <v>72744</v>
      </c>
      <c r="B1026" s="4">
        <f>170.8422 * CHOOSE(CONTROL!$C$9, $C$13, 100%, $E$13) + CHOOSE(CONTROL!$C$28, 0.0003, 0)</f>
        <v>170.8425</v>
      </c>
      <c r="C1026" s="4">
        <f>170.5297 * CHOOSE(CONTROL!$C$9, $C$13, 100%, $E$13) + CHOOSE(CONTROL!$C$28, 0.0003, 0)</f>
        <v>170.53</v>
      </c>
      <c r="D1026" s="4">
        <f>128.6765 * CHOOSE(CONTROL!$C$9, $C$13, 100%, $E$13) + CHOOSE(CONTROL!$C$28, 0, 0)</f>
        <v>128.6765</v>
      </c>
      <c r="E1026" s="4">
        <f>900.557531600202 * CHOOSE(CONTROL!$C$9, $C$13, 100%, $E$13) + CHOOSE(CONTROL!$C$28, 0, 0)</f>
        <v>900.55753160020197</v>
      </c>
    </row>
    <row r="1027" spans="1:5" ht="15">
      <c r="A1027" s="13">
        <v>72775</v>
      </c>
      <c r="B1027" s="4">
        <f>181.1334 * CHOOSE(CONTROL!$C$9, $C$13, 100%, $E$13) + CHOOSE(CONTROL!$C$28, 0.0003, 0)</f>
        <v>181.1337</v>
      </c>
      <c r="C1027" s="4">
        <f>180.8209 * CHOOSE(CONTROL!$C$9, $C$13, 100%, $E$13) + CHOOSE(CONTROL!$C$28, 0.0003, 0)</f>
        <v>180.8212</v>
      </c>
      <c r="D1027" s="4">
        <f>135.5024 * CHOOSE(CONTROL!$C$9, $C$13, 100%, $E$13) + CHOOSE(CONTROL!$C$28, 0, 0)</f>
        <v>135.50239999999999</v>
      </c>
      <c r="E1027" s="4">
        <f>955.407506318276 * CHOOSE(CONTROL!$C$9, $C$13, 100%, $E$13) + CHOOSE(CONTROL!$C$28, 0, 0)</f>
        <v>955.40750631827598</v>
      </c>
    </row>
    <row r="1028" spans="1:5" ht="15">
      <c r="A1028" s="13">
        <v>72805</v>
      </c>
      <c r="B1028" s="4">
        <f>188.4455 * CHOOSE(CONTROL!$C$9, $C$13, 100%, $E$13) + CHOOSE(CONTROL!$C$28, 0.0003, 0)</f>
        <v>188.44580000000002</v>
      </c>
      <c r="C1028" s="4">
        <f>188.133 * CHOOSE(CONTROL!$C$9, $C$13, 100%, $E$13) + CHOOSE(CONTROL!$C$28, 0.0003, 0)</f>
        <v>188.13330000000002</v>
      </c>
      <c r="D1028" s="4">
        <f>139.4344 * CHOOSE(CONTROL!$C$9, $C$13, 100%, $E$13) + CHOOSE(CONTROL!$C$28, 0, 0)</f>
        <v>139.43440000000001</v>
      </c>
      <c r="E1028" s="4">
        <f>994.37914432749 * CHOOSE(CONTROL!$C$9, $C$13, 100%, $E$13) + CHOOSE(CONTROL!$C$28, 0, 0)</f>
        <v>994.37914432749005</v>
      </c>
    </row>
    <row r="1029" spans="1:5" ht="15">
      <c r="A1029" s="13">
        <v>72836</v>
      </c>
      <c r="B1029" s="4">
        <f>192.913 * CHOOSE(CONTROL!$C$9, $C$13, 100%, $E$13) + CHOOSE(CONTROL!$C$28, 0.0276, 0)</f>
        <v>192.94060000000002</v>
      </c>
      <c r="C1029" s="4">
        <f>192.6005 * CHOOSE(CONTROL!$C$9, $C$13, 100%, $E$13) + CHOOSE(CONTROL!$C$28, 0.0276, 0)</f>
        <v>192.62810000000002</v>
      </c>
      <c r="D1029" s="4">
        <f>137.8807 * CHOOSE(CONTROL!$C$9, $C$13, 100%, $E$13) + CHOOSE(CONTROL!$C$28, 0, 0)</f>
        <v>137.88069999999999</v>
      </c>
      <c r="E1029" s="4">
        <f>1018.18988113131 * CHOOSE(CONTROL!$C$9, $C$13, 100%, $E$13) + CHOOSE(CONTROL!$C$28, 0, 0)</f>
        <v>1018.18988113131</v>
      </c>
    </row>
    <row r="1030" spans="1:5" ht="15">
      <c r="A1030" s="13">
        <v>72866</v>
      </c>
      <c r="B1030" s="4">
        <f>193.5174 * CHOOSE(CONTROL!$C$9, $C$13, 100%, $E$13) + CHOOSE(CONTROL!$C$28, 0.0276, 0)</f>
        <v>193.54500000000002</v>
      </c>
      <c r="C1030" s="4">
        <f>193.2049 * CHOOSE(CONTROL!$C$9, $C$13, 100%, $E$13) + CHOOSE(CONTROL!$C$28, 0.0276, 0)</f>
        <v>193.23250000000002</v>
      </c>
      <c r="D1030" s="4">
        <f>139.1461 * CHOOSE(CONTROL!$C$9, $C$13, 100%, $E$13) + CHOOSE(CONTROL!$C$28, 0, 0)</f>
        <v>139.14609999999999</v>
      </c>
      <c r="E1030" s="4">
        <f>1021.41157263746 * CHOOSE(CONTROL!$C$9, $C$13, 100%, $E$13) + CHOOSE(CONTROL!$C$28, 0, 0)</f>
        <v>1021.41157263746</v>
      </c>
    </row>
    <row r="1031" spans="1:5" ht="15">
      <c r="A1031" s="13">
        <v>72897</v>
      </c>
      <c r="B1031" s="4">
        <f>193.4565 * CHOOSE(CONTROL!$C$9, $C$13, 100%, $E$13) + CHOOSE(CONTROL!$C$28, 0.0276, 0)</f>
        <v>193.48410000000001</v>
      </c>
      <c r="C1031" s="4">
        <f>193.144 * CHOOSE(CONTROL!$C$9, $C$13, 100%, $E$13) + CHOOSE(CONTROL!$C$28, 0.0276, 0)</f>
        <v>193.17160000000001</v>
      </c>
      <c r="D1031" s="4">
        <f>141.4293 * CHOOSE(CONTROL!$C$9, $C$13, 100%, $E$13) + CHOOSE(CONTROL!$C$28, 0, 0)</f>
        <v>141.42930000000001</v>
      </c>
      <c r="E1031" s="4">
        <f>1021.08669618306 * CHOOSE(CONTROL!$C$9, $C$13, 100%, $E$13) + CHOOSE(CONTROL!$C$28, 0, 0)</f>
        <v>1021.08669618306</v>
      </c>
    </row>
    <row r="1032" spans="1:5" ht="15">
      <c r="A1032" s="13">
        <v>72928</v>
      </c>
      <c r="B1032" s="4">
        <f>198.0433 * CHOOSE(CONTROL!$C$9, $C$13, 100%, $E$13) + CHOOSE(CONTROL!$C$28, 0.0276, 0)</f>
        <v>198.07089999999999</v>
      </c>
      <c r="C1032" s="4">
        <f>197.7308 * CHOOSE(CONTROL!$C$9, $C$13, 100%, $E$13) + CHOOSE(CONTROL!$C$28, 0.0276, 0)</f>
        <v>197.75839999999999</v>
      </c>
      <c r="D1032" s="4">
        <f>139.9214 * CHOOSE(CONTROL!$C$9, $C$13, 100%, $E$13) + CHOOSE(CONTROL!$C$28, 0, 0)</f>
        <v>139.92140000000001</v>
      </c>
      <c r="E1032" s="4">
        <f>1045.53364937675 * CHOOSE(CONTROL!$C$9, $C$13, 100%, $E$13) + CHOOSE(CONTROL!$C$28, 0, 0)</f>
        <v>1045.53364937675</v>
      </c>
    </row>
    <row r="1033" spans="1:5" ht="15">
      <c r="A1033" s="13">
        <v>72958</v>
      </c>
      <c r="B1033" s="4">
        <f>190.2259 * CHOOSE(CONTROL!$C$9, $C$13, 100%, $E$13) + CHOOSE(CONTROL!$C$28, 0.0276, 0)</f>
        <v>190.2535</v>
      </c>
      <c r="C1033" s="4">
        <f>189.9134 * CHOOSE(CONTROL!$C$9, $C$13, 100%, $E$13) + CHOOSE(CONTROL!$C$28, 0.0276, 0)</f>
        <v>189.941</v>
      </c>
      <c r="D1033" s="4">
        <f>139.209 * CHOOSE(CONTROL!$C$9, $C$13, 100%, $E$13) + CHOOSE(CONTROL!$C$28, 0, 0)</f>
        <v>139.209</v>
      </c>
      <c r="E1033" s="4">
        <f>1003.86824409979 * CHOOSE(CONTROL!$C$9, $C$13, 100%, $E$13) + CHOOSE(CONTROL!$C$28, 0, 0)</f>
        <v>1003.86824409979</v>
      </c>
    </row>
    <row r="1034" spans="1:5" ht="15">
      <c r="A1034" s="13">
        <v>72989</v>
      </c>
      <c r="B1034" s="4">
        <f>183.9678 * CHOOSE(CONTROL!$C$9, $C$13, 100%, $E$13) + CHOOSE(CONTROL!$C$28, 0.0003, 0)</f>
        <v>183.96810000000002</v>
      </c>
      <c r="C1034" s="4">
        <f>183.6553 * CHOOSE(CONTROL!$C$9, $C$13, 100%, $E$13) + CHOOSE(CONTROL!$C$28, 0.0003, 0)</f>
        <v>183.65560000000002</v>
      </c>
      <c r="D1034" s="4">
        <f>137.3015 * CHOOSE(CONTROL!$C$9, $C$13, 100%, $E$13) + CHOOSE(CONTROL!$C$28, 0, 0)</f>
        <v>137.3015</v>
      </c>
      <c r="E1034" s="4">
        <f>970.514261447933 * CHOOSE(CONTROL!$C$9, $C$13, 100%, $E$13) + CHOOSE(CONTROL!$C$28, 0, 0)</f>
        <v>970.51426144793299</v>
      </c>
    </row>
    <row r="1035" spans="1:5" ht="15">
      <c r="A1035" s="13">
        <v>73019</v>
      </c>
      <c r="B1035" s="4">
        <f>179.9372 * CHOOSE(CONTROL!$C$9, $C$13, 100%, $E$13) + CHOOSE(CONTROL!$C$28, 0.0003, 0)</f>
        <v>179.9375</v>
      </c>
      <c r="C1035" s="4">
        <f>179.6247 * CHOOSE(CONTROL!$C$9, $C$13, 100%, $E$13) + CHOOSE(CONTROL!$C$28, 0.0003, 0)</f>
        <v>179.625</v>
      </c>
      <c r="D1035" s="4">
        <f>136.6457 * CHOOSE(CONTROL!$C$9, $C$13, 100%, $E$13) + CHOOSE(CONTROL!$C$28, 0, 0)</f>
        <v>136.64570000000001</v>
      </c>
      <c r="E1035" s="4">
        <f>949.031805900652 * CHOOSE(CONTROL!$C$9, $C$13, 100%, $E$13) + CHOOSE(CONTROL!$C$28, 0, 0)</f>
        <v>949.03180590065199</v>
      </c>
    </row>
    <row r="1036" spans="1:5" ht="15">
      <c r="A1036" s="13">
        <v>73050</v>
      </c>
      <c r="B1036" s="4">
        <f>177.1485 * CHOOSE(CONTROL!$C$9, $C$13, 100%, $E$13) + CHOOSE(CONTROL!$C$28, 0.0003, 0)</f>
        <v>177.14880000000002</v>
      </c>
      <c r="C1036" s="4">
        <f>176.836 * CHOOSE(CONTROL!$C$9, $C$13, 100%, $E$13) + CHOOSE(CONTROL!$C$28, 0.0003, 0)</f>
        <v>176.83630000000002</v>
      </c>
      <c r="D1036" s="4">
        <f>131.8175 * CHOOSE(CONTROL!$C$9, $C$13, 100%, $E$13) + CHOOSE(CONTROL!$C$28, 0, 0)</f>
        <v>131.8175</v>
      </c>
      <c r="E1036" s="4">
        <f>934.168708111795 * CHOOSE(CONTROL!$C$9, $C$13, 100%, $E$13) + CHOOSE(CONTROL!$C$28, 0, 0)</f>
        <v>934.16870811179501</v>
      </c>
    </row>
    <row r="1037" spans="1:5" ht="15">
      <c r="A1037" s="13">
        <v>73081</v>
      </c>
      <c r="B1037" s="4">
        <f>172.6174 * CHOOSE(CONTROL!$C$9, $C$13, 100%, $E$13) + CHOOSE(CONTROL!$C$28, 0.0003, 0)</f>
        <v>172.61770000000001</v>
      </c>
      <c r="C1037" s="4">
        <f>172.3049 * CHOOSE(CONTROL!$C$9, $C$13, 100%, $E$13) + CHOOSE(CONTROL!$C$28, 0.0003, 0)</f>
        <v>172.30520000000001</v>
      </c>
      <c r="D1037" s="4">
        <f>127.38 * CHOOSE(CONTROL!$C$9, $C$13, 100%, $E$13) + CHOOSE(CONTROL!$C$28, 0, 0)</f>
        <v>127.38</v>
      </c>
      <c r="E1037" s="4">
        <f>907.380309396898 * CHOOSE(CONTROL!$C$9, $C$13, 100%, $E$13) + CHOOSE(CONTROL!$C$28, 0, 0)</f>
        <v>907.38030939689804</v>
      </c>
    </row>
    <row r="1038" spans="1:5" ht="15">
      <c r="A1038" s="13">
        <v>73109</v>
      </c>
      <c r="B1038" s="4">
        <f>176.6715 * CHOOSE(CONTROL!$C$9, $C$13, 100%, $E$13) + CHOOSE(CONTROL!$C$28, 0.0003, 0)</f>
        <v>176.67180000000002</v>
      </c>
      <c r="C1038" s="4">
        <f>176.359 * CHOOSE(CONTROL!$C$9, $C$13, 100%, $E$13) + CHOOSE(CONTROL!$C$28, 0.0003, 0)</f>
        <v>176.35930000000002</v>
      </c>
      <c r="D1038" s="4">
        <f>131.8486 * CHOOSE(CONTROL!$C$9, $C$13, 100%, $E$13) + CHOOSE(CONTROL!$C$28, 0, 0)</f>
        <v>131.8486</v>
      </c>
      <c r="E1038" s="4">
        <f>928.925093845608 * CHOOSE(CONTROL!$C$9, $C$13, 100%, $E$13) + CHOOSE(CONTROL!$C$28, 0, 0)</f>
        <v>928.92509384560799</v>
      </c>
    </row>
    <row r="1039" spans="1:5" ht="15">
      <c r="A1039" s="13">
        <v>73140</v>
      </c>
      <c r="B1039" s="4">
        <f>187.3178 * CHOOSE(CONTROL!$C$9, $C$13, 100%, $E$13) + CHOOSE(CONTROL!$C$28, 0.0003, 0)</f>
        <v>187.31810000000002</v>
      </c>
      <c r="C1039" s="4">
        <f>187.0053 * CHOOSE(CONTROL!$C$9, $C$13, 100%, $E$13) + CHOOSE(CONTROL!$C$28, 0.0003, 0)</f>
        <v>187.00560000000002</v>
      </c>
      <c r="D1039" s="4">
        <f>138.8438 * CHOOSE(CONTROL!$C$9, $C$13, 100%, $E$13) + CHOOSE(CONTROL!$C$28, 0, 0)</f>
        <v>138.84379999999999</v>
      </c>
      <c r="E1039" s="4">
        <f>985.502842767301 * CHOOSE(CONTROL!$C$9, $C$13, 100%, $E$13) + CHOOSE(CONTROL!$C$28, 0, 0)</f>
        <v>985.50284276730099</v>
      </c>
    </row>
    <row r="1040" spans="1:5" ht="15">
      <c r="A1040" s="13">
        <v>73170</v>
      </c>
      <c r="B1040" s="4">
        <f>194.8821 * CHOOSE(CONTROL!$C$9, $C$13, 100%, $E$13) + CHOOSE(CONTROL!$C$28, 0.0003, 0)</f>
        <v>194.88240000000002</v>
      </c>
      <c r="C1040" s="4">
        <f>194.5696 * CHOOSE(CONTROL!$C$9, $C$13, 100%, $E$13) + CHOOSE(CONTROL!$C$28, 0.0003, 0)</f>
        <v>194.56990000000002</v>
      </c>
      <c r="D1040" s="4">
        <f>142.8733 * CHOOSE(CONTROL!$C$9, $C$13, 100%, $E$13) + CHOOSE(CONTROL!$C$28, 0, 0)</f>
        <v>142.8733</v>
      </c>
      <c r="E1040" s="4">
        <f>1025.70208737381 * CHOOSE(CONTROL!$C$9, $C$13, 100%, $E$13) + CHOOSE(CONTROL!$C$28, 0, 0)</f>
        <v>1025.7020873738099</v>
      </c>
    </row>
    <row r="1041" spans="1:5" ht="15">
      <c r="A1041" s="13">
        <v>73201</v>
      </c>
      <c r="B1041" s="4">
        <f>199.5038 * CHOOSE(CONTROL!$C$9, $C$13, 100%, $E$13) + CHOOSE(CONTROL!$C$28, 0.0276, 0)</f>
        <v>199.53140000000002</v>
      </c>
      <c r="C1041" s="4">
        <f>199.1913 * CHOOSE(CONTROL!$C$9, $C$13, 100%, $E$13) + CHOOSE(CONTROL!$C$28, 0.0276, 0)</f>
        <v>199.21890000000002</v>
      </c>
      <c r="D1041" s="4">
        <f>141.281 * CHOOSE(CONTROL!$C$9, $C$13, 100%, $E$13) + CHOOSE(CONTROL!$C$28, 0, 0)</f>
        <v>141.28100000000001</v>
      </c>
      <c r="E1041" s="4">
        <f>1050.26286238695 * CHOOSE(CONTROL!$C$9, $C$13, 100%, $E$13) + CHOOSE(CONTROL!$C$28, 0, 0)</f>
        <v>1050.26286238695</v>
      </c>
    </row>
    <row r="1042" spans="1:5" ht="15">
      <c r="A1042" s="13">
        <v>73231</v>
      </c>
      <c r="B1042" s="4">
        <f>200.1291 * CHOOSE(CONTROL!$C$9, $C$13, 100%, $E$13) + CHOOSE(CONTROL!$C$28, 0.0276, 0)</f>
        <v>200.1567</v>
      </c>
      <c r="C1042" s="4">
        <f>199.8166 * CHOOSE(CONTROL!$C$9, $C$13, 100%, $E$13) + CHOOSE(CONTROL!$C$28, 0.0276, 0)</f>
        <v>199.8442</v>
      </c>
      <c r="D1042" s="4">
        <f>142.5778 * CHOOSE(CONTROL!$C$9, $C$13, 100%, $E$13) + CHOOSE(CONTROL!$C$28, 0, 0)</f>
        <v>142.5778</v>
      </c>
      <c r="E1042" s="4">
        <f>1053.58603717554 * CHOOSE(CONTROL!$C$9, $C$13, 100%, $E$13) + CHOOSE(CONTROL!$C$28, 0, 0)</f>
        <v>1053.58603717554</v>
      </c>
    </row>
    <row r="1043" spans="1:5" ht="15">
      <c r="A1043" s="13">
        <v>73262</v>
      </c>
      <c r="B1043" s="4">
        <f>200.066 * CHOOSE(CONTROL!$C$9, $C$13, 100%, $E$13) + CHOOSE(CONTROL!$C$28, 0.0276, 0)</f>
        <v>200.09360000000001</v>
      </c>
      <c r="C1043" s="4">
        <f>199.7535 * CHOOSE(CONTROL!$C$9, $C$13, 100%, $E$13) + CHOOSE(CONTROL!$C$28, 0.0276, 0)</f>
        <v>199.78110000000001</v>
      </c>
      <c r="D1043" s="4">
        <f>144.9176 * CHOOSE(CONTROL!$C$9, $C$13, 100%, $E$13) + CHOOSE(CONTROL!$C$28, 0, 0)</f>
        <v>144.91759999999999</v>
      </c>
      <c r="E1043" s="4">
        <f>1053.25092711282 * CHOOSE(CONTROL!$C$9, $C$13, 100%, $E$13) + CHOOSE(CONTROL!$C$28, 0, 0)</f>
        <v>1053.2509271128199</v>
      </c>
    </row>
    <row r="1044" spans="1:5" ht="15">
      <c r="A1044" s="13">
        <v>73293</v>
      </c>
      <c r="B1044" s="4">
        <f>204.8111 * CHOOSE(CONTROL!$C$9, $C$13, 100%, $E$13) + CHOOSE(CONTROL!$C$28, 0.0276, 0)</f>
        <v>204.83870000000002</v>
      </c>
      <c r="C1044" s="4">
        <f>204.4986 * CHOOSE(CONTROL!$C$9, $C$13, 100%, $E$13) + CHOOSE(CONTROL!$C$28, 0.0276, 0)</f>
        <v>204.52620000000002</v>
      </c>
      <c r="D1044" s="4">
        <f>143.3724 * CHOOSE(CONTROL!$C$9, $C$13, 100%, $E$13) + CHOOSE(CONTROL!$C$28, 0, 0)</f>
        <v>143.3724</v>
      </c>
      <c r="E1044" s="4">
        <f>1078.46795933212 * CHOOSE(CONTROL!$C$9, $C$13, 100%, $E$13) + CHOOSE(CONTROL!$C$28, 0, 0)</f>
        <v>1078.46795933212</v>
      </c>
    </row>
    <row r="1045" spans="1:5" ht="15">
      <c r="A1045" s="13">
        <v>73323</v>
      </c>
      <c r="B1045" s="4">
        <f>196.724 * CHOOSE(CONTROL!$C$9, $C$13, 100%, $E$13) + CHOOSE(CONTROL!$C$28, 0.0276, 0)</f>
        <v>196.7516</v>
      </c>
      <c r="C1045" s="4">
        <f>196.4115 * CHOOSE(CONTROL!$C$9, $C$13, 100%, $E$13) + CHOOSE(CONTROL!$C$28, 0.0276, 0)</f>
        <v>196.4391</v>
      </c>
      <c r="D1045" s="4">
        <f>142.6423 * CHOOSE(CONTROL!$C$9, $C$13, 100%, $E$13) + CHOOSE(CONTROL!$C$28, 0, 0)</f>
        <v>142.64230000000001</v>
      </c>
      <c r="E1045" s="4">
        <f>1035.49009378894 * CHOOSE(CONTROL!$C$9, $C$13, 100%, $E$13) + CHOOSE(CONTROL!$C$28, 0, 0)</f>
        <v>1035.4900937889399</v>
      </c>
    </row>
    <row r="1046" spans="1:5" ht="15">
      <c r="A1046" s="13">
        <v>73354</v>
      </c>
      <c r="B1046" s="4">
        <f>190.25 * CHOOSE(CONTROL!$C$9, $C$13, 100%, $E$13) + CHOOSE(CONTROL!$C$28, 0.0003, 0)</f>
        <v>190.25030000000001</v>
      </c>
      <c r="C1046" s="4">
        <f>189.9375 * CHOOSE(CONTROL!$C$9, $C$13, 100%, $E$13) + CHOOSE(CONTROL!$C$28, 0.0003, 0)</f>
        <v>189.93780000000001</v>
      </c>
      <c r="D1046" s="4">
        <f>140.6875 * CHOOSE(CONTROL!$C$9, $C$13, 100%, $E$13) + CHOOSE(CONTROL!$C$28, 0, 0)</f>
        <v>140.6875</v>
      </c>
      <c r="E1046" s="4">
        <f>1001.08546068354 * CHOOSE(CONTROL!$C$9, $C$13, 100%, $E$13) + CHOOSE(CONTROL!$C$28, 0, 0)</f>
        <v>1001.08546068354</v>
      </c>
    </row>
    <row r="1047" spans="1:5" ht="15">
      <c r="A1047" s="13">
        <v>73384</v>
      </c>
      <c r="B1047" s="4">
        <f>186.0803 * CHOOSE(CONTROL!$C$9, $C$13, 100%, $E$13) + CHOOSE(CONTROL!$C$28, 0.0003, 0)</f>
        <v>186.0806</v>
      </c>
      <c r="C1047" s="4">
        <f>185.7678 * CHOOSE(CONTROL!$C$9, $C$13, 100%, $E$13) + CHOOSE(CONTROL!$C$28, 0.0003, 0)</f>
        <v>185.7681</v>
      </c>
      <c r="D1047" s="4">
        <f>140.0154 * CHOOSE(CONTROL!$C$9, $C$13, 100%, $E$13) + CHOOSE(CONTROL!$C$28, 0, 0)</f>
        <v>140.0154</v>
      </c>
      <c r="E1047" s="4">
        <f>978.926307786522 * CHOOSE(CONTROL!$C$9, $C$13, 100%, $E$13) + CHOOSE(CONTROL!$C$28, 0, 0)</f>
        <v>978.92630778652199</v>
      </c>
    </row>
    <row r="1048" spans="1:5" ht="15">
      <c r="A1048" s="13">
        <v>73415</v>
      </c>
      <c r="B1048" s="4">
        <f>183.1954 * CHOOSE(CONTROL!$C$9, $C$13, 100%, $E$13) + CHOOSE(CONTROL!$C$28, 0.0003, 0)</f>
        <v>183.19570000000002</v>
      </c>
      <c r="C1048" s="4">
        <f>182.8829 * CHOOSE(CONTROL!$C$9, $C$13, 100%, $E$13) + CHOOSE(CONTROL!$C$28, 0.0003, 0)</f>
        <v>182.88320000000002</v>
      </c>
      <c r="D1048" s="4">
        <f>135.0675 * CHOOSE(CONTROL!$C$9, $C$13, 100%, $E$13) + CHOOSE(CONTROL!$C$28, 0, 0)</f>
        <v>135.0675</v>
      </c>
      <c r="E1048" s="4">
        <f>963.595022417317 * CHOOSE(CONTROL!$C$9, $C$13, 100%, $E$13) + CHOOSE(CONTROL!$C$28, 0, 0)</f>
        <v>963.59502241731695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9.0025666666666648</v>
      </c>
      <c r="C1050" s="4">
        <f>AVERAGE(C17:C28)</f>
        <v>8.6900749999999984</v>
      </c>
      <c r="D1050" s="4">
        <f>AVERAGE(D17:D28)</f>
        <v>13.531558333333335</v>
      </c>
      <c r="E1050" s="4">
        <f>AVERAGE(E17:E28)</f>
        <v>50.125833333333333</v>
      </c>
    </row>
    <row r="1051" spans="1:5" ht="15">
      <c r="A1051" s="3">
        <v>2016</v>
      </c>
      <c r="B1051" s="4">
        <f>AVERAGE(B29:B40)</f>
        <v>8.8196083333333331</v>
      </c>
      <c r="C1051" s="4">
        <f>AVERAGE(C29:C40)</f>
        <v>8.5071166666666667</v>
      </c>
      <c r="D1051" s="4">
        <f>AVERAGE(D29:D40)</f>
        <v>12.570458333333333</v>
      </c>
      <c r="E1051" s="4">
        <f>AVERAGE(E29:E40)</f>
        <v>49.853333333333332</v>
      </c>
    </row>
    <row r="1052" spans="1:5" ht="15">
      <c r="A1052" s="3">
        <v>2017</v>
      </c>
      <c r="B1052" s="4">
        <f>AVERAGE(B41:B52)</f>
        <v>9.6542499999999976</v>
      </c>
      <c r="C1052" s="4">
        <f>AVERAGE(C41:C52)</f>
        <v>9.3417583333333312</v>
      </c>
      <c r="D1052" s="4">
        <f>AVERAGE(D41:D52)</f>
        <v>13.356300000000003</v>
      </c>
      <c r="E1052" s="4">
        <f>AVERAGE(E41:E52)</f>
        <v>53.092499999999994</v>
      </c>
    </row>
    <row r="1053" spans="1:5" ht="15">
      <c r="A1053" s="3">
        <v>2018</v>
      </c>
      <c r="B1053" s="4">
        <f>AVERAGE(B53:B64)</f>
        <v>11.463383333333333</v>
      </c>
      <c r="C1053" s="4">
        <f>AVERAGE(C53:C64)</f>
        <v>11.150883333333333</v>
      </c>
      <c r="D1053" s="4">
        <f>AVERAGE(D53:D64)</f>
        <v>15.499833333333333</v>
      </c>
      <c r="E1053" s="4">
        <f>AVERAGE(E53:E64)</f>
        <v>65.092234649658209</v>
      </c>
    </row>
    <row r="1054" spans="1:5" ht="15">
      <c r="A1054" s="3">
        <v>2019</v>
      </c>
      <c r="B1054" s="4">
        <f>AVERAGE(B65:B76)</f>
        <v>11.943741666666666</v>
      </c>
      <c r="C1054" s="4">
        <f>AVERAGE(C65:C76)</f>
        <v>11.631241666666666</v>
      </c>
      <c r="D1054" s="4">
        <f>AVERAGE(D65:D76)</f>
        <v>16.140924999999999</v>
      </c>
      <c r="E1054" s="4">
        <f>AVERAGE(E65:E76)</f>
        <v>68.325306498209628</v>
      </c>
    </row>
    <row r="1055" spans="1:5" ht="15">
      <c r="A1055" s="3">
        <v>2020</v>
      </c>
      <c r="B1055" s="4">
        <f>AVERAGE(B77:B88)</f>
        <v>14.336533333333334</v>
      </c>
      <c r="C1055" s="4">
        <f>AVERAGE(C77:C88)</f>
        <v>14.024033333333334</v>
      </c>
      <c r="D1055" s="4">
        <f>AVERAGE(D77:D88)</f>
        <v>18.738725000000002</v>
      </c>
      <c r="E1055" s="4">
        <f>AVERAGE(E77:E88)</f>
        <v>83.568161010742202</v>
      </c>
    </row>
    <row r="1056" spans="1:5" ht="15">
      <c r="A1056" s="3">
        <v>2021</v>
      </c>
      <c r="B1056" s="4">
        <f>AVERAGE(B89:B100)</f>
        <v>15.071008333333332</v>
      </c>
      <c r="C1056" s="4">
        <f>AVERAGE(C89:C100)</f>
        <v>14.758508333333332</v>
      </c>
      <c r="D1056" s="4">
        <f>AVERAGE(D89:D100)</f>
        <v>19.448975000000001</v>
      </c>
      <c r="E1056" s="4">
        <f>AVERAGE(E89:E100)</f>
        <v>86.957878112792969</v>
      </c>
    </row>
    <row r="1057" spans="1:5" ht="15">
      <c r="A1057" s="3">
        <v>2022</v>
      </c>
      <c r="B1057" s="4">
        <f>AVERAGE(B101:B112)</f>
        <v>15.616316666666668</v>
      </c>
      <c r="C1057" s="4">
        <f>AVERAGE(C101:C112)</f>
        <v>15.303816666666668</v>
      </c>
      <c r="D1057" s="4">
        <f>AVERAGE(D101:D112)</f>
        <v>20.200433333333333</v>
      </c>
      <c r="E1057" s="4">
        <f>AVERAGE(E101:E112)</f>
        <v>90.366950988769517</v>
      </c>
    </row>
    <row r="1058" spans="1:5" ht="15">
      <c r="A1058" s="3">
        <v>2023</v>
      </c>
      <c r="B1058" s="4">
        <f>AVERAGE(B113:B124)</f>
        <v>16.249958333333328</v>
      </c>
      <c r="C1058" s="4">
        <f>AVERAGE(C113:C124)</f>
        <v>15.93745833333333</v>
      </c>
      <c r="D1058" s="4">
        <f>AVERAGE(D113:D124)</f>
        <v>21.046166666666664</v>
      </c>
      <c r="E1058" s="4">
        <f>AVERAGE(E113:E124)</f>
        <v>93.928741455078082</v>
      </c>
    </row>
    <row r="1059" spans="1:5" ht="15">
      <c r="A1059" s="3">
        <v>2024</v>
      </c>
      <c r="B1059" s="4">
        <f>AVERAGE(B125:B136)</f>
        <v>16.858141666666665</v>
      </c>
      <c r="C1059" s="4">
        <f>AVERAGE(C125:C136)</f>
        <v>16.545641666666665</v>
      </c>
      <c r="D1059" s="4">
        <f>AVERAGE(D125:D136)</f>
        <v>22.252941666666668</v>
      </c>
      <c r="E1059" s="4">
        <f>AVERAGE(E125:E136)</f>
        <v>97.590248107910199</v>
      </c>
    </row>
    <row r="1060" spans="1:5" ht="15">
      <c r="A1060" s="3">
        <v>2025</v>
      </c>
      <c r="B1060" s="4">
        <f>AVERAGE(B137:B148)</f>
        <v>17.694316666666669</v>
      </c>
      <c r="C1060" s="4">
        <f>AVERAGE(C137:C148)</f>
        <v>17.381816666666669</v>
      </c>
      <c r="D1060" s="4">
        <f>AVERAGE(D137:D148)</f>
        <v>23.193066666666667</v>
      </c>
      <c r="E1060" s="4">
        <f>AVERAGE(E137:E148)</f>
        <v>100.97199249267577</v>
      </c>
    </row>
    <row r="1061" spans="1:5" ht="15">
      <c r="A1061" s="3">
        <v>2026</v>
      </c>
      <c r="B1061" s="4">
        <f>AVERAGE(B149:B160)</f>
        <v>18.249566666666666</v>
      </c>
      <c r="C1061" s="4">
        <f>AVERAGE(C149:C160)</f>
        <v>17.937066666666666</v>
      </c>
      <c r="D1061" s="4">
        <f>AVERAGE(D149:D160)</f>
        <v>23.951491666666669</v>
      </c>
      <c r="E1061" s="4">
        <f>AVERAGE(E149:E160)</f>
        <v>104.8860244750976</v>
      </c>
    </row>
    <row r="1062" spans="1:5" ht="15">
      <c r="A1062" s="3">
        <v>2027</v>
      </c>
      <c r="B1062" s="4">
        <f>AVERAGE(B161:B172)</f>
        <v>18.846524999999996</v>
      </c>
      <c r="C1062" s="4">
        <f>AVERAGE(C161:C172)</f>
        <v>18.534024999999996</v>
      </c>
      <c r="D1062" s="4">
        <f>AVERAGE(D161:D172)</f>
        <v>24.703549999999996</v>
      </c>
      <c r="E1062" s="4">
        <f>AVERAGE(E161:E172)</f>
        <v>108.77172851562506</v>
      </c>
    </row>
    <row r="1063" spans="1:5" ht="15">
      <c r="A1063" s="3">
        <v>2028</v>
      </c>
      <c r="B1063" s="4">
        <f>AVERAGE(B173:B184)</f>
        <v>19.467583333333334</v>
      </c>
      <c r="C1063" s="4">
        <f>AVERAGE(C173:C184)</f>
        <v>19.155083333333334</v>
      </c>
      <c r="D1063" s="4">
        <f>AVERAGE(D173:D184)</f>
        <v>25.431566666666665</v>
      </c>
      <c r="E1063" s="4">
        <f>AVERAGE(E173:E184)</f>
        <v>112.86653900146474</v>
      </c>
    </row>
    <row r="1064" spans="1:5" ht="15">
      <c r="A1064" s="3">
        <v>2029</v>
      </c>
      <c r="B1064" s="4">
        <f>AVERAGE(B185:B196)</f>
        <v>20.123766666666665</v>
      </c>
      <c r="C1064" s="4">
        <f>AVERAGE(C185:C196)</f>
        <v>19.811266666666665</v>
      </c>
      <c r="D1064" s="4">
        <f>AVERAGE(D185:D196)</f>
        <v>26.130491666666671</v>
      </c>
      <c r="E1064" s="4">
        <f>AVERAGE(E185:E196)</f>
        <v>117.08607482910168</v>
      </c>
    </row>
    <row r="1065" spans="1:5" ht="15">
      <c r="A1065" s="3">
        <v>2030</v>
      </c>
      <c r="B1065" s="4">
        <f>AVERAGE(B197:B208)</f>
        <v>20.789208333333335</v>
      </c>
      <c r="C1065" s="4">
        <f>AVERAGE(C197:C208)</f>
        <v>20.476708333333335</v>
      </c>
      <c r="D1065" s="4">
        <f>AVERAGE(D197:D208)</f>
        <v>26.847350000000002</v>
      </c>
      <c r="E1065" s="4">
        <f>AVERAGE(E197:E208)</f>
        <v>121.37888336181641</v>
      </c>
    </row>
    <row r="1066" spans="1:5" ht="15">
      <c r="A1066" s="3">
        <v>2031</v>
      </c>
      <c r="B1066" s="4">
        <f>AVERAGE(B209:B220)</f>
        <v>21.15465</v>
      </c>
      <c r="C1066" s="4">
        <f>AVERAGE(C209:C220)</f>
        <v>20.84215</v>
      </c>
      <c r="D1066" s="4">
        <f>AVERAGE(D209:D220)</f>
        <v>27.247933333333332</v>
      </c>
      <c r="E1066" s="4">
        <f>AVERAGE(E209:E220)</f>
        <v>123.79613494873041</v>
      </c>
    </row>
    <row r="1067" spans="1:5" ht="15">
      <c r="A1067" s="3">
        <v>2032</v>
      </c>
      <c r="B1067" s="4">
        <f>AVERAGE(B221:B232)</f>
        <v>21.543708333333331</v>
      </c>
      <c r="C1067" s="4">
        <f>AVERAGE(C221:C232)</f>
        <v>21.231208333333331</v>
      </c>
      <c r="D1067" s="4">
        <f>AVERAGE(D221:D232)</f>
        <v>27.657316666666663</v>
      </c>
      <c r="E1067" s="4">
        <f>AVERAGE(E221:E232)</f>
        <v>126.25200653076173</v>
      </c>
    </row>
    <row r="1068" spans="1:5" ht="15">
      <c r="A1068" s="3">
        <v>2033</v>
      </c>
      <c r="B1068" s="4">
        <f>AVERAGE(B233:B244)</f>
        <v>21.937283333333337</v>
      </c>
      <c r="C1068" s="4">
        <f>AVERAGE(C233:C244)</f>
        <v>21.624783333333337</v>
      </c>
      <c r="D1068" s="4">
        <f>AVERAGE(D233:D244)</f>
        <v>28.07160833333333</v>
      </c>
      <c r="E1068" s="4">
        <f>AVERAGE(E233:E244)</f>
        <v>128.74780273437517</v>
      </c>
    </row>
    <row r="1069" spans="1:5" ht="15">
      <c r="A1069" s="3">
        <v>2034</v>
      </c>
      <c r="B1069" s="4">
        <f>AVERAGE(B245:B256)</f>
        <v>22.337608333333336</v>
      </c>
      <c r="C1069" s="4">
        <f>AVERAGE(C245:C256)</f>
        <v>22.025108333333336</v>
      </c>
      <c r="D1069" s="4">
        <f>AVERAGE(D245:D256)</f>
        <v>28.49336666666667</v>
      </c>
      <c r="E1069" s="4">
        <f>AVERAGE(E245:E256)</f>
        <v>131.29217529296875</v>
      </c>
    </row>
    <row r="1070" spans="1:5" ht="15">
      <c r="A1070" s="3">
        <v>2035</v>
      </c>
      <c r="B1070" s="4">
        <f>AVERAGE(B257:B268)</f>
        <v>22.746683333333333</v>
      </c>
      <c r="C1070" s="4">
        <f>AVERAGE(C257:C268)</f>
        <v>22.434183333333333</v>
      </c>
      <c r="D1070" s="4">
        <f>AVERAGE(D257:D268)</f>
        <v>28.952141666666662</v>
      </c>
      <c r="E1070" s="4">
        <f>AVERAGE(E257:E268)</f>
        <v>133.88880920410159</v>
      </c>
    </row>
    <row r="1071" spans="1:5" ht="15">
      <c r="A1071" s="3">
        <v>2036</v>
      </c>
      <c r="B1071" s="4">
        <f>AVERAGE(B269:B280)</f>
        <v>23.466341666666665</v>
      </c>
      <c r="C1071" s="4">
        <f>AVERAGE(C269:C280)</f>
        <v>23.153841666666665</v>
      </c>
      <c r="D1071" s="4">
        <f>AVERAGE(D269:D280)</f>
        <v>29.651066666666665</v>
      </c>
      <c r="E1071" s="4">
        <f>AVERAGE(E269:E280)</f>
        <v>138.10630669403074</v>
      </c>
    </row>
    <row r="1072" spans="1:5" ht="15">
      <c r="A1072" s="3">
        <v>2037</v>
      </c>
      <c r="B1072" s="4">
        <f>AVERAGE(B281:B292)</f>
        <v>24.210849999999994</v>
      </c>
      <c r="C1072" s="4">
        <f>AVERAGE(C281:C292)</f>
        <v>23.898349999999994</v>
      </c>
      <c r="D1072" s="4">
        <f>AVERAGE(D281:D292)</f>
        <v>30.367325000000005</v>
      </c>
      <c r="E1072" s="4">
        <f>AVERAGE(E281:E292)</f>
        <v>142.45665535489275</v>
      </c>
    </row>
    <row r="1073" spans="1:5" ht="15">
      <c r="A1073" s="3">
        <f t="shared" ref="A1073:A1104" si="0">A1072+1</f>
        <v>2038</v>
      </c>
      <c r="B1073" s="4">
        <f>AVERAGE(B293:B304)</f>
        <v>24.981016666666665</v>
      </c>
      <c r="C1073" s="4">
        <f>AVERAGE(C293:C304)</f>
        <v>24.668516666666665</v>
      </c>
      <c r="D1073" s="4">
        <f>AVERAGE(D293:D304)</f>
        <v>31.10135</v>
      </c>
      <c r="E1073" s="4">
        <f>AVERAGE(E293:E304)</f>
        <v>146.94403999857184</v>
      </c>
    </row>
    <row r="1074" spans="1:5" ht="15">
      <c r="A1074" s="3">
        <f t="shared" si="0"/>
        <v>2039</v>
      </c>
      <c r="B1074" s="4">
        <f>AVERAGE(B305:B316)</f>
        <v>25.777791666666669</v>
      </c>
      <c r="C1074" s="4">
        <f>AVERAGE(C305:C316)</f>
        <v>25.465291666666669</v>
      </c>
      <c r="D1074" s="4">
        <f>AVERAGE(D305:D316)</f>
        <v>31.853550000000002</v>
      </c>
      <c r="E1074" s="4">
        <f>AVERAGE(E305:E316)</f>
        <v>151.57277725852688</v>
      </c>
    </row>
    <row r="1075" spans="1:5" ht="15">
      <c r="A1075" s="3">
        <f t="shared" si="0"/>
        <v>2040</v>
      </c>
      <c r="B1075" s="4">
        <f>AVERAGE(B317:B328)</f>
        <v>26.602016666666668</v>
      </c>
      <c r="C1075" s="4">
        <f>AVERAGE(C317:C328)</f>
        <v>26.289516666666668</v>
      </c>
      <c r="D1075" s="4">
        <f>AVERAGE(D317:D328)</f>
        <v>32.624441666666662</v>
      </c>
      <c r="E1075" s="4">
        <f>AVERAGE(E317:E328)</f>
        <v>156.34731974217067</v>
      </c>
    </row>
    <row r="1076" spans="1:5" ht="15">
      <c r="A1076" s="3">
        <f t="shared" si="0"/>
        <v>2041</v>
      </c>
      <c r="B1076" s="4">
        <f>AVERAGE(B329:B340)</f>
        <v>27.454708333333329</v>
      </c>
      <c r="C1076" s="4">
        <f>AVERAGE(C329:C340)</f>
        <v>27.142208333333329</v>
      </c>
      <c r="D1076" s="4">
        <f>AVERAGE(D329:D340)</f>
        <v>33.414441666666654</v>
      </c>
      <c r="E1076" s="4">
        <f>AVERAGE(E329:E340)</f>
        <v>161.27226031404882</v>
      </c>
    </row>
    <row r="1077" spans="1:5" ht="15">
      <c r="A1077" s="3">
        <f t="shared" si="0"/>
        <v>2042</v>
      </c>
      <c r="B1077" s="4">
        <f>AVERAGE(B341:B352)</f>
        <v>28.336799999999993</v>
      </c>
      <c r="C1077" s="4">
        <f>AVERAGE(C341:C352)</f>
        <v>28.024299999999993</v>
      </c>
      <c r="D1077" s="4">
        <f>AVERAGE(D341:D352)</f>
        <v>34.224025000000005</v>
      </c>
      <c r="E1077" s="4">
        <f>AVERAGE(E341:E352)</f>
        <v>166.35233651394134</v>
      </c>
    </row>
    <row r="1078" spans="1:5" ht="15">
      <c r="A1078" s="3">
        <f t="shared" si="0"/>
        <v>2043</v>
      </c>
      <c r="B1078" s="4">
        <f>AVERAGE(B353:B364)</f>
        <v>29.24934166666667</v>
      </c>
      <c r="C1078" s="4">
        <f>AVERAGE(C353:C364)</f>
        <v>28.93684166666667</v>
      </c>
      <c r="D1078" s="4">
        <f>AVERAGE(D353:D364)</f>
        <v>35.053708333333333</v>
      </c>
      <c r="E1078" s="4">
        <f>AVERAGE(E353:E364)</f>
        <v>171.5924351141305</v>
      </c>
    </row>
    <row r="1079" spans="1:5" ht="15">
      <c r="A1079" s="3">
        <f t="shared" si="0"/>
        <v>2044</v>
      </c>
      <c r="B1079" s="4">
        <f>AVERAGE(B365:B376)</f>
        <v>30.193349999999999</v>
      </c>
      <c r="C1079" s="4">
        <f>AVERAGE(C365:C376)</f>
        <v>29.880849999999999</v>
      </c>
      <c r="D1079" s="4">
        <f>AVERAGE(D365:D376)</f>
        <v>35.903941666666668</v>
      </c>
      <c r="E1079" s="4">
        <f>AVERAGE(E365:E376)</f>
        <v>176.99759682022568</v>
      </c>
    </row>
    <row r="1080" spans="1:5" ht="15">
      <c r="A1080" s="3">
        <f t="shared" si="0"/>
        <v>2045</v>
      </c>
      <c r="B1080" s="4">
        <f>AVERAGE(B377:B388)</f>
        <v>31.169925000000003</v>
      </c>
      <c r="C1080" s="4">
        <f>AVERAGE(C377:C388)</f>
        <v>30.857425000000003</v>
      </c>
      <c r="D1080" s="4">
        <f>AVERAGE(D377:D388)</f>
        <v>36.775266666666674</v>
      </c>
      <c r="E1080" s="4">
        <f>AVERAGE(E377:E388)</f>
        <v>182.573021120063</v>
      </c>
    </row>
    <row r="1081" spans="1:5" ht="15">
      <c r="A1081" s="3">
        <f t="shared" si="0"/>
        <v>2046</v>
      </c>
      <c r="B1081" s="4">
        <f>AVERAGE(B389:B400)</f>
        <v>32.180216666666674</v>
      </c>
      <c r="C1081" s="4">
        <f>AVERAGE(C389:C400)</f>
        <v>31.86771666666667</v>
      </c>
      <c r="D1081" s="4">
        <f>AVERAGE(D389:D400)</f>
        <v>37.668191666666665</v>
      </c>
      <c r="E1081" s="4">
        <f>AVERAGE(E389:E400)</f>
        <v>188.32407128534476</v>
      </c>
    </row>
    <row r="1082" spans="1:5" ht="15">
      <c r="A1082" s="3">
        <f t="shared" si="0"/>
        <v>2047</v>
      </c>
      <c r="B1082" s="4">
        <f>AVERAGE(B401:B412)</f>
        <v>33.225324999999998</v>
      </c>
      <c r="C1082" s="4">
        <f>AVERAGE(C401:C412)</f>
        <v>32.912824999999998</v>
      </c>
      <c r="D1082" s="4">
        <f>AVERAGE(D401:D412)</f>
        <v>38.583291666666675</v>
      </c>
      <c r="E1082" s="4">
        <f>AVERAGE(E401:E412)</f>
        <v>194.25627953083335</v>
      </c>
    </row>
    <row r="1083" spans="1:5" ht="15">
      <c r="A1083" s="3">
        <f t="shared" si="0"/>
        <v>2048</v>
      </c>
      <c r="B1083" s="4">
        <f>AVERAGE(B413:B424)</f>
        <v>34.30650833333334</v>
      </c>
      <c r="C1083" s="4">
        <f>AVERAGE(C413:C424)</f>
        <v>33.99400833333334</v>
      </c>
      <c r="D1083" s="4">
        <f>AVERAGE(D413:D424)</f>
        <v>39.521049999999995</v>
      </c>
      <c r="E1083" s="4">
        <f>AVERAGE(E413:E424)</f>
        <v>200.37535233605445</v>
      </c>
    </row>
    <row r="1084" spans="1:5" ht="15">
      <c r="A1084" s="3">
        <f t="shared" si="0"/>
        <v>2049</v>
      </c>
      <c r="B1084" s="4">
        <f>AVERAGE(B425:B436)</f>
        <v>35.424999999999997</v>
      </c>
      <c r="C1084" s="4">
        <f>AVERAGE(C425:C436)</f>
        <v>35.112499999999997</v>
      </c>
      <c r="D1084" s="4">
        <f>AVERAGE(D425:D436)</f>
        <v>40.482083333333328</v>
      </c>
      <c r="E1084" s="4">
        <f>AVERAGE(E425:E436)</f>
        <v>206.68717593464032</v>
      </c>
    </row>
    <row r="1085" spans="1:5" ht="15">
      <c r="A1085" s="3">
        <f t="shared" si="0"/>
        <v>2050</v>
      </c>
      <c r="B1085" s="4">
        <f>AVERAGE(B437:B448)</f>
        <v>36.582075000000003</v>
      </c>
      <c r="C1085" s="4">
        <f>AVERAGE(C437:C448)</f>
        <v>36.269575000000003</v>
      </c>
      <c r="D1085" s="4">
        <f>AVERAGE(D437:D448)</f>
        <v>41.466950000000004</v>
      </c>
      <c r="E1085" s="4">
        <f>AVERAGE(E437:E448)</f>
        <v>213.19782197658142</v>
      </c>
    </row>
    <row r="1086" spans="1:5" ht="15">
      <c r="A1086" s="3">
        <f t="shared" si="0"/>
        <v>2051</v>
      </c>
      <c r="B1086" s="4">
        <f>AVERAGE(B449:B460)</f>
        <v>37.779050000000005</v>
      </c>
      <c r="C1086" s="4">
        <f>AVERAGE(C449:C460)</f>
        <v>37.466550000000005</v>
      </c>
      <c r="D1086" s="4">
        <f>AVERAGE(D449:D460)</f>
        <v>42.47625</v>
      </c>
      <c r="E1086" s="4">
        <f>AVERAGE(E449:E460)</f>
        <v>219.91355336884365</v>
      </c>
    </row>
    <row r="1087" spans="1:5" ht="15">
      <c r="A1087" s="3">
        <f t="shared" si="0"/>
        <v>2052</v>
      </c>
      <c r="B1087" s="4">
        <f>AVERAGE(B461:B472)</f>
        <v>39.017350000000008</v>
      </c>
      <c r="C1087" s="4">
        <f>AVERAGE(C461:C472)</f>
        <v>38.704850000000008</v>
      </c>
      <c r="D1087" s="4">
        <f>AVERAGE(D461:D472)</f>
        <v>43.510574999999996</v>
      </c>
      <c r="E1087" s="4">
        <f>AVERAGE(E461:E472)</f>
        <v>226.84083029996251</v>
      </c>
    </row>
    <row r="1088" spans="1:5" ht="15">
      <c r="A1088" s="3">
        <f t="shared" si="0"/>
        <v>2053</v>
      </c>
      <c r="B1088" s="4">
        <f>AVERAGE(B473:B484)</f>
        <v>40.298349999999999</v>
      </c>
      <c r="C1088" s="4">
        <f>AVERAGE(C473:C484)</f>
        <v>39.985849999999999</v>
      </c>
      <c r="D1088" s="4">
        <f>AVERAGE(D473:D484)</f>
        <v>44.570550000000004</v>
      </c>
      <c r="E1088" s="4">
        <f>AVERAGE(E473:E484)</f>
        <v>233.98631645441097</v>
      </c>
    </row>
    <row r="1089" spans="1:5" ht="15">
      <c r="A1089" s="3">
        <f t="shared" si="0"/>
        <v>2054</v>
      </c>
      <c r="B1089" s="4">
        <f>AVERAGE(B485:B496)</f>
        <v>41.623558333333342</v>
      </c>
      <c r="C1089" s="4">
        <f>AVERAGE(C485:C496)</f>
        <v>41.311058333333342</v>
      </c>
      <c r="D1089" s="4">
        <f>AVERAGE(D485:D496)</f>
        <v>45.656791666666663</v>
      </c>
      <c r="E1089" s="4">
        <f>AVERAGE(E485:E496)</f>
        <v>241.35688542272518</v>
      </c>
    </row>
    <row r="1090" spans="1:5" ht="15">
      <c r="A1090" s="3">
        <f t="shared" si="0"/>
        <v>2055</v>
      </c>
      <c r="B1090" s="4">
        <f>AVERAGE(B497:B508)</f>
        <v>42.994475000000001</v>
      </c>
      <c r="C1090" s="4">
        <f>AVERAGE(C497:C508)</f>
        <v>42.681975000000001</v>
      </c>
      <c r="D1090" s="4">
        <f>AVERAGE(D497:D508)</f>
        <v>46.76999166666667</v>
      </c>
      <c r="E1090" s="4">
        <f>AVERAGE(E497:E508)</f>
        <v>248.95962731354086</v>
      </c>
    </row>
    <row r="1091" spans="1:5" ht="15">
      <c r="A1091" s="3">
        <f t="shared" si="0"/>
        <v>2056</v>
      </c>
      <c r="B1091" s="4">
        <f>AVERAGE(B509:B520)</f>
        <v>44.412700000000001</v>
      </c>
      <c r="C1091" s="4">
        <f>AVERAGE(C509:C520)</f>
        <v>44.100200000000001</v>
      </c>
      <c r="D1091" s="4">
        <f>AVERAGE(D509:D520)</f>
        <v>47.910808333333343</v>
      </c>
      <c r="E1091" s="4">
        <f>AVERAGE(E509:E520)</f>
        <v>256.80185557391752</v>
      </c>
    </row>
    <row r="1092" spans="1:5" ht="15">
      <c r="A1092" s="3">
        <f t="shared" si="0"/>
        <v>2057</v>
      </c>
      <c r="B1092" s="4">
        <f>AVERAGE(B521:B532)</f>
        <v>45.879849999999998</v>
      </c>
      <c r="C1092" s="4">
        <f>AVERAGE(C521:C532)</f>
        <v>45.567349999999998</v>
      </c>
      <c r="D1092" s="4">
        <f>AVERAGE(D521:D532)</f>
        <v>49.079908333333343</v>
      </c>
      <c r="E1092" s="4">
        <f>AVERAGE(E521:E532)</f>
        <v>264.89111402449583</v>
      </c>
    </row>
    <row r="1093" spans="1:5" ht="15">
      <c r="A1093" s="3">
        <f t="shared" si="0"/>
        <v>2058</v>
      </c>
      <c r="B1093" s="4">
        <f>AVERAGE(B533:B544)</f>
        <v>47.397616666666671</v>
      </c>
      <c r="C1093" s="4">
        <f>AVERAGE(C533:C544)</f>
        <v>47.085116666666671</v>
      </c>
      <c r="D1093" s="4">
        <f>AVERAGE(D533:D544)</f>
        <v>50.277983333333331</v>
      </c>
      <c r="E1093" s="4">
        <f>AVERAGE(E533:E544)</f>
        <v>273.23518411626765</v>
      </c>
    </row>
    <row r="1094" spans="1:5" ht="15">
      <c r="A1094" s="3">
        <f t="shared" si="0"/>
        <v>2059</v>
      </c>
      <c r="B1094" s="4">
        <f>AVERAGE(B545:B556)</f>
        <v>48.967733333333335</v>
      </c>
      <c r="C1094" s="4">
        <f>AVERAGE(C545:C556)</f>
        <v>48.655233333333335</v>
      </c>
      <c r="D1094" s="4">
        <f>AVERAGE(D545:D556)</f>
        <v>51.505800000000001</v>
      </c>
      <c r="E1094" s="4">
        <f>AVERAGE(E545:E556)</f>
        <v>281.84209241593004</v>
      </c>
    </row>
    <row r="1095" spans="1:5" ht="15">
      <c r="A1095" s="3">
        <f t="shared" si="0"/>
        <v>2060</v>
      </c>
      <c r="B1095" s="4">
        <f>AVERAGE(B557:B568)</f>
        <v>50.59203333333334</v>
      </c>
      <c r="C1095" s="4">
        <f>AVERAGE(C557:C568)</f>
        <v>50.27953333333334</v>
      </c>
      <c r="D1095" s="4">
        <f>AVERAGE(D557:D568)</f>
        <v>52.764049999999997</v>
      </c>
      <c r="E1095" s="4">
        <f>AVERAGE(E557:E568)</f>
        <v>290.72011832703197</v>
      </c>
    </row>
    <row r="1096" spans="1:5" ht="15">
      <c r="A1096" s="3">
        <f t="shared" si="0"/>
        <v>2061</v>
      </c>
      <c r="B1096" s="4">
        <f>AVERAGE(B569:B580)</f>
        <v>52.272366666666663</v>
      </c>
      <c r="C1096" s="4">
        <f>AVERAGE(C569:C580)</f>
        <v>51.959866666666663</v>
      </c>
      <c r="D1096" s="4">
        <f>AVERAGE(D569:D580)</f>
        <v>54.053525</v>
      </c>
      <c r="E1096" s="4">
        <f>AVERAGE(E569:E580)</f>
        <v>299.87780205433319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54.010666666666673</v>
      </c>
      <c r="C1097" s="4">
        <f t="shared" ca="1" si="1"/>
        <v>53.698166666666673</v>
      </c>
      <c r="D1097" s="4">
        <f t="shared" ca="1" si="1"/>
        <v>55.374958333333332</v>
      </c>
      <c r="E1097" s="4">
        <f t="shared" ca="1" si="1"/>
        <v>309.32395281904473</v>
      </c>
    </row>
    <row r="1098" spans="1:5" ht="15">
      <c r="A1098" s="3">
        <f t="shared" si="0"/>
        <v>2063</v>
      </c>
      <c r="B1098" s="4">
        <f t="shared" ca="1" si="1"/>
        <v>55.808941666666669</v>
      </c>
      <c r="C1098" s="4">
        <f t="shared" ca="1" si="1"/>
        <v>55.496441666666669</v>
      </c>
      <c r="D1098" s="4">
        <f t="shared" ca="1" si="1"/>
        <v>56.729166666666664</v>
      </c>
      <c r="E1098" s="4">
        <f t="shared" ca="1" si="1"/>
        <v>319.06765733284493</v>
      </c>
    </row>
    <row r="1099" spans="1:5" ht="15">
      <c r="A1099" s="3">
        <f t="shared" si="0"/>
        <v>2064</v>
      </c>
      <c r="B1099" s="4">
        <f t="shared" ca="1" si="1"/>
        <v>57.66926666666668</v>
      </c>
      <c r="C1099" s="4">
        <f t="shared" ca="1" si="1"/>
        <v>57.35676666666668</v>
      </c>
      <c r="D1099" s="4">
        <f t="shared" ca="1" si="1"/>
        <v>58.116941666666662</v>
      </c>
      <c r="E1099" s="4">
        <f t="shared" ca="1" si="1"/>
        <v>329.1182885388294</v>
      </c>
    </row>
    <row r="1100" spans="1:5" ht="15">
      <c r="A1100" s="3">
        <f t="shared" si="0"/>
        <v>2065</v>
      </c>
      <c r="B1100" s="4">
        <f t="shared" ca="1" si="1"/>
        <v>59.593783333333334</v>
      </c>
      <c r="C1100" s="4">
        <f t="shared" ca="1" si="1"/>
        <v>59.281283333333334</v>
      </c>
      <c r="D1100" s="4">
        <f t="shared" ca="1" si="1"/>
        <v>59.539158333333347</v>
      </c>
      <c r="E1100" s="4">
        <f t="shared" ca="1" si="1"/>
        <v>339.48551462780262</v>
      </c>
    </row>
    <row r="1101" spans="1:5" ht="15">
      <c r="A1101" s="3">
        <f t="shared" si="0"/>
        <v>2066</v>
      </c>
      <c r="B1101" s="4">
        <f t="shared" ca="1" si="1"/>
        <v>61.584666666666685</v>
      </c>
      <c r="C1101" s="4">
        <f t="shared" ca="1" si="1"/>
        <v>61.272166666666685</v>
      </c>
      <c r="D1101" s="4">
        <f t="shared" ca="1" si="1"/>
        <v>60.996633333333342</v>
      </c>
      <c r="E1101" s="4">
        <f t="shared" ca="1" si="1"/>
        <v>350.17930833857844</v>
      </c>
    </row>
    <row r="1102" spans="1:5" ht="15">
      <c r="A1102" s="3">
        <f t="shared" si="0"/>
        <v>2067</v>
      </c>
      <c r="B1102" s="4">
        <f t="shared" ca="1" si="1"/>
        <v>63.644225000000006</v>
      </c>
      <c r="C1102" s="4">
        <f t="shared" ca="1" si="1"/>
        <v>63.331725000000006</v>
      </c>
      <c r="D1102" s="4">
        <f t="shared" ca="1" si="1"/>
        <v>62.490266666666663</v>
      </c>
      <c r="E1102" s="4">
        <f t="shared" ca="1" si="1"/>
        <v>361.20995655124375</v>
      </c>
    </row>
    <row r="1103" spans="1:5" ht="15">
      <c r="A1103" s="3">
        <f t="shared" si="0"/>
        <v>2068</v>
      </c>
      <c r="B1103" s="4">
        <f t="shared" ca="1" si="1"/>
        <v>65.774883333333335</v>
      </c>
      <c r="C1103" s="4">
        <f t="shared" ca="1" si="1"/>
        <v>65.462383333333335</v>
      </c>
      <c r="D1103" s="4">
        <f t="shared" ca="1" si="1"/>
        <v>64.02095833333334</v>
      </c>
      <c r="E1103" s="4">
        <f t="shared" ca="1" si="1"/>
        <v>372.58807018260791</v>
      </c>
    </row>
    <row r="1104" spans="1:5" ht="15">
      <c r="A1104" s="3">
        <f t="shared" si="0"/>
        <v>2069</v>
      </c>
      <c r="B1104" s="4">
        <f t="shared" ca="1" si="1"/>
        <v>67.979016666666666</v>
      </c>
      <c r="C1104" s="4">
        <f t="shared" ca="1" si="1"/>
        <v>67.666516666666666</v>
      </c>
      <c r="D1104" s="4">
        <f t="shared" ca="1" si="1"/>
        <v>65.58956666666667</v>
      </c>
      <c r="E1104" s="4">
        <f t="shared" ca="1" si="1"/>
        <v>384.3245943933602</v>
      </c>
    </row>
    <row r="1105" spans="1:5" ht="15">
      <c r="A1105" s="3">
        <f t="shared" ref="A1105:A1135" si="2">A1104+1</f>
        <v>2070</v>
      </c>
      <c r="B1105" s="4">
        <f t="shared" ca="1" si="1"/>
        <v>70.259199999999993</v>
      </c>
      <c r="C1105" s="4">
        <f t="shared" ca="1" si="1"/>
        <v>69.946699999999993</v>
      </c>
      <c r="D1105" s="4">
        <f t="shared" ca="1" si="1"/>
        <v>67.197091666666665</v>
      </c>
      <c r="E1105" s="4">
        <f t="shared" ca="1" si="1"/>
        <v>396.43081911675102</v>
      </c>
    </row>
    <row r="1106" spans="1:5" ht="15">
      <c r="A1106" s="3">
        <f t="shared" si="2"/>
        <v>2071</v>
      </c>
      <c r="B1106" s="4">
        <f t="shared" ca="1" si="1"/>
        <v>72.618058333333323</v>
      </c>
      <c r="C1106" s="4">
        <f t="shared" ca="1" si="1"/>
        <v>72.305558333333323</v>
      </c>
      <c r="D1106" s="4">
        <f t="shared" ca="1" si="1"/>
        <v>68.844483333333329</v>
      </c>
      <c r="E1106" s="4">
        <f t="shared" ca="1" si="1"/>
        <v>408.91838991892865</v>
      </c>
    </row>
    <row r="1107" spans="1:5" ht="15">
      <c r="A1107" s="3">
        <f t="shared" si="2"/>
        <v>2072</v>
      </c>
      <c r="B1107" s="4">
        <f t="shared" ca="1" si="1"/>
        <v>75.058291666666662</v>
      </c>
      <c r="C1107" s="4">
        <f t="shared" ca="1" si="1"/>
        <v>74.745791666666662</v>
      </c>
      <c r="D1107" s="4">
        <f t="shared" ca="1" si="1"/>
        <v>70.532750000000007</v>
      </c>
      <c r="E1107" s="4">
        <f t="shared" ca="1" si="1"/>
        <v>421.79931920137506</v>
      </c>
    </row>
    <row r="1108" spans="1:5" ht="15">
      <c r="A1108" s="3">
        <f t="shared" si="2"/>
        <v>2073</v>
      </c>
      <c r="B1108" s="4">
        <f t="shared" ca="1" si="1"/>
        <v>77.582724999999996</v>
      </c>
      <c r="C1108" s="4">
        <f t="shared" ca="1" si="1"/>
        <v>77.270224999999996</v>
      </c>
      <c r="D1108" s="4">
        <f t="shared" ca="1" si="1"/>
        <v>72.262875000000008</v>
      </c>
      <c r="E1108" s="4">
        <f t="shared" ca="1" si="1"/>
        <v>435.08599775621821</v>
      </c>
    </row>
    <row r="1109" spans="1:5" ht="15">
      <c r="A1109" s="3">
        <f t="shared" si="2"/>
        <v>2074</v>
      </c>
      <c r="B1109" s="4">
        <f t="shared" ca="1" si="1"/>
        <v>80.194233333333344</v>
      </c>
      <c r="C1109" s="4">
        <f t="shared" ca="1" si="1"/>
        <v>79.881733333333344</v>
      </c>
      <c r="D1109" s="4">
        <f t="shared" ca="1" si="1"/>
        <v>74.035908333333339</v>
      </c>
      <c r="E1109" s="4">
        <f t="shared" ca="1" si="1"/>
        <v>448.79120668553918</v>
      </c>
    </row>
    <row r="1110" spans="1:5" ht="15">
      <c r="A1110" s="3">
        <f t="shared" si="2"/>
        <v>2075</v>
      </c>
      <c r="B1110" s="4">
        <f t="shared" ca="1" si="1"/>
        <v>82.89585000000001</v>
      </c>
      <c r="C1110" s="4">
        <f t="shared" ca="1" si="1"/>
        <v>82.58335000000001</v>
      </c>
      <c r="D1110" s="4">
        <f t="shared" ca="1" si="1"/>
        <v>75.852883333333338</v>
      </c>
      <c r="E1110" s="4">
        <f t="shared" ca="1" si="1"/>
        <v>462.92812969613391</v>
      </c>
    </row>
    <row r="1111" spans="1:5" ht="15">
      <c r="A1111" s="3">
        <f t="shared" si="2"/>
        <v>2076</v>
      </c>
      <c r="B1111" s="4">
        <f t="shared" ca="1" si="1"/>
        <v>85.690658333333332</v>
      </c>
      <c r="C1111" s="4">
        <f t="shared" ca="1" si="1"/>
        <v>85.378158333333332</v>
      </c>
      <c r="D1111" s="4">
        <f t="shared" ca="1" si="1"/>
        <v>77.714966666666683</v>
      </c>
      <c r="E1111" s="4">
        <f t="shared" ca="1" si="1"/>
        <v>477.5103657815618</v>
      </c>
    </row>
    <row r="1112" spans="1:5" ht="15">
      <c r="A1112" s="3">
        <f t="shared" si="2"/>
        <v>2077</v>
      </c>
      <c r="B1112" s="4">
        <f t="shared" ca="1" si="1"/>
        <v>88.581883333333337</v>
      </c>
      <c r="C1112" s="4">
        <f t="shared" ca="1" si="1"/>
        <v>88.269383333333337</v>
      </c>
      <c r="D1112" s="4">
        <f t="shared" ca="1" si="1"/>
        <v>79.623200000000011</v>
      </c>
      <c r="E1112" s="4">
        <f t="shared" ca="1" si="1"/>
        <v>492.55194230368119</v>
      </c>
    </row>
    <row r="1113" spans="1:5" ht="15">
      <c r="A1113" s="3">
        <f t="shared" si="2"/>
        <v>2078</v>
      </c>
      <c r="B1113" s="4">
        <f t="shared" ca="1" si="1"/>
        <v>91.572883333333323</v>
      </c>
      <c r="C1113" s="4">
        <f t="shared" ca="1" si="1"/>
        <v>91.260383333333323</v>
      </c>
      <c r="D1113" s="4">
        <f t="shared" ca="1" si="1"/>
        <v>81.578774999999993</v>
      </c>
      <c r="E1113" s="4">
        <f t="shared" ca="1" si="1"/>
        <v>508.06732848624711</v>
      </c>
    </row>
    <row r="1114" spans="1:5" ht="15">
      <c r="A1114" s="3">
        <f t="shared" si="2"/>
        <v>2079</v>
      </c>
      <c r="B1114" s="4">
        <f t="shared" ca="1" si="1"/>
        <v>94.667041666666663</v>
      </c>
      <c r="C1114" s="4">
        <f t="shared" ca="1" si="1"/>
        <v>94.354541666666663</v>
      </c>
      <c r="D1114" s="4">
        <f t="shared" ca="1" si="1"/>
        <v>83.582833333333312</v>
      </c>
      <c r="E1114" s="4">
        <f t="shared" ca="1" si="1"/>
        <v>524.07144933356403</v>
      </c>
    </row>
    <row r="1115" spans="1:5" ht="15">
      <c r="A1115" s="3">
        <f t="shared" si="2"/>
        <v>2080</v>
      </c>
      <c r="B1115" s="4">
        <f t="shared" ca="1" si="1"/>
        <v>97.867983333333328</v>
      </c>
      <c r="C1115" s="4">
        <f t="shared" ca="1" si="1"/>
        <v>97.555483333333328</v>
      </c>
      <c r="D1115" s="4">
        <f t="shared" ca="1" si="1"/>
        <v>85.636599999999987</v>
      </c>
      <c r="E1115" s="4">
        <f t="shared" ca="1" si="1"/>
        <v>540.5796999875713</v>
      </c>
    </row>
    <row r="1116" spans="1:5" ht="15">
      <c r="A1116" s="3">
        <f t="shared" si="2"/>
        <v>2081</v>
      </c>
      <c r="B1116" s="4">
        <f t="shared" ca="1" si="1"/>
        <v>101.17933333333333</v>
      </c>
      <c r="C1116" s="4">
        <f t="shared" ca="1" si="1"/>
        <v>100.86683333333333</v>
      </c>
      <c r="D1116" s="4">
        <f t="shared" ca="1" si="1"/>
        <v>87.741291666666669</v>
      </c>
      <c r="E1116" s="4">
        <f t="shared" ca="1" si="1"/>
        <v>557.60796053717968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104.60491666666668</v>
      </c>
      <c r="C1117" s="4">
        <f t="shared" ca="1" si="3"/>
        <v>104.29241666666668</v>
      </c>
      <c r="D1117" s="4">
        <f t="shared" ca="1" si="3"/>
        <v>89.898200000000017</v>
      </c>
      <c r="E1117" s="4">
        <f t="shared" ca="1" si="3"/>
        <v>575.17261129410088</v>
      </c>
    </row>
    <row r="1118" spans="1:5" ht="15">
      <c r="A1118" s="3">
        <f t="shared" si="2"/>
        <v>2083</v>
      </c>
      <c r="B1118" s="4">
        <f t="shared" ca="1" si="3"/>
        <v>108.14870833333332</v>
      </c>
      <c r="C1118" s="4">
        <f t="shared" ca="1" si="3"/>
        <v>107.83620833333332</v>
      </c>
      <c r="D1118" s="4">
        <f t="shared" ca="1" si="3"/>
        <v>92.108575000000016</v>
      </c>
      <c r="E1118" s="4">
        <f t="shared" ca="1" si="3"/>
        <v>593.29054854986487</v>
      </c>
    </row>
    <row r="1119" spans="1:5" ht="15">
      <c r="A1119" s="3">
        <f t="shared" si="2"/>
        <v>2084</v>
      </c>
      <c r="B1119" s="4">
        <f t="shared" ca="1" si="3"/>
        <v>111.81474166666668</v>
      </c>
      <c r="C1119" s="4">
        <f t="shared" ca="1" si="3"/>
        <v>111.50224166666668</v>
      </c>
      <c r="D1119" s="4">
        <f t="shared" ca="1" si="3"/>
        <v>94.373766666666668</v>
      </c>
      <c r="E1119" s="4">
        <f t="shared" ca="1" si="3"/>
        <v>611.97920082918563</v>
      </c>
    </row>
    <row r="1120" spans="1:5" ht="15">
      <c r="A1120" s="3">
        <f t="shared" si="2"/>
        <v>2085</v>
      </c>
      <c r="B1120" s="4">
        <f t="shared" ca="1" si="3"/>
        <v>115.60726666666669</v>
      </c>
      <c r="C1120" s="4">
        <f t="shared" ca="1" si="3"/>
        <v>115.29476666666669</v>
      </c>
      <c r="D1120" s="4">
        <f t="shared" ca="1" si="3"/>
        <v>96.695158333333325</v>
      </c>
      <c r="E1120" s="4">
        <f t="shared" ca="1" si="3"/>
        <v>631.2565456553051</v>
      </c>
    </row>
    <row r="1121" spans="1:5" ht="15">
      <c r="A1121" s="3">
        <f t="shared" si="2"/>
        <v>2086</v>
      </c>
      <c r="B1121" s="4">
        <f t="shared" ca="1" si="3"/>
        <v>119.53061666666667</v>
      </c>
      <c r="C1121" s="4">
        <f t="shared" ca="1" si="3"/>
        <v>119.21811666666667</v>
      </c>
      <c r="D1121" s="4">
        <f t="shared" ca="1" si="3"/>
        <v>99.074100000000001</v>
      </c>
      <c r="E1121" s="4">
        <f t="shared" ca="1" si="3"/>
        <v>651.14112684344741</v>
      </c>
    </row>
    <row r="1122" spans="1:5" ht="15">
      <c r="A1122" s="3">
        <f t="shared" si="2"/>
        <v>2087</v>
      </c>
      <c r="B1122" s="4">
        <f t="shared" ca="1" si="3"/>
        <v>123.58933333333334</v>
      </c>
      <c r="C1122" s="4">
        <f t="shared" ca="1" si="3"/>
        <v>123.27683333333334</v>
      </c>
      <c r="D1122" s="4">
        <f t="shared" ca="1" si="3"/>
        <v>101.51204999999999</v>
      </c>
      <c r="E1122" s="4">
        <f t="shared" ca="1" si="3"/>
        <v>671.65207233901629</v>
      </c>
    </row>
    <row r="1123" spans="1:5" ht="15">
      <c r="A1123" s="3">
        <f t="shared" si="2"/>
        <v>2088</v>
      </c>
      <c r="B1123" s="4">
        <f t="shared" ca="1" si="3"/>
        <v>127.78807500000001</v>
      </c>
      <c r="C1123" s="4">
        <f t="shared" ca="1" si="3"/>
        <v>127.47557500000001</v>
      </c>
      <c r="D1123" s="4">
        <f t="shared" ca="1" si="3"/>
        <v>104.01045833333332</v>
      </c>
      <c r="E1123" s="4">
        <f t="shared" ca="1" si="3"/>
        <v>692.80911261769506</v>
      </c>
    </row>
    <row r="1124" spans="1:5" ht="15">
      <c r="A1124" s="3">
        <f t="shared" si="2"/>
        <v>2089</v>
      </c>
      <c r="B1124" s="4">
        <f t="shared" ca="1" si="3"/>
        <v>132.13168333333334</v>
      </c>
      <c r="C1124" s="4">
        <f t="shared" ca="1" si="3"/>
        <v>131.81918333333334</v>
      </c>
      <c r="D1124" s="4">
        <f t="shared" ca="1" si="3"/>
        <v>106.57083333333333</v>
      </c>
      <c r="E1124" s="4">
        <f t="shared" ca="1" si="3"/>
        <v>714.63259966515272</v>
      </c>
    </row>
    <row r="1125" spans="1:5" ht="15">
      <c r="A1125" s="3">
        <f t="shared" si="2"/>
        <v>2090</v>
      </c>
      <c r="B1125" s="4">
        <f t="shared" ca="1" si="3"/>
        <v>136.62513333333334</v>
      </c>
      <c r="C1125" s="4">
        <f t="shared" ca="1" si="3"/>
        <v>136.31263333333334</v>
      </c>
      <c r="D1125" s="4">
        <f t="shared" ca="1" si="3"/>
        <v>109.19470833333332</v>
      </c>
      <c r="E1125" s="4">
        <f t="shared" ca="1" si="3"/>
        <v>737.1435265546047</v>
      </c>
    </row>
    <row r="1126" spans="1:5" ht="15">
      <c r="A1126" s="3">
        <f t="shared" si="2"/>
        <v>2091</v>
      </c>
      <c r="B1126" s="4">
        <f t="shared" ca="1" si="3"/>
        <v>141.27360833333333</v>
      </c>
      <c r="C1126" s="4">
        <f t="shared" ca="1" si="3"/>
        <v>140.96110833333333</v>
      </c>
      <c r="D1126" s="4">
        <f t="shared" ca="1" si="3"/>
        <v>111.88363333333332</v>
      </c>
      <c r="E1126" s="4">
        <f t="shared" ca="1" si="3"/>
        <v>760.36354764107489</v>
      </c>
    </row>
    <row r="1127" spans="1:5" ht="15">
      <c r="A1127" s="3">
        <f t="shared" si="2"/>
        <v>2092</v>
      </c>
      <c r="B1127" s="4">
        <f t="shared" ca="1" si="3"/>
        <v>146.08244999999999</v>
      </c>
      <c r="C1127" s="4">
        <f t="shared" ca="1" si="3"/>
        <v>145.76994999999999</v>
      </c>
      <c r="D1127" s="4">
        <f t="shared" ca="1" si="3"/>
        <v>114.639275</v>
      </c>
      <c r="E1127" s="4">
        <f t="shared" ca="1" si="3"/>
        <v>784.31499939176865</v>
      </c>
    </row>
    <row r="1128" spans="1:5" ht="15">
      <c r="A1128" s="3">
        <f t="shared" si="2"/>
        <v>2093</v>
      </c>
      <c r="B1128" s="4">
        <f t="shared" ca="1" si="3"/>
        <v>151.05721666666668</v>
      </c>
      <c r="C1128" s="4">
        <f t="shared" ca="1" si="3"/>
        <v>150.74471666666668</v>
      </c>
      <c r="D1128" s="4">
        <f t="shared" ca="1" si="3"/>
        <v>117.46322499999998</v>
      </c>
      <c r="E1128" s="4">
        <f t="shared" ca="1" si="3"/>
        <v>809.02092187260951</v>
      </c>
    </row>
    <row r="1129" spans="1:5" ht="15">
      <c r="A1129" s="3">
        <f t="shared" si="2"/>
        <v>2094</v>
      </c>
      <c r="B1129" s="4">
        <f t="shared" ca="1" si="3"/>
        <v>156.20359999999999</v>
      </c>
      <c r="C1129" s="4">
        <f t="shared" ca="1" si="3"/>
        <v>155.89109999999999</v>
      </c>
      <c r="D1129" s="4">
        <f t="shared" ca="1" si="3"/>
        <v>120.35721666666667</v>
      </c>
      <c r="E1129" s="4">
        <f t="shared" ca="1" si="3"/>
        <v>834.50508091159679</v>
      </c>
    </row>
    <row r="1130" spans="1:5" ht="15">
      <c r="A1130" s="3">
        <f t="shared" si="2"/>
        <v>2095</v>
      </c>
      <c r="B1130" s="4">
        <f t="shared" ca="1" si="3"/>
        <v>161.52752500000003</v>
      </c>
      <c r="C1130" s="4">
        <f t="shared" ca="1" si="3"/>
        <v>161.21502500000003</v>
      </c>
      <c r="D1130" s="4">
        <f t="shared" ca="1" si="3"/>
        <v>123.32298333333331</v>
      </c>
      <c r="E1130" s="4">
        <f t="shared" ca="1" si="3"/>
        <v>860.79199096031243</v>
      </c>
    </row>
    <row r="1131" spans="1:5" ht="15">
      <c r="A1131" s="3">
        <f t="shared" si="2"/>
        <v>2096</v>
      </c>
      <c r="B1131" s="4">
        <f t="shared" ca="1" si="3"/>
        <v>167.03514166666665</v>
      </c>
      <c r="C1131" s="4">
        <f t="shared" ca="1" si="3"/>
        <v>166.72264166666665</v>
      </c>
      <c r="D1131" s="4">
        <f t="shared" ca="1" si="3"/>
        <v>126.36231666666667</v>
      </c>
      <c r="E1131" s="4">
        <f t="shared" ca="1" si="3"/>
        <v>887.90693867556195</v>
      </c>
    </row>
    <row r="1132" spans="1:5" ht="15">
      <c r="A1132" s="3">
        <f t="shared" si="2"/>
        <v>2097</v>
      </c>
      <c r="B1132" s="4">
        <f t="shared" ca="1" si="3"/>
        <v>172.73275833333335</v>
      </c>
      <c r="C1132" s="4">
        <f t="shared" ca="1" si="3"/>
        <v>172.42025833333335</v>
      </c>
      <c r="D1132" s="4">
        <f t="shared" ca="1" si="3"/>
        <v>129.47700833333334</v>
      </c>
      <c r="E1132" s="4">
        <f t="shared" ca="1" si="3"/>
        <v>915.87600724384254</v>
      </c>
    </row>
    <row r="1133" spans="1:5" ht="15">
      <c r="A1133" s="3">
        <f t="shared" si="2"/>
        <v>2098</v>
      </c>
      <c r="B1133" s="4">
        <f t="shared" ca="1" si="3"/>
        <v>178.62694166666668</v>
      </c>
      <c r="C1133" s="4">
        <f t="shared" ca="1" si="3"/>
        <v>178.31444166666668</v>
      </c>
      <c r="D1133" s="4">
        <f t="shared" ca="1" si="3"/>
        <v>132.66894166666665</v>
      </c>
      <c r="E1133" s="4">
        <f t="shared" ca="1" si="3"/>
        <v>944.72610147202329</v>
      </c>
    </row>
    <row r="1134" spans="1:5" ht="15">
      <c r="A1134" s="3">
        <f t="shared" si="2"/>
        <v>2099</v>
      </c>
      <c r="B1134" s="4">
        <f t="shared" ca="1" si="3"/>
        <v>184.72450833333335</v>
      </c>
      <c r="C1134" s="4">
        <f t="shared" ca="1" si="3"/>
        <v>184.41200833333335</v>
      </c>
      <c r="D1134" s="4">
        <f t="shared" ca="1" si="3"/>
        <v>135.94005000000001</v>
      </c>
      <c r="E1134" s="4">
        <f t="shared" ca="1" si="3"/>
        <v>974.48497366839217</v>
      </c>
    </row>
    <row r="1135" spans="1:5" ht="15">
      <c r="A1135" s="3">
        <f t="shared" si="2"/>
        <v>2100</v>
      </c>
      <c r="B1135" s="4">
        <f t="shared" ca="1" si="3"/>
        <v>191.03238333333334</v>
      </c>
      <c r="C1135" s="4">
        <f t="shared" ca="1" si="3"/>
        <v>190.71988333333334</v>
      </c>
      <c r="D1135" s="4">
        <f t="shared" ca="1" si="3"/>
        <v>139.29226666666668</v>
      </c>
      <c r="E1135" s="4">
        <f t="shared" ca="1" si="3"/>
        <v>1005.1812503389473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0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72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42156</v>
      </c>
      <c r="B17" s="63">
        <f>2.2099 * CHOOSE(CONTROL!$C$22, $C$13, 100%, $E$13)</f>
        <v>2.2099000000000002</v>
      </c>
      <c r="C17" s="63">
        <f>2.2099 * CHOOSE(CONTROL!$C$22, $C$13, 100%, $E$13)</f>
        <v>2.2099000000000002</v>
      </c>
      <c r="D17" s="63">
        <f>2.2452 * CHOOSE(CONTROL!$C$22, $C$13, 100%, $E$13)</f>
        <v>2.2452000000000001</v>
      </c>
      <c r="E17" s="64">
        <f>3.1268 * CHOOSE(CONTROL!$C$22, $C$13, 100%, $E$13)</f>
        <v>3.1267999999999998</v>
      </c>
      <c r="F17" s="64">
        <f>4.06 * CHOOSE(CONTROL!$C$22, $C$13, 100%, $E$13)</f>
        <v>4.0599999999999996</v>
      </c>
      <c r="G17" s="64">
        <f>4.0622 * CHOOSE(CONTROL!$C$22, $C$13, 100%, $E$13)</f>
        <v>4.0621999999999998</v>
      </c>
      <c r="H17" s="64">
        <f>5.6482* CHOOSE(CONTROL!$C$22, $C$13, 100%, $E$13)</f>
        <v>5.6482000000000001</v>
      </c>
      <c r="I17" s="64">
        <f>5.6503 * CHOOSE(CONTROL!$C$22, $C$13, 100%, $E$13)</f>
        <v>5.6502999999999997</v>
      </c>
      <c r="J17" s="64">
        <f>3.1268 * CHOOSE(CONTROL!$C$22, $C$13, 100%, $E$13)</f>
        <v>3.1267999999999998</v>
      </c>
      <c r="K17" s="64">
        <f>3.129 * CHOOSE(CONTROL!$C$22, $C$13, 100%, $E$13)</f>
        <v>3.129</v>
      </c>
      <c r="L17" s="4"/>
      <c r="M17" s="64"/>
      <c r="N17" s="64"/>
    </row>
    <row r="18" spans="1:14" ht="15">
      <c r="A18" s="13">
        <v>42186</v>
      </c>
      <c r="B18" s="63">
        <f>2.2225 * CHOOSE(CONTROL!$C$22, $C$13, 100%, $E$13)</f>
        <v>2.2225000000000001</v>
      </c>
      <c r="C18" s="63">
        <f>2.2225 * CHOOSE(CONTROL!$C$22, $C$13, 100%, $E$13)</f>
        <v>2.2225000000000001</v>
      </c>
      <c r="D18" s="63">
        <f>2.2578 * CHOOSE(CONTROL!$C$22, $C$13, 100%, $E$13)</f>
        <v>2.2578</v>
      </c>
      <c r="E18" s="64">
        <f>3.2309 * CHOOSE(CONTROL!$C$22, $C$13, 100%, $E$13)</f>
        <v>3.2309000000000001</v>
      </c>
      <c r="F18" s="64">
        <f>4.06 * CHOOSE(CONTROL!$C$22, $C$13, 100%, $E$13)</f>
        <v>4.0599999999999996</v>
      </c>
      <c r="G18" s="64">
        <f>4.0622 * CHOOSE(CONTROL!$C$22, $C$13, 100%, $E$13)</f>
        <v>4.0621999999999998</v>
      </c>
      <c r="H18" s="64">
        <f>5.6599* CHOOSE(CONTROL!$C$22, $C$13, 100%, $E$13)</f>
        <v>5.6599000000000004</v>
      </c>
      <c r="I18" s="64">
        <f>5.6621 * CHOOSE(CONTROL!$C$22, $C$13, 100%, $E$13)</f>
        <v>5.6620999999999997</v>
      </c>
      <c r="J18" s="64">
        <f>3.2309 * CHOOSE(CONTROL!$C$22, $C$13, 100%, $E$13)</f>
        <v>3.2309000000000001</v>
      </c>
      <c r="K18" s="64">
        <f>3.2331 * CHOOSE(CONTROL!$C$22, $C$13, 100%, $E$13)</f>
        <v>3.2330999999999999</v>
      </c>
      <c r="L18" s="4"/>
      <c r="M18" s="64"/>
      <c r="N18" s="64"/>
    </row>
    <row r="19" spans="1:14" ht="15">
      <c r="A19" s="13">
        <v>42217</v>
      </c>
      <c r="B19" s="63">
        <f>2.2353 * CHOOSE(CONTROL!$C$22, $C$13, 100%, $E$13)</f>
        <v>2.2353000000000001</v>
      </c>
      <c r="C19" s="63">
        <f>2.2353 * CHOOSE(CONTROL!$C$22, $C$13, 100%, $E$13)</f>
        <v>2.2353000000000001</v>
      </c>
      <c r="D19" s="63">
        <f>2.2706 * CHOOSE(CONTROL!$C$22, $C$13, 100%, $E$13)</f>
        <v>2.2706</v>
      </c>
      <c r="E19" s="64">
        <f>3.4538 * CHOOSE(CONTROL!$C$22, $C$13, 100%, $E$13)</f>
        <v>3.4538000000000002</v>
      </c>
      <c r="F19" s="64">
        <f>4.06 * CHOOSE(CONTROL!$C$22, $C$13, 100%, $E$13)</f>
        <v>4.0599999999999996</v>
      </c>
      <c r="G19" s="64">
        <f>4.0622 * CHOOSE(CONTROL!$C$22, $C$13, 100%, $E$13)</f>
        <v>4.0621999999999998</v>
      </c>
      <c r="H19" s="64">
        <f>5.6717* CHOOSE(CONTROL!$C$22, $C$13, 100%, $E$13)</f>
        <v>5.6717000000000004</v>
      </c>
      <c r="I19" s="64">
        <f>5.6739 * CHOOSE(CONTROL!$C$22, $C$13, 100%, $E$13)</f>
        <v>5.6738999999999997</v>
      </c>
      <c r="J19" s="64">
        <f>3.4538 * CHOOSE(CONTROL!$C$22, $C$13, 100%, $E$13)</f>
        <v>3.4538000000000002</v>
      </c>
      <c r="K19" s="64">
        <f>3.4559 * CHOOSE(CONTROL!$C$22, $C$13, 100%, $E$13)</f>
        <v>3.4559000000000002</v>
      </c>
      <c r="L19" s="4"/>
      <c r="M19" s="64"/>
      <c r="N19" s="64"/>
    </row>
    <row r="20" spans="1:14" ht="15">
      <c r="A20" s="13">
        <v>42248</v>
      </c>
      <c r="B20" s="63">
        <f>2.2292 * CHOOSE(CONTROL!$C$22, $C$13, 100%, $E$13)</f>
        <v>2.2292000000000001</v>
      </c>
      <c r="C20" s="63">
        <f>2.2292 * CHOOSE(CONTROL!$C$22, $C$13, 100%, $E$13)</f>
        <v>2.2292000000000001</v>
      </c>
      <c r="D20" s="63">
        <f>2.2645 * CHOOSE(CONTROL!$C$22, $C$13, 100%, $E$13)</f>
        <v>2.2645</v>
      </c>
      <c r="E20" s="64">
        <f>3.3064 * CHOOSE(CONTROL!$C$22, $C$13, 100%, $E$13)</f>
        <v>3.3064</v>
      </c>
      <c r="F20" s="64">
        <f>4.06 * CHOOSE(CONTROL!$C$22, $C$13, 100%, $E$13)</f>
        <v>4.0599999999999996</v>
      </c>
      <c r="G20" s="64">
        <f>4.0622 * CHOOSE(CONTROL!$C$22, $C$13, 100%, $E$13)</f>
        <v>4.0621999999999998</v>
      </c>
      <c r="H20" s="64">
        <f>5.6835* CHOOSE(CONTROL!$C$22, $C$13, 100%, $E$13)</f>
        <v>5.6835000000000004</v>
      </c>
      <c r="I20" s="64">
        <f>5.6857 * CHOOSE(CONTROL!$C$22, $C$13, 100%, $E$13)</f>
        <v>5.6856999999999998</v>
      </c>
      <c r="J20" s="64">
        <f>3.3064 * CHOOSE(CONTROL!$C$22, $C$13, 100%, $E$13)</f>
        <v>3.3064</v>
      </c>
      <c r="K20" s="64">
        <f>3.3086 * CHOOSE(CONTROL!$C$22, $C$13, 100%, $E$13)</f>
        <v>3.3086000000000002</v>
      </c>
      <c r="L20" s="4"/>
      <c r="M20" s="64"/>
      <c r="N20" s="64"/>
    </row>
    <row r="21" spans="1:14" ht="15">
      <c r="A21" s="13">
        <v>42278</v>
      </c>
      <c r="B21" s="63">
        <f>2.2231 * CHOOSE(CONTROL!$C$22, $C$13, 100%, $E$13)</f>
        <v>2.2231000000000001</v>
      </c>
      <c r="C21" s="63">
        <f>2.2231 * CHOOSE(CONTROL!$C$22, $C$13, 100%, $E$13)</f>
        <v>2.2231000000000001</v>
      </c>
      <c r="D21" s="63">
        <f>2.2408 * CHOOSE(CONTROL!$C$22, $C$13, 100%, $E$13)</f>
        <v>2.2408000000000001</v>
      </c>
      <c r="E21" s="64">
        <f>3.4538 * CHOOSE(CONTROL!$C$22, $C$13, 100%, $E$13)</f>
        <v>3.4538000000000002</v>
      </c>
      <c r="F21" s="64">
        <f>4.06 * CHOOSE(CONTROL!$C$22, $C$13, 100%, $E$13)</f>
        <v>4.0599999999999996</v>
      </c>
      <c r="G21" s="64">
        <f>4.0602 * CHOOSE(CONTROL!$C$22, $C$13, 100%, $E$13)</f>
        <v>4.0602</v>
      </c>
      <c r="H21" s="64">
        <f>5.6954* CHOOSE(CONTROL!$C$22, $C$13, 100%, $E$13)</f>
        <v>5.6954000000000002</v>
      </c>
      <c r="I21" s="64">
        <f>5.6955 * CHOOSE(CONTROL!$C$22, $C$13, 100%, $E$13)</f>
        <v>5.6955</v>
      </c>
      <c r="J21" s="64">
        <f>3.4538 * CHOOSE(CONTROL!$C$22, $C$13, 100%, $E$13)</f>
        <v>3.4538000000000002</v>
      </c>
      <c r="K21" s="64">
        <f>3.4539 * CHOOSE(CONTROL!$C$22, $C$13, 100%, $E$13)</f>
        <v>3.4539</v>
      </c>
      <c r="L21" s="4"/>
      <c r="M21" s="64"/>
      <c r="N21" s="64"/>
    </row>
    <row r="22" spans="1:14" ht="15">
      <c r="A22" s="13">
        <v>42309</v>
      </c>
      <c r="B22" s="63">
        <f>2.242 * CHOOSE(CONTROL!$C$22, $C$13, 100%, $E$13)</f>
        <v>2.242</v>
      </c>
      <c r="C22" s="63">
        <f>2.242 * CHOOSE(CONTROL!$C$22, $C$13, 100%, $E$13)</f>
        <v>2.242</v>
      </c>
      <c r="D22" s="63">
        <f>2.2596 * CHOOSE(CONTROL!$C$22, $C$13, 100%, $E$13)</f>
        <v>2.2595999999999998</v>
      </c>
      <c r="E22" s="64">
        <f>3.3432 * CHOOSE(CONTROL!$C$22, $C$13, 100%, $E$13)</f>
        <v>3.3431999999999999</v>
      </c>
      <c r="F22" s="64">
        <f>4.06 * CHOOSE(CONTROL!$C$22, $C$13, 100%, $E$13)</f>
        <v>4.0599999999999996</v>
      </c>
      <c r="G22" s="64">
        <f>4.0602 * CHOOSE(CONTROL!$C$22, $C$13, 100%, $E$13)</f>
        <v>4.0602</v>
      </c>
      <c r="H22" s="64">
        <f>5.7072* CHOOSE(CONTROL!$C$22, $C$13, 100%, $E$13)</f>
        <v>5.7072000000000003</v>
      </c>
      <c r="I22" s="64">
        <f>5.7074 * CHOOSE(CONTROL!$C$22, $C$13, 100%, $E$13)</f>
        <v>5.7073999999999998</v>
      </c>
      <c r="J22" s="64">
        <f>3.3432 * CHOOSE(CONTROL!$C$22, $C$13, 100%, $E$13)</f>
        <v>3.3431999999999999</v>
      </c>
      <c r="K22" s="64">
        <f>3.3434 * CHOOSE(CONTROL!$C$22, $C$13, 100%, $E$13)</f>
        <v>3.3433999999999999</v>
      </c>
      <c r="L22" s="4"/>
      <c r="M22" s="64"/>
      <c r="N22" s="64"/>
    </row>
    <row r="23" spans="1:14" ht="15">
      <c r="A23" s="13">
        <v>42339</v>
      </c>
      <c r="B23" s="63">
        <f>2.2724 * CHOOSE(CONTROL!$C$22, $C$13, 100%, $E$13)</f>
        <v>2.2724000000000002</v>
      </c>
      <c r="C23" s="63">
        <f>2.2724 * CHOOSE(CONTROL!$C$22, $C$13, 100%, $E$13)</f>
        <v>2.2724000000000002</v>
      </c>
      <c r="D23" s="63">
        <f>2.29 * CHOOSE(CONTROL!$C$22, $C$13, 100%, $E$13)</f>
        <v>2.29</v>
      </c>
      <c r="E23" s="64">
        <f>3.3054 * CHOOSE(CONTROL!$C$22, $C$13, 100%, $E$13)</f>
        <v>3.3054000000000001</v>
      </c>
      <c r="F23" s="64">
        <f>4.06 * CHOOSE(CONTROL!$C$22, $C$13, 100%, $E$13)</f>
        <v>4.0599999999999996</v>
      </c>
      <c r="G23" s="64">
        <f>4.0602 * CHOOSE(CONTROL!$C$22, $C$13, 100%, $E$13)</f>
        <v>4.0602</v>
      </c>
      <c r="H23" s="64">
        <f>5.7191* CHOOSE(CONTROL!$C$22, $C$13, 100%, $E$13)</f>
        <v>5.7191000000000001</v>
      </c>
      <c r="I23" s="64">
        <f>5.7193 * CHOOSE(CONTROL!$C$22, $C$13, 100%, $E$13)</f>
        <v>5.7192999999999996</v>
      </c>
      <c r="J23" s="64">
        <f>3.3054 * CHOOSE(CONTROL!$C$22, $C$13, 100%, $E$13)</f>
        <v>3.3054000000000001</v>
      </c>
      <c r="K23" s="64">
        <f>3.3056 * CHOOSE(CONTROL!$C$22, $C$13, 100%, $E$13)</f>
        <v>3.3056000000000001</v>
      </c>
      <c r="L23" s="4"/>
      <c r="M23" s="64"/>
      <c r="N23" s="64"/>
    </row>
    <row r="24" spans="1:14" ht="15">
      <c r="A24" s="13">
        <v>42370</v>
      </c>
      <c r="B24" s="63">
        <f>2.6078 * CHOOSE(CONTROL!$C$22, $C$13, 100%, $E$13)</f>
        <v>2.6078000000000001</v>
      </c>
      <c r="C24" s="63">
        <f>2.6078 * CHOOSE(CONTROL!$C$22, $C$13, 100%, $E$13)</f>
        <v>2.6078000000000001</v>
      </c>
      <c r="D24" s="63">
        <f>2.6255 * CHOOSE(CONTROL!$C$22, $C$13, 100%, $E$13)</f>
        <v>2.6255000000000002</v>
      </c>
      <c r="E24" s="64">
        <f>3.383 * CHOOSE(CONTROL!$C$22, $C$13, 100%, $E$13)</f>
        <v>3.383</v>
      </c>
      <c r="F24" s="64">
        <f>4.017 * CHOOSE(CONTROL!$C$22, $C$13, 100%, $E$13)</f>
        <v>4.0170000000000003</v>
      </c>
      <c r="G24" s="64">
        <f>4.0172 * CHOOSE(CONTROL!$C$22, $C$13, 100%, $E$13)</f>
        <v>4.0171999999999999</v>
      </c>
      <c r="H24" s="64">
        <f>5.731* CHOOSE(CONTROL!$C$22, $C$13, 100%, $E$13)</f>
        <v>5.7309999999999999</v>
      </c>
      <c r="I24" s="64">
        <f>5.7312 * CHOOSE(CONTROL!$C$22, $C$13, 100%, $E$13)</f>
        <v>5.7312000000000003</v>
      </c>
      <c r="J24" s="64">
        <f>3.383 * CHOOSE(CONTROL!$C$22, $C$13, 100%, $E$13)</f>
        <v>3.383</v>
      </c>
      <c r="K24" s="64">
        <f>3.3832 * CHOOSE(CONTROL!$C$22, $C$13, 100%, $E$13)</f>
        <v>3.3832</v>
      </c>
      <c r="L24" s="4"/>
      <c r="M24" s="64"/>
      <c r="N24" s="64"/>
    </row>
    <row r="25" spans="1:14" ht="15">
      <c r="A25" s="13">
        <v>42401</v>
      </c>
      <c r="B25" s="63">
        <f>2.6017 * CHOOSE(CONTROL!$C$22, $C$13, 100%, $E$13)</f>
        <v>2.6017000000000001</v>
      </c>
      <c r="C25" s="63">
        <f>2.6017 * CHOOSE(CONTROL!$C$22, $C$13, 100%, $E$13)</f>
        <v>2.6017000000000001</v>
      </c>
      <c r="D25" s="63">
        <f>2.6194 * CHOOSE(CONTROL!$C$22, $C$13, 100%, $E$13)</f>
        <v>2.6194000000000002</v>
      </c>
      <c r="E25" s="64">
        <f>3.3427 * CHOOSE(CONTROL!$C$22, $C$13, 100%, $E$13)</f>
        <v>3.3426999999999998</v>
      </c>
      <c r="F25" s="64">
        <f>4.035 * CHOOSE(CONTROL!$C$22, $C$13, 100%, $E$13)</f>
        <v>4.0350000000000001</v>
      </c>
      <c r="G25" s="64">
        <f>4.0352 * CHOOSE(CONTROL!$C$22, $C$13, 100%, $E$13)</f>
        <v>4.0351999999999997</v>
      </c>
      <c r="H25" s="64">
        <f>5.743* CHOOSE(CONTROL!$C$22, $C$13, 100%, $E$13)</f>
        <v>5.7430000000000003</v>
      </c>
      <c r="I25" s="64">
        <f>5.7432 * CHOOSE(CONTROL!$C$22, $C$13, 100%, $E$13)</f>
        <v>5.7431999999999999</v>
      </c>
      <c r="J25" s="64">
        <f>3.3427 * CHOOSE(CONTROL!$C$22, $C$13, 100%, $E$13)</f>
        <v>3.3426999999999998</v>
      </c>
      <c r="K25" s="64">
        <f>3.3429 * CHOOSE(CONTROL!$C$22, $C$13, 100%, $E$13)</f>
        <v>3.3429000000000002</v>
      </c>
      <c r="L25" s="4"/>
      <c r="M25" s="64"/>
      <c r="N25" s="64"/>
    </row>
    <row r="26" spans="1:14" ht="15">
      <c r="A26" s="13">
        <v>42430</v>
      </c>
      <c r="B26" s="63">
        <f>2.5956 * CHOOSE(CONTROL!$C$22, $C$13, 100%, $E$13)</f>
        <v>2.5956000000000001</v>
      </c>
      <c r="C26" s="63">
        <f>2.5956 * CHOOSE(CONTROL!$C$22, $C$13, 100%, $E$13)</f>
        <v>2.5956000000000001</v>
      </c>
      <c r="D26" s="63">
        <f>2.6133 * CHOOSE(CONTROL!$C$22, $C$13, 100%, $E$13)</f>
        <v>2.6133000000000002</v>
      </c>
      <c r="E26" s="64">
        <f>3.5819 * CHOOSE(CONTROL!$C$22, $C$13, 100%, $E$13)</f>
        <v>3.5819000000000001</v>
      </c>
      <c r="F26" s="64">
        <f>4.01 * CHOOSE(CONTROL!$C$22, $C$13, 100%, $E$13)</f>
        <v>4.01</v>
      </c>
      <c r="G26" s="64">
        <f>4.0102 * CHOOSE(CONTROL!$C$22, $C$13, 100%, $E$13)</f>
        <v>4.0102000000000002</v>
      </c>
      <c r="H26" s="64">
        <f>5.7549* CHOOSE(CONTROL!$C$22, $C$13, 100%, $E$13)</f>
        <v>5.7549000000000001</v>
      </c>
      <c r="I26" s="64">
        <f>5.7551 * CHOOSE(CONTROL!$C$22, $C$13, 100%, $E$13)</f>
        <v>5.7550999999999997</v>
      </c>
      <c r="J26" s="64">
        <f>3.5819 * CHOOSE(CONTROL!$C$22, $C$13, 100%, $E$13)</f>
        <v>3.5819000000000001</v>
      </c>
      <c r="K26" s="64">
        <f>3.5821 * CHOOSE(CONTROL!$C$22, $C$13, 100%, $E$13)</f>
        <v>3.5821000000000001</v>
      </c>
      <c r="L26" s="4"/>
      <c r="M26" s="64"/>
      <c r="N26" s="64"/>
    </row>
    <row r="27" spans="1:14" ht="15">
      <c r="A27" s="13">
        <v>42461</v>
      </c>
      <c r="B27" s="63">
        <f>2.6042 * CHOOSE(CONTROL!$C$22, $C$13, 100%, $E$13)</f>
        <v>2.6042000000000001</v>
      </c>
      <c r="C27" s="63">
        <f>2.6042 * CHOOSE(CONTROL!$C$22, $C$13, 100%, $E$13)</f>
        <v>2.6042000000000001</v>
      </c>
      <c r="D27" s="63">
        <f>2.6219 * CHOOSE(CONTROL!$C$22, $C$13, 100%, $E$13)</f>
        <v>2.6219000000000001</v>
      </c>
      <c r="E27" s="64">
        <f>3.3427 * CHOOSE(CONTROL!$C$22, $C$13, 100%, $E$13)</f>
        <v>3.3426999999999998</v>
      </c>
      <c r="F27" s="64">
        <f>4.035 * CHOOSE(CONTROL!$C$22, $C$13, 100%, $E$13)</f>
        <v>4.0350000000000001</v>
      </c>
      <c r="G27" s="64">
        <f>4.0352 * CHOOSE(CONTROL!$C$22, $C$13, 100%, $E$13)</f>
        <v>4.0351999999999997</v>
      </c>
      <c r="H27" s="64">
        <f>5.7669* CHOOSE(CONTROL!$C$22, $C$13, 100%, $E$13)</f>
        <v>5.7668999999999997</v>
      </c>
      <c r="I27" s="64">
        <f>5.7671 * CHOOSE(CONTROL!$C$22, $C$13, 100%, $E$13)</f>
        <v>5.7671000000000001</v>
      </c>
      <c r="J27" s="64">
        <f>3.3427 * CHOOSE(CONTROL!$C$22, $C$13, 100%, $E$13)</f>
        <v>3.3426999999999998</v>
      </c>
      <c r="K27" s="64">
        <f>3.3429 * CHOOSE(CONTROL!$C$22, $C$13, 100%, $E$13)</f>
        <v>3.3429000000000002</v>
      </c>
      <c r="L27" s="4"/>
      <c r="M27" s="64"/>
      <c r="N27" s="64"/>
    </row>
    <row r="28" spans="1:14" ht="15">
      <c r="A28" s="13">
        <v>42491</v>
      </c>
      <c r="B28" s="63">
        <f>2.6103 * CHOOSE(CONTROL!$C$22, $C$13, 100%, $E$13)</f>
        <v>2.6103000000000001</v>
      </c>
      <c r="C28" s="63">
        <f>2.6103 * CHOOSE(CONTROL!$C$22, $C$13, 100%, $E$13)</f>
        <v>2.6103000000000001</v>
      </c>
      <c r="D28" s="63">
        <f>2.6456 * CHOOSE(CONTROL!$C$22, $C$13, 100%, $E$13)</f>
        <v>2.6456</v>
      </c>
      <c r="E28" s="64">
        <f>3.3395 * CHOOSE(CONTROL!$C$22, $C$13, 100%, $E$13)</f>
        <v>3.3395000000000001</v>
      </c>
      <c r="F28" s="64">
        <f>4.005 * CHOOSE(CONTROL!$C$22, $C$13, 100%, $E$13)</f>
        <v>4.0049999999999999</v>
      </c>
      <c r="G28" s="64">
        <f>4.0072 * CHOOSE(CONTROL!$C$22, $C$13, 100%, $E$13)</f>
        <v>4.0072000000000001</v>
      </c>
      <c r="H28" s="64">
        <f>5.7789* CHOOSE(CONTROL!$C$22, $C$13, 100%, $E$13)</f>
        <v>5.7789000000000001</v>
      </c>
      <c r="I28" s="64">
        <f>5.7811 * CHOOSE(CONTROL!$C$22, $C$13, 100%, $E$13)</f>
        <v>5.7811000000000003</v>
      </c>
      <c r="J28" s="64">
        <f>3.3395 * CHOOSE(CONTROL!$C$22, $C$13, 100%, $E$13)</f>
        <v>3.3395000000000001</v>
      </c>
      <c r="K28" s="64">
        <f>3.3416 * CHOOSE(CONTROL!$C$22, $C$13, 100%, $E$13)</f>
        <v>3.3416000000000001</v>
      </c>
      <c r="L28" s="4"/>
      <c r="M28" s="64"/>
      <c r="N28" s="64"/>
    </row>
    <row r="29" spans="1:14" ht="15">
      <c r="A29" s="13">
        <v>42522</v>
      </c>
      <c r="B29" s="63">
        <f>2.6164 * CHOOSE(CONTROL!$C$22, $C$13, 100%, $E$13)</f>
        <v>2.6164000000000001</v>
      </c>
      <c r="C29" s="63">
        <f>2.6164 * CHOOSE(CONTROL!$C$22, $C$13, 100%, $E$13)</f>
        <v>2.6164000000000001</v>
      </c>
      <c r="D29" s="63">
        <f>2.6517 * CHOOSE(CONTROL!$C$22, $C$13, 100%, $E$13)</f>
        <v>2.6516999999999999</v>
      </c>
      <c r="E29" s="64">
        <f>3.1559 * CHOOSE(CONTROL!$C$22, $C$13, 100%, $E$13)</f>
        <v>3.1558999999999999</v>
      </c>
      <c r="F29" s="64">
        <f>4.017 * CHOOSE(CONTROL!$C$22, $C$13, 100%, $E$13)</f>
        <v>4.0170000000000003</v>
      </c>
      <c r="G29" s="64">
        <f>4.0192 * CHOOSE(CONTROL!$C$22, $C$13, 100%, $E$13)</f>
        <v>4.0191999999999997</v>
      </c>
      <c r="H29" s="64">
        <f>5.791* CHOOSE(CONTROL!$C$22, $C$13, 100%, $E$13)</f>
        <v>5.7910000000000004</v>
      </c>
      <c r="I29" s="64">
        <f>5.7932 * CHOOSE(CONTROL!$C$22, $C$13, 100%, $E$13)</f>
        <v>5.7931999999999997</v>
      </c>
      <c r="J29" s="64">
        <f>3.1559 * CHOOSE(CONTROL!$C$22, $C$13, 100%, $E$13)</f>
        <v>3.1558999999999999</v>
      </c>
      <c r="K29" s="64">
        <f>3.1581 * CHOOSE(CONTROL!$C$22, $C$13, 100%, $E$13)</f>
        <v>3.1581000000000001</v>
      </c>
      <c r="L29" s="4"/>
      <c r="M29" s="64"/>
      <c r="N29" s="64"/>
    </row>
    <row r="30" spans="1:14" ht="15">
      <c r="A30" s="13">
        <v>42552</v>
      </c>
      <c r="B30" s="63">
        <f>2.6506 * CHOOSE(CONTROL!$C$22, $C$13, 100%, $E$13)</f>
        <v>2.6505999999999998</v>
      </c>
      <c r="C30" s="63">
        <f>2.6506 * CHOOSE(CONTROL!$C$22, $C$13, 100%, $E$13)</f>
        <v>2.6505999999999998</v>
      </c>
      <c r="D30" s="63">
        <f>2.6859 * CHOOSE(CONTROL!$C$22, $C$13, 100%, $E$13)</f>
        <v>2.6859000000000002</v>
      </c>
      <c r="E30" s="64">
        <f>3.2732 * CHOOSE(CONTROL!$C$22, $C$13, 100%, $E$13)</f>
        <v>3.2732000000000001</v>
      </c>
      <c r="F30" s="64">
        <f>4.017 * CHOOSE(CONTROL!$C$22, $C$13, 100%, $E$13)</f>
        <v>4.0170000000000003</v>
      </c>
      <c r="G30" s="64">
        <f>4.0192 * CHOOSE(CONTROL!$C$22, $C$13, 100%, $E$13)</f>
        <v>4.0191999999999997</v>
      </c>
      <c r="H30" s="64">
        <f>5.8031* CHOOSE(CONTROL!$C$22, $C$13, 100%, $E$13)</f>
        <v>5.8030999999999997</v>
      </c>
      <c r="I30" s="64">
        <f>5.8052 * CHOOSE(CONTROL!$C$22, $C$13, 100%, $E$13)</f>
        <v>5.8052000000000001</v>
      </c>
      <c r="J30" s="64">
        <f>3.2732 * CHOOSE(CONTROL!$C$22, $C$13, 100%, $E$13)</f>
        <v>3.2732000000000001</v>
      </c>
      <c r="K30" s="64">
        <f>3.2754 * CHOOSE(CONTROL!$C$22, $C$13, 100%, $E$13)</f>
        <v>3.2753999999999999</v>
      </c>
      <c r="L30" s="4"/>
      <c r="M30" s="4"/>
      <c r="N30" s="4"/>
    </row>
    <row r="31" spans="1:14" ht="15">
      <c r="A31" s="13">
        <v>42583</v>
      </c>
      <c r="B31" s="63">
        <f>2.6658 * CHOOSE(CONTROL!$C$22, $C$13, 100%, $E$13)</f>
        <v>2.6657999999999999</v>
      </c>
      <c r="C31" s="63">
        <f>2.6658 * CHOOSE(CONTROL!$C$22, $C$13, 100%, $E$13)</f>
        <v>2.6657999999999999</v>
      </c>
      <c r="D31" s="63">
        <f>2.7011 * CHOOSE(CONTROL!$C$22, $C$13, 100%, $E$13)</f>
        <v>2.7010999999999998</v>
      </c>
      <c r="E31" s="64">
        <f>3.383 * CHOOSE(CONTROL!$C$22, $C$13, 100%, $E$13)</f>
        <v>3.383</v>
      </c>
      <c r="F31" s="64">
        <f>4.017 * CHOOSE(CONTROL!$C$22, $C$13, 100%, $E$13)</f>
        <v>4.0170000000000003</v>
      </c>
      <c r="G31" s="64">
        <f>4.0192 * CHOOSE(CONTROL!$C$22, $C$13, 100%, $E$13)</f>
        <v>4.0191999999999997</v>
      </c>
      <c r="H31" s="64">
        <f>5.8151* CHOOSE(CONTROL!$C$22, $C$13, 100%, $E$13)</f>
        <v>5.8151000000000002</v>
      </c>
      <c r="I31" s="64">
        <f>5.8173 * CHOOSE(CONTROL!$C$22, $C$13, 100%, $E$13)</f>
        <v>5.8173000000000004</v>
      </c>
      <c r="J31" s="64">
        <f>3.383 * CHOOSE(CONTROL!$C$22, $C$13, 100%, $E$13)</f>
        <v>3.383</v>
      </c>
      <c r="K31" s="64">
        <f>3.3852 * CHOOSE(CONTROL!$C$22, $C$13, 100%, $E$13)</f>
        <v>3.3852000000000002</v>
      </c>
      <c r="L31" s="4"/>
      <c r="M31" s="4"/>
      <c r="N31" s="4"/>
    </row>
    <row r="32" spans="1:14" ht="15">
      <c r="A32" s="13">
        <v>42614</v>
      </c>
      <c r="B32" s="63">
        <f>2.6597 * CHOOSE(CONTROL!$C$22, $C$13, 100%, $E$13)</f>
        <v>2.6597</v>
      </c>
      <c r="C32" s="63">
        <f>2.6597 * CHOOSE(CONTROL!$C$22, $C$13, 100%, $E$13)</f>
        <v>2.6597</v>
      </c>
      <c r="D32" s="63">
        <f>2.695 * CHOOSE(CONTROL!$C$22, $C$13, 100%, $E$13)</f>
        <v>2.6949999999999998</v>
      </c>
      <c r="E32" s="64">
        <f>3.2732 * CHOOSE(CONTROL!$C$22, $C$13, 100%, $E$13)</f>
        <v>3.2732000000000001</v>
      </c>
      <c r="F32" s="64">
        <f>4.017 * CHOOSE(CONTROL!$C$22, $C$13, 100%, $E$13)</f>
        <v>4.0170000000000003</v>
      </c>
      <c r="G32" s="64">
        <f>4.0192 * CHOOSE(CONTROL!$C$22, $C$13, 100%, $E$13)</f>
        <v>4.0191999999999997</v>
      </c>
      <c r="H32" s="64">
        <f>5.8273* CHOOSE(CONTROL!$C$22, $C$13, 100%, $E$13)</f>
        <v>5.8273000000000001</v>
      </c>
      <c r="I32" s="64">
        <f>5.8294 * CHOOSE(CONTROL!$C$22, $C$13, 100%, $E$13)</f>
        <v>5.8293999999999997</v>
      </c>
      <c r="J32" s="64">
        <f>3.2732 * CHOOSE(CONTROL!$C$22, $C$13, 100%, $E$13)</f>
        <v>3.2732000000000001</v>
      </c>
      <c r="K32" s="64">
        <f>3.2754 * CHOOSE(CONTROL!$C$22, $C$13, 100%, $E$13)</f>
        <v>3.2753999999999999</v>
      </c>
      <c r="L32" s="4"/>
      <c r="M32" s="4"/>
      <c r="N32" s="4"/>
    </row>
    <row r="33" spans="1:14" ht="15">
      <c r="A33" s="13">
        <v>42644</v>
      </c>
      <c r="B33" s="63">
        <f>2.6898 * CHOOSE(CONTROL!$C$22, $C$13, 100%, $E$13)</f>
        <v>2.6898</v>
      </c>
      <c r="C33" s="63">
        <f>2.6898 * CHOOSE(CONTROL!$C$22, $C$13, 100%, $E$13)</f>
        <v>2.6898</v>
      </c>
      <c r="D33" s="63">
        <f>2.7075 * CHOOSE(CONTROL!$C$22, $C$13, 100%, $E$13)</f>
        <v>2.7075</v>
      </c>
      <c r="E33" s="64">
        <f>3.3427 * CHOOSE(CONTROL!$C$22, $C$13, 100%, $E$13)</f>
        <v>3.3426999999999998</v>
      </c>
      <c r="F33" s="64">
        <f>4.035 * CHOOSE(CONTROL!$C$22, $C$13, 100%, $E$13)</f>
        <v>4.0350000000000001</v>
      </c>
      <c r="G33" s="64">
        <f>4.0352 * CHOOSE(CONTROL!$C$22, $C$13, 100%, $E$13)</f>
        <v>4.0351999999999997</v>
      </c>
      <c r="H33" s="64">
        <f>5.8394* CHOOSE(CONTROL!$C$22, $C$13, 100%, $E$13)</f>
        <v>5.8394000000000004</v>
      </c>
      <c r="I33" s="64">
        <f>5.8396 * CHOOSE(CONTROL!$C$22, $C$13, 100%, $E$13)</f>
        <v>5.8395999999999999</v>
      </c>
      <c r="J33" s="64">
        <f>3.3427 * CHOOSE(CONTROL!$C$22, $C$13, 100%, $E$13)</f>
        <v>3.3426999999999998</v>
      </c>
      <c r="K33" s="64">
        <f>3.3429 * CHOOSE(CONTROL!$C$22, $C$13, 100%, $E$13)</f>
        <v>3.3429000000000002</v>
      </c>
      <c r="L33" s="4"/>
      <c r="M33" s="4"/>
      <c r="N33" s="4"/>
    </row>
    <row r="34" spans="1:14" ht="15">
      <c r="A34" s="13">
        <v>42675</v>
      </c>
      <c r="B34" s="63">
        <f>2.6928 * CHOOSE(CONTROL!$C$22, $C$13, 100%, $E$13)</f>
        <v>2.6928000000000001</v>
      </c>
      <c r="C34" s="63">
        <f>2.6928 * CHOOSE(CONTROL!$C$22, $C$13, 100%, $E$13)</f>
        <v>2.6928000000000001</v>
      </c>
      <c r="D34" s="63">
        <f>2.7105 * CHOOSE(CONTROL!$C$22, $C$13, 100%, $E$13)</f>
        <v>2.7105000000000001</v>
      </c>
      <c r="E34" s="64">
        <f>3.3427 * CHOOSE(CONTROL!$C$22, $C$13, 100%, $E$13)</f>
        <v>3.3426999999999998</v>
      </c>
      <c r="F34" s="64">
        <f>4.035 * CHOOSE(CONTROL!$C$22, $C$13, 100%, $E$13)</f>
        <v>4.0350000000000001</v>
      </c>
      <c r="G34" s="64">
        <f>4.0352 * CHOOSE(CONTROL!$C$22, $C$13, 100%, $E$13)</f>
        <v>4.0351999999999997</v>
      </c>
      <c r="H34" s="64">
        <f>5.8516* CHOOSE(CONTROL!$C$22, $C$13, 100%, $E$13)</f>
        <v>5.8516000000000004</v>
      </c>
      <c r="I34" s="64">
        <f>5.8517 * CHOOSE(CONTROL!$C$22, $C$13, 100%, $E$13)</f>
        <v>5.8517000000000001</v>
      </c>
      <c r="J34" s="64">
        <f>3.3427 * CHOOSE(CONTROL!$C$22, $C$13, 100%, $E$13)</f>
        <v>3.3426999999999998</v>
      </c>
      <c r="K34" s="64">
        <f>3.3429 * CHOOSE(CONTROL!$C$22, $C$13, 100%, $E$13)</f>
        <v>3.3429000000000002</v>
      </c>
      <c r="L34" s="4"/>
      <c r="M34" s="4"/>
      <c r="N34" s="4"/>
    </row>
    <row r="35" spans="1:14" ht="15">
      <c r="A35" s="13">
        <v>42705</v>
      </c>
      <c r="B35" s="63">
        <f>2.6959 * CHOOSE(CONTROL!$C$22, $C$13, 100%, $E$13)</f>
        <v>2.6959</v>
      </c>
      <c r="C35" s="63">
        <f>2.6959 * CHOOSE(CONTROL!$C$22, $C$13, 100%, $E$13)</f>
        <v>2.6959</v>
      </c>
      <c r="D35" s="63">
        <f>2.7135 * CHOOSE(CONTROL!$C$22, $C$13, 100%, $E$13)</f>
        <v>2.7134999999999998</v>
      </c>
      <c r="E35" s="64">
        <f>3.5831 * CHOOSE(CONTROL!$C$22, $C$13, 100%, $E$13)</f>
        <v>3.5831</v>
      </c>
      <c r="F35" s="64">
        <f>4.017 * CHOOSE(CONTROL!$C$22, $C$13, 100%, $E$13)</f>
        <v>4.0170000000000003</v>
      </c>
      <c r="G35" s="64">
        <f>4.0172 * CHOOSE(CONTROL!$C$22, $C$13, 100%, $E$13)</f>
        <v>4.0171999999999999</v>
      </c>
      <c r="H35" s="64">
        <f>5.8638* CHOOSE(CONTROL!$C$22, $C$13, 100%, $E$13)</f>
        <v>5.8638000000000003</v>
      </c>
      <c r="I35" s="64">
        <f>5.8639 * CHOOSE(CONTROL!$C$22, $C$13, 100%, $E$13)</f>
        <v>5.8639000000000001</v>
      </c>
      <c r="J35" s="64">
        <f>3.5831 * CHOOSE(CONTROL!$C$22, $C$13, 100%, $E$13)</f>
        <v>3.5831</v>
      </c>
      <c r="K35" s="64">
        <f>3.5833 * CHOOSE(CONTROL!$C$22, $C$13, 100%, $E$13)</f>
        <v>3.5832999999999999</v>
      </c>
      <c r="L35" s="4"/>
      <c r="M35" s="4"/>
      <c r="N35" s="4"/>
    </row>
    <row r="36" spans="1:14" ht="15">
      <c r="A36" s="13">
        <v>42736</v>
      </c>
      <c r="B36" s="63">
        <f>2.7015 * CHOOSE(CONTROL!$C$22, $C$13, 100%, $E$13)</f>
        <v>2.7014999999999998</v>
      </c>
      <c r="C36" s="63">
        <f>2.7015 * CHOOSE(CONTROL!$C$22, $C$13, 100%, $E$13)</f>
        <v>2.7014999999999998</v>
      </c>
      <c r="D36" s="63">
        <f>2.7192 * CHOOSE(CONTROL!$C$22, $C$13, 100%, $E$13)</f>
        <v>2.7191999999999998</v>
      </c>
      <c r="E36" s="64">
        <f>3.4856 * CHOOSE(CONTROL!$C$22, $C$13, 100%, $E$13)</f>
        <v>3.4855999999999998</v>
      </c>
      <c r="F36" s="64">
        <f>3.4856 * CHOOSE(CONTROL!$C$22, $C$13, 100%, $E$13)</f>
        <v>3.4855999999999998</v>
      </c>
      <c r="G36" s="64">
        <f>3.4858 * CHOOSE(CONTROL!$C$22, $C$13, 100%, $E$13)</f>
        <v>3.4857999999999998</v>
      </c>
      <c r="H36" s="64">
        <f>5.876* CHOOSE(CONTROL!$C$22, $C$13, 100%, $E$13)</f>
        <v>5.8760000000000003</v>
      </c>
      <c r="I36" s="64">
        <f>5.8761 * CHOOSE(CONTROL!$C$22, $C$13, 100%, $E$13)</f>
        <v>5.8761000000000001</v>
      </c>
      <c r="J36" s="64">
        <f>3.4856 * CHOOSE(CONTROL!$C$22, $C$13, 100%, $E$13)</f>
        <v>3.4855999999999998</v>
      </c>
      <c r="K36" s="64">
        <f>3.4858 * CHOOSE(CONTROL!$C$22, $C$13, 100%, $E$13)</f>
        <v>3.4857999999999998</v>
      </c>
      <c r="L36" s="4"/>
      <c r="M36" s="4"/>
      <c r="N36" s="4"/>
    </row>
    <row r="37" spans="1:14" ht="15">
      <c r="A37" s="13">
        <v>42767</v>
      </c>
      <c r="B37" s="63">
        <f>2.6954 * CHOOSE(CONTROL!$C$22, $C$13, 100%, $E$13)</f>
        <v>2.6953999999999998</v>
      </c>
      <c r="C37" s="63">
        <f>2.6954 * CHOOSE(CONTROL!$C$22, $C$13, 100%, $E$13)</f>
        <v>2.6953999999999998</v>
      </c>
      <c r="D37" s="63">
        <f>2.7131 * CHOOSE(CONTROL!$C$22, $C$13, 100%, $E$13)</f>
        <v>2.7130999999999998</v>
      </c>
      <c r="E37" s="64">
        <f>3.3873 * CHOOSE(CONTROL!$C$22, $C$13, 100%, $E$13)</f>
        <v>3.3873000000000002</v>
      </c>
      <c r="F37" s="64">
        <f>3.3873 * CHOOSE(CONTROL!$C$22, $C$13, 100%, $E$13)</f>
        <v>3.3873000000000002</v>
      </c>
      <c r="G37" s="64">
        <f>3.3875 * CHOOSE(CONTROL!$C$22, $C$13, 100%, $E$13)</f>
        <v>3.3875000000000002</v>
      </c>
      <c r="H37" s="64">
        <f>5.8882* CHOOSE(CONTROL!$C$22, $C$13, 100%, $E$13)</f>
        <v>5.8882000000000003</v>
      </c>
      <c r="I37" s="64">
        <f>5.8884 * CHOOSE(CONTROL!$C$22, $C$13, 100%, $E$13)</f>
        <v>5.8883999999999999</v>
      </c>
      <c r="J37" s="64">
        <f>3.3873 * CHOOSE(CONTROL!$C$22, $C$13, 100%, $E$13)</f>
        <v>3.3873000000000002</v>
      </c>
      <c r="K37" s="64">
        <f>3.3875 * CHOOSE(CONTROL!$C$22, $C$13, 100%, $E$13)</f>
        <v>3.3875000000000002</v>
      </c>
      <c r="L37" s="4"/>
      <c r="M37" s="4"/>
      <c r="N37" s="4"/>
    </row>
    <row r="38" spans="1:14" ht="15">
      <c r="A38" s="13">
        <v>42795</v>
      </c>
      <c r="B38" s="63">
        <f>2.6924 * CHOOSE(CONTROL!$C$22, $C$13, 100%, $E$13)</f>
        <v>2.6924000000000001</v>
      </c>
      <c r="C38" s="63">
        <f>2.6924 * CHOOSE(CONTROL!$C$22, $C$13, 100%, $E$13)</f>
        <v>2.6924000000000001</v>
      </c>
      <c r="D38" s="63">
        <f>2.71 * CHOOSE(CONTROL!$C$22, $C$13, 100%, $E$13)</f>
        <v>2.71</v>
      </c>
      <c r="E38" s="64">
        <f>3.4487 * CHOOSE(CONTROL!$C$22, $C$13, 100%, $E$13)</f>
        <v>3.4487000000000001</v>
      </c>
      <c r="F38" s="64">
        <f>3.4487 * CHOOSE(CONTROL!$C$22, $C$13, 100%, $E$13)</f>
        <v>3.4487000000000001</v>
      </c>
      <c r="G38" s="64">
        <f>3.4489 * CHOOSE(CONTROL!$C$22, $C$13, 100%, $E$13)</f>
        <v>3.4489000000000001</v>
      </c>
      <c r="H38" s="64">
        <f>5.9005* CHOOSE(CONTROL!$C$22, $C$13, 100%, $E$13)</f>
        <v>5.9005000000000001</v>
      </c>
      <c r="I38" s="64">
        <f>5.9007 * CHOOSE(CONTROL!$C$22, $C$13, 100%, $E$13)</f>
        <v>5.9006999999999996</v>
      </c>
      <c r="J38" s="64">
        <f>3.4487 * CHOOSE(CONTROL!$C$22, $C$13, 100%, $E$13)</f>
        <v>3.4487000000000001</v>
      </c>
      <c r="K38" s="64">
        <f>3.4489 * CHOOSE(CONTROL!$C$22, $C$13, 100%, $E$13)</f>
        <v>3.4489000000000001</v>
      </c>
      <c r="L38" s="4"/>
      <c r="M38" s="4"/>
      <c r="N38" s="4"/>
    </row>
    <row r="39" spans="1:14" ht="15">
      <c r="A39" s="13">
        <v>42826</v>
      </c>
      <c r="B39" s="63">
        <f>2.7147 * CHOOSE(CONTROL!$C$22, $C$13, 100%, $E$13)</f>
        <v>2.7147000000000001</v>
      </c>
      <c r="C39" s="63">
        <f>2.7147 * CHOOSE(CONTROL!$C$22, $C$13, 100%, $E$13)</f>
        <v>2.7147000000000001</v>
      </c>
      <c r="D39" s="63">
        <f>2.7324 * CHOOSE(CONTROL!$C$22, $C$13, 100%, $E$13)</f>
        <v>2.7324000000000002</v>
      </c>
      <c r="E39" s="64">
        <f>3.3873 * CHOOSE(CONTROL!$C$22, $C$13, 100%, $E$13)</f>
        <v>3.3873000000000002</v>
      </c>
      <c r="F39" s="64">
        <f>3.3873 * CHOOSE(CONTROL!$C$22, $C$13, 100%, $E$13)</f>
        <v>3.3873000000000002</v>
      </c>
      <c r="G39" s="64">
        <f>3.3875 * CHOOSE(CONTROL!$C$22, $C$13, 100%, $E$13)</f>
        <v>3.3875000000000002</v>
      </c>
      <c r="H39" s="64">
        <f>5.9128* CHOOSE(CONTROL!$C$22, $C$13, 100%, $E$13)</f>
        <v>5.9127999999999998</v>
      </c>
      <c r="I39" s="64">
        <f>5.9129 * CHOOSE(CONTROL!$C$22, $C$13, 100%, $E$13)</f>
        <v>5.9128999999999996</v>
      </c>
      <c r="J39" s="64">
        <f>3.3873 * CHOOSE(CONTROL!$C$22, $C$13, 100%, $E$13)</f>
        <v>3.3873000000000002</v>
      </c>
      <c r="K39" s="64">
        <f>3.3875 * CHOOSE(CONTROL!$C$22, $C$13, 100%, $E$13)</f>
        <v>3.3875000000000002</v>
      </c>
      <c r="L39" s="4"/>
      <c r="M39" s="4"/>
      <c r="N39" s="4"/>
    </row>
    <row r="40" spans="1:14" ht="15">
      <c r="A40" s="13">
        <v>42856</v>
      </c>
      <c r="B40" s="63">
        <f>2.7117 * CHOOSE(CONTROL!$C$22, $C$13, 100%, $E$13)</f>
        <v>2.7117</v>
      </c>
      <c r="C40" s="63">
        <f>2.7117 * CHOOSE(CONTROL!$C$22, $C$13, 100%, $E$13)</f>
        <v>2.7117</v>
      </c>
      <c r="D40" s="63">
        <f>2.747 * CHOOSE(CONTROL!$C$22, $C$13, 100%, $E$13)</f>
        <v>2.7469999999999999</v>
      </c>
      <c r="E40" s="64">
        <f>3.3873 * CHOOSE(CONTROL!$C$22, $C$13, 100%, $E$13)</f>
        <v>3.3873000000000002</v>
      </c>
      <c r="F40" s="64">
        <f>3.3873 * CHOOSE(CONTROL!$C$22, $C$13, 100%, $E$13)</f>
        <v>3.3873000000000002</v>
      </c>
      <c r="G40" s="64">
        <f>3.3895 * CHOOSE(CONTROL!$C$22, $C$13, 100%, $E$13)</f>
        <v>3.3895</v>
      </c>
      <c r="H40" s="64">
        <f>5.9251* CHOOSE(CONTROL!$C$22, $C$13, 100%, $E$13)</f>
        <v>5.9250999999999996</v>
      </c>
      <c r="I40" s="64">
        <f>5.9273 * CHOOSE(CONTROL!$C$22, $C$13, 100%, $E$13)</f>
        <v>5.9272999999999998</v>
      </c>
      <c r="J40" s="64">
        <f>3.3873 * CHOOSE(CONTROL!$C$22, $C$13, 100%, $E$13)</f>
        <v>3.3873000000000002</v>
      </c>
      <c r="K40" s="64">
        <f>3.3895 * CHOOSE(CONTROL!$C$22, $C$13, 100%, $E$13)</f>
        <v>3.3895</v>
      </c>
      <c r="L40" s="4"/>
      <c r="M40" s="4"/>
      <c r="N40" s="4"/>
    </row>
    <row r="41" spans="1:14" ht="15">
      <c r="A41" s="13">
        <v>42887</v>
      </c>
      <c r="B41" s="63">
        <f>2.7177 * CHOOSE(CONTROL!$C$22, $C$13, 100%, $E$13)</f>
        <v>2.7176999999999998</v>
      </c>
      <c r="C41" s="63">
        <f>2.7177 * CHOOSE(CONTROL!$C$22, $C$13, 100%, $E$13)</f>
        <v>2.7176999999999998</v>
      </c>
      <c r="D41" s="63">
        <f>2.753 * CHOOSE(CONTROL!$C$22, $C$13, 100%, $E$13)</f>
        <v>2.7530000000000001</v>
      </c>
      <c r="E41" s="64">
        <f>3.2645 * CHOOSE(CONTROL!$C$22, $C$13, 100%, $E$13)</f>
        <v>3.2645</v>
      </c>
      <c r="F41" s="64">
        <f>3.2645 * CHOOSE(CONTROL!$C$22, $C$13, 100%, $E$13)</f>
        <v>3.2645</v>
      </c>
      <c r="G41" s="64">
        <f>3.2667 * CHOOSE(CONTROL!$C$22, $C$13, 100%, $E$13)</f>
        <v>3.2667000000000002</v>
      </c>
      <c r="H41" s="64">
        <f>5.9374* CHOOSE(CONTROL!$C$22, $C$13, 100%, $E$13)</f>
        <v>5.9374000000000002</v>
      </c>
      <c r="I41" s="64">
        <f>5.9396 * CHOOSE(CONTROL!$C$22, $C$13, 100%, $E$13)</f>
        <v>5.9396000000000004</v>
      </c>
      <c r="J41" s="64">
        <f>3.2645 * CHOOSE(CONTROL!$C$22, $C$13, 100%, $E$13)</f>
        <v>3.2645</v>
      </c>
      <c r="K41" s="64">
        <f>3.2667 * CHOOSE(CONTROL!$C$22, $C$13, 100%, $E$13)</f>
        <v>3.2667000000000002</v>
      </c>
      <c r="L41" s="4"/>
      <c r="M41" s="4"/>
      <c r="N41" s="4"/>
    </row>
    <row r="42" spans="1:14" ht="15">
      <c r="A42" s="13">
        <v>42917</v>
      </c>
      <c r="B42" s="63">
        <f>2.7414 * CHOOSE(CONTROL!$C$22, $C$13, 100%, $E$13)</f>
        <v>2.7414000000000001</v>
      </c>
      <c r="C42" s="63">
        <f>2.7414 * CHOOSE(CONTROL!$C$22, $C$13, 100%, $E$13)</f>
        <v>2.7414000000000001</v>
      </c>
      <c r="D42" s="63">
        <f>2.7768 * CHOOSE(CONTROL!$C$22, $C$13, 100%, $E$13)</f>
        <v>2.7768000000000002</v>
      </c>
      <c r="E42" s="64">
        <f>3.633 * CHOOSE(CONTROL!$C$22, $C$13, 100%, $E$13)</f>
        <v>3.633</v>
      </c>
      <c r="F42" s="64">
        <f>3.633 * CHOOSE(CONTROL!$C$22, $C$13, 100%, $E$13)</f>
        <v>3.633</v>
      </c>
      <c r="G42" s="64">
        <f>3.6352 * CHOOSE(CONTROL!$C$22, $C$13, 100%, $E$13)</f>
        <v>3.6352000000000002</v>
      </c>
      <c r="H42" s="64">
        <f>5.9498* CHOOSE(CONTROL!$C$22, $C$13, 100%, $E$13)</f>
        <v>5.9497999999999998</v>
      </c>
      <c r="I42" s="64">
        <f>5.952 * CHOOSE(CONTROL!$C$22, $C$13, 100%, $E$13)</f>
        <v>5.952</v>
      </c>
      <c r="J42" s="64">
        <f>3.633 * CHOOSE(CONTROL!$C$22, $C$13, 100%, $E$13)</f>
        <v>3.633</v>
      </c>
      <c r="K42" s="64">
        <f>3.6352 * CHOOSE(CONTROL!$C$22, $C$13, 100%, $E$13)</f>
        <v>3.6352000000000002</v>
      </c>
      <c r="L42" s="4"/>
      <c r="M42" s="4"/>
      <c r="N42" s="4"/>
    </row>
    <row r="43" spans="1:14" ht="15">
      <c r="A43" s="13">
        <v>42948</v>
      </c>
      <c r="B43" s="63">
        <f>2.7566 * CHOOSE(CONTROL!$C$22, $C$13, 100%, $E$13)</f>
        <v>2.7566000000000002</v>
      </c>
      <c r="C43" s="63">
        <f>2.7566 * CHOOSE(CONTROL!$C$22, $C$13, 100%, $E$13)</f>
        <v>2.7566000000000002</v>
      </c>
      <c r="D43" s="63">
        <f>2.792 * CHOOSE(CONTROL!$C$22, $C$13, 100%, $E$13)</f>
        <v>2.7919999999999998</v>
      </c>
      <c r="E43" s="64">
        <f>3.633 * CHOOSE(CONTROL!$C$22, $C$13, 100%, $E$13)</f>
        <v>3.633</v>
      </c>
      <c r="F43" s="64">
        <f>3.633 * CHOOSE(CONTROL!$C$22, $C$13, 100%, $E$13)</f>
        <v>3.633</v>
      </c>
      <c r="G43" s="64">
        <f>3.6352 * CHOOSE(CONTROL!$C$22, $C$13, 100%, $E$13)</f>
        <v>3.6352000000000002</v>
      </c>
      <c r="H43" s="64">
        <f>5.9622* CHOOSE(CONTROL!$C$22, $C$13, 100%, $E$13)</f>
        <v>5.9622000000000002</v>
      </c>
      <c r="I43" s="64">
        <f>5.9644 * CHOOSE(CONTROL!$C$22, $C$13, 100%, $E$13)</f>
        <v>5.9644000000000004</v>
      </c>
      <c r="J43" s="64">
        <f>3.633 * CHOOSE(CONTROL!$C$22, $C$13, 100%, $E$13)</f>
        <v>3.633</v>
      </c>
      <c r="K43" s="64">
        <f>3.6352 * CHOOSE(CONTROL!$C$22, $C$13, 100%, $E$13)</f>
        <v>3.6352000000000002</v>
      </c>
      <c r="L43" s="4"/>
      <c r="M43" s="4"/>
      <c r="N43" s="4"/>
    </row>
    <row r="44" spans="1:14" ht="15">
      <c r="A44" s="13">
        <v>42979</v>
      </c>
      <c r="B44" s="63">
        <f>2.7506 * CHOOSE(CONTROL!$C$22, $C$13, 100%, $E$13)</f>
        <v>2.7505999999999999</v>
      </c>
      <c r="C44" s="63">
        <f>2.7506 * CHOOSE(CONTROL!$C$22, $C$13, 100%, $E$13)</f>
        <v>2.7505999999999999</v>
      </c>
      <c r="D44" s="63">
        <f>2.7859 * CHOOSE(CONTROL!$C$22, $C$13, 100%, $E$13)</f>
        <v>2.7858999999999998</v>
      </c>
      <c r="E44" s="64">
        <f>3.633 * CHOOSE(CONTROL!$C$22, $C$13, 100%, $E$13)</f>
        <v>3.633</v>
      </c>
      <c r="F44" s="64">
        <f>3.633 * CHOOSE(CONTROL!$C$22, $C$13, 100%, $E$13)</f>
        <v>3.633</v>
      </c>
      <c r="G44" s="64">
        <f>3.6352 * CHOOSE(CONTROL!$C$22, $C$13, 100%, $E$13)</f>
        <v>3.6352000000000002</v>
      </c>
      <c r="H44" s="64">
        <f>5.9746* CHOOSE(CONTROL!$C$22, $C$13, 100%, $E$13)</f>
        <v>5.9745999999999997</v>
      </c>
      <c r="I44" s="64">
        <f>5.9768 * CHOOSE(CONTROL!$C$22, $C$13, 100%, $E$13)</f>
        <v>5.9767999999999999</v>
      </c>
      <c r="J44" s="64">
        <f>3.633 * CHOOSE(CONTROL!$C$22, $C$13, 100%, $E$13)</f>
        <v>3.633</v>
      </c>
      <c r="K44" s="64">
        <f>3.6352 * CHOOSE(CONTROL!$C$22, $C$13, 100%, $E$13)</f>
        <v>3.6352000000000002</v>
      </c>
      <c r="L44" s="4"/>
      <c r="M44" s="4"/>
      <c r="N44" s="4"/>
    </row>
    <row r="45" spans="1:14" ht="15">
      <c r="A45" s="13">
        <v>43009</v>
      </c>
      <c r="B45" s="63">
        <f>2.7682 * CHOOSE(CONTROL!$C$22, $C$13, 100%, $E$13)</f>
        <v>2.7682000000000002</v>
      </c>
      <c r="C45" s="63">
        <f>2.7682 * CHOOSE(CONTROL!$C$22, $C$13, 100%, $E$13)</f>
        <v>2.7682000000000002</v>
      </c>
      <c r="D45" s="63">
        <f>2.7859 * CHOOSE(CONTROL!$C$22, $C$13, 100%, $E$13)</f>
        <v>2.7858999999999998</v>
      </c>
      <c r="E45" s="64">
        <f>3.633 * CHOOSE(CONTROL!$C$22, $C$13, 100%, $E$13)</f>
        <v>3.633</v>
      </c>
      <c r="F45" s="64">
        <f>3.633 * CHOOSE(CONTROL!$C$22, $C$13, 100%, $E$13)</f>
        <v>3.633</v>
      </c>
      <c r="G45" s="64">
        <f>3.6332 * CHOOSE(CONTROL!$C$22, $C$13, 100%, $E$13)</f>
        <v>3.6332</v>
      </c>
      <c r="H45" s="64">
        <f>5.9871* CHOOSE(CONTROL!$C$22, $C$13, 100%, $E$13)</f>
        <v>5.9870999999999999</v>
      </c>
      <c r="I45" s="64">
        <f>5.9872 * CHOOSE(CONTROL!$C$22, $C$13, 100%, $E$13)</f>
        <v>5.9871999999999996</v>
      </c>
      <c r="J45" s="64">
        <f>3.633 * CHOOSE(CONTROL!$C$22, $C$13, 100%, $E$13)</f>
        <v>3.633</v>
      </c>
      <c r="K45" s="64">
        <f>3.6332 * CHOOSE(CONTROL!$C$22, $C$13, 100%, $E$13)</f>
        <v>3.6332</v>
      </c>
      <c r="L45" s="4"/>
      <c r="M45" s="4"/>
      <c r="N45" s="4"/>
    </row>
    <row r="46" spans="1:14" ht="15">
      <c r="A46" s="13">
        <v>43040</v>
      </c>
      <c r="B46" s="63">
        <f>2.7713 * CHOOSE(CONTROL!$C$22, $C$13, 100%, $E$13)</f>
        <v>2.7713000000000001</v>
      </c>
      <c r="C46" s="63">
        <f>2.7713 * CHOOSE(CONTROL!$C$22, $C$13, 100%, $E$13)</f>
        <v>2.7713000000000001</v>
      </c>
      <c r="D46" s="63">
        <f>2.7889 * CHOOSE(CONTROL!$C$22, $C$13, 100%, $E$13)</f>
        <v>2.7888999999999999</v>
      </c>
      <c r="E46" s="64">
        <f>3.633 * CHOOSE(CONTROL!$C$22, $C$13, 100%, $E$13)</f>
        <v>3.633</v>
      </c>
      <c r="F46" s="64">
        <f>3.633 * CHOOSE(CONTROL!$C$22, $C$13, 100%, $E$13)</f>
        <v>3.633</v>
      </c>
      <c r="G46" s="64">
        <f>3.6332 * CHOOSE(CONTROL!$C$22, $C$13, 100%, $E$13)</f>
        <v>3.6332</v>
      </c>
      <c r="H46" s="64">
        <f>5.9995* CHOOSE(CONTROL!$C$22, $C$13, 100%, $E$13)</f>
        <v>5.9995000000000003</v>
      </c>
      <c r="I46" s="64">
        <f>5.9997 * CHOOSE(CONTROL!$C$22, $C$13, 100%, $E$13)</f>
        <v>5.9996999999999998</v>
      </c>
      <c r="J46" s="64">
        <f>3.633 * CHOOSE(CONTROL!$C$22, $C$13, 100%, $E$13)</f>
        <v>3.633</v>
      </c>
      <c r="K46" s="64">
        <f>3.6332 * CHOOSE(CONTROL!$C$22, $C$13, 100%, $E$13)</f>
        <v>3.6332</v>
      </c>
      <c r="L46" s="4"/>
      <c r="M46" s="4"/>
      <c r="N46" s="4"/>
    </row>
    <row r="47" spans="1:14" ht="15">
      <c r="A47" s="13">
        <v>43070</v>
      </c>
      <c r="B47" s="63">
        <f>2.7743 * CHOOSE(CONTROL!$C$22, $C$13, 100%, $E$13)</f>
        <v>2.7743000000000002</v>
      </c>
      <c r="C47" s="63">
        <f>2.7743 * CHOOSE(CONTROL!$C$22, $C$13, 100%, $E$13)</f>
        <v>2.7743000000000002</v>
      </c>
      <c r="D47" s="63">
        <f>2.792 * CHOOSE(CONTROL!$C$22, $C$13, 100%, $E$13)</f>
        <v>2.7919999999999998</v>
      </c>
      <c r="E47" s="64">
        <f>3.633 * CHOOSE(CONTROL!$C$22, $C$13, 100%, $E$13)</f>
        <v>3.633</v>
      </c>
      <c r="F47" s="64">
        <f>3.633 * CHOOSE(CONTROL!$C$22, $C$13, 100%, $E$13)</f>
        <v>3.633</v>
      </c>
      <c r="G47" s="64">
        <f>3.6332 * CHOOSE(CONTROL!$C$22, $C$13, 100%, $E$13)</f>
        <v>3.6332</v>
      </c>
      <c r="H47" s="64">
        <f>6.012* CHOOSE(CONTROL!$C$22, $C$13, 100%, $E$13)</f>
        <v>6.0119999999999996</v>
      </c>
      <c r="I47" s="64">
        <f>6.0122 * CHOOSE(CONTROL!$C$22, $C$13, 100%, $E$13)</f>
        <v>6.0122</v>
      </c>
      <c r="J47" s="64">
        <f>3.633 * CHOOSE(CONTROL!$C$22, $C$13, 100%, $E$13)</f>
        <v>3.633</v>
      </c>
      <c r="K47" s="64">
        <f>3.6332 * CHOOSE(CONTROL!$C$22, $C$13, 100%, $E$13)</f>
        <v>3.6332</v>
      </c>
      <c r="L47" s="4"/>
      <c r="M47" s="4"/>
      <c r="N47" s="4"/>
    </row>
    <row r="48" spans="1:14" ht="15">
      <c r="A48" s="13">
        <v>43101</v>
      </c>
      <c r="B48" s="63">
        <f>2.8174 * CHOOSE(CONTROL!$C$22, $C$13, 100%, $E$13)</f>
        <v>2.8174000000000001</v>
      </c>
      <c r="C48" s="63">
        <f>2.8174 * CHOOSE(CONTROL!$C$22, $C$13, 100%, $E$13)</f>
        <v>2.8174000000000001</v>
      </c>
      <c r="D48" s="63">
        <f>2.8351 * CHOOSE(CONTROL!$C$22, $C$13, 100%, $E$13)</f>
        <v>2.8351000000000002</v>
      </c>
      <c r="E48" s="64">
        <f>3.2609 * CHOOSE(CONTROL!$C$22, $C$13, 100%, $E$13)</f>
        <v>3.2608999999999999</v>
      </c>
      <c r="F48" s="64">
        <f>3.2609 * CHOOSE(CONTROL!$C$22, $C$13, 100%, $E$13)</f>
        <v>3.2608999999999999</v>
      </c>
      <c r="G48" s="64">
        <f>3.261 * CHOOSE(CONTROL!$C$22, $C$13, 100%, $E$13)</f>
        <v>3.2610000000000001</v>
      </c>
      <c r="H48" s="64">
        <f>6.0246* CHOOSE(CONTROL!$C$22, $C$13, 100%, $E$13)</f>
        <v>6.0246000000000004</v>
      </c>
      <c r="I48" s="64">
        <f>6.0247 * CHOOSE(CONTROL!$C$22, $C$13, 100%, $E$13)</f>
        <v>6.0247000000000002</v>
      </c>
      <c r="J48" s="64">
        <f>3.2609 * CHOOSE(CONTROL!$C$22, $C$13, 100%, $E$13)</f>
        <v>3.2608999999999999</v>
      </c>
      <c r="K48" s="64">
        <f>3.261 * CHOOSE(CONTROL!$C$22, $C$13, 100%, $E$13)</f>
        <v>3.2610000000000001</v>
      </c>
      <c r="L48" s="4"/>
      <c r="M48" s="4"/>
      <c r="N48" s="4"/>
    </row>
    <row r="49" spans="1:14" ht="15">
      <c r="A49" s="13">
        <v>43132</v>
      </c>
      <c r="B49" s="63">
        <f>2.8144 * CHOOSE(CONTROL!$C$22, $C$13, 100%, $E$13)</f>
        <v>2.8144</v>
      </c>
      <c r="C49" s="63">
        <f>2.8144 * CHOOSE(CONTROL!$C$22, $C$13, 100%, $E$13)</f>
        <v>2.8144</v>
      </c>
      <c r="D49" s="63">
        <f>2.832 * CHOOSE(CONTROL!$C$22, $C$13, 100%, $E$13)</f>
        <v>2.8319999999999999</v>
      </c>
      <c r="E49" s="64">
        <f>3.2349 * CHOOSE(CONTROL!$C$22, $C$13, 100%, $E$13)</f>
        <v>3.2349000000000001</v>
      </c>
      <c r="F49" s="64">
        <f>3.2349 * CHOOSE(CONTROL!$C$22, $C$13, 100%, $E$13)</f>
        <v>3.2349000000000001</v>
      </c>
      <c r="G49" s="64">
        <f>3.2351 * CHOOSE(CONTROL!$C$22, $C$13, 100%, $E$13)</f>
        <v>3.2351000000000001</v>
      </c>
      <c r="H49" s="64">
        <f>6.0371* CHOOSE(CONTROL!$C$22, $C$13, 100%, $E$13)</f>
        <v>6.0370999999999997</v>
      </c>
      <c r="I49" s="64">
        <f>6.0373 * CHOOSE(CONTROL!$C$22, $C$13, 100%, $E$13)</f>
        <v>6.0373000000000001</v>
      </c>
      <c r="J49" s="64">
        <f>3.2349 * CHOOSE(CONTROL!$C$22, $C$13, 100%, $E$13)</f>
        <v>3.2349000000000001</v>
      </c>
      <c r="K49" s="64">
        <f>3.2351 * CHOOSE(CONTROL!$C$22, $C$13, 100%, $E$13)</f>
        <v>3.2351000000000001</v>
      </c>
      <c r="L49" s="4"/>
      <c r="M49" s="4"/>
      <c r="N49" s="4"/>
    </row>
    <row r="50" spans="1:14" ht="15">
      <c r="A50" s="13">
        <v>43160</v>
      </c>
      <c r="B50" s="63">
        <f>2.8113 * CHOOSE(CONTROL!$C$22, $C$13, 100%, $E$13)</f>
        <v>2.8113000000000001</v>
      </c>
      <c r="C50" s="63">
        <f>2.8113 * CHOOSE(CONTROL!$C$22, $C$13, 100%, $E$13)</f>
        <v>2.8113000000000001</v>
      </c>
      <c r="D50" s="63">
        <f>2.829 * CHOOSE(CONTROL!$C$22, $C$13, 100%, $E$13)</f>
        <v>2.8290000000000002</v>
      </c>
      <c r="E50" s="64">
        <f>3.2516 * CHOOSE(CONTROL!$C$22, $C$13, 100%, $E$13)</f>
        <v>3.2515999999999998</v>
      </c>
      <c r="F50" s="64">
        <f>3.2516 * CHOOSE(CONTROL!$C$22, $C$13, 100%, $E$13)</f>
        <v>3.2515999999999998</v>
      </c>
      <c r="G50" s="64">
        <f>3.2518 * CHOOSE(CONTROL!$C$22, $C$13, 100%, $E$13)</f>
        <v>3.2517999999999998</v>
      </c>
      <c r="H50" s="64">
        <f>6.0497* CHOOSE(CONTROL!$C$22, $C$13, 100%, $E$13)</f>
        <v>6.0496999999999996</v>
      </c>
      <c r="I50" s="64">
        <f>6.0499 * CHOOSE(CONTROL!$C$22, $C$13, 100%, $E$13)</f>
        <v>6.0499000000000001</v>
      </c>
      <c r="J50" s="64">
        <f>3.2516 * CHOOSE(CONTROL!$C$22, $C$13, 100%, $E$13)</f>
        <v>3.2515999999999998</v>
      </c>
      <c r="K50" s="64">
        <f>3.2518 * CHOOSE(CONTROL!$C$22, $C$13, 100%, $E$13)</f>
        <v>3.2517999999999998</v>
      </c>
      <c r="L50" s="4"/>
      <c r="M50" s="4"/>
      <c r="N50" s="4"/>
    </row>
    <row r="51" spans="1:14" ht="15">
      <c r="A51" s="13">
        <v>43191</v>
      </c>
      <c r="B51" s="63">
        <f>2.8078 * CHOOSE(CONTROL!$C$22, $C$13, 100%, $E$13)</f>
        <v>2.8077999999999999</v>
      </c>
      <c r="C51" s="63">
        <f>2.8078 * CHOOSE(CONTROL!$C$22, $C$13, 100%, $E$13)</f>
        <v>2.8077999999999999</v>
      </c>
      <c r="D51" s="63">
        <f>2.8255 * CHOOSE(CONTROL!$C$22, $C$13, 100%, $E$13)</f>
        <v>2.8254999999999999</v>
      </c>
      <c r="E51" s="64">
        <f>3.2675 * CHOOSE(CONTROL!$C$22, $C$13, 100%, $E$13)</f>
        <v>3.2675000000000001</v>
      </c>
      <c r="F51" s="64">
        <f>3.2675 * CHOOSE(CONTROL!$C$22, $C$13, 100%, $E$13)</f>
        <v>3.2675000000000001</v>
      </c>
      <c r="G51" s="64">
        <f>3.2677 * CHOOSE(CONTROL!$C$22, $C$13, 100%, $E$13)</f>
        <v>3.2677</v>
      </c>
      <c r="H51" s="64">
        <f>6.0623* CHOOSE(CONTROL!$C$22, $C$13, 100%, $E$13)</f>
        <v>6.0622999999999996</v>
      </c>
      <c r="I51" s="64">
        <f>6.0625 * CHOOSE(CONTROL!$C$22, $C$13, 100%, $E$13)</f>
        <v>6.0625</v>
      </c>
      <c r="J51" s="64">
        <f>3.2675 * CHOOSE(CONTROL!$C$22, $C$13, 100%, $E$13)</f>
        <v>3.2675000000000001</v>
      </c>
      <c r="K51" s="64">
        <f>3.2677 * CHOOSE(CONTROL!$C$22, $C$13, 100%, $E$13)</f>
        <v>3.2677</v>
      </c>
      <c r="L51" s="4"/>
      <c r="M51" s="4"/>
      <c r="N51" s="4"/>
    </row>
    <row r="52" spans="1:14" ht="15">
      <c r="A52" s="13">
        <v>43221</v>
      </c>
      <c r="B52" s="63">
        <f>2.8078 * CHOOSE(CONTROL!$C$22, $C$13, 100%, $E$13)</f>
        <v>2.8077999999999999</v>
      </c>
      <c r="C52" s="63">
        <f>2.8078 * CHOOSE(CONTROL!$C$22, $C$13, 100%, $E$13)</f>
        <v>2.8077999999999999</v>
      </c>
      <c r="D52" s="63">
        <f>2.8432 * CHOOSE(CONTROL!$C$22, $C$13, 100%, $E$13)</f>
        <v>2.8431999999999999</v>
      </c>
      <c r="E52" s="64">
        <f>3.2751 * CHOOSE(CONTROL!$C$22, $C$13, 100%, $E$13)</f>
        <v>3.2751000000000001</v>
      </c>
      <c r="F52" s="64">
        <f>3.2751 * CHOOSE(CONTROL!$C$22, $C$13, 100%, $E$13)</f>
        <v>3.2751000000000001</v>
      </c>
      <c r="G52" s="64">
        <f>3.2773 * CHOOSE(CONTROL!$C$22, $C$13, 100%, $E$13)</f>
        <v>3.2772999999999999</v>
      </c>
      <c r="H52" s="64">
        <f>6.0749* CHOOSE(CONTROL!$C$22, $C$13, 100%, $E$13)</f>
        <v>6.0749000000000004</v>
      </c>
      <c r="I52" s="64">
        <f>6.0771 * CHOOSE(CONTROL!$C$22, $C$13, 100%, $E$13)</f>
        <v>6.0770999999999997</v>
      </c>
      <c r="J52" s="64">
        <f>3.2751 * CHOOSE(CONTROL!$C$22, $C$13, 100%, $E$13)</f>
        <v>3.2751000000000001</v>
      </c>
      <c r="K52" s="64">
        <f>3.2773 * CHOOSE(CONTROL!$C$22, $C$13, 100%, $E$13)</f>
        <v>3.2772999999999999</v>
      </c>
      <c r="L52" s="4"/>
      <c r="M52" s="4"/>
      <c r="N52" s="4"/>
    </row>
    <row r="53" spans="1:14" ht="15">
      <c r="A53" s="13">
        <v>43252</v>
      </c>
      <c r="B53" s="63">
        <f>2.8139 * CHOOSE(CONTROL!$C$22, $C$13, 100%, $E$13)</f>
        <v>2.8138999999999998</v>
      </c>
      <c r="C53" s="63">
        <f>2.8139 * CHOOSE(CONTROL!$C$22, $C$13, 100%, $E$13)</f>
        <v>2.8138999999999998</v>
      </c>
      <c r="D53" s="63">
        <f>2.8492 * CHOOSE(CONTROL!$C$22, $C$13, 100%, $E$13)</f>
        <v>2.8492000000000002</v>
      </c>
      <c r="E53" s="64">
        <f>3.2718 * CHOOSE(CONTROL!$C$22, $C$13, 100%, $E$13)</f>
        <v>3.2717999999999998</v>
      </c>
      <c r="F53" s="64">
        <f>3.2718 * CHOOSE(CONTROL!$C$22, $C$13, 100%, $E$13)</f>
        <v>3.2717999999999998</v>
      </c>
      <c r="G53" s="64">
        <f>3.2739 * CHOOSE(CONTROL!$C$22, $C$13, 100%, $E$13)</f>
        <v>3.2738999999999998</v>
      </c>
      <c r="H53" s="64">
        <f>6.0876* CHOOSE(CONTROL!$C$22, $C$13, 100%, $E$13)</f>
        <v>6.0876000000000001</v>
      </c>
      <c r="I53" s="64">
        <f>6.0898 * CHOOSE(CONTROL!$C$22, $C$13, 100%, $E$13)</f>
        <v>6.0898000000000003</v>
      </c>
      <c r="J53" s="64">
        <f>3.2718 * CHOOSE(CONTROL!$C$22, $C$13, 100%, $E$13)</f>
        <v>3.2717999999999998</v>
      </c>
      <c r="K53" s="64">
        <f>3.2739 * CHOOSE(CONTROL!$C$22, $C$13, 100%, $E$13)</f>
        <v>3.2738999999999998</v>
      </c>
      <c r="L53" s="4"/>
      <c r="M53" s="4"/>
      <c r="N53" s="4"/>
    </row>
    <row r="54" spans="1:14" ht="15">
      <c r="A54" s="13">
        <v>43282</v>
      </c>
      <c r="B54" s="63">
        <f>2.8974 * CHOOSE(CONTROL!$C$22, $C$13, 100%, $E$13)</f>
        <v>2.8974000000000002</v>
      </c>
      <c r="C54" s="63">
        <f>2.8974 * CHOOSE(CONTROL!$C$22, $C$13, 100%, $E$13)</f>
        <v>2.8974000000000002</v>
      </c>
      <c r="D54" s="63">
        <f>2.9327 * CHOOSE(CONTROL!$C$22, $C$13, 100%, $E$13)</f>
        <v>2.9327000000000001</v>
      </c>
      <c r="E54" s="64">
        <f>3.459 * CHOOSE(CONTROL!$C$22, $C$13, 100%, $E$13)</f>
        <v>3.4590000000000001</v>
      </c>
      <c r="F54" s="64">
        <f>3.459 * CHOOSE(CONTROL!$C$22, $C$13, 100%, $E$13)</f>
        <v>3.4590000000000001</v>
      </c>
      <c r="G54" s="64">
        <f>3.4612 * CHOOSE(CONTROL!$C$22, $C$13, 100%, $E$13)</f>
        <v>3.4611999999999998</v>
      </c>
      <c r="H54" s="64">
        <f>6.1003* CHOOSE(CONTROL!$C$22, $C$13, 100%, $E$13)</f>
        <v>6.1002999999999998</v>
      </c>
      <c r="I54" s="64">
        <f>6.1024 * CHOOSE(CONTROL!$C$22, $C$13, 100%, $E$13)</f>
        <v>6.1024000000000003</v>
      </c>
      <c r="J54" s="64">
        <f>3.459 * CHOOSE(CONTROL!$C$22, $C$13, 100%, $E$13)</f>
        <v>3.4590000000000001</v>
      </c>
      <c r="K54" s="64">
        <f>3.4612 * CHOOSE(CONTROL!$C$22, $C$13, 100%, $E$13)</f>
        <v>3.4611999999999998</v>
      </c>
      <c r="L54" s="4"/>
      <c r="M54" s="4"/>
      <c r="N54" s="4"/>
    </row>
    <row r="55" spans="1:14" ht="15">
      <c r="A55" s="13">
        <v>43313</v>
      </c>
      <c r="B55" s="63">
        <f>2.904 * CHOOSE(CONTROL!$C$22, $C$13, 100%, $E$13)</f>
        <v>2.9039999999999999</v>
      </c>
      <c r="C55" s="63">
        <f>2.904 * CHOOSE(CONTROL!$C$22, $C$13, 100%, $E$13)</f>
        <v>2.9039999999999999</v>
      </c>
      <c r="D55" s="63">
        <f>2.9394 * CHOOSE(CONTROL!$C$22, $C$13, 100%, $E$13)</f>
        <v>2.9394</v>
      </c>
      <c r="E55" s="64">
        <f>3.4409 * CHOOSE(CONTROL!$C$22, $C$13, 100%, $E$13)</f>
        <v>3.4409000000000001</v>
      </c>
      <c r="F55" s="64">
        <f>3.4409 * CHOOSE(CONTROL!$C$22, $C$13, 100%, $E$13)</f>
        <v>3.4409000000000001</v>
      </c>
      <c r="G55" s="64">
        <f>3.4431 * CHOOSE(CONTROL!$C$22, $C$13, 100%, $E$13)</f>
        <v>3.4430999999999998</v>
      </c>
      <c r="H55" s="64">
        <f>6.113* CHOOSE(CONTROL!$C$22, $C$13, 100%, $E$13)</f>
        <v>6.1130000000000004</v>
      </c>
      <c r="I55" s="64">
        <f>6.1152 * CHOOSE(CONTROL!$C$22, $C$13, 100%, $E$13)</f>
        <v>6.1151999999999997</v>
      </c>
      <c r="J55" s="64">
        <f>3.4409 * CHOOSE(CONTROL!$C$22, $C$13, 100%, $E$13)</f>
        <v>3.4409000000000001</v>
      </c>
      <c r="K55" s="64">
        <f>3.4431 * CHOOSE(CONTROL!$C$22, $C$13, 100%, $E$13)</f>
        <v>3.4430999999999998</v>
      </c>
      <c r="L55" s="4"/>
      <c r="M55" s="4"/>
      <c r="N55" s="4"/>
    </row>
    <row r="56" spans="1:14" ht="15">
      <c r="A56" s="13">
        <v>43344</v>
      </c>
      <c r="B56" s="63">
        <f>2.901 * CHOOSE(CONTROL!$C$22, $C$13, 100%, $E$13)</f>
        <v>2.9009999999999998</v>
      </c>
      <c r="C56" s="63">
        <f>2.901 * CHOOSE(CONTROL!$C$22, $C$13, 100%, $E$13)</f>
        <v>2.9009999999999998</v>
      </c>
      <c r="D56" s="63">
        <f>2.9363 * CHOOSE(CONTROL!$C$22, $C$13, 100%, $E$13)</f>
        <v>2.9363000000000001</v>
      </c>
      <c r="E56" s="64">
        <f>3.4363 * CHOOSE(CONTROL!$C$22, $C$13, 100%, $E$13)</f>
        <v>3.4363000000000001</v>
      </c>
      <c r="F56" s="64">
        <f>3.4363 * CHOOSE(CONTROL!$C$22, $C$13, 100%, $E$13)</f>
        <v>3.4363000000000001</v>
      </c>
      <c r="G56" s="64">
        <f>3.4385 * CHOOSE(CONTROL!$C$22, $C$13, 100%, $E$13)</f>
        <v>3.4384999999999999</v>
      </c>
      <c r="H56" s="64">
        <f>6.1257* CHOOSE(CONTROL!$C$22, $C$13, 100%, $E$13)</f>
        <v>6.1257000000000001</v>
      </c>
      <c r="I56" s="64">
        <f>6.1279 * CHOOSE(CONTROL!$C$22, $C$13, 100%, $E$13)</f>
        <v>6.1279000000000003</v>
      </c>
      <c r="J56" s="64">
        <f>3.4363 * CHOOSE(CONTROL!$C$22, $C$13, 100%, $E$13)</f>
        <v>3.4363000000000001</v>
      </c>
      <c r="K56" s="64">
        <f>3.4385 * CHOOSE(CONTROL!$C$22, $C$13, 100%, $E$13)</f>
        <v>3.4384999999999999</v>
      </c>
      <c r="L56" s="4"/>
      <c r="M56" s="4"/>
      <c r="N56" s="4"/>
    </row>
    <row r="57" spans="1:14" ht="15">
      <c r="A57" s="13">
        <v>43374</v>
      </c>
      <c r="B57" s="63">
        <f>2.8921 * CHOOSE(CONTROL!$C$22, $C$13, 100%, $E$13)</f>
        <v>2.8921000000000001</v>
      </c>
      <c r="C57" s="63">
        <f>2.8921 * CHOOSE(CONTROL!$C$22, $C$13, 100%, $E$13)</f>
        <v>2.8921000000000001</v>
      </c>
      <c r="D57" s="63">
        <f>2.9097 * CHOOSE(CONTROL!$C$22, $C$13, 100%, $E$13)</f>
        <v>2.9097</v>
      </c>
      <c r="E57" s="64">
        <f>3.433 * CHOOSE(CONTROL!$C$22, $C$13, 100%, $E$13)</f>
        <v>3.4329999999999998</v>
      </c>
      <c r="F57" s="64">
        <f>3.433 * CHOOSE(CONTROL!$C$22, $C$13, 100%, $E$13)</f>
        <v>3.4329999999999998</v>
      </c>
      <c r="G57" s="64">
        <f>3.4331 * CHOOSE(CONTROL!$C$22, $C$13, 100%, $E$13)</f>
        <v>3.4331</v>
      </c>
      <c r="H57" s="64">
        <f>6.1385* CHOOSE(CONTROL!$C$22, $C$13, 100%, $E$13)</f>
        <v>6.1384999999999996</v>
      </c>
      <c r="I57" s="64">
        <f>6.1386 * CHOOSE(CONTROL!$C$22, $C$13, 100%, $E$13)</f>
        <v>6.1386000000000003</v>
      </c>
      <c r="J57" s="64">
        <f>3.433 * CHOOSE(CONTROL!$C$22, $C$13, 100%, $E$13)</f>
        <v>3.4329999999999998</v>
      </c>
      <c r="K57" s="64">
        <f>3.4331 * CHOOSE(CONTROL!$C$22, $C$13, 100%, $E$13)</f>
        <v>3.4331</v>
      </c>
      <c r="L57" s="4"/>
      <c r="M57" s="4"/>
      <c r="N57" s="4"/>
    </row>
    <row r="58" spans="1:14" ht="15">
      <c r="A58" s="13">
        <v>43405</v>
      </c>
      <c r="B58" s="63">
        <f>2.8951 * CHOOSE(CONTROL!$C$22, $C$13, 100%, $E$13)</f>
        <v>2.8950999999999998</v>
      </c>
      <c r="C58" s="63">
        <f>2.8951 * CHOOSE(CONTROL!$C$22, $C$13, 100%, $E$13)</f>
        <v>2.8950999999999998</v>
      </c>
      <c r="D58" s="63">
        <f>2.9128 * CHOOSE(CONTROL!$C$22, $C$13, 100%, $E$13)</f>
        <v>2.9127999999999998</v>
      </c>
      <c r="E58" s="64">
        <f>3.4401 * CHOOSE(CONTROL!$C$22, $C$13, 100%, $E$13)</f>
        <v>3.4401000000000002</v>
      </c>
      <c r="F58" s="64">
        <f>3.4401 * CHOOSE(CONTROL!$C$22, $C$13, 100%, $E$13)</f>
        <v>3.4401000000000002</v>
      </c>
      <c r="G58" s="64">
        <f>3.4403 * CHOOSE(CONTROL!$C$22, $C$13, 100%, $E$13)</f>
        <v>3.4403000000000001</v>
      </c>
      <c r="H58" s="64">
        <f>6.1513* CHOOSE(CONTROL!$C$22, $C$13, 100%, $E$13)</f>
        <v>6.1513</v>
      </c>
      <c r="I58" s="64">
        <f>6.1514 * CHOOSE(CONTROL!$C$22, $C$13, 100%, $E$13)</f>
        <v>6.1513999999999998</v>
      </c>
      <c r="J58" s="64">
        <f>3.4401 * CHOOSE(CONTROL!$C$22, $C$13, 100%, $E$13)</f>
        <v>3.4401000000000002</v>
      </c>
      <c r="K58" s="64">
        <f>3.4403 * CHOOSE(CONTROL!$C$22, $C$13, 100%, $E$13)</f>
        <v>3.4403000000000001</v>
      </c>
      <c r="L58" s="4"/>
      <c r="M58" s="4"/>
      <c r="N58" s="4"/>
    </row>
    <row r="59" spans="1:14" ht="15">
      <c r="A59" s="13">
        <v>43435</v>
      </c>
      <c r="B59" s="63">
        <f>2.8951 * CHOOSE(CONTROL!$C$22, $C$13, 100%, $E$13)</f>
        <v>2.8950999999999998</v>
      </c>
      <c r="C59" s="63">
        <f>2.8951 * CHOOSE(CONTROL!$C$22, $C$13, 100%, $E$13)</f>
        <v>2.8950999999999998</v>
      </c>
      <c r="D59" s="63">
        <f>2.9128 * CHOOSE(CONTROL!$C$22, $C$13, 100%, $E$13)</f>
        <v>2.9127999999999998</v>
      </c>
      <c r="E59" s="64">
        <f>3.4275 * CHOOSE(CONTROL!$C$22, $C$13, 100%, $E$13)</f>
        <v>3.4275000000000002</v>
      </c>
      <c r="F59" s="64">
        <f>3.4275 * CHOOSE(CONTROL!$C$22, $C$13, 100%, $E$13)</f>
        <v>3.4275000000000002</v>
      </c>
      <c r="G59" s="64">
        <f>3.4277 * CHOOSE(CONTROL!$C$22, $C$13, 100%, $E$13)</f>
        <v>3.4277000000000002</v>
      </c>
      <c r="H59" s="64">
        <f>6.1641* CHOOSE(CONTROL!$C$22, $C$13, 100%, $E$13)</f>
        <v>6.1641000000000004</v>
      </c>
      <c r="I59" s="64">
        <f>6.1643 * CHOOSE(CONTROL!$C$22, $C$13, 100%, $E$13)</f>
        <v>6.1642999999999999</v>
      </c>
      <c r="J59" s="64">
        <f>3.4275 * CHOOSE(CONTROL!$C$22, $C$13, 100%, $E$13)</f>
        <v>3.4275000000000002</v>
      </c>
      <c r="K59" s="64">
        <f>3.4277 * CHOOSE(CONTROL!$C$22, $C$13, 100%, $E$13)</f>
        <v>3.4277000000000002</v>
      </c>
      <c r="L59" s="4"/>
      <c r="M59" s="4"/>
      <c r="N59" s="4"/>
    </row>
    <row r="60" spans="1:14" ht="15">
      <c r="A60" s="13">
        <v>43466</v>
      </c>
      <c r="B60" s="63">
        <f>2.9246 * CHOOSE(CONTROL!$C$22, $C$13, 100%, $E$13)</f>
        <v>2.9245999999999999</v>
      </c>
      <c r="C60" s="63">
        <f>2.9246 * CHOOSE(CONTROL!$C$22, $C$13, 100%, $E$13)</f>
        <v>2.9245999999999999</v>
      </c>
      <c r="D60" s="63">
        <f>2.9423 * CHOOSE(CONTROL!$C$22, $C$13, 100%, $E$13)</f>
        <v>2.9422999999999999</v>
      </c>
      <c r="E60" s="64">
        <f>3.4699 * CHOOSE(CONTROL!$C$22, $C$13, 100%, $E$13)</f>
        <v>3.4699</v>
      </c>
      <c r="F60" s="64">
        <f>3.4699 * CHOOSE(CONTROL!$C$22, $C$13, 100%, $E$13)</f>
        <v>3.4699</v>
      </c>
      <c r="G60" s="64">
        <f>3.4701 * CHOOSE(CONTROL!$C$22, $C$13, 100%, $E$13)</f>
        <v>3.4701</v>
      </c>
      <c r="H60" s="64">
        <f>6.1769* CHOOSE(CONTROL!$C$22, $C$13, 100%, $E$13)</f>
        <v>6.1768999999999998</v>
      </c>
      <c r="I60" s="64">
        <f>6.1771 * CHOOSE(CONTROL!$C$22, $C$13, 100%, $E$13)</f>
        <v>6.1771000000000003</v>
      </c>
      <c r="J60" s="64">
        <f>3.4699 * CHOOSE(CONTROL!$C$22, $C$13, 100%, $E$13)</f>
        <v>3.4699</v>
      </c>
      <c r="K60" s="64">
        <f>3.4701 * CHOOSE(CONTROL!$C$22, $C$13, 100%, $E$13)</f>
        <v>3.4701</v>
      </c>
      <c r="L60" s="4"/>
      <c r="M60" s="4"/>
      <c r="N60" s="4"/>
    </row>
    <row r="61" spans="1:14" ht="15">
      <c r="A61" s="13">
        <v>43497</v>
      </c>
      <c r="B61" s="63">
        <f>2.9216 * CHOOSE(CONTROL!$C$22, $C$13, 100%, $E$13)</f>
        <v>2.9216000000000002</v>
      </c>
      <c r="C61" s="63">
        <f>2.9216 * CHOOSE(CONTROL!$C$22, $C$13, 100%, $E$13)</f>
        <v>2.9216000000000002</v>
      </c>
      <c r="D61" s="63">
        <f>2.9392 * CHOOSE(CONTROL!$C$22, $C$13, 100%, $E$13)</f>
        <v>2.9392</v>
      </c>
      <c r="E61" s="64">
        <f>3.4392 * CHOOSE(CONTROL!$C$22, $C$13, 100%, $E$13)</f>
        <v>3.4392</v>
      </c>
      <c r="F61" s="64">
        <f>3.4392 * CHOOSE(CONTROL!$C$22, $C$13, 100%, $E$13)</f>
        <v>3.4392</v>
      </c>
      <c r="G61" s="64">
        <f>3.4394 * CHOOSE(CONTROL!$C$22, $C$13, 100%, $E$13)</f>
        <v>3.4394</v>
      </c>
      <c r="H61" s="64">
        <f>6.1898* CHOOSE(CONTROL!$C$22, $C$13, 100%, $E$13)</f>
        <v>6.1898</v>
      </c>
      <c r="I61" s="64">
        <f>6.19 * CHOOSE(CONTROL!$C$22, $C$13, 100%, $E$13)</f>
        <v>6.19</v>
      </c>
      <c r="J61" s="64">
        <f>3.4392 * CHOOSE(CONTROL!$C$22, $C$13, 100%, $E$13)</f>
        <v>3.4392</v>
      </c>
      <c r="K61" s="64">
        <f>3.4394 * CHOOSE(CONTROL!$C$22, $C$13, 100%, $E$13)</f>
        <v>3.4394</v>
      </c>
      <c r="L61" s="4"/>
      <c r="M61" s="4"/>
      <c r="N61" s="4"/>
    </row>
    <row r="62" spans="1:14" ht="15">
      <c r="A62" s="13">
        <v>43525</v>
      </c>
      <c r="B62" s="63">
        <f>2.9185 * CHOOSE(CONTROL!$C$22, $C$13, 100%, $E$13)</f>
        <v>2.9184999999999999</v>
      </c>
      <c r="C62" s="63">
        <f>2.9185 * CHOOSE(CONTROL!$C$22, $C$13, 100%, $E$13)</f>
        <v>2.9184999999999999</v>
      </c>
      <c r="D62" s="63">
        <f>2.9362 * CHOOSE(CONTROL!$C$22, $C$13, 100%, $E$13)</f>
        <v>2.9361999999999999</v>
      </c>
      <c r="E62" s="64">
        <f>3.4596 * CHOOSE(CONTROL!$C$22, $C$13, 100%, $E$13)</f>
        <v>3.4596</v>
      </c>
      <c r="F62" s="64">
        <f>3.4596 * CHOOSE(CONTROL!$C$22, $C$13, 100%, $E$13)</f>
        <v>3.4596</v>
      </c>
      <c r="G62" s="64">
        <f>3.4598 * CHOOSE(CONTROL!$C$22, $C$13, 100%, $E$13)</f>
        <v>3.4598</v>
      </c>
      <c r="H62" s="64">
        <f>6.2027* CHOOSE(CONTROL!$C$22, $C$13, 100%, $E$13)</f>
        <v>6.2027000000000001</v>
      </c>
      <c r="I62" s="64">
        <f>6.2029 * CHOOSE(CONTROL!$C$22, $C$13, 100%, $E$13)</f>
        <v>6.2028999999999996</v>
      </c>
      <c r="J62" s="64">
        <f>3.4596 * CHOOSE(CONTROL!$C$22, $C$13, 100%, $E$13)</f>
        <v>3.4596</v>
      </c>
      <c r="K62" s="64">
        <f>3.4598 * CHOOSE(CONTROL!$C$22, $C$13, 100%, $E$13)</f>
        <v>3.4598</v>
      </c>
      <c r="L62" s="4"/>
      <c r="M62" s="4"/>
      <c r="N62" s="4"/>
    </row>
    <row r="63" spans="1:14" ht="15">
      <c r="A63" s="13">
        <v>43556</v>
      </c>
      <c r="B63" s="63">
        <f>2.9152 * CHOOSE(CONTROL!$C$22, $C$13, 100%, $E$13)</f>
        <v>2.9152</v>
      </c>
      <c r="C63" s="63">
        <f>2.9152 * CHOOSE(CONTROL!$C$22, $C$13, 100%, $E$13)</f>
        <v>2.9152</v>
      </c>
      <c r="D63" s="63">
        <f>2.9328 * CHOOSE(CONTROL!$C$22, $C$13, 100%, $E$13)</f>
        <v>2.9327999999999999</v>
      </c>
      <c r="E63" s="64">
        <f>3.4796 * CHOOSE(CONTROL!$C$22, $C$13, 100%, $E$13)</f>
        <v>3.4796</v>
      </c>
      <c r="F63" s="64">
        <f>3.4796 * CHOOSE(CONTROL!$C$22, $C$13, 100%, $E$13)</f>
        <v>3.4796</v>
      </c>
      <c r="G63" s="64">
        <f>3.4798 * CHOOSE(CONTROL!$C$22, $C$13, 100%, $E$13)</f>
        <v>3.4798</v>
      </c>
      <c r="H63" s="64">
        <f>6.2156* CHOOSE(CONTROL!$C$22, $C$13, 100%, $E$13)</f>
        <v>6.2156000000000002</v>
      </c>
      <c r="I63" s="64">
        <f>6.2158 * CHOOSE(CONTROL!$C$22, $C$13, 100%, $E$13)</f>
        <v>6.2157999999999998</v>
      </c>
      <c r="J63" s="64">
        <f>3.4796 * CHOOSE(CONTROL!$C$22, $C$13, 100%, $E$13)</f>
        <v>3.4796</v>
      </c>
      <c r="K63" s="64">
        <f>3.4798 * CHOOSE(CONTROL!$C$22, $C$13, 100%, $E$13)</f>
        <v>3.4798</v>
      </c>
      <c r="L63" s="4"/>
      <c r="M63" s="4"/>
      <c r="N63" s="4"/>
    </row>
    <row r="64" spans="1:14" ht="15">
      <c r="A64" s="13">
        <v>43586</v>
      </c>
      <c r="B64" s="63">
        <f>2.9152 * CHOOSE(CONTROL!$C$22, $C$13, 100%, $E$13)</f>
        <v>2.9152</v>
      </c>
      <c r="C64" s="63">
        <f>2.9152 * CHOOSE(CONTROL!$C$22, $C$13, 100%, $E$13)</f>
        <v>2.9152</v>
      </c>
      <c r="D64" s="63">
        <f>2.9505 * CHOOSE(CONTROL!$C$22, $C$13, 100%, $E$13)</f>
        <v>2.9504999999999999</v>
      </c>
      <c r="E64" s="64">
        <f>3.4887 * CHOOSE(CONTROL!$C$22, $C$13, 100%, $E$13)</f>
        <v>3.4887000000000001</v>
      </c>
      <c r="F64" s="64">
        <f>3.4887 * CHOOSE(CONTROL!$C$22, $C$13, 100%, $E$13)</f>
        <v>3.4887000000000001</v>
      </c>
      <c r="G64" s="64">
        <f>3.4909 * CHOOSE(CONTROL!$C$22, $C$13, 100%, $E$13)</f>
        <v>3.4908999999999999</v>
      </c>
      <c r="H64" s="64">
        <f>6.2286* CHOOSE(CONTROL!$C$22, $C$13, 100%, $E$13)</f>
        <v>6.2286000000000001</v>
      </c>
      <c r="I64" s="64">
        <f>6.2307 * CHOOSE(CONTROL!$C$22, $C$13, 100%, $E$13)</f>
        <v>6.2306999999999997</v>
      </c>
      <c r="J64" s="64">
        <f>3.4887 * CHOOSE(CONTROL!$C$22, $C$13, 100%, $E$13)</f>
        <v>3.4887000000000001</v>
      </c>
      <c r="K64" s="64">
        <f>3.4909 * CHOOSE(CONTROL!$C$22, $C$13, 100%, $E$13)</f>
        <v>3.4908999999999999</v>
      </c>
      <c r="L64" s="4"/>
      <c r="M64" s="4"/>
      <c r="N64" s="4"/>
    </row>
    <row r="65" spans="1:14" ht="15">
      <c r="A65" s="13">
        <v>43617</v>
      </c>
      <c r="B65" s="63">
        <f>2.9213 * CHOOSE(CONTROL!$C$22, $C$13, 100%, $E$13)</f>
        <v>2.9213</v>
      </c>
      <c r="C65" s="63">
        <f>2.9213 * CHOOSE(CONTROL!$C$22, $C$13, 100%, $E$13)</f>
        <v>2.9213</v>
      </c>
      <c r="D65" s="63">
        <f>2.9566 * CHOOSE(CONTROL!$C$22, $C$13, 100%, $E$13)</f>
        <v>2.9565999999999999</v>
      </c>
      <c r="E65" s="64">
        <f>3.4839 * CHOOSE(CONTROL!$C$22, $C$13, 100%, $E$13)</f>
        <v>3.4839000000000002</v>
      </c>
      <c r="F65" s="64">
        <f>3.4839 * CHOOSE(CONTROL!$C$22, $C$13, 100%, $E$13)</f>
        <v>3.4839000000000002</v>
      </c>
      <c r="G65" s="64">
        <f>3.4861 * CHOOSE(CONTROL!$C$22, $C$13, 100%, $E$13)</f>
        <v>3.4861</v>
      </c>
      <c r="H65" s="64">
        <f>6.2415* CHOOSE(CONTROL!$C$22, $C$13, 100%, $E$13)</f>
        <v>6.2415000000000003</v>
      </c>
      <c r="I65" s="64">
        <f>6.2437 * CHOOSE(CONTROL!$C$22, $C$13, 100%, $E$13)</f>
        <v>6.2436999999999996</v>
      </c>
      <c r="J65" s="64">
        <f>3.4839 * CHOOSE(CONTROL!$C$22, $C$13, 100%, $E$13)</f>
        <v>3.4839000000000002</v>
      </c>
      <c r="K65" s="64">
        <f>3.4861 * CHOOSE(CONTROL!$C$22, $C$13, 100%, $E$13)</f>
        <v>3.4861</v>
      </c>
      <c r="L65" s="4"/>
      <c r="M65" s="4"/>
      <c r="N65" s="4"/>
    </row>
    <row r="66" spans="1:14" ht="15">
      <c r="A66" s="13">
        <v>43647</v>
      </c>
      <c r="B66" s="63">
        <f>2.9781 * CHOOSE(CONTROL!$C$22, $C$13, 100%, $E$13)</f>
        <v>2.9781</v>
      </c>
      <c r="C66" s="63">
        <f>2.9781 * CHOOSE(CONTROL!$C$22, $C$13, 100%, $E$13)</f>
        <v>2.9781</v>
      </c>
      <c r="D66" s="63">
        <f>3.0134 * CHOOSE(CONTROL!$C$22, $C$13, 100%, $E$13)</f>
        <v>3.0133999999999999</v>
      </c>
      <c r="E66" s="64">
        <f>3.4566 * CHOOSE(CONTROL!$C$22, $C$13, 100%, $E$13)</f>
        <v>3.4565999999999999</v>
      </c>
      <c r="F66" s="64">
        <f>3.4566 * CHOOSE(CONTROL!$C$22, $C$13, 100%, $E$13)</f>
        <v>3.4565999999999999</v>
      </c>
      <c r="G66" s="64">
        <f>3.4588 * CHOOSE(CONTROL!$C$22, $C$13, 100%, $E$13)</f>
        <v>3.4588000000000001</v>
      </c>
      <c r="H66" s="64">
        <f>6.2545* CHOOSE(CONTROL!$C$22, $C$13, 100%, $E$13)</f>
        <v>6.2545000000000002</v>
      </c>
      <c r="I66" s="64">
        <f>6.2567 * CHOOSE(CONTROL!$C$22, $C$13, 100%, $E$13)</f>
        <v>6.2567000000000004</v>
      </c>
      <c r="J66" s="64">
        <f>3.4566 * CHOOSE(CONTROL!$C$22, $C$13, 100%, $E$13)</f>
        <v>3.4565999999999999</v>
      </c>
      <c r="K66" s="64">
        <f>3.4588 * CHOOSE(CONTROL!$C$22, $C$13, 100%, $E$13)</f>
        <v>3.4588000000000001</v>
      </c>
      <c r="L66" s="4"/>
      <c r="M66" s="4"/>
      <c r="N66" s="4"/>
    </row>
    <row r="67" spans="1:14" ht="15">
      <c r="A67" s="13">
        <v>43678</v>
      </c>
      <c r="B67" s="63">
        <f>2.9848 * CHOOSE(CONTROL!$C$22, $C$13, 100%, $E$13)</f>
        <v>2.9847999999999999</v>
      </c>
      <c r="C67" s="63">
        <f>2.9848 * CHOOSE(CONTROL!$C$22, $C$13, 100%, $E$13)</f>
        <v>2.9847999999999999</v>
      </c>
      <c r="D67" s="63">
        <f>3.0201 * CHOOSE(CONTROL!$C$22, $C$13, 100%, $E$13)</f>
        <v>3.0200999999999998</v>
      </c>
      <c r="E67" s="64">
        <f>3.434 * CHOOSE(CONTROL!$C$22, $C$13, 100%, $E$13)</f>
        <v>3.4340000000000002</v>
      </c>
      <c r="F67" s="64">
        <f>3.434 * CHOOSE(CONTROL!$C$22, $C$13, 100%, $E$13)</f>
        <v>3.4340000000000002</v>
      </c>
      <c r="G67" s="64">
        <f>3.4362 * CHOOSE(CONTROL!$C$22, $C$13, 100%, $E$13)</f>
        <v>3.4361999999999999</v>
      </c>
      <c r="H67" s="64">
        <f>6.2676* CHOOSE(CONTROL!$C$22, $C$13, 100%, $E$13)</f>
        <v>6.2675999999999998</v>
      </c>
      <c r="I67" s="64">
        <f>6.2697 * CHOOSE(CONTROL!$C$22, $C$13, 100%, $E$13)</f>
        <v>6.2697000000000003</v>
      </c>
      <c r="J67" s="64">
        <f>3.434 * CHOOSE(CONTROL!$C$22, $C$13, 100%, $E$13)</f>
        <v>3.4340000000000002</v>
      </c>
      <c r="K67" s="64">
        <f>3.4362 * CHOOSE(CONTROL!$C$22, $C$13, 100%, $E$13)</f>
        <v>3.4361999999999999</v>
      </c>
      <c r="L67" s="4"/>
      <c r="M67" s="4"/>
      <c r="N67" s="4"/>
    </row>
    <row r="68" spans="1:14" ht="15">
      <c r="A68" s="13">
        <v>43709</v>
      </c>
      <c r="B68" s="63">
        <f>2.9818 * CHOOSE(CONTROL!$C$22, $C$13, 100%, $E$13)</f>
        <v>2.9817999999999998</v>
      </c>
      <c r="C68" s="63">
        <f>2.9818 * CHOOSE(CONTROL!$C$22, $C$13, 100%, $E$13)</f>
        <v>2.9817999999999998</v>
      </c>
      <c r="D68" s="63">
        <f>3.0171 * CHOOSE(CONTROL!$C$22, $C$13, 100%, $E$13)</f>
        <v>3.0171000000000001</v>
      </c>
      <c r="E68" s="64">
        <f>3.4288 * CHOOSE(CONTROL!$C$22, $C$13, 100%, $E$13)</f>
        <v>3.4287999999999998</v>
      </c>
      <c r="F68" s="64">
        <f>3.4288 * CHOOSE(CONTROL!$C$22, $C$13, 100%, $E$13)</f>
        <v>3.4287999999999998</v>
      </c>
      <c r="G68" s="64">
        <f>3.431 * CHOOSE(CONTROL!$C$22, $C$13, 100%, $E$13)</f>
        <v>3.431</v>
      </c>
      <c r="H68" s="64">
        <f>6.2806* CHOOSE(CONTROL!$C$22, $C$13, 100%, $E$13)</f>
        <v>6.2805999999999997</v>
      </c>
      <c r="I68" s="64">
        <f>6.2828 * CHOOSE(CONTROL!$C$22, $C$13, 100%, $E$13)</f>
        <v>6.2827999999999999</v>
      </c>
      <c r="J68" s="64">
        <f>3.4288 * CHOOSE(CONTROL!$C$22, $C$13, 100%, $E$13)</f>
        <v>3.4287999999999998</v>
      </c>
      <c r="K68" s="64">
        <f>3.431 * CHOOSE(CONTROL!$C$22, $C$13, 100%, $E$13)</f>
        <v>3.431</v>
      </c>
      <c r="L68" s="4"/>
      <c r="M68" s="4"/>
      <c r="N68" s="4"/>
    </row>
    <row r="69" spans="1:14" ht="15">
      <c r="A69" s="13">
        <v>43739</v>
      </c>
      <c r="B69" s="63">
        <f>2.9731 * CHOOSE(CONTROL!$C$22, $C$13, 100%, $E$13)</f>
        <v>2.9731000000000001</v>
      </c>
      <c r="C69" s="63">
        <f>2.9731 * CHOOSE(CONTROL!$C$22, $C$13, 100%, $E$13)</f>
        <v>2.9731000000000001</v>
      </c>
      <c r="D69" s="63">
        <f>2.9908 * CHOOSE(CONTROL!$C$22, $C$13, 100%, $E$13)</f>
        <v>2.9908000000000001</v>
      </c>
      <c r="E69" s="64">
        <f>3.4275 * CHOOSE(CONTROL!$C$22, $C$13, 100%, $E$13)</f>
        <v>3.4275000000000002</v>
      </c>
      <c r="F69" s="64">
        <f>3.4275 * CHOOSE(CONTROL!$C$22, $C$13, 100%, $E$13)</f>
        <v>3.4275000000000002</v>
      </c>
      <c r="G69" s="64">
        <f>3.4277 * CHOOSE(CONTROL!$C$22, $C$13, 100%, $E$13)</f>
        <v>3.4277000000000002</v>
      </c>
      <c r="H69" s="64">
        <f>6.2937* CHOOSE(CONTROL!$C$22, $C$13, 100%, $E$13)</f>
        <v>6.2937000000000003</v>
      </c>
      <c r="I69" s="64">
        <f>6.2939 * CHOOSE(CONTROL!$C$22, $C$13, 100%, $E$13)</f>
        <v>6.2938999999999998</v>
      </c>
      <c r="J69" s="64">
        <f>3.4275 * CHOOSE(CONTROL!$C$22, $C$13, 100%, $E$13)</f>
        <v>3.4275000000000002</v>
      </c>
      <c r="K69" s="64">
        <f>3.4277 * CHOOSE(CONTROL!$C$22, $C$13, 100%, $E$13)</f>
        <v>3.4277000000000002</v>
      </c>
      <c r="L69" s="4"/>
      <c r="M69" s="4"/>
      <c r="N69" s="4"/>
    </row>
    <row r="70" spans="1:14" ht="15">
      <c r="A70" s="13">
        <v>43770</v>
      </c>
      <c r="B70" s="63">
        <f>2.9762 * CHOOSE(CONTROL!$C$22, $C$13, 100%, $E$13)</f>
        <v>2.9762</v>
      </c>
      <c r="C70" s="63">
        <f>2.9762 * CHOOSE(CONTROL!$C$22, $C$13, 100%, $E$13)</f>
        <v>2.9762</v>
      </c>
      <c r="D70" s="63">
        <f>2.9938 * CHOOSE(CONTROL!$C$22, $C$13, 100%, $E$13)</f>
        <v>2.9937999999999998</v>
      </c>
      <c r="E70" s="64">
        <f>3.4357 * CHOOSE(CONTROL!$C$22, $C$13, 100%, $E$13)</f>
        <v>3.4357000000000002</v>
      </c>
      <c r="F70" s="64">
        <f>3.4357 * CHOOSE(CONTROL!$C$22, $C$13, 100%, $E$13)</f>
        <v>3.4357000000000002</v>
      </c>
      <c r="G70" s="64">
        <f>3.4359 * CHOOSE(CONTROL!$C$22, $C$13, 100%, $E$13)</f>
        <v>3.4359000000000002</v>
      </c>
      <c r="H70" s="64">
        <f>6.3068* CHOOSE(CONTROL!$C$22, $C$13, 100%, $E$13)</f>
        <v>6.3068</v>
      </c>
      <c r="I70" s="64">
        <f>6.307 * CHOOSE(CONTROL!$C$22, $C$13, 100%, $E$13)</f>
        <v>6.3070000000000004</v>
      </c>
      <c r="J70" s="64">
        <f>3.4357 * CHOOSE(CONTROL!$C$22, $C$13, 100%, $E$13)</f>
        <v>3.4357000000000002</v>
      </c>
      <c r="K70" s="64">
        <f>3.4359 * CHOOSE(CONTROL!$C$22, $C$13, 100%, $E$13)</f>
        <v>3.4359000000000002</v>
      </c>
      <c r="L70" s="4"/>
      <c r="M70" s="4"/>
      <c r="N70" s="4"/>
    </row>
    <row r="71" spans="1:14" ht="15">
      <c r="A71" s="13">
        <v>43800</v>
      </c>
      <c r="B71" s="63">
        <f>2.9762 * CHOOSE(CONTROL!$C$22, $C$13, 100%, $E$13)</f>
        <v>2.9762</v>
      </c>
      <c r="C71" s="63">
        <f>2.9762 * CHOOSE(CONTROL!$C$22, $C$13, 100%, $E$13)</f>
        <v>2.9762</v>
      </c>
      <c r="D71" s="63">
        <f>2.9938 * CHOOSE(CONTROL!$C$22, $C$13, 100%, $E$13)</f>
        <v>2.9937999999999998</v>
      </c>
      <c r="E71" s="64">
        <f>3.4206 * CHOOSE(CONTROL!$C$22, $C$13, 100%, $E$13)</f>
        <v>3.4205999999999999</v>
      </c>
      <c r="F71" s="64">
        <f>3.4206 * CHOOSE(CONTROL!$C$22, $C$13, 100%, $E$13)</f>
        <v>3.4205999999999999</v>
      </c>
      <c r="G71" s="64">
        <f>3.4207 * CHOOSE(CONTROL!$C$22, $C$13, 100%, $E$13)</f>
        <v>3.4207000000000001</v>
      </c>
      <c r="H71" s="64">
        <f>6.32* CHOOSE(CONTROL!$C$22, $C$13, 100%, $E$13)</f>
        <v>6.32</v>
      </c>
      <c r="I71" s="64">
        <f>6.3201 * CHOOSE(CONTROL!$C$22, $C$13, 100%, $E$13)</f>
        <v>6.3201000000000001</v>
      </c>
      <c r="J71" s="64">
        <f>3.4206 * CHOOSE(CONTROL!$C$22, $C$13, 100%, $E$13)</f>
        <v>3.4205999999999999</v>
      </c>
      <c r="K71" s="64">
        <f>3.4207 * CHOOSE(CONTROL!$C$22, $C$13, 100%, $E$13)</f>
        <v>3.4207000000000001</v>
      </c>
      <c r="L71" s="4"/>
      <c r="M71" s="4"/>
      <c r="N71" s="4"/>
    </row>
    <row r="72" spans="1:14" ht="15">
      <c r="A72" s="13">
        <v>43831</v>
      </c>
      <c r="B72" s="63">
        <f>3.0034 * CHOOSE(CONTROL!$C$22, $C$13, 100%, $E$13)</f>
        <v>3.0034000000000001</v>
      </c>
      <c r="C72" s="63">
        <f>3.0034 * CHOOSE(CONTROL!$C$22, $C$13, 100%, $E$13)</f>
        <v>3.0034000000000001</v>
      </c>
      <c r="D72" s="63">
        <f>3.021 * CHOOSE(CONTROL!$C$22, $C$13, 100%, $E$13)</f>
        <v>3.0209999999999999</v>
      </c>
      <c r="E72" s="64">
        <f>3.5343 * CHOOSE(CONTROL!$C$22, $C$13, 100%, $E$13)</f>
        <v>3.5343</v>
      </c>
      <c r="F72" s="64">
        <f>3.5343 * CHOOSE(CONTROL!$C$22, $C$13, 100%, $E$13)</f>
        <v>3.5343</v>
      </c>
      <c r="G72" s="64">
        <f>3.5345 * CHOOSE(CONTROL!$C$22, $C$13, 100%, $E$13)</f>
        <v>3.5345</v>
      </c>
      <c r="H72" s="64">
        <f>6.3331* CHOOSE(CONTROL!$C$22, $C$13, 100%, $E$13)</f>
        <v>6.3331</v>
      </c>
      <c r="I72" s="64">
        <f>6.3333 * CHOOSE(CONTROL!$C$22, $C$13, 100%, $E$13)</f>
        <v>6.3333000000000004</v>
      </c>
      <c r="J72" s="64">
        <f>3.5343 * CHOOSE(CONTROL!$C$22, $C$13, 100%, $E$13)</f>
        <v>3.5343</v>
      </c>
      <c r="K72" s="64">
        <f>3.5345 * CHOOSE(CONTROL!$C$22, $C$13, 100%, $E$13)</f>
        <v>3.5345</v>
      </c>
      <c r="L72" s="4"/>
      <c r="M72" s="4"/>
      <c r="N72" s="4"/>
    </row>
    <row r="73" spans="1:14" ht="15">
      <c r="A73" s="13">
        <v>43862</v>
      </c>
      <c r="B73" s="63">
        <f>3.0003 * CHOOSE(CONTROL!$C$22, $C$13, 100%, $E$13)</f>
        <v>3.0003000000000002</v>
      </c>
      <c r="C73" s="63">
        <f>3.0003 * CHOOSE(CONTROL!$C$22, $C$13, 100%, $E$13)</f>
        <v>3.0003000000000002</v>
      </c>
      <c r="D73" s="63">
        <f>3.018 * CHOOSE(CONTROL!$C$22, $C$13, 100%, $E$13)</f>
        <v>3.0179999999999998</v>
      </c>
      <c r="E73" s="64">
        <f>3.4967 * CHOOSE(CONTROL!$C$22, $C$13, 100%, $E$13)</f>
        <v>3.4967000000000001</v>
      </c>
      <c r="F73" s="64">
        <f>3.4967 * CHOOSE(CONTROL!$C$22, $C$13, 100%, $E$13)</f>
        <v>3.4967000000000001</v>
      </c>
      <c r="G73" s="64">
        <f>3.4969 * CHOOSE(CONTROL!$C$22, $C$13, 100%, $E$13)</f>
        <v>3.4969000000000001</v>
      </c>
      <c r="H73" s="64">
        <f>6.3463* CHOOSE(CONTROL!$C$22, $C$13, 100%, $E$13)</f>
        <v>6.3463000000000003</v>
      </c>
      <c r="I73" s="64">
        <f>6.3465 * CHOOSE(CONTROL!$C$22, $C$13, 100%, $E$13)</f>
        <v>6.3464999999999998</v>
      </c>
      <c r="J73" s="64">
        <f>3.4967 * CHOOSE(CONTROL!$C$22, $C$13, 100%, $E$13)</f>
        <v>3.4967000000000001</v>
      </c>
      <c r="K73" s="64">
        <f>3.4969 * CHOOSE(CONTROL!$C$22, $C$13, 100%, $E$13)</f>
        <v>3.4969000000000001</v>
      </c>
      <c r="L73" s="4"/>
      <c r="M73" s="4"/>
      <c r="N73" s="4"/>
    </row>
    <row r="74" spans="1:14" ht="15">
      <c r="A74" s="13">
        <v>43891</v>
      </c>
      <c r="B74" s="63">
        <f>2.9973 * CHOOSE(CONTROL!$C$22, $C$13, 100%, $E$13)</f>
        <v>2.9973000000000001</v>
      </c>
      <c r="C74" s="63">
        <f>2.9973 * CHOOSE(CONTROL!$C$22, $C$13, 100%, $E$13)</f>
        <v>2.9973000000000001</v>
      </c>
      <c r="D74" s="63">
        <f>3.0149 * CHOOSE(CONTROL!$C$22, $C$13, 100%, $E$13)</f>
        <v>3.0148999999999999</v>
      </c>
      <c r="E74" s="64">
        <f>3.5226 * CHOOSE(CONTROL!$C$22, $C$13, 100%, $E$13)</f>
        <v>3.5226000000000002</v>
      </c>
      <c r="F74" s="64">
        <f>3.5226 * CHOOSE(CONTROL!$C$22, $C$13, 100%, $E$13)</f>
        <v>3.5226000000000002</v>
      </c>
      <c r="G74" s="64">
        <f>3.5228 * CHOOSE(CONTROL!$C$22, $C$13, 100%, $E$13)</f>
        <v>3.5228000000000002</v>
      </c>
      <c r="H74" s="64">
        <f>6.3595* CHOOSE(CONTROL!$C$22, $C$13, 100%, $E$13)</f>
        <v>6.3594999999999997</v>
      </c>
      <c r="I74" s="64">
        <f>6.3597 * CHOOSE(CONTROL!$C$22, $C$13, 100%, $E$13)</f>
        <v>6.3597000000000001</v>
      </c>
      <c r="J74" s="64">
        <f>3.5226 * CHOOSE(CONTROL!$C$22, $C$13, 100%, $E$13)</f>
        <v>3.5226000000000002</v>
      </c>
      <c r="K74" s="64">
        <f>3.5228 * CHOOSE(CONTROL!$C$22, $C$13, 100%, $E$13)</f>
        <v>3.5228000000000002</v>
      </c>
      <c r="L74" s="4"/>
      <c r="M74" s="4"/>
      <c r="N74" s="4"/>
    </row>
    <row r="75" spans="1:14" ht="15">
      <c r="A75" s="13">
        <v>43922</v>
      </c>
      <c r="B75" s="63">
        <f>2.994 * CHOOSE(CONTROL!$C$22, $C$13, 100%, $E$13)</f>
        <v>2.9940000000000002</v>
      </c>
      <c r="C75" s="63">
        <f>2.994 * CHOOSE(CONTROL!$C$22, $C$13, 100%, $E$13)</f>
        <v>2.9940000000000002</v>
      </c>
      <c r="D75" s="63">
        <f>3.0117 * CHOOSE(CONTROL!$C$22, $C$13, 100%, $E$13)</f>
        <v>3.0116999999999998</v>
      </c>
      <c r="E75" s="64">
        <f>3.5484 * CHOOSE(CONTROL!$C$22, $C$13, 100%, $E$13)</f>
        <v>3.5484</v>
      </c>
      <c r="F75" s="64">
        <f>3.5484 * CHOOSE(CONTROL!$C$22, $C$13, 100%, $E$13)</f>
        <v>3.5484</v>
      </c>
      <c r="G75" s="64">
        <f>3.5486 * CHOOSE(CONTROL!$C$22, $C$13, 100%, $E$13)</f>
        <v>3.5486</v>
      </c>
      <c r="H75" s="64">
        <f>6.3728* CHOOSE(CONTROL!$C$22, $C$13, 100%, $E$13)</f>
        <v>6.3727999999999998</v>
      </c>
      <c r="I75" s="64">
        <f>6.373 * CHOOSE(CONTROL!$C$22, $C$13, 100%, $E$13)</f>
        <v>6.3730000000000002</v>
      </c>
      <c r="J75" s="64">
        <f>3.5484 * CHOOSE(CONTROL!$C$22, $C$13, 100%, $E$13)</f>
        <v>3.5484</v>
      </c>
      <c r="K75" s="64">
        <f>3.5486 * CHOOSE(CONTROL!$C$22, $C$13, 100%, $E$13)</f>
        <v>3.5486</v>
      </c>
      <c r="L75" s="4"/>
      <c r="M75" s="4"/>
      <c r="N75" s="4"/>
    </row>
    <row r="76" spans="1:14" ht="15">
      <c r="A76" s="13">
        <v>43952</v>
      </c>
      <c r="B76" s="63">
        <f>2.994 * CHOOSE(CONTROL!$C$22, $C$13, 100%, $E$13)</f>
        <v>2.9940000000000002</v>
      </c>
      <c r="C76" s="63">
        <f>2.994 * CHOOSE(CONTROL!$C$22, $C$13, 100%, $E$13)</f>
        <v>2.9940000000000002</v>
      </c>
      <c r="D76" s="63">
        <f>3.0293 * CHOOSE(CONTROL!$C$22, $C$13, 100%, $E$13)</f>
        <v>3.0293000000000001</v>
      </c>
      <c r="E76" s="64">
        <f>3.5597 * CHOOSE(CONTROL!$C$22, $C$13, 100%, $E$13)</f>
        <v>3.5596999999999999</v>
      </c>
      <c r="F76" s="64">
        <f>3.5597 * CHOOSE(CONTROL!$C$22, $C$13, 100%, $E$13)</f>
        <v>3.5596999999999999</v>
      </c>
      <c r="G76" s="64">
        <f>3.5618 * CHOOSE(CONTROL!$C$22, $C$13, 100%, $E$13)</f>
        <v>3.5617999999999999</v>
      </c>
      <c r="H76" s="64">
        <f>6.3861* CHOOSE(CONTROL!$C$22, $C$13, 100%, $E$13)</f>
        <v>6.3860999999999999</v>
      </c>
      <c r="I76" s="64">
        <f>6.3882 * CHOOSE(CONTROL!$C$22, $C$13, 100%, $E$13)</f>
        <v>6.3882000000000003</v>
      </c>
      <c r="J76" s="64">
        <f>3.5597 * CHOOSE(CONTROL!$C$22, $C$13, 100%, $E$13)</f>
        <v>3.5596999999999999</v>
      </c>
      <c r="K76" s="64">
        <f>3.5618 * CHOOSE(CONTROL!$C$22, $C$13, 100%, $E$13)</f>
        <v>3.5617999999999999</v>
      </c>
      <c r="L76" s="4"/>
      <c r="M76" s="4"/>
      <c r="N76" s="4"/>
    </row>
    <row r="77" spans="1:14" ht="15">
      <c r="A77" s="13">
        <v>43983</v>
      </c>
      <c r="B77" s="63">
        <f>3.0001 * CHOOSE(CONTROL!$C$22, $C$13, 100%, $E$13)</f>
        <v>3.0001000000000002</v>
      </c>
      <c r="C77" s="63">
        <f>3.0001 * CHOOSE(CONTROL!$C$22, $C$13, 100%, $E$13)</f>
        <v>3.0001000000000002</v>
      </c>
      <c r="D77" s="63">
        <f>3.0354 * CHOOSE(CONTROL!$C$22, $C$13, 100%, $E$13)</f>
        <v>3.0354000000000001</v>
      </c>
      <c r="E77" s="64">
        <f>3.5526 * CHOOSE(CONTROL!$C$22, $C$13, 100%, $E$13)</f>
        <v>3.5526</v>
      </c>
      <c r="F77" s="64">
        <f>3.5526 * CHOOSE(CONTROL!$C$22, $C$13, 100%, $E$13)</f>
        <v>3.5526</v>
      </c>
      <c r="G77" s="64">
        <f>3.5548 * CHOOSE(CONTROL!$C$22, $C$13, 100%, $E$13)</f>
        <v>3.5548000000000002</v>
      </c>
      <c r="H77" s="64">
        <f>6.3994* CHOOSE(CONTROL!$C$22, $C$13, 100%, $E$13)</f>
        <v>6.3994</v>
      </c>
      <c r="I77" s="64">
        <f>6.4015 * CHOOSE(CONTROL!$C$22, $C$13, 100%, $E$13)</f>
        <v>6.4015000000000004</v>
      </c>
      <c r="J77" s="64">
        <f>3.5526 * CHOOSE(CONTROL!$C$22, $C$13, 100%, $E$13)</f>
        <v>3.5526</v>
      </c>
      <c r="K77" s="64">
        <f>3.5548 * CHOOSE(CONTROL!$C$22, $C$13, 100%, $E$13)</f>
        <v>3.5548000000000002</v>
      </c>
      <c r="L77" s="4"/>
      <c r="M77" s="4"/>
      <c r="N77" s="4"/>
    </row>
    <row r="78" spans="1:14" ht="15">
      <c r="A78" s="13">
        <v>44013</v>
      </c>
      <c r="B78" s="63">
        <f>3.0509 * CHOOSE(CONTROL!$C$22, $C$13, 100%, $E$13)</f>
        <v>3.0508999999999999</v>
      </c>
      <c r="C78" s="63">
        <f>3.0509 * CHOOSE(CONTROL!$C$22, $C$13, 100%, $E$13)</f>
        <v>3.0508999999999999</v>
      </c>
      <c r="D78" s="63">
        <f>3.0862 * CHOOSE(CONTROL!$C$22, $C$13, 100%, $E$13)</f>
        <v>3.0861999999999998</v>
      </c>
      <c r="E78" s="64">
        <f>3.6456 * CHOOSE(CONTROL!$C$22, $C$13, 100%, $E$13)</f>
        <v>3.6456</v>
      </c>
      <c r="F78" s="64">
        <f>3.6456 * CHOOSE(CONTROL!$C$22, $C$13, 100%, $E$13)</f>
        <v>3.6456</v>
      </c>
      <c r="G78" s="64">
        <f>3.6478 * CHOOSE(CONTROL!$C$22, $C$13, 100%, $E$13)</f>
        <v>3.6478000000000002</v>
      </c>
      <c r="H78" s="64">
        <f>6.4127* CHOOSE(CONTROL!$C$22, $C$13, 100%, $E$13)</f>
        <v>6.4127000000000001</v>
      </c>
      <c r="I78" s="64">
        <f>6.4149 * CHOOSE(CONTROL!$C$22, $C$13, 100%, $E$13)</f>
        <v>6.4149000000000003</v>
      </c>
      <c r="J78" s="64">
        <f>3.6456 * CHOOSE(CONTROL!$C$22, $C$13, 100%, $E$13)</f>
        <v>3.6456</v>
      </c>
      <c r="K78" s="64">
        <f>3.6478 * CHOOSE(CONTROL!$C$22, $C$13, 100%, $E$13)</f>
        <v>3.6478000000000002</v>
      </c>
      <c r="L78" s="4"/>
      <c r="M78" s="4"/>
      <c r="N78" s="4"/>
    </row>
    <row r="79" spans="1:14" ht="15">
      <c r="A79" s="13">
        <v>44044</v>
      </c>
      <c r="B79" s="63">
        <f>3.0576 * CHOOSE(CONTROL!$C$22, $C$13, 100%, $E$13)</f>
        <v>3.0575999999999999</v>
      </c>
      <c r="C79" s="63">
        <f>3.0576 * CHOOSE(CONTROL!$C$22, $C$13, 100%, $E$13)</f>
        <v>3.0575999999999999</v>
      </c>
      <c r="D79" s="63">
        <f>3.0929 * CHOOSE(CONTROL!$C$22, $C$13, 100%, $E$13)</f>
        <v>3.0929000000000002</v>
      </c>
      <c r="E79" s="64">
        <f>3.6165 * CHOOSE(CONTROL!$C$22, $C$13, 100%, $E$13)</f>
        <v>3.6164999999999998</v>
      </c>
      <c r="F79" s="64">
        <f>3.6165 * CHOOSE(CONTROL!$C$22, $C$13, 100%, $E$13)</f>
        <v>3.6164999999999998</v>
      </c>
      <c r="G79" s="64">
        <f>3.6187 * CHOOSE(CONTROL!$C$22, $C$13, 100%, $E$13)</f>
        <v>3.6187</v>
      </c>
      <c r="H79" s="64">
        <f>6.4261* CHOOSE(CONTROL!$C$22, $C$13, 100%, $E$13)</f>
        <v>6.4260999999999999</v>
      </c>
      <c r="I79" s="64">
        <f>6.4282 * CHOOSE(CONTROL!$C$22, $C$13, 100%, $E$13)</f>
        <v>6.4282000000000004</v>
      </c>
      <c r="J79" s="64">
        <f>3.6165 * CHOOSE(CONTROL!$C$22, $C$13, 100%, $E$13)</f>
        <v>3.6164999999999998</v>
      </c>
      <c r="K79" s="64">
        <f>3.6187 * CHOOSE(CONTROL!$C$22, $C$13, 100%, $E$13)</f>
        <v>3.6187</v>
      </c>
      <c r="L79" s="4"/>
      <c r="M79" s="4"/>
      <c r="N79" s="4"/>
    </row>
    <row r="80" spans="1:14" ht="15">
      <c r="A80" s="13">
        <v>44075</v>
      </c>
      <c r="B80" s="63">
        <f>3.0545 * CHOOSE(CONTROL!$C$22, $C$13, 100%, $E$13)</f>
        <v>3.0545</v>
      </c>
      <c r="C80" s="63">
        <f>3.0545 * CHOOSE(CONTROL!$C$22, $C$13, 100%, $E$13)</f>
        <v>3.0545</v>
      </c>
      <c r="D80" s="63">
        <f>3.0899 * CHOOSE(CONTROL!$C$22, $C$13, 100%, $E$13)</f>
        <v>3.0899000000000001</v>
      </c>
      <c r="E80" s="64">
        <f>3.6106 * CHOOSE(CONTROL!$C$22, $C$13, 100%, $E$13)</f>
        <v>3.6105999999999998</v>
      </c>
      <c r="F80" s="64">
        <f>3.6106 * CHOOSE(CONTROL!$C$22, $C$13, 100%, $E$13)</f>
        <v>3.6105999999999998</v>
      </c>
      <c r="G80" s="64">
        <f>3.6128 * CHOOSE(CONTROL!$C$22, $C$13, 100%, $E$13)</f>
        <v>3.6128</v>
      </c>
      <c r="H80" s="64">
        <f>6.4394* CHOOSE(CONTROL!$C$22, $C$13, 100%, $E$13)</f>
        <v>6.4394</v>
      </c>
      <c r="I80" s="64">
        <f>6.4416 * CHOOSE(CONTROL!$C$22, $C$13, 100%, $E$13)</f>
        <v>6.4416000000000002</v>
      </c>
      <c r="J80" s="64">
        <f>3.6106 * CHOOSE(CONTROL!$C$22, $C$13, 100%, $E$13)</f>
        <v>3.6105999999999998</v>
      </c>
      <c r="K80" s="64">
        <f>3.6128 * CHOOSE(CONTROL!$C$22, $C$13, 100%, $E$13)</f>
        <v>3.6128</v>
      </c>
      <c r="L80" s="4"/>
      <c r="M80" s="4"/>
      <c r="N80" s="4"/>
    </row>
    <row r="81" spans="1:14" ht="15">
      <c r="A81" s="13">
        <v>44105</v>
      </c>
      <c r="B81" s="63">
        <f>3.0462 * CHOOSE(CONTROL!$C$22, $C$13, 100%, $E$13)</f>
        <v>3.0461999999999998</v>
      </c>
      <c r="C81" s="63">
        <f>3.0462 * CHOOSE(CONTROL!$C$22, $C$13, 100%, $E$13)</f>
        <v>3.0461999999999998</v>
      </c>
      <c r="D81" s="63">
        <f>3.0639 * CHOOSE(CONTROL!$C$22, $C$13, 100%, $E$13)</f>
        <v>3.0638999999999998</v>
      </c>
      <c r="E81" s="64">
        <f>3.6122 * CHOOSE(CONTROL!$C$22, $C$13, 100%, $E$13)</f>
        <v>3.6122000000000001</v>
      </c>
      <c r="F81" s="64">
        <f>3.6122 * CHOOSE(CONTROL!$C$22, $C$13, 100%, $E$13)</f>
        <v>3.6122000000000001</v>
      </c>
      <c r="G81" s="64">
        <f>3.6124 * CHOOSE(CONTROL!$C$22, $C$13, 100%, $E$13)</f>
        <v>3.6124000000000001</v>
      </c>
      <c r="H81" s="64">
        <f>6.4529* CHOOSE(CONTROL!$C$22, $C$13, 100%, $E$13)</f>
        <v>6.4528999999999996</v>
      </c>
      <c r="I81" s="64">
        <f>6.453 * CHOOSE(CONTROL!$C$22, $C$13, 100%, $E$13)</f>
        <v>6.4530000000000003</v>
      </c>
      <c r="J81" s="64">
        <f>3.6122 * CHOOSE(CONTROL!$C$22, $C$13, 100%, $E$13)</f>
        <v>3.6122000000000001</v>
      </c>
      <c r="K81" s="64">
        <f>3.6124 * CHOOSE(CONTROL!$C$22, $C$13, 100%, $E$13)</f>
        <v>3.6124000000000001</v>
      </c>
      <c r="L81" s="4"/>
      <c r="M81" s="4"/>
      <c r="N81" s="4"/>
    </row>
    <row r="82" spans="1:14" ht="15">
      <c r="A82" s="13">
        <v>44136</v>
      </c>
      <c r="B82" s="63">
        <f>3.0493 * CHOOSE(CONTROL!$C$22, $C$13, 100%, $E$13)</f>
        <v>3.0493000000000001</v>
      </c>
      <c r="C82" s="63">
        <f>3.0493 * CHOOSE(CONTROL!$C$22, $C$13, 100%, $E$13)</f>
        <v>3.0493000000000001</v>
      </c>
      <c r="D82" s="63">
        <f>3.0669 * CHOOSE(CONTROL!$C$22, $C$13, 100%, $E$13)</f>
        <v>3.0669</v>
      </c>
      <c r="E82" s="64">
        <f>3.6219 * CHOOSE(CONTROL!$C$22, $C$13, 100%, $E$13)</f>
        <v>3.6219000000000001</v>
      </c>
      <c r="F82" s="64">
        <f>3.6219 * CHOOSE(CONTROL!$C$22, $C$13, 100%, $E$13)</f>
        <v>3.6219000000000001</v>
      </c>
      <c r="G82" s="64">
        <f>3.622 * CHOOSE(CONTROL!$C$22, $C$13, 100%, $E$13)</f>
        <v>3.6219999999999999</v>
      </c>
      <c r="H82" s="64">
        <f>6.4663* CHOOSE(CONTROL!$C$22, $C$13, 100%, $E$13)</f>
        <v>6.4663000000000004</v>
      </c>
      <c r="I82" s="64">
        <f>6.4665 * CHOOSE(CONTROL!$C$22, $C$13, 100%, $E$13)</f>
        <v>6.4664999999999999</v>
      </c>
      <c r="J82" s="64">
        <f>3.6219 * CHOOSE(CONTROL!$C$22, $C$13, 100%, $E$13)</f>
        <v>3.6219000000000001</v>
      </c>
      <c r="K82" s="64">
        <f>3.622 * CHOOSE(CONTROL!$C$22, $C$13, 100%, $E$13)</f>
        <v>3.6219999999999999</v>
      </c>
      <c r="L82" s="4"/>
      <c r="M82" s="4"/>
      <c r="N82" s="4"/>
    </row>
    <row r="83" spans="1:14" ht="15">
      <c r="A83" s="13">
        <v>44166</v>
      </c>
      <c r="B83" s="63">
        <f>3.0493 * CHOOSE(CONTROL!$C$22, $C$13, 100%, $E$13)</f>
        <v>3.0493000000000001</v>
      </c>
      <c r="C83" s="63">
        <f>3.0493 * CHOOSE(CONTROL!$C$22, $C$13, 100%, $E$13)</f>
        <v>3.0493000000000001</v>
      </c>
      <c r="D83" s="63">
        <f>3.0669 * CHOOSE(CONTROL!$C$22, $C$13, 100%, $E$13)</f>
        <v>3.0669</v>
      </c>
      <c r="E83" s="64">
        <f>3.6031 * CHOOSE(CONTROL!$C$22, $C$13, 100%, $E$13)</f>
        <v>3.6031</v>
      </c>
      <c r="F83" s="64">
        <f>3.6031 * CHOOSE(CONTROL!$C$22, $C$13, 100%, $E$13)</f>
        <v>3.6031</v>
      </c>
      <c r="G83" s="64">
        <f>3.6033 * CHOOSE(CONTROL!$C$22, $C$13, 100%, $E$13)</f>
        <v>3.6032999999999999</v>
      </c>
      <c r="H83" s="64">
        <f>6.4798* CHOOSE(CONTROL!$C$22, $C$13, 100%, $E$13)</f>
        <v>6.4798</v>
      </c>
      <c r="I83" s="64">
        <f>6.48 * CHOOSE(CONTROL!$C$22, $C$13, 100%, $E$13)</f>
        <v>6.48</v>
      </c>
      <c r="J83" s="64">
        <f>3.6031 * CHOOSE(CONTROL!$C$22, $C$13, 100%, $E$13)</f>
        <v>3.6031</v>
      </c>
      <c r="K83" s="64">
        <f>3.6033 * CHOOSE(CONTROL!$C$22, $C$13, 100%, $E$13)</f>
        <v>3.6032999999999999</v>
      </c>
      <c r="L83" s="4"/>
      <c r="M83" s="4"/>
      <c r="N83" s="4"/>
    </row>
    <row r="84" spans="1:14" ht="15">
      <c r="A84" s="13">
        <v>44197</v>
      </c>
      <c r="B84" s="63">
        <f>3.0805 * CHOOSE(CONTROL!$C$22, $C$13, 100%, $E$13)</f>
        <v>3.0804999999999998</v>
      </c>
      <c r="C84" s="63">
        <f>3.0805 * CHOOSE(CONTROL!$C$22, $C$13, 100%, $E$13)</f>
        <v>3.0804999999999998</v>
      </c>
      <c r="D84" s="63">
        <f>3.0982 * CHOOSE(CONTROL!$C$22, $C$13, 100%, $E$13)</f>
        <v>3.0981999999999998</v>
      </c>
      <c r="E84" s="64">
        <f>3.649 * CHOOSE(CONTROL!$C$22, $C$13, 100%, $E$13)</f>
        <v>3.649</v>
      </c>
      <c r="F84" s="64">
        <f>3.649 * CHOOSE(CONTROL!$C$22, $C$13, 100%, $E$13)</f>
        <v>3.649</v>
      </c>
      <c r="G84" s="64">
        <f>3.6492 * CHOOSE(CONTROL!$C$22, $C$13, 100%, $E$13)</f>
        <v>3.6492</v>
      </c>
      <c r="H84" s="64">
        <f>6.4933* CHOOSE(CONTROL!$C$22, $C$13, 100%, $E$13)</f>
        <v>6.4932999999999996</v>
      </c>
      <c r="I84" s="64">
        <f>6.4935 * CHOOSE(CONTROL!$C$22, $C$13, 100%, $E$13)</f>
        <v>6.4935</v>
      </c>
      <c r="J84" s="64">
        <f>3.649 * CHOOSE(CONTROL!$C$22, $C$13, 100%, $E$13)</f>
        <v>3.649</v>
      </c>
      <c r="K84" s="64">
        <f>3.6492 * CHOOSE(CONTROL!$C$22, $C$13, 100%, $E$13)</f>
        <v>3.6492</v>
      </c>
      <c r="L84" s="4"/>
      <c r="M84" s="4"/>
      <c r="N84" s="4"/>
    </row>
    <row r="85" spans="1:14" ht="15">
      <c r="A85" s="13">
        <v>44228</v>
      </c>
      <c r="B85" s="63">
        <f>3.0775 * CHOOSE(CONTROL!$C$22, $C$13, 100%, $E$13)</f>
        <v>3.0775000000000001</v>
      </c>
      <c r="C85" s="63">
        <f>3.0775 * CHOOSE(CONTROL!$C$22, $C$13, 100%, $E$13)</f>
        <v>3.0775000000000001</v>
      </c>
      <c r="D85" s="63">
        <f>3.0951 * CHOOSE(CONTROL!$C$22, $C$13, 100%, $E$13)</f>
        <v>3.0951</v>
      </c>
      <c r="E85" s="64">
        <f>3.6087 * CHOOSE(CONTROL!$C$22, $C$13, 100%, $E$13)</f>
        <v>3.6086999999999998</v>
      </c>
      <c r="F85" s="64">
        <f>3.6087 * CHOOSE(CONTROL!$C$22, $C$13, 100%, $E$13)</f>
        <v>3.6086999999999998</v>
      </c>
      <c r="G85" s="64">
        <f>3.6088 * CHOOSE(CONTROL!$C$22, $C$13, 100%, $E$13)</f>
        <v>3.6088</v>
      </c>
      <c r="H85" s="64">
        <f>6.5068* CHOOSE(CONTROL!$C$22, $C$13, 100%, $E$13)</f>
        <v>6.5068000000000001</v>
      </c>
      <c r="I85" s="64">
        <f>6.507 * CHOOSE(CONTROL!$C$22, $C$13, 100%, $E$13)</f>
        <v>6.5069999999999997</v>
      </c>
      <c r="J85" s="64">
        <f>3.6087 * CHOOSE(CONTROL!$C$22, $C$13, 100%, $E$13)</f>
        <v>3.6086999999999998</v>
      </c>
      <c r="K85" s="64">
        <f>3.6088 * CHOOSE(CONTROL!$C$22, $C$13, 100%, $E$13)</f>
        <v>3.6088</v>
      </c>
      <c r="L85" s="4"/>
      <c r="M85" s="4"/>
      <c r="N85" s="4"/>
    </row>
    <row r="86" spans="1:14" ht="15">
      <c r="A86" s="13">
        <v>44256</v>
      </c>
      <c r="B86" s="63">
        <f>3.0744 * CHOOSE(CONTROL!$C$22, $C$13, 100%, $E$13)</f>
        <v>3.0743999999999998</v>
      </c>
      <c r="C86" s="63">
        <f>3.0744 * CHOOSE(CONTROL!$C$22, $C$13, 100%, $E$13)</f>
        <v>3.0743999999999998</v>
      </c>
      <c r="D86" s="63">
        <f>3.0921 * CHOOSE(CONTROL!$C$22, $C$13, 100%, $E$13)</f>
        <v>3.0920999999999998</v>
      </c>
      <c r="E86" s="64">
        <f>3.6367 * CHOOSE(CONTROL!$C$22, $C$13, 100%, $E$13)</f>
        <v>3.6366999999999998</v>
      </c>
      <c r="F86" s="64">
        <f>3.6367 * CHOOSE(CONTROL!$C$22, $C$13, 100%, $E$13)</f>
        <v>3.6366999999999998</v>
      </c>
      <c r="G86" s="64">
        <f>3.6369 * CHOOSE(CONTROL!$C$22, $C$13, 100%, $E$13)</f>
        <v>3.6368999999999998</v>
      </c>
      <c r="H86" s="64">
        <f>6.5204* CHOOSE(CONTROL!$C$22, $C$13, 100%, $E$13)</f>
        <v>6.5204000000000004</v>
      </c>
      <c r="I86" s="64">
        <f>6.5205 * CHOOSE(CONTROL!$C$22, $C$13, 100%, $E$13)</f>
        <v>6.5205000000000002</v>
      </c>
      <c r="J86" s="64">
        <f>3.6367 * CHOOSE(CONTROL!$C$22, $C$13, 100%, $E$13)</f>
        <v>3.6366999999999998</v>
      </c>
      <c r="K86" s="64">
        <f>3.6369 * CHOOSE(CONTROL!$C$22, $C$13, 100%, $E$13)</f>
        <v>3.6368999999999998</v>
      </c>
      <c r="L86" s="4"/>
      <c r="M86" s="4"/>
      <c r="N86" s="4"/>
    </row>
    <row r="87" spans="1:14" ht="15">
      <c r="A87" s="13">
        <v>44287</v>
      </c>
      <c r="B87" s="63">
        <f>3.0712 * CHOOSE(CONTROL!$C$22, $C$13, 100%, $E$13)</f>
        <v>3.0712000000000002</v>
      </c>
      <c r="C87" s="63">
        <f>3.0712 * CHOOSE(CONTROL!$C$22, $C$13, 100%, $E$13)</f>
        <v>3.0712000000000002</v>
      </c>
      <c r="D87" s="63">
        <f>3.0889 * CHOOSE(CONTROL!$C$22, $C$13, 100%, $E$13)</f>
        <v>3.0889000000000002</v>
      </c>
      <c r="E87" s="64">
        <f>3.6649 * CHOOSE(CONTROL!$C$22, $C$13, 100%, $E$13)</f>
        <v>3.6648999999999998</v>
      </c>
      <c r="F87" s="64">
        <f>3.6649 * CHOOSE(CONTROL!$C$22, $C$13, 100%, $E$13)</f>
        <v>3.6648999999999998</v>
      </c>
      <c r="G87" s="64">
        <f>3.665 * CHOOSE(CONTROL!$C$22, $C$13, 100%, $E$13)</f>
        <v>3.665</v>
      </c>
      <c r="H87" s="64">
        <f>6.5339* CHOOSE(CONTROL!$C$22, $C$13, 100%, $E$13)</f>
        <v>6.5339</v>
      </c>
      <c r="I87" s="64">
        <f>6.5341 * CHOOSE(CONTROL!$C$22, $C$13, 100%, $E$13)</f>
        <v>6.5340999999999996</v>
      </c>
      <c r="J87" s="64">
        <f>3.6649 * CHOOSE(CONTROL!$C$22, $C$13, 100%, $E$13)</f>
        <v>3.6648999999999998</v>
      </c>
      <c r="K87" s="64">
        <f>3.665 * CHOOSE(CONTROL!$C$22, $C$13, 100%, $E$13)</f>
        <v>3.665</v>
      </c>
      <c r="L87" s="4"/>
      <c r="M87" s="4"/>
      <c r="N87" s="4"/>
    </row>
    <row r="88" spans="1:14" ht="15">
      <c r="A88" s="13">
        <v>44317</v>
      </c>
      <c r="B88" s="63">
        <f>3.0712 * CHOOSE(CONTROL!$C$22, $C$13, 100%, $E$13)</f>
        <v>3.0712000000000002</v>
      </c>
      <c r="C88" s="63">
        <f>3.0712 * CHOOSE(CONTROL!$C$22, $C$13, 100%, $E$13)</f>
        <v>3.0712000000000002</v>
      </c>
      <c r="D88" s="63">
        <f>3.1065 * CHOOSE(CONTROL!$C$22, $C$13, 100%, $E$13)</f>
        <v>3.1065</v>
      </c>
      <c r="E88" s="64">
        <f>3.677 * CHOOSE(CONTROL!$C$22, $C$13, 100%, $E$13)</f>
        <v>3.677</v>
      </c>
      <c r="F88" s="64">
        <f>3.677 * CHOOSE(CONTROL!$C$22, $C$13, 100%, $E$13)</f>
        <v>3.677</v>
      </c>
      <c r="G88" s="64">
        <f>3.6792 * CHOOSE(CONTROL!$C$22, $C$13, 100%, $E$13)</f>
        <v>3.6791999999999998</v>
      </c>
      <c r="H88" s="64">
        <f>6.5476* CHOOSE(CONTROL!$C$22, $C$13, 100%, $E$13)</f>
        <v>6.5476000000000001</v>
      </c>
      <c r="I88" s="64">
        <f>6.5497 * CHOOSE(CONTROL!$C$22, $C$13, 100%, $E$13)</f>
        <v>6.5496999999999996</v>
      </c>
      <c r="J88" s="64">
        <f>3.677 * CHOOSE(CONTROL!$C$22, $C$13, 100%, $E$13)</f>
        <v>3.677</v>
      </c>
      <c r="K88" s="64">
        <f>3.6792 * CHOOSE(CONTROL!$C$22, $C$13, 100%, $E$13)</f>
        <v>3.6791999999999998</v>
      </c>
      <c r="L88" s="4"/>
      <c r="M88" s="4"/>
      <c r="N88" s="4"/>
    </row>
    <row r="89" spans="1:14" ht="15">
      <c r="A89" s="13">
        <v>44348</v>
      </c>
      <c r="B89" s="63">
        <f>3.0773 * CHOOSE(CONTROL!$C$22, $C$13, 100%, $E$13)</f>
        <v>3.0773000000000001</v>
      </c>
      <c r="C89" s="63">
        <f>3.0773 * CHOOSE(CONTROL!$C$22, $C$13, 100%, $E$13)</f>
        <v>3.0773000000000001</v>
      </c>
      <c r="D89" s="63">
        <f>3.1126 * CHOOSE(CONTROL!$C$22, $C$13, 100%, $E$13)</f>
        <v>3.1126</v>
      </c>
      <c r="E89" s="64">
        <f>3.6691 * CHOOSE(CONTROL!$C$22, $C$13, 100%, $E$13)</f>
        <v>3.6690999999999998</v>
      </c>
      <c r="F89" s="64">
        <f>3.6691 * CHOOSE(CONTROL!$C$22, $C$13, 100%, $E$13)</f>
        <v>3.6690999999999998</v>
      </c>
      <c r="G89" s="64">
        <f>3.6713 * CHOOSE(CONTROL!$C$22, $C$13, 100%, $E$13)</f>
        <v>3.6713</v>
      </c>
      <c r="H89" s="64">
        <f>6.5612* CHOOSE(CONTROL!$C$22, $C$13, 100%, $E$13)</f>
        <v>6.5612000000000004</v>
      </c>
      <c r="I89" s="64">
        <f>6.5634 * CHOOSE(CONTROL!$C$22, $C$13, 100%, $E$13)</f>
        <v>6.5633999999999997</v>
      </c>
      <c r="J89" s="64">
        <f>3.6691 * CHOOSE(CONTROL!$C$22, $C$13, 100%, $E$13)</f>
        <v>3.6690999999999998</v>
      </c>
      <c r="K89" s="64">
        <f>3.6713 * CHOOSE(CONTROL!$C$22, $C$13, 100%, $E$13)</f>
        <v>3.6713</v>
      </c>
      <c r="L89" s="4"/>
      <c r="M89" s="4"/>
      <c r="N89" s="4"/>
    </row>
    <row r="90" spans="1:14" ht="15">
      <c r="A90" s="13">
        <v>44378</v>
      </c>
      <c r="B90" s="63">
        <f>3.137 * CHOOSE(CONTROL!$C$22, $C$13, 100%, $E$13)</f>
        <v>3.137</v>
      </c>
      <c r="C90" s="63">
        <f>3.137 * CHOOSE(CONTROL!$C$22, $C$13, 100%, $E$13)</f>
        <v>3.137</v>
      </c>
      <c r="D90" s="63">
        <f>3.1723 * CHOOSE(CONTROL!$C$22, $C$13, 100%, $E$13)</f>
        <v>3.1722999999999999</v>
      </c>
      <c r="E90" s="64">
        <f>3.6976 * CHOOSE(CONTROL!$C$22, $C$13, 100%, $E$13)</f>
        <v>3.6976</v>
      </c>
      <c r="F90" s="64">
        <f>3.6976 * CHOOSE(CONTROL!$C$22, $C$13, 100%, $E$13)</f>
        <v>3.6976</v>
      </c>
      <c r="G90" s="64">
        <f>3.6998 * CHOOSE(CONTROL!$C$22, $C$13, 100%, $E$13)</f>
        <v>3.6998000000000002</v>
      </c>
      <c r="H90" s="64">
        <f>6.5749* CHOOSE(CONTROL!$C$22, $C$13, 100%, $E$13)</f>
        <v>6.5749000000000004</v>
      </c>
      <c r="I90" s="64">
        <f>6.577 * CHOOSE(CONTROL!$C$22, $C$13, 100%, $E$13)</f>
        <v>6.577</v>
      </c>
      <c r="J90" s="64">
        <f>3.6976 * CHOOSE(CONTROL!$C$22, $C$13, 100%, $E$13)</f>
        <v>3.6976</v>
      </c>
      <c r="K90" s="64">
        <f>3.6998 * CHOOSE(CONTROL!$C$22, $C$13, 100%, $E$13)</f>
        <v>3.6998000000000002</v>
      </c>
      <c r="L90" s="4"/>
      <c r="M90" s="4"/>
      <c r="N90" s="4"/>
    </row>
    <row r="91" spans="1:14" ht="15">
      <c r="A91" s="13">
        <v>44409</v>
      </c>
      <c r="B91" s="63">
        <f>3.1436 * CHOOSE(CONTROL!$C$22, $C$13, 100%, $E$13)</f>
        <v>3.1436000000000002</v>
      </c>
      <c r="C91" s="63">
        <f>3.1436 * CHOOSE(CONTROL!$C$22, $C$13, 100%, $E$13)</f>
        <v>3.1436000000000002</v>
      </c>
      <c r="D91" s="63">
        <f>3.179 * CHOOSE(CONTROL!$C$22, $C$13, 100%, $E$13)</f>
        <v>3.1789999999999998</v>
      </c>
      <c r="E91" s="64">
        <f>3.6658 * CHOOSE(CONTROL!$C$22, $C$13, 100%, $E$13)</f>
        <v>3.6657999999999999</v>
      </c>
      <c r="F91" s="64">
        <f>3.6658 * CHOOSE(CONTROL!$C$22, $C$13, 100%, $E$13)</f>
        <v>3.6657999999999999</v>
      </c>
      <c r="G91" s="64">
        <f>3.668 * CHOOSE(CONTROL!$C$22, $C$13, 100%, $E$13)</f>
        <v>3.6680000000000001</v>
      </c>
      <c r="H91" s="64">
        <f>6.5886* CHOOSE(CONTROL!$C$22, $C$13, 100%, $E$13)</f>
        <v>6.5885999999999996</v>
      </c>
      <c r="I91" s="64">
        <f>6.5907 * CHOOSE(CONTROL!$C$22, $C$13, 100%, $E$13)</f>
        <v>6.5907</v>
      </c>
      <c r="J91" s="64">
        <f>3.6658 * CHOOSE(CONTROL!$C$22, $C$13, 100%, $E$13)</f>
        <v>3.6657999999999999</v>
      </c>
      <c r="K91" s="64">
        <f>3.668 * CHOOSE(CONTROL!$C$22, $C$13, 100%, $E$13)</f>
        <v>3.6680000000000001</v>
      </c>
      <c r="L91" s="4"/>
      <c r="M91" s="4"/>
      <c r="N91" s="4"/>
    </row>
    <row r="92" spans="1:14" ht="15">
      <c r="A92" s="13">
        <v>44440</v>
      </c>
      <c r="B92" s="63">
        <f>3.1406 * CHOOSE(CONTROL!$C$22, $C$13, 100%, $E$13)</f>
        <v>3.1406000000000001</v>
      </c>
      <c r="C92" s="63">
        <f>3.1406 * CHOOSE(CONTROL!$C$22, $C$13, 100%, $E$13)</f>
        <v>3.1406000000000001</v>
      </c>
      <c r="D92" s="63">
        <f>3.1759 * CHOOSE(CONTROL!$C$22, $C$13, 100%, $E$13)</f>
        <v>3.1758999999999999</v>
      </c>
      <c r="E92" s="64">
        <f>3.6597 * CHOOSE(CONTROL!$C$22, $C$13, 100%, $E$13)</f>
        <v>3.6597</v>
      </c>
      <c r="F92" s="64">
        <f>3.6597 * CHOOSE(CONTROL!$C$22, $C$13, 100%, $E$13)</f>
        <v>3.6597</v>
      </c>
      <c r="G92" s="64">
        <f>3.6619 * CHOOSE(CONTROL!$C$22, $C$13, 100%, $E$13)</f>
        <v>3.6619000000000002</v>
      </c>
      <c r="H92" s="64">
        <f>6.6023* CHOOSE(CONTROL!$C$22, $C$13, 100%, $E$13)</f>
        <v>6.6022999999999996</v>
      </c>
      <c r="I92" s="64">
        <f>6.6045 * CHOOSE(CONTROL!$C$22, $C$13, 100%, $E$13)</f>
        <v>6.6044999999999998</v>
      </c>
      <c r="J92" s="64">
        <f>3.6597 * CHOOSE(CONTROL!$C$22, $C$13, 100%, $E$13)</f>
        <v>3.6597</v>
      </c>
      <c r="K92" s="64">
        <f>3.6619 * CHOOSE(CONTROL!$C$22, $C$13, 100%, $E$13)</f>
        <v>3.6619000000000002</v>
      </c>
      <c r="L92" s="4"/>
      <c r="M92" s="4"/>
      <c r="N92" s="4"/>
    </row>
    <row r="93" spans="1:14" ht="15">
      <c r="A93" s="13">
        <v>44470</v>
      </c>
      <c r="B93" s="63">
        <f>3.1326 * CHOOSE(CONTROL!$C$22, $C$13, 100%, $E$13)</f>
        <v>3.1326000000000001</v>
      </c>
      <c r="C93" s="63">
        <f>3.1326 * CHOOSE(CONTROL!$C$22, $C$13, 100%, $E$13)</f>
        <v>3.1326000000000001</v>
      </c>
      <c r="D93" s="63">
        <f>3.1502 * CHOOSE(CONTROL!$C$22, $C$13, 100%, $E$13)</f>
        <v>3.1501999999999999</v>
      </c>
      <c r="E93" s="64">
        <f>3.6625 * CHOOSE(CONTROL!$C$22, $C$13, 100%, $E$13)</f>
        <v>3.6625000000000001</v>
      </c>
      <c r="F93" s="64">
        <f>3.6625 * CHOOSE(CONTROL!$C$22, $C$13, 100%, $E$13)</f>
        <v>3.6625000000000001</v>
      </c>
      <c r="G93" s="64">
        <f>3.6626 * CHOOSE(CONTROL!$C$22, $C$13, 100%, $E$13)</f>
        <v>3.6625999999999999</v>
      </c>
      <c r="H93" s="64">
        <f>6.616* CHOOSE(CONTROL!$C$22, $C$13, 100%, $E$13)</f>
        <v>6.6159999999999997</v>
      </c>
      <c r="I93" s="64">
        <f>6.6162 * CHOOSE(CONTROL!$C$22, $C$13, 100%, $E$13)</f>
        <v>6.6162000000000001</v>
      </c>
      <c r="J93" s="64">
        <f>3.6625 * CHOOSE(CONTROL!$C$22, $C$13, 100%, $E$13)</f>
        <v>3.6625000000000001</v>
      </c>
      <c r="K93" s="64">
        <f>3.6626 * CHOOSE(CONTROL!$C$22, $C$13, 100%, $E$13)</f>
        <v>3.6625999999999999</v>
      </c>
      <c r="L93" s="4"/>
      <c r="M93" s="4"/>
      <c r="N93" s="4"/>
    </row>
    <row r="94" spans="1:14" ht="15">
      <c r="A94" s="13">
        <v>44501</v>
      </c>
      <c r="B94" s="63">
        <f>3.1356 * CHOOSE(CONTROL!$C$22, $C$13, 100%, $E$13)</f>
        <v>3.1356000000000002</v>
      </c>
      <c r="C94" s="63">
        <f>3.1356 * CHOOSE(CONTROL!$C$22, $C$13, 100%, $E$13)</f>
        <v>3.1356000000000002</v>
      </c>
      <c r="D94" s="63">
        <f>3.1533 * CHOOSE(CONTROL!$C$22, $C$13, 100%, $E$13)</f>
        <v>3.1533000000000002</v>
      </c>
      <c r="E94" s="64">
        <f>3.6727 * CHOOSE(CONTROL!$C$22, $C$13, 100%, $E$13)</f>
        <v>3.6726999999999999</v>
      </c>
      <c r="F94" s="64">
        <f>3.6727 * CHOOSE(CONTROL!$C$22, $C$13, 100%, $E$13)</f>
        <v>3.6726999999999999</v>
      </c>
      <c r="G94" s="64">
        <f>3.6728 * CHOOSE(CONTROL!$C$22, $C$13, 100%, $E$13)</f>
        <v>3.6728000000000001</v>
      </c>
      <c r="H94" s="64">
        <f>6.6298* CHOOSE(CONTROL!$C$22, $C$13, 100%, $E$13)</f>
        <v>6.6298000000000004</v>
      </c>
      <c r="I94" s="64">
        <f>6.63 * CHOOSE(CONTROL!$C$22, $C$13, 100%, $E$13)</f>
        <v>6.63</v>
      </c>
      <c r="J94" s="64">
        <f>3.6727 * CHOOSE(CONTROL!$C$22, $C$13, 100%, $E$13)</f>
        <v>3.6726999999999999</v>
      </c>
      <c r="K94" s="64">
        <f>3.6728 * CHOOSE(CONTROL!$C$22, $C$13, 100%, $E$13)</f>
        <v>3.6728000000000001</v>
      </c>
      <c r="L94" s="4"/>
      <c r="M94" s="4"/>
      <c r="N94" s="4"/>
    </row>
    <row r="95" spans="1:14" ht="15">
      <c r="A95" s="13">
        <v>44531</v>
      </c>
      <c r="B95" s="63">
        <f>3.1356 * CHOOSE(CONTROL!$C$22, $C$13, 100%, $E$13)</f>
        <v>3.1356000000000002</v>
      </c>
      <c r="C95" s="63">
        <f>3.1356 * CHOOSE(CONTROL!$C$22, $C$13, 100%, $E$13)</f>
        <v>3.1356000000000002</v>
      </c>
      <c r="D95" s="63">
        <f>3.1533 * CHOOSE(CONTROL!$C$22, $C$13, 100%, $E$13)</f>
        <v>3.1533000000000002</v>
      </c>
      <c r="E95" s="64">
        <f>3.6524 * CHOOSE(CONTROL!$C$22, $C$13, 100%, $E$13)</f>
        <v>3.6524000000000001</v>
      </c>
      <c r="F95" s="64">
        <f>3.6524 * CHOOSE(CONTROL!$C$22, $C$13, 100%, $E$13)</f>
        <v>3.6524000000000001</v>
      </c>
      <c r="G95" s="64">
        <f>3.6526 * CHOOSE(CONTROL!$C$22, $C$13, 100%, $E$13)</f>
        <v>3.6526000000000001</v>
      </c>
      <c r="H95" s="64">
        <f>6.6436* CHOOSE(CONTROL!$C$22, $C$13, 100%, $E$13)</f>
        <v>6.6436000000000002</v>
      </c>
      <c r="I95" s="64">
        <f>6.6438 * CHOOSE(CONTROL!$C$22, $C$13, 100%, $E$13)</f>
        <v>6.6437999999999997</v>
      </c>
      <c r="J95" s="64">
        <f>3.6524 * CHOOSE(CONTROL!$C$22, $C$13, 100%, $E$13)</f>
        <v>3.6524000000000001</v>
      </c>
      <c r="K95" s="64">
        <f>3.6526 * CHOOSE(CONTROL!$C$22, $C$13, 100%, $E$13)</f>
        <v>3.6526000000000001</v>
      </c>
      <c r="L95" s="4"/>
      <c r="M95" s="4"/>
      <c r="N95" s="4"/>
    </row>
    <row r="96" spans="1:14" ht="15">
      <c r="A96" s="13">
        <v>44562</v>
      </c>
      <c r="B96" s="63">
        <f>3.1653 * CHOOSE(CONTROL!$C$22, $C$13, 100%, $E$13)</f>
        <v>3.1652999999999998</v>
      </c>
      <c r="C96" s="63">
        <f>3.1653 * CHOOSE(CONTROL!$C$22, $C$13, 100%, $E$13)</f>
        <v>3.1652999999999998</v>
      </c>
      <c r="D96" s="63">
        <f>3.183 * CHOOSE(CONTROL!$C$22, $C$13, 100%, $E$13)</f>
        <v>3.1829999999999998</v>
      </c>
      <c r="E96" s="64">
        <f>3.7076 * CHOOSE(CONTROL!$C$22, $C$13, 100%, $E$13)</f>
        <v>3.7075999999999998</v>
      </c>
      <c r="F96" s="64">
        <f>3.7076 * CHOOSE(CONTROL!$C$22, $C$13, 100%, $E$13)</f>
        <v>3.7075999999999998</v>
      </c>
      <c r="G96" s="64">
        <f>3.7078 * CHOOSE(CONTROL!$C$22, $C$13, 100%, $E$13)</f>
        <v>3.7078000000000002</v>
      </c>
      <c r="H96" s="64">
        <f>6.6575* CHOOSE(CONTROL!$C$22, $C$13, 100%, $E$13)</f>
        <v>6.6574999999999998</v>
      </c>
      <c r="I96" s="64">
        <f>6.6577 * CHOOSE(CONTROL!$C$22, $C$13, 100%, $E$13)</f>
        <v>6.6577000000000002</v>
      </c>
      <c r="J96" s="64">
        <f>3.7076 * CHOOSE(CONTROL!$C$22, $C$13, 100%, $E$13)</f>
        <v>3.7075999999999998</v>
      </c>
      <c r="K96" s="64">
        <f>3.7078 * CHOOSE(CONTROL!$C$22, $C$13, 100%, $E$13)</f>
        <v>3.7078000000000002</v>
      </c>
      <c r="L96" s="4"/>
      <c r="M96" s="4"/>
      <c r="N96" s="4"/>
    </row>
    <row r="97" spans="1:14" ht="15">
      <c r="A97" s="13">
        <v>44593</v>
      </c>
      <c r="B97" s="63">
        <f>3.1623 * CHOOSE(CONTROL!$C$22, $C$13, 100%, $E$13)</f>
        <v>3.1623000000000001</v>
      </c>
      <c r="C97" s="63">
        <f>3.1623 * CHOOSE(CONTROL!$C$22, $C$13, 100%, $E$13)</f>
        <v>3.1623000000000001</v>
      </c>
      <c r="D97" s="63">
        <f>3.18 * CHOOSE(CONTROL!$C$22, $C$13, 100%, $E$13)</f>
        <v>3.18</v>
      </c>
      <c r="E97" s="64">
        <f>3.6651 * CHOOSE(CONTROL!$C$22, $C$13, 100%, $E$13)</f>
        <v>3.6650999999999998</v>
      </c>
      <c r="F97" s="64">
        <f>3.6651 * CHOOSE(CONTROL!$C$22, $C$13, 100%, $E$13)</f>
        <v>3.6650999999999998</v>
      </c>
      <c r="G97" s="64">
        <f>3.6653 * CHOOSE(CONTROL!$C$22, $C$13, 100%, $E$13)</f>
        <v>3.6652999999999998</v>
      </c>
      <c r="H97" s="64">
        <f>6.6713* CHOOSE(CONTROL!$C$22, $C$13, 100%, $E$13)</f>
        <v>6.6712999999999996</v>
      </c>
      <c r="I97" s="64">
        <f>6.6715 * CHOOSE(CONTROL!$C$22, $C$13, 100%, $E$13)</f>
        <v>6.6715</v>
      </c>
      <c r="J97" s="64">
        <f>3.6651 * CHOOSE(CONTROL!$C$22, $C$13, 100%, $E$13)</f>
        <v>3.6650999999999998</v>
      </c>
      <c r="K97" s="64">
        <f>3.6653 * CHOOSE(CONTROL!$C$22, $C$13, 100%, $E$13)</f>
        <v>3.6652999999999998</v>
      </c>
      <c r="L97" s="4"/>
      <c r="M97" s="4"/>
      <c r="N97" s="4"/>
    </row>
    <row r="98" spans="1:14" ht="15">
      <c r="A98" s="13">
        <v>44621</v>
      </c>
      <c r="B98" s="63">
        <f>3.1593 * CHOOSE(CONTROL!$C$22, $C$13, 100%, $E$13)</f>
        <v>3.1593</v>
      </c>
      <c r="C98" s="63">
        <f>3.1593 * CHOOSE(CONTROL!$C$22, $C$13, 100%, $E$13)</f>
        <v>3.1593</v>
      </c>
      <c r="D98" s="63">
        <f>3.1769 * CHOOSE(CONTROL!$C$22, $C$13, 100%, $E$13)</f>
        <v>3.1768999999999998</v>
      </c>
      <c r="E98" s="64">
        <f>3.6948 * CHOOSE(CONTROL!$C$22, $C$13, 100%, $E$13)</f>
        <v>3.6947999999999999</v>
      </c>
      <c r="F98" s="64">
        <f>3.6948 * CHOOSE(CONTROL!$C$22, $C$13, 100%, $E$13)</f>
        <v>3.6947999999999999</v>
      </c>
      <c r="G98" s="64">
        <f>3.695 * CHOOSE(CONTROL!$C$22, $C$13, 100%, $E$13)</f>
        <v>3.6949999999999998</v>
      </c>
      <c r="H98" s="64">
        <f>6.6852* CHOOSE(CONTROL!$C$22, $C$13, 100%, $E$13)</f>
        <v>6.6852</v>
      </c>
      <c r="I98" s="64">
        <f>6.6854 * CHOOSE(CONTROL!$C$22, $C$13, 100%, $E$13)</f>
        <v>6.6853999999999996</v>
      </c>
      <c r="J98" s="64">
        <f>3.6948 * CHOOSE(CONTROL!$C$22, $C$13, 100%, $E$13)</f>
        <v>3.6947999999999999</v>
      </c>
      <c r="K98" s="64">
        <f>3.695 * CHOOSE(CONTROL!$C$22, $C$13, 100%, $E$13)</f>
        <v>3.6949999999999998</v>
      </c>
      <c r="L98" s="4"/>
      <c r="M98" s="4"/>
      <c r="N98" s="4"/>
    </row>
    <row r="99" spans="1:14" ht="15">
      <c r="A99" s="13">
        <v>44652</v>
      </c>
      <c r="B99" s="63">
        <f>3.1561 * CHOOSE(CONTROL!$C$22, $C$13, 100%, $E$13)</f>
        <v>3.1560999999999999</v>
      </c>
      <c r="C99" s="63">
        <f>3.1561 * CHOOSE(CONTROL!$C$22, $C$13, 100%, $E$13)</f>
        <v>3.1560999999999999</v>
      </c>
      <c r="D99" s="63">
        <f>3.1738 * CHOOSE(CONTROL!$C$22, $C$13, 100%, $E$13)</f>
        <v>3.1738</v>
      </c>
      <c r="E99" s="64">
        <f>3.7248 * CHOOSE(CONTROL!$C$22, $C$13, 100%, $E$13)</f>
        <v>3.7248000000000001</v>
      </c>
      <c r="F99" s="64">
        <f>3.7248 * CHOOSE(CONTROL!$C$22, $C$13, 100%, $E$13)</f>
        <v>3.7248000000000001</v>
      </c>
      <c r="G99" s="64">
        <f>3.7249 * CHOOSE(CONTROL!$C$22, $C$13, 100%, $E$13)</f>
        <v>3.7248999999999999</v>
      </c>
      <c r="H99" s="64">
        <f>6.6992* CHOOSE(CONTROL!$C$22, $C$13, 100%, $E$13)</f>
        <v>6.6992000000000003</v>
      </c>
      <c r="I99" s="64">
        <f>6.6994 * CHOOSE(CONTROL!$C$22, $C$13, 100%, $E$13)</f>
        <v>6.6993999999999998</v>
      </c>
      <c r="J99" s="64">
        <f>3.7248 * CHOOSE(CONTROL!$C$22, $C$13, 100%, $E$13)</f>
        <v>3.7248000000000001</v>
      </c>
      <c r="K99" s="64">
        <f>3.7249 * CHOOSE(CONTROL!$C$22, $C$13, 100%, $E$13)</f>
        <v>3.7248999999999999</v>
      </c>
      <c r="L99" s="4"/>
      <c r="M99" s="4"/>
      <c r="N99" s="4"/>
    </row>
    <row r="100" spans="1:14" ht="15">
      <c r="A100" s="13">
        <v>44682</v>
      </c>
      <c r="B100" s="63">
        <f>3.1561 * CHOOSE(CONTROL!$C$22, $C$13, 100%, $E$13)</f>
        <v>3.1560999999999999</v>
      </c>
      <c r="C100" s="63">
        <f>3.1561 * CHOOSE(CONTROL!$C$22, $C$13, 100%, $E$13)</f>
        <v>3.1560999999999999</v>
      </c>
      <c r="D100" s="63">
        <f>3.1914 * CHOOSE(CONTROL!$C$22, $C$13, 100%, $E$13)</f>
        <v>3.1913999999999998</v>
      </c>
      <c r="E100" s="64">
        <f>3.7376 * CHOOSE(CONTROL!$C$22, $C$13, 100%, $E$13)</f>
        <v>3.7376</v>
      </c>
      <c r="F100" s="64">
        <f>3.7376 * CHOOSE(CONTROL!$C$22, $C$13, 100%, $E$13)</f>
        <v>3.7376</v>
      </c>
      <c r="G100" s="64">
        <f>3.7398 * CHOOSE(CONTROL!$C$22, $C$13, 100%, $E$13)</f>
        <v>3.7397999999999998</v>
      </c>
      <c r="H100" s="64">
        <f>6.7131* CHOOSE(CONTROL!$C$22, $C$13, 100%, $E$13)</f>
        <v>6.7130999999999998</v>
      </c>
      <c r="I100" s="64">
        <f>6.7153 * CHOOSE(CONTROL!$C$22, $C$13, 100%, $E$13)</f>
        <v>6.7153</v>
      </c>
      <c r="J100" s="64">
        <f>3.7376 * CHOOSE(CONTROL!$C$22, $C$13, 100%, $E$13)</f>
        <v>3.7376</v>
      </c>
      <c r="K100" s="64">
        <f>3.7398 * CHOOSE(CONTROL!$C$22, $C$13, 100%, $E$13)</f>
        <v>3.7397999999999998</v>
      </c>
      <c r="L100" s="4"/>
      <c r="M100" s="4"/>
      <c r="N100" s="4"/>
    </row>
    <row r="101" spans="1:14" ht="15">
      <c r="A101" s="13">
        <v>44713</v>
      </c>
      <c r="B101" s="63">
        <f>3.1622 * CHOOSE(CONTROL!$C$22, $C$13, 100%, $E$13)</f>
        <v>3.1621999999999999</v>
      </c>
      <c r="C101" s="63">
        <f>3.1622 * CHOOSE(CONTROL!$C$22, $C$13, 100%, $E$13)</f>
        <v>3.1621999999999999</v>
      </c>
      <c r="D101" s="63">
        <f>3.1975 * CHOOSE(CONTROL!$C$22, $C$13, 100%, $E$13)</f>
        <v>3.1974999999999998</v>
      </c>
      <c r="E101" s="64">
        <f>3.729 * CHOOSE(CONTROL!$C$22, $C$13, 100%, $E$13)</f>
        <v>3.7290000000000001</v>
      </c>
      <c r="F101" s="64">
        <f>3.729 * CHOOSE(CONTROL!$C$22, $C$13, 100%, $E$13)</f>
        <v>3.7290000000000001</v>
      </c>
      <c r="G101" s="64">
        <f>3.7312 * CHOOSE(CONTROL!$C$22, $C$13, 100%, $E$13)</f>
        <v>3.7311999999999999</v>
      </c>
      <c r="H101" s="64">
        <f>6.7271* CHOOSE(CONTROL!$C$22, $C$13, 100%, $E$13)</f>
        <v>6.7271000000000001</v>
      </c>
      <c r="I101" s="64">
        <f>6.7293 * CHOOSE(CONTROL!$C$22, $C$13, 100%, $E$13)</f>
        <v>6.7293000000000003</v>
      </c>
      <c r="J101" s="64">
        <f>3.729 * CHOOSE(CONTROL!$C$22, $C$13, 100%, $E$13)</f>
        <v>3.7290000000000001</v>
      </c>
      <c r="K101" s="64">
        <f>3.7312 * CHOOSE(CONTROL!$C$22, $C$13, 100%, $E$13)</f>
        <v>3.7311999999999999</v>
      </c>
      <c r="L101" s="4"/>
      <c r="M101" s="4"/>
      <c r="N101" s="4"/>
    </row>
    <row r="102" spans="1:14" ht="15">
      <c r="A102" s="13">
        <v>44743</v>
      </c>
      <c r="B102" s="63">
        <f>3.2179 * CHOOSE(CONTROL!$C$22, $C$13, 100%, $E$13)</f>
        <v>3.2179000000000002</v>
      </c>
      <c r="C102" s="63">
        <f>3.2179 * CHOOSE(CONTROL!$C$22, $C$13, 100%, $E$13)</f>
        <v>3.2179000000000002</v>
      </c>
      <c r="D102" s="63">
        <f>3.2532 * CHOOSE(CONTROL!$C$22, $C$13, 100%, $E$13)</f>
        <v>3.2532000000000001</v>
      </c>
      <c r="E102" s="64">
        <f>3.796 * CHOOSE(CONTROL!$C$22, $C$13, 100%, $E$13)</f>
        <v>3.7959999999999998</v>
      </c>
      <c r="F102" s="64">
        <f>3.796 * CHOOSE(CONTROL!$C$22, $C$13, 100%, $E$13)</f>
        <v>3.7959999999999998</v>
      </c>
      <c r="G102" s="64">
        <f>3.7982 * CHOOSE(CONTROL!$C$22, $C$13, 100%, $E$13)</f>
        <v>3.7982</v>
      </c>
      <c r="H102" s="64">
        <f>6.7411* CHOOSE(CONTROL!$C$22, $C$13, 100%, $E$13)</f>
        <v>6.7411000000000003</v>
      </c>
      <c r="I102" s="64">
        <f>6.7433 * CHOOSE(CONTROL!$C$22, $C$13, 100%, $E$13)</f>
        <v>6.7432999999999996</v>
      </c>
      <c r="J102" s="64">
        <f>3.796 * CHOOSE(CONTROL!$C$22, $C$13, 100%, $E$13)</f>
        <v>3.7959999999999998</v>
      </c>
      <c r="K102" s="64">
        <f>3.7982 * CHOOSE(CONTROL!$C$22, $C$13, 100%, $E$13)</f>
        <v>3.7982</v>
      </c>
      <c r="L102" s="4"/>
      <c r="M102" s="4"/>
      <c r="N102" s="4"/>
    </row>
    <row r="103" spans="1:14" ht="15">
      <c r="A103" s="13">
        <v>44774</v>
      </c>
      <c r="B103" s="63">
        <f>3.2245 * CHOOSE(CONTROL!$C$22, $C$13, 100%, $E$13)</f>
        <v>3.2244999999999999</v>
      </c>
      <c r="C103" s="63">
        <f>3.2245 * CHOOSE(CONTROL!$C$22, $C$13, 100%, $E$13)</f>
        <v>3.2244999999999999</v>
      </c>
      <c r="D103" s="63">
        <f>3.2599 * CHOOSE(CONTROL!$C$22, $C$13, 100%, $E$13)</f>
        <v>3.2599</v>
      </c>
      <c r="E103" s="64">
        <f>3.7622 * CHOOSE(CONTROL!$C$22, $C$13, 100%, $E$13)</f>
        <v>3.7622</v>
      </c>
      <c r="F103" s="64">
        <f>3.7622 * CHOOSE(CONTROL!$C$22, $C$13, 100%, $E$13)</f>
        <v>3.7622</v>
      </c>
      <c r="G103" s="64">
        <f>3.7644 * CHOOSE(CONTROL!$C$22, $C$13, 100%, $E$13)</f>
        <v>3.7644000000000002</v>
      </c>
      <c r="H103" s="64">
        <f>6.7552* CHOOSE(CONTROL!$C$22, $C$13, 100%, $E$13)</f>
        <v>6.7552000000000003</v>
      </c>
      <c r="I103" s="64">
        <f>6.7574 * CHOOSE(CONTROL!$C$22, $C$13, 100%, $E$13)</f>
        <v>6.7573999999999996</v>
      </c>
      <c r="J103" s="64">
        <f>3.7622 * CHOOSE(CONTROL!$C$22, $C$13, 100%, $E$13)</f>
        <v>3.7622</v>
      </c>
      <c r="K103" s="64">
        <f>3.7644 * CHOOSE(CONTROL!$C$22, $C$13, 100%, $E$13)</f>
        <v>3.7644000000000002</v>
      </c>
      <c r="L103" s="4"/>
      <c r="M103" s="4"/>
      <c r="N103" s="4"/>
    </row>
    <row r="104" spans="1:14" ht="15">
      <c r="A104" s="13">
        <v>44805</v>
      </c>
      <c r="B104" s="63">
        <f>3.2215 * CHOOSE(CONTROL!$C$22, $C$13, 100%, $E$13)</f>
        <v>3.2214999999999998</v>
      </c>
      <c r="C104" s="63">
        <f>3.2215 * CHOOSE(CONTROL!$C$22, $C$13, 100%, $E$13)</f>
        <v>3.2214999999999998</v>
      </c>
      <c r="D104" s="63">
        <f>3.2568 * CHOOSE(CONTROL!$C$22, $C$13, 100%, $E$13)</f>
        <v>3.2568000000000001</v>
      </c>
      <c r="E104" s="64">
        <f>3.7558 * CHOOSE(CONTROL!$C$22, $C$13, 100%, $E$13)</f>
        <v>3.7557999999999998</v>
      </c>
      <c r="F104" s="64">
        <f>3.7558 * CHOOSE(CONTROL!$C$22, $C$13, 100%, $E$13)</f>
        <v>3.7557999999999998</v>
      </c>
      <c r="G104" s="64">
        <f>3.758 * CHOOSE(CONTROL!$C$22, $C$13, 100%, $E$13)</f>
        <v>3.758</v>
      </c>
      <c r="H104" s="64">
        <f>6.7692* CHOOSE(CONTROL!$C$22, $C$13, 100%, $E$13)</f>
        <v>6.7691999999999997</v>
      </c>
      <c r="I104" s="64">
        <f>6.7714 * CHOOSE(CONTROL!$C$22, $C$13, 100%, $E$13)</f>
        <v>6.7713999999999999</v>
      </c>
      <c r="J104" s="64">
        <f>3.7558 * CHOOSE(CONTROL!$C$22, $C$13, 100%, $E$13)</f>
        <v>3.7557999999999998</v>
      </c>
      <c r="K104" s="64">
        <f>3.758 * CHOOSE(CONTROL!$C$22, $C$13, 100%, $E$13)</f>
        <v>3.758</v>
      </c>
      <c r="L104" s="4"/>
      <c r="M104" s="4"/>
      <c r="N104" s="4"/>
    </row>
    <row r="105" spans="1:14" ht="15">
      <c r="A105" s="13">
        <v>44835</v>
      </c>
      <c r="B105" s="63">
        <f>3.2138 * CHOOSE(CONTROL!$C$22, $C$13, 100%, $E$13)</f>
        <v>3.2138</v>
      </c>
      <c r="C105" s="63">
        <f>3.2138 * CHOOSE(CONTROL!$C$22, $C$13, 100%, $E$13)</f>
        <v>3.2138</v>
      </c>
      <c r="D105" s="63">
        <f>3.2315 * CHOOSE(CONTROL!$C$22, $C$13, 100%, $E$13)</f>
        <v>3.2315</v>
      </c>
      <c r="E105" s="64">
        <f>3.7595 * CHOOSE(CONTROL!$C$22, $C$13, 100%, $E$13)</f>
        <v>3.7595000000000001</v>
      </c>
      <c r="F105" s="64">
        <f>3.7595 * CHOOSE(CONTROL!$C$22, $C$13, 100%, $E$13)</f>
        <v>3.7595000000000001</v>
      </c>
      <c r="G105" s="64">
        <f>3.7597 * CHOOSE(CONTROL!$C$22, $C$13, 100%, $E$13)</f>
        <v>3.7597</v>
      </c>
      <c r="H105" s="64">
        <f>6.7834* CHOOSE(CONTROL!$C$22, $C$13, 100%, $E$13)</f>
        <v>6.7834000000000003</v>
      </c>
      <c r="I105" s="64">
        <f>6.7835 * CHOOSE(CONTROL!$C$22, $C$13, 100%, $E$13)</f>
        <v>6.7835000000000001</v>
      </c>
      <c r="J105" s="64">
        <f>3.7595 * CHOOSE(CONTROL!$C$22, $C$13, 100%, $E$13)</f>
        <v>3.7595000000000001</v>
      </c>
      <c r="K105" s="64">
        <f>3.7597 * CHOOSE(CONTROL!$C$22, $C$13, 100%, $E$13)</f>
        <v>3.7597</v>
      </c>
      <c r="L105" s="4"/>
      <c r="M105" s="4"/>
      <c r="N105" s="4"/>
    </row>
    <row r="106" spans="1:14" ht="15">
      <c r="A106" s="13">
        <v>44866</v>
      </c>
      <c r="B106" s="63">
        <f>3.2169 * CHOOSE(CONTROL!$C$22, $C$13, 100%, $E$13)</f>
        <v>3.2168999999999999</v>
      </c>
      <c r="C106" s="63">
        <f>3.2169 * CHOOSE(CONTROL!$C$22, $C$13, 100%, $E$13)</f>
        <v>3.2168999999999999</v>
      </c>
      <c r="D106" s="63">
        <f>3.2345 * CHOOSE(CONTROL!$C$22, $C$13, 100%, $E$13)</f>
        <v>3.2345000000000002</v>
      </c>
      <c r="E106" s="64">
        <f>3.7702 * CHOOSE(CONTROL!$C$22, $C$13, 100%, $E$13)</f>
        <v>3.7702</v>
      </c>
      <c r="F106" s="64">
        <f>3.7702 * CHOOSE(CONTROL!$C$22, $C$13, 100%, $E$13)</f>
        <v>3.7702</v>
      </c>
      <c r="G106" s="64">
        <f>3.7703 * CHOOSE(CONTROL!$C$22, $C$13, 100%, $E$13)</f>
        <v>3.7703000000000002</v>
      </c>
      <c r="H106" s="64">
        <f>6.7975* CHOOSE(CONTROL!$C$22, $C$13, 100%, $E$13)</f>
        <v>6.7975000000000003</v>
      </c>
      <c r="I106" s="64">
        <f>6.7977 * CHOOSE(CONTROL!$C$22, $C$13, 100%, $E$13)</f>
        <v>6.7976999999999999</v>
      </c>
      <c r="J106" s="64">
        <f>3.7702 * CHOOSE(CONTROL!$C$22, $C$13, 100%, $E$13)</f>
        <v>3.7702</v>
      </c>
      <c r="K106" s="64">
        <f>3.7703 * CHOOSE(CONTROL!$C$22, $C$13, 100%, $E$13)</f>
        <v>3.7703000000000002</v>
      </c>
      <c r="L106" s="4"/>
      <c r="M106" s="4"/>
      <c r="N106" s="4"/>
    </row>
    <row r="107" spans="1:14" ht="15">
      <c r="A107" s="13">
        <v>44896</v>
      </c>
      <c r="B107" s="63">
        <f>3.2169 * CHOOSE(CONTROL!$C$22, $C$13, 100%, $E$13)</f>
        <v>3.2168999999999999</v>
      </c>
      <c r="C107" s="63">
        <f>3.2169 * CHOOSE(CONTROL!$C$22, $C$13, 100%, $E$13)</f>
        <v>3.2168999999999999</v>
      </c>
      <c r="D107" s="63">
        <f>3.2345 * CHOOSE(CONTROL!$C$22, $C$13, 100%, $E$13)</f>
        <v>3.2345000000000002</v>
      </c>
      <c r="E107" s="64">
        <f>3.7488 * CHOOSE(CONTROL!$C$22, $C$13, 100%, $E$13)</f>
        <v>3.7488000000000001</v>
      </c>
      <c r="F107" s="64">
        <f>3.7488 * CHOOSE(CONTROL!$C$22, $C$13, 100%, $E$13)</f>
        <v>3.7488000000000001</v>
      </c>
      <c r="G107" s="64">
        <f>3.749 * CHOOSE(CONTROL!$C$22, $C$13, 100%, $E$13)</f>
        <v>3.7490000000000001</v>
      </c>
      <c r="H107" s="64">
        <f>6.8116* CHOOSE(CONTROL!$C$22, $C$13, 100%, $E$13)</f>
        <v>6.8116000000000003</v>
      </c>
      <c r="I107" s="64">
        <f>6.8118 * CHOOSE(CONTROL!$C$22, $C$13, 100%, $E$13)</f>
        <v>6.8117999999999999</v>
      </c>
      <c r="J107" s="64">
        <f>3.7488 * CHOOSE(CONTROL!$C$22, $C$13, 100%, $E$13)</f>
        <v>3.7488000000000001</v>
      </c>
      <c r="K107" s="64">
        <f>3.749 * CHOOSE(CONTROL!$C$22, $C$13, 100%, $E$13)</f>
        <v>3.7490000000000001</v>
      </c>
      <c r="L107" s="4"/>
      <c r="M107" s="4"/>
      <c r="N107" s="4"/>
    </row>
    <row r="108" spans="1:14" ht="15">
      <c r="A108" s="13">
        <v>44927</v>
      </c>
      <c r="B108" s="63">
        <f>3.2478 * CHOOSE(CONTROL!$C$22, $C$13, 100%, $E$13)</f>
        <v>3.2477999999999998</v>
      </c>
      <c r="C108" s="63">
        <f>3.2478 * CHOOSE(CONTROL!$C$22, $C$13, 100%, $E$13)</f>
        <v>3.2477999999999998</v>
      </c>
      <c r="D108" s="63">
        <f>3.2655 * CHOOSE(CONTROL!$C$22, $C$13, 100%, $E$13)</f>
        <v>3.2654999999999998</v>
      </c>
      <c r="E108" s="64">
        <f>3.7975 * CHOOSE(CONTROL!$C$22, $C$13, 100%, $E$13)</f>
        <v>3.7974999999999999</v>
      </c>
      <c r="F108" s="64">
        <f>3.7975 * CHOOSE(CONTROL!$C$22, $C$13, 100%, $E$13)</f>
        <v>3.7974999999999999</v>
      </c>
      <c r="G108" s="64">
        <f>3.7977 * CHOOSE(CONTROL!$C$22, $C$13, 100%, $E$13)</f>
        <v>3.7976999999999999</v>
      </c>
      <c r="H108" s="64">
        <f>6.8258* CHOOSE(CONTROL!$C$22, $C$13, 100%, $E$13)</f>
        <v>6.8258000000000001</v>
      </c>
      <c r="I108" s="64">
        <f>6.826 * CHOOSE(CONTROL!$C$22, $C$13, 100%, $E$13)</f>
        <v>6.8259999999999996</v>
      </c>
      <c r="J108" s="64">
        <f>3.7975 * CHOOSE(CONTROL!$C$22, $C$13, 100%, $E$13)</f>
        <v>3.7974999999999999</v>
      </c>
      <c r="K108" s="64">
        <f>3.7977 * CHOOSE(CONTROL!$C$22, $C$13, 100%, $E$13)</f>
        <v>3.7976999999999999</v>
      </c>
      <c r="L108" s="4"/>
      <c r="M108" s="4"/>
      <c r="N108" s="4"/>
    </row>
    <row r="109" spans="1:14" ht="15">
      <c r="A109" s="13">
        <v>44958</v>
      </c>
      <c r="B109" s="63">
        <f>3.2448 * CHOOSE(CONTROL!$C$22, $C$13, 100%, $E$13)</f>
        <v>3.2448000000000001</v>
      </c>
      <c r="C109" s="63">
        <f>3.2448 * CHOOSE(CONTROL!$C$22, $C$13, 100%, $E$13)</f>
        <v>3.2448000000000001</v>
      </c>
      <c r="D109" s="63">
        <f>3.2624 * CHOOSE(CONTROL!$C$22, $C$13, 100%, $E$13)</f>
        <v>3.2624</v>
      </c>
      <c r="E109" s="64">
        <f>3.7528 * CHOOSE(CONTROL!$C$22, $C$13, 100%, $E$13)</f>
        <v>3.7528000000000001</v>
      </c>
      <c r="F109" s="64">
        <f>3.7528 * CHOOSE(CONTROL!$C$22, $C$13, 100%, $E$13)</f>
        <v>3.7528000000000001</v>
      </c>
      <c r="G109" s="64">
        <f>3.753 * CHOOSE(CONTROL!$C$22, $C$13, 100%, $E$13)</f>
        <v>3.7530000000000001</v>
      </c>
      <c r="H109" s="64">
        <f>6.8401* CHOOSE(CONTROL!$C$22, $C$13, 100%, $E$13)</f>
        <v>6.8400999999999996</v>
      </c>
      <c r="I109" s="64">
        <f>6.8402 * CHOOSE(CONTROL!$C$22, $C$13, 100%, $E$13)</f>
        <v>6.8402000000000003</v>
      </c>
      <c r="J109" s="64">
        <f>3.7528 * CHOOSE(CONTROL!$C$22, $C$13, 100%, $E$13)</f>
        <v>3.7528000000000001</v>
      </c>
      <c r="K109" s="64">
        <f>3.753 * CHOOSE(CONTROL!$C$22, $C$13, 100%, $E$13)</f>
        <v>3.7530000000000001</v>
      </c>
      <c r="L109" s="4"/>
      <c r="M109" s="4"/>
      <c r="N109" s="4"/>
    </row>
    <row r="110" spans="1:14" ht="15">
      <c r="A110" s="13">
        <v>44986</v>
      </c>
      <c r="B110" s="63">
        <f>3.2417 * CHOOSE(CONTROL!$C$22, $C$13, 100%, $E$13)</f>
        <v>3.2416999999999998</v>
      </c>
      <c r="C110" s="63">
        <f>3.2417 * CHOOSE(CONTROL!$C$22, $C$13, 100%, $E$13)</f>
        <v>3.2416999999999998</v>
      </c>
      <c r="D110" s="63">
        <f>3.2594 * CHOOSE(CONTROL!$C$22, $C$13, 100%, $E$13)</f>
        <v>3.2593999999999999</v>
      </c>
      <c r="E110" s="64">
        <f>3.7843 * CHOOSE(CONTROL!$C$22, $C$13, 100%, $E$13)</f>
        <v>3.7843</v>
      </c>
      <c r="F110" s="64">
        <f>3.7843 * CHOOSE(CONTROL!$C$22, $C$13, 100%, $E$13)</f>
        <v>3.7843</v>
      </c>
      <c r="G110" s="64">
        <f>3.7844 * CHOOSE(CONTROL!$C$22, $C$13, 100%, $E$13)</f>
        <v>3.7844000000000002</v>
      </c>
      <c r="H110" s="64">
        <f>6.8543* CHOOSE(CONTROL!$C$22, $C$13, 100%, $E$13)</f>
        <v>6.8543000000000003</v>
      </c>
      <c r="I110" s="64">
        <f>6.8545 * CHOOSE(CONTROL!$C$22, $C$13, 100%, $E$13)</f>
        <v>6.8544999999999998</v>
      </c>
      <c r="J110" s="64">
        <f>3.7843 * CHOOSE(CONTROL!$C$22, $C$13, 100%, $E$13)</f>
        <v>3.7843</v>
      </c>
      <c r="K110" s="64">
        <f>3.7844 * CHOOSE(CONTROL!$C$22, $C$13, 100%, $E$13)</f>
        <v>3.7844000000000002</v>
      </c>
      <c r="L110" s="4"/>
      <c r="M110" s="4"/>
      <c r="N110" s="4"/>
    </row>
    <row r="111" spans="1:14" ht="15">
      <c r="A111" s="13">
        <v>45017</v>
      </c>
      <c r="B111" s="63">
        <f>3.2387 * CHOOSE(CONTROL!$C$22, $C$13, 100%, $E$13)</f>
        <v>3.2387000000000001</v>
      </c>
      <c r="C111" s="63">
        <f>3.2387 * CHOOSE(CONTROL!$C$22, $C$13, 100%, $E$13)</f>
        <v>3.2387000000000001</v>
      </c>
      <c r="D111" s="63">
        <f>3.2564 * CHOOSE(CONTROL!$C$22, $C$13, 100%, $E$13)</f>
        <v>3.2564000000000002</v>
      </c>
      <c r="E111" s="64">
        <f>3.816 * CHOOSE(CONTROL!$C$22, $C$13, 100%, $E$13)</f>
        <v>3.8159999999999998</v>
      </c>
      <c r="F111" s="64">
        <f>3.816 * CHOOSE(CONTROL!$C$22, $C$13, 100%, $E$13)</f>
        <v>3.8159999999999998</v>
      </c>
      <c r="G111" s="64">
        <f>3.8162 * CHOOSE(CONTROL!$C$22, $C$13, 100%, $E$13)</f>
        <v>3.8161999999999998</v>
      </c>
      <c r="H111" s="64">
        <f>6.8686* CHOOSE(CONTROL!$C$22, $C$13, 100%, $E$13)</f>
        <v>6.8685999999999998</v>
      </c>
      <c r="I111" s="64">
        <f>6.8688 * CHOOSE(CONTROL!$C$22, $C$13, 100%, $E$13)</f>
        <v>6.8688000000000002</v>
      </c>
      <c r="J111" s="64">
        <f>3.816 * CHOOSE(CONTROL!$C$22, $C$13, 100%, $E$13)</f>
        <v>3.8159999999999998</v>
      </c>
      <c r="K111" s="64">
        <f>3.8162 * CHOOSE(CONTROL!$C$22, $C$13, 100%, $E$13)</f>
        <v>3.8161999999999998</v>
      </c>
      <c r="L111" s="4"/>
      <c r="M111" s="4"/>
      <c r="N111" s="4"/>
    </row>
    <row r="112" spans="1:14" ht="15">
      <c r="A112" s="13">
        <v>45047</v>
      </c>
      <c r="B112" s="63">
        <f>3.2387 * CHOOSE(CONTROL!$C$22, $C$13, 100%, $E$13)</f>
        <v>3.2387000000000001</v>
      </c>
      <c r="C112" s="63">
        <f>3.2387 * CHOOSE(CONTROL!$C$22, $C$13, 100%, $E$13)</f>
        <v>3.2387000000000001</v>
      </c>
      <c r="D112" s="63">
        <f>3.274 * CHOOSE(CONTROL!$C$22, $C$13, 100%, $E$13)</f>
        <v>3.274</v>
      </c>
      <c r="E112" s="64">
        <f>3.8295 * CHOOSE(CONTROL!$C$22, $C$13, 100%, $E$13)</f>
        <v>3.8294999999999999</v>
      </c>
      <c r="F112" s="64">
        <f>3.8295 * CHOOSE(CONTROL!$C$22, $C$13, 100%, $E$13)</f>
        <v>3.8294999999999999</v>
      </c>
      <c r="G112" s="64">
        <f>3.8317 * CHOOSE(CONTROL!$C$22, $C$13, 100%, $E$13)</f>
        <v>3.8317000000000001</v>
      </c>
      <c r="H112" s="64">
        <f>6.8829* CHOOSE(CONTROL!$C$22, $C$13, 100%, $E$13)</f>
        <v>6.8829000000000002</v>
      </c>
      <c r="I112" s="64">
        <f>6.8851 * CHOOSE(CONTROL!$C$22, $C$13, 100%, $E$13)</f>
        <v>6.8851000000000004</v>
      </c>
      <c r="J112" s="64">
        <f>3.8295 * CHOOSE(CONTROL!$C$22, $C$13, 100%, $E$13)</f>
        <v>3.8294999999999999</v>
      </c>
      <c r="K112" s="64">
        <f>3.8317 * CHOOSE(CONTROL!$C$22, $C$13, 100%, $E$13)</f>
        <v>3.8317000000000001</v>
      </c>
      <c r="L112" s="4"/>
      <c r="M112" s="4"/>
      <c r="N112" s="4"/>
    </row>
    <row r="113" spans="1:14" ht="15">
      <c r="A113" s="13">
        <v>45078</v>
      </c>
      <c r="B113" s="63">
        <f>3.2448 * CHOOSE(CONTROL!$C$22, $C$13, 100%, $E$13)</f>
        <v>3.2448000000000001</v>
      </c>
      <c r="C113" s="63">
        <f>3.2448 * CHOOSE(CONTROL!$C$22, $C$13, 100%, $E$13)</f>
        <v>3.2448000000000001</v>
      </c>
      <c r="D113" s="63">
        <f>3.2801 * CHOOSE(CONTROL!$C$22, $C$13, 100%, $E$13)</f>
        <v>3.2801</v>
      </c>
      <c r="E113" s="64">
        <f>3.8203 * CHOOSE(CONTROL!$C$22, $C$13, 100%, $E$13)</f>
        <v>3.8203</v>
      </c>
      <c r="F113" s="64">
        <f>3.8203 * CHOOSE(CONTROL!$C$22, $C$13, 100%, $E$13)</f>
        <v>3.8203</v>
      </c>
      <c r="G113" s="64">
        <f>3.8224 * CHOOSE(CONTROL!$C$22, $C$13, 100%, $E$13)</f>
        <v>3.8224</v>
      </c>
      <c r="H113" s="64">
        <f>6.8972* CHOOSE(CONTROL!$C$22, $C$13, 100%, $E$13)</f>
        <v>6.8971999999999998</v>
      </c>
      <c r="I113" s="64">
        <f>6.8994 * CHOOSE(CONTROL!$C$22, $C$13, 100%, $E$13)</f>
        <v>6.8994</v>
      </c>
      <c r="J113" s="64">
        <f>3.8203 * CHOOSE(CONTROL!$C$22, $C$13, 100%, $E$13)</f>
        <v>3.8203</v>
      </c>
      <c r="K113" s="64">
        <f>3.8224 * CHOOSE(CONTROL!$C$22, $C$13, 100%, $E$13)</f>
        <v>3.8224</v>
      </c>
      <c r="L113" s="4"/>
      <c r="M113" s="4"/>
      <c r="N113" s="4"/>
    </row>
    <row r="114" spans="1:14" ht="15">
      <c r="A114" s="13">
        <v>45108</v>
      </c>
      <c r="B114" s="63">
        <f>3.3031 * CHOOSE(CONTROL!$C$22, $C$13, 100%, $E$13)</f>
        <v>3.3031000000000001</v>
      </c>
      <c r="C114" s="63">
        <f>3.3031 * CHOOSE(CONTROL!$C$22, $C$13, 100%, $E$13)</f>
        <v>3.3031000000000001</v>
      </c>
      <c r="D114" s="63">
        <f>3.3384 * CHOOSE(CONTROL!$C$22, $C$13, 100%, $E$13)</f>
        <v>3.3384</v>
      </c>
      <c r="E114" s="64">
        <f>3.8691 * CHOOSE(CONTROL!$C$22, $C$13, 100%, $E$13)</f>
        <v>3.8691</v>
      </c>
      <c r="F114" s="64">
        <f>3.8691 * CHOOSE(CONTROL!$C$22, $C$13, 100%, $E$13)</f>
        <v>3.8691</v>
      </c>
      <c r="G114" s="64">
        <f>3.8712 * CHOOSE(CONTROL!$C$22, $C$13, 100%, $E$13)</f>
        <v>3.8712</v>
      </c>
      <c r="H114" s="64">
        <f>6.9116* CHOOSE(CONTROL!$C$22, $C$13, 100%, $E$13)</f>
        <v>6.9116</v>
      </c>
      <c r="I114" s="64">
        <f>6.9138 * CHOOSE(CONTROL!$C$22, $C$13, 100%, $E$13)</f>
        <v>6.9138000000000002</v>
      </c>
      <c r="J114" s="64">
        <f>3.8691 * CHOOSE(CONTROL!$C$22, $C$13, 100%, $E$13)</f>
        <v>3.8691</v>
      </c>
      <c r="K114" s="64">
        <f>3.8712 * CHOOSE(CONTROL!$C$22, $C$13, 100%, $E$13)</f>
        <v>3.8712</v>
      </c>
      <c r="L114" s="4"/>
      <c r="M114" s="4"/>
      <c r="N114" s="4"/>
    </row>
    <row r="115" spans="1:14" ht="15">
      <c r="A115" s="13">
        <v>45139</v>
      </c>
      <c r="B115" s="63">
        <f>3.3098 * CHOOSE(CONTROL!$C$22, $C$13, 100%, $E$13)</f>
        <v>3.3098000000000001</v>
      </c>
      <c r="C115" s="63">
        <f>3.3098 * CHOOSE(CONTROL!$C$22, $C$13, 100%, $E$13)</f>
        <v>3.3098000000000001</v>
      </c>
      <c r="D115" s="63">
        <f>3.3451 * CHOOSE(CONTROL!$C$22, $C$13, 100%, $E$13)</f>
        <v>3.3451</v>
      </c>
      <c r="E115" s="64">
        <f>3.8332 * CHOOSE(CONTROL!$C$22, $C$13, 100%, $E$13)</f>
        <v>3.8332000000000002</v>
      </c>
      <c r="F115" s="64">
        <f>3.8332 * CHOOSE(CONTROL!$C$22, $C$13, 100%, $E$13)</f>
        <v>3.8332000000000002</v>
      </c>
      <c r="G115" s="64">
        <f>3.8354 * CHOOSE(CONTROL!$C$22, $C$13, 100%, $E$13)</f>
        <v>3.8353999999999999</v>
      </c>
      <c r="H115" s="64">
        <f>6.926* CHOOSE(CONTROL!$C$22, $C$13, 100%, $E$13)</f>
        <v>6.9260000000000002</v>
      </c>
      <c r="I115" s="64">
        <f>6.9282 * CHOOSE(CONTROL!$C$22, $C$13, 100%, $E$13)</f>
        <v>6.9282000000000004</v>
      </c>
      <c r="J115" s="64">
        <f>3.8332 * CHOOSE(CONTROL!$C$22, $C$13, 100%, $E$13)</f>
        <v>3.8332000000000002</v>
      </c>
      <c r="K115" s="64">
        <f>3.8354 * CHOOSE(CONTROL!$C$22, $C$13, 100%, $E$13)</f>
        <v>3.8353999999999999</v>
      </c>
      <c r="L115" s="4"/>
      <c r="M115" s="4"/>
      <c r="N115" s="4"/>
    </row>
    <row r="116" spans="1:14" ht="15">
      <c r="A116" s="13">
        <v>45170</v>
      </c>
      <c r="B116" s="63">
        <f>3.3067 * CHOOSE(CONTROL!$C$22, $C$13, 100%, $E$13)</f>
        <v>3.3067000000000002</v>
      </c>
      <c r="C116" s="63">
        <f>3.3067 * CHOOSE(CONTROL!$C$22, $C$13, 100%, $E$13)</f>
        <v>3.3067000000000002</v>
      </c>
      <c r="D116" s="63">
        <f>3.3421 * CHOOSE(CONTROL!$C$22, $C$13, 100%, $E$13)</f>
        <v>3.3420999999999998</v>
      </c>
      <c r="E116" s="64">
        <f>3.8266 * CHOOSE(CONTROL!$C$22, $C$13, 100%, $E$13)</f>
        <v>3.8266</v>
      </c>
      <c r="F116" s="64">
        <f>3.8266 * CHOOSE(CONTROL!$C$22, $C$13, 100%, $E$13)</f>
        <v>3.8266</v>
      </c>
      <c r="G116" s="64">
        <f>3.8288 * CHOOSE(CONTROL!$C$22, $C$13, 100%, $E$13)</f>
        <v>3.8288000000000002</v>
      </c>
      <c r="H116" s="64">
        <f>6.9404* CHOOSE(CONTROL!$C$22, $C$13, 100%, $E$13)</f>
        <v>6.9404000000000003</v>
      </c>
      <c r="I116" s="64">
        <f>6.9426 * CHOOSE(CONTROL!$C$22, $C$13, 100%, $E$13)</f>
        <v>6.9425999999999997</v>
      </c>
      <c r="J116" s="64">
        <f>3.8266 * CHOOSE(CONTROL!$C$22, $C$13, 100%, $E$13)</f>
        <v>3.8266</v>
      </c>
      <c r="K116" s="64">
        <f>3.8288 * CHOOSE(CONTROL!$C$22, $C$13, 100%, $E$13)</f>
        <v>3.8288000000000002</v>
      </c>
      <c r="L116" s="4"/>
      <c r="M116" s="4"/>
      <c r="N116" s="4"/>
    </row>
    <row r="117" spans="1:14" ht="15">
      <c r="A117" s="13">
        <v>45200</v>
      </c>
      <c r="B117" s="63">
        <f>3.2994 * CHOOSE(CONTROL!$C$22, $C$13, 100%, $E$13)</f>
        <v>3.2993999999999999</v>
      </c>
      <c r="C117" s="63">
        <f>3.2994 * CHOOSE(CONTROL!$C$22, $C$13, 100%, $E$13)</f>
        <v>3.2993999999999999</v>
      </c>
      <c r="D117" s="63">
        <f>3.317 * CHOOSE(CONTROL!$C$22, $C$13, 100%, $E$13)</f>
        <v>3.3170000000000002</v>
      </c>
      <c r="E117" s="64">
        <f>3.8312 * CHOOSE(CONTROL!$C$22, $C$13, 100%, $E$13)</f>
        <v>3.8311999999999999</v>
      </c>
      <c r="F117" s="64">
        <f>3.8312 * CHOOSE(CONTROL!$C$22, $C$13, 100%, $E$13)</f>
        <v>3.8311999999999999</v>
      </c>
      <c r="G117" s="64">
        <f>3.8314 * CHOOSE(CONTROL!$C$22, $C$13, 100%, $E$13)</f>
        <v>3.8313999999999999</v>
      </c>
      <c r="H117" s="64">
        <f>6.9549* CHOOSE(CONTROL!$C$22, $C$13, 100%, $E$13)</f>
        <v>6.9549000000000003</v>
      </c>
      <c r="I117" s="64">
        <f>6.9551 * CHOOSE(CONTROL!$C$22, $C$13, 100%, $E$13)</f>
        <v>6.9550999999999998</v>
      </c>
      <c r="J117" s="64">
        <f>3.8312 * CHOOSE(CONTROL!$C$22, $C$13, 100%, $E$13)</f>
        <v>3.8311999999999999</v>
      </c>
      <c r="K117" s="64">
        <f>3.8314 * CHOOSE(CONTROL!$C$22, $C$13, 100%, $E$13)</f>
        <v>3.8313999999999999</v>
      </c>
      <c r="L117" s="4"/>
      <c r="M117" s="4"/>
      <c r="N117" s="4"/>
    </row>
    <row r="118" spans="1:14" ht="15">
      <c r="A118" s="13">
        <v>45231</v>
      </c>
      <c r="B118" s="63">
        <f>3.3024 * CHOOSE(CONTROL!$C$22, $C$13, 100%, $E$13)</f>
        <v>3.3024</v>
      </c>
      <c r="C118" s="63">
        <f>3.3024 * CHOOSE(CONTROL!$C$22, $C$13, 100%, $E$13)</f>
        <v>3.3024</v>
      </c>
      <c r="D118" s="63">
        <f>3.3201 * CHOOSE(CONTROL!$C$22, $C$13, 100%, $E$13)</f>
        <v>3.3201000000000001</v>
      </c>
      <c r="E118" s="64">
        <f>3.8423 * CHOOSE(CONTROL!$C$22, $C$13, 100%, $E$13)</f>
        <v>3.8422999999999998</v>
      </c>
      <c r="F118" s="64">
        <f>3.8423 * CHOOSE(CONTROL!$C$22, $C$13, 100%, $E$13)</f>
        <v>3.8422999999999998</v>
      </c>
      <c r="G118" s="64">
        <f>3.8425 * CHOOSE(CONTROL!$C$22, $C$13, 100%, $E$13)</f>
        <v>3.8424999999999998</v>
      </c>
      <c r="H118" s="64">
        <f>6.9694* CHOOSE(CONTROL!$C$22, $C$13, 100%, $E$13)</f>
        <v>6.9694000000000003</v>
      </c>
      <c r="I118" s="64">
        <f>6.9696 * CHOOSE(CONTROL!$C$22, $C$13, 100%, $E$13)</f>
        <v>6.9695999999999998</v>
      </c>
      <c r="J118" s="64">
        <f>3.8423 * CHOOSE(CONTROL!$C$22, $C$13, 100%, $E$13)</f>
        <v>3.8422999999999998</v>
      </c>
      <c r="K118" s="64">
        <f>3.8425 * CHOOSE(CONTROL!$C$22, $C$13, 100%, $E$13)</f>
        <v>3.8424999999999998</v>
      </c>
      <c r="L118" s="4"/>
      <c r="M118" s="4"/>
      <c r="N118" s="4"/>
    </row>
    <row r="119" spans="1:14" ht="15">
      <c r="A119" s="13">
        <v>45261</v>
      </c>
      <c r="B119" s="63">
        <f>3.3024 * CHOOSE(CONTROL!$C$22, $C$13, 100%, $E$13)</f>
        <v>3.3024</v>
      </c>
      <c r="C119" s="63">
        <f>3.3024 * CHOOSE(CONTROL!$C$22, $C$13, 100%, $E$13)</f>
        <v>3.3024</v>
      </c>
      <c r="D119" s="63">
        <f>3.3201 * CHOOSE(CONTROL!$C$22, $C$13, 100%, $E$13)</f>
        <v>3.3201000000000001</v>
      </c>
      <c r="E119" s="64">
        <f>3.8198 * CHOOSE(CONTROL!$C$22, $C$13, 100%, $E$13)</f>
        <v>3.8197999999999999</v>
      </c>
      <c r="F119" s="64">
        <f>3.8198 * CHOOSE(CONTROL!$C$22, $C$13, 100%, $E$13)</f>
        <v>3.8197999999999999</v>
      </c>
      <c r="G119" s="64">
        <f>3.82 * CHOOSE(CONTROL!$C$22, $C$13, 100%, $E$13)</f>
        <v>3.82</v>
      </c>
      <c r="H119" s="64">
        <f>6.9839* CHOOSE(CONTROL!$C$22, $C$13, 100%, $E$13)</f>
        <v>6.9839000000000002</v>
      </c>
      <c r="I119" s="64">
        <f>6.9841 * CHOOSE(CONTROL!$C$22, $C$13, 100%, $E$13)</f>
        <v>6.9840999999999998</v>
      </c>
      <c r="J119" s="64">
        <f>3.8198 * CHOOSE(CONTROL!$C$22, $C$13, 100%, $E$13)</f>
        <v>3.8197999999999999</v>
      </c>
      <c r="K119" s="64">
        <f>3.82 * CHOOSE(CONTROL!$C$22, $C$13, 100%, $E$13)</f>
        <v>3.82</v>
      </c>
      <c r="L119" s="4"/>
      <c r="M119" s="4"/>
      <c r="N119" s="4"/>
    </row>
    <row r="120" spans="1:14" ht="15">
      <c r="A120" s="13">
        <v>45292</v>
      </c>
      <c r="B120" s="63">
        <f>3.3324 * CHOOSE(CONTROL!$C$22, $C$13, 100%, $E$13)</f>
        <v>3.3323999999999998</v>
      </c>
      <c r="C120" s="63">
        <f>3.3324 * CHOOSE(CONTROL!$C$22, $C$13, 100%, $E$13)</f>
        <v>3.3323999999999998</v>
      </c>
      <c r="D120" s="63">
        <f>3.3501 * CHOOSE(CONTROL!$C$22, $C$13, 100%, $E$13)</f>
        <v>3.3500999999999999</v>
      </c>
      <c r="E120" s="64">
        <f>3.8554 * CHOOSE(CONTROL!$C$22, $C$13, 100%, $E$13)</f>
        <v>3.8553999999999999</v>
      </c>
      <c r="F120" s="64">
        <f>3.8554 * CHOOSE(CONTROL!$C$22, $C$13, 100%, $E$13)</f>
        <v>3.8553999999999999</v>
      </c>
      <c r="G120" s="64">
        <f>3.8555 * CHOOSE(CONTROL!$C$22, $C$13, 100%, $E$13)</f>
        <v>3.8555000000000001</v>
      </c>
      <c r="H120" s="64">
        <f>6.9985* CHOOSE(CONTROL!$C$22, $C$13, 100%, $E$13)</f>
        <v>6.9984999999999999</v>
      </c>
      <c r="I120" s="64">
        <f>6.9986 * CHOOSE(CONTROL!$C$22, $C$13, 100%, $E$13)</f>
        <v>6.9985999999999997</v>
      </c>
      <c r="J120" s="64">
        <f>3.8554 * CHOOSE(CONTROL!$C$22, $C$13, 100%, $E$13)</f>
        <v>3.8553999999999999</v>
      </c>
      <c r="K120" s="64">
        <f>3.8555 * CHOOSE(CONTROL!$C$22, $C$13, 100%, $E$13)</f>
        <v>3.8555000000000001</v>
      </c>
      <c r="L120" s="4"/>
      <c r="M120" s="4"/>
      <c r="N120" s="4"/>
    </row>
    <row r="121" spans="1:14" ht="15">
      <c r="A121" s="13">
        <v>45323</v>
      </c>
      <c r="B121" s="63">
        <f>3.3294 * CHOOSE(CONTROL!$C$22, $C$13, 100%, $E$13)</f>
        <v>3.3294000000000001</v>
      </c>
      <c r="C121" s="63">
        <f>3.3294 * CHOOSE(CONTROL!$C$22, $C$13, 100%, $E$13)</f>
        <v>3.3294000000000001</v>
      </c>
      <c r="D121" s="63">
        <f>3.347 * CHOOSE(CONTROL!$C$22, $C$13, 100%, $E$13)</f>
        <v>3.347</v>
      </c>
      <c r="E121" s="64">
        <f>3.8103 * CHOOSE(CONTROL!$C$22, $C$13, 100%, $E$13)</f>
        <v>3.8102999999999998</v>
      </c>
      <c r="F121" s="64">
        <f>3.8103 * CHOOSE(CONTROL!$C$22, $C$13, 100%, $E$13)</f>
        <v>3.8102999999999998</v>
      </c>
      <c r="G121" s="64">
        <f>3.8105 * CHOOSE(CONTROL!$C$22, $C$13, 100%, $E$13)</f>
        <v>3.8105000000000002</v>
      </c>
      <c r="H121" s="64">
        <f>7.013* CHOOSE(CONTROL!$C$22, $C$13, 100%, $E$13)</f>
        <v>7.0129999999999999</v>
      </c>
      <c r="I121" s="64">
        <f>7.0132 * CHOOSE(CONTROL!$C$22, $C$13, 100%, $E$13)</f>
        <v>7.0132000000000003</v>
      </c>
      <c r="J121" s="64">
        <f>3.8103 * CHOOSE(CONTROL!$C$22, $C$13, 100%, $E$13)</f>
        <v>3.8102999999999998</v>
      </c>
      <c r="K121" s="64">
        <f>3.8105 * CHOOSE(CONTROL!$C$22, $C$13, 100%, $E$13)</f>
        <v>3.8105000000000002</v>
      </c>
      <c r="L121" s="4"/>
      <c r="M121" s="4"/>
      <c r="N121" s="4"/>
    </row>
    <row r="122" spans="1:14" ht="15">
      <c r="A122" s="13">
        <v>45352</v>
      </c>
      <c r="B122" s="63">
        <f>3.3263 * CHOOSE(CONTROL!$C$22, $C$13, 100%, $E$13)</f>
        <v>3.3262999999999998</v>
      </c>
      <c r="C122" s="63">
        <f>3.3263 * CHOOSE(CONTROL!$C$22, $C$13, 100%, $E$13)</f>
        <v>3.3262999999999998</v>
      </c>
      <c r="D122" s="63">
        <f>3.344 * CHOOSE(CONTROL!$C$22, $C$13, 100%, $E$13)</f>
        <v>3.3439999999999999</v>
      </c>
      <c r="E122" s="64">
        <f>3.842 * CHOOSE(CONTROL!$C$22, $C$13, 100%, $E$13)</f>
        <v>3.8420000000000001</v>
      </c>
      <c r="F122" s="64">
        <f>3.842 * CHOOSE(CONTROL!$C$22, $C$13, 100%, $E$13)</f>
        <v>3.8420000000000001</v>
      </c>
      <c r="G122" s="64">
        <f>3.8422 * CHOOSE(CONTROL!$C$22, $C$13, 100%, $E$13)</f>
        <v>3.8422000000000001</v>
      </c>
      <c r="H122" s="64">
        <f>7.0276* CHOOSE(CONTROL!$C$22, $C$13, 100%, $E$13)</f>
        <v>7.0275999999999996</v>
      </c>
      <c r="I122" s="64">
        <f>7.0278 * CHOOSE(CONTROL!$C$22, $C$13, 100%, $E$13)</f>
        <v>7.0278</v>
      </c>
      <c r="J122" s="64">
        <f>3.842 * CHOOSE(CONTROL!$C$22, $C$13, 100%, $E$13)</f>
        <v>3.8420000000000001</v>
      </c>
      <c r="K122" s="64">
        <f>3.8422 * CHOOSE(CONTROL!$C$22, $C$13, 100%, $E$13)</f>
        <v>3.8422000000000001</v>
      </c>
      <c r="L122" s="4"/>
      <c r="M122" s="4"/>
      <c r="N122" s="4"/>
    </row>
    <row r="123" spans="1:14" ht="15">
      <c r="A123" s="13">
        <v>45383</v>
      </c>
      <c r="B123" s="63">
        <f>3.3234 * CHOOSE(CONTROL!$C$22, $C$13, 100%, $E$13)</f>
        <v>3.3233999999999999</v>
      </c>
      <c r="C123" s="63">
        <f>3.3234 * CHOOSE(CONTROL!$C$22, $C$13, 100%, $E$13)</f>
        <v>3.3233999999999999</v>
      </c>
      <c r="D123" s="63">
        <f>3.341 * CHOOSE(CONTROL!$C$22, $C$13, 100%, $E$13)</f>
        <v>3.3410000000000002</v>
      </c>
      <c r="E123" s="64">
        <f>3.8741 * CHOOSE(CONTROL!$C$22, $C$13, 100%, $E$13)</f>
        <v>3.8740999999999999</v>
      </c>
      <c r="F123" s="64">
        <f>3.8741 * CHOOSE(CONTROL!$C$22, $C$13, 100%, $E$13)</f>
        <v>3.8740999999999999</v>
      </c>
      <c r="G123" s="64">
        <f>3.8743 * CHOOSE(CONTROL!$C$22, $C$13, 100%, $E$13)</f>
        <v>3.8742999999999999</v>
      </c>
      <c r="H123" s="64">
        <f>7.0423* CHOOSE(CONTROL!$C$22, $C$13, 100%, $E$13)</f>
        <v>7.0423</v>
      </c>
      <c r="I123" s="64">
        <f>7.0425 * CHOOSE(CONTROL!$C$22, $C$13, 100%, $E$13)</f>
        <v>7.0425000000000004</v>
      </c>
      <c r="J123" s="64">
        <f>3.8741 * CHOOSE(CONTROL!$C$22, $C$13, 100%, $E$13)</f>
        <v>3.8740999999999999</v>
      </c>
      <c r="K123" s="64">
        <f>3.8743 * CHOOSE(CONTROL!$C$22, $C$13, 100%, $E$13)</f>
        <v>3.8742999999999999</v>
      </c>
      <c r="L123" s="4"/>
      <c r="M123" s="4"/>
      <c r="N123" s="4"/>
    </row>
    <row r="124" spans="1:14" ht="15">
      <c r="A124" s="13">
        <v>45413</v>
      </c>
      <c r="B124" s="63">
        <f>3.3234 * CHOOSE(CONTROL!$C$22, $C$13, 100%, $E$13)</f>
        <v>3.3233999999999999</v>
      </c>
      <c r="C124" s="63">
        <f>3.3234 * CHOOSE(CONTROL!$C$22, $C$13, 100%, $E$13)</f>
        <v>3.3233999999999999</v>
      </c>
      <c r="D124" s="63">
        <f>3.3587 * CHOOSE(CONTROL!$C$22, $C$13, 100%, $E$13)</f>
        <v>3.3586999999999998</v>
      </c>
      <c r="E124" s="64">
        <f>3.8877 * CHOOSE(CONTROL!$C$22, $C$13, 100%, $E$13)</f>
        <v>3.8877000000000002</v>
      </c>
      <c r="F124" s="64">
        <f>3.8877 * CHOOSE(CONTROL!$C$22, $C$13, 100%, $E$13)</f>
        <v>3.8877000000000002</v>
      </c>
      <c r="G124" s="64">
        <f>3.8899 * CHOOSE(CONTROL!$C$22, $C$13, 100%, $E$13)</f>
        <v>3.8898999999999999</v>
      </c>
      <c r="H124" s="64">
        <f>7.057* CHOOSE(CONTROL!$C$22, $C$13, 100%, $E$13)</f>
        <v>7.0570000000000004</v>
      </c>
      <c r="I124" s="64">
        <f>7.0591 * CHOOSE(CONTROL!$C$22, $C$13, 100%, $E$13)</f>
        <v>7.0590999999999999</v>
      </c>
      <c r="J124" s="64">
        <f>3.8877 * CHOOSE(CONTROL!$C$22, $C$13, 100%, $E$13)</f>
        <v>3.8877000000000002</v>
      </c>
      <c r="K124" s="64">
        <f>3.8899 * CHOOSE(CONTROL!$C$22, $C$13, 100%, $E$13)</f>
        <v>3.8898999999999999</v>
      </c>
      <c r="L124" s="4"/>
      <c r="M124" s="4"/>
      <c r="N124" s="4"/>
    </row>
    <row r="125" spans="1:14" ht="15">
      <c r="A125" s="13">
        <v>45444</v>
      </c>
      <c r="B125" s="63">
        <f>3.3294 * CHOOSE(CONTROL!$C$22, $C$13, 100%, $E$13)</f>
        <v>3.3294000000000001</v>
      </c>
      <c r="C125" s="63">
        <f>3.3294 * CHOOSE(CONTROL!$C$22, $C$13, 100%, $E$13)</f>
        <v>3.3294000000000001</v>
      </c>
      <c r="D125" s="63">
        <f>3.3648 * CHOOSE(CONTROL!$C$22, $C$13, 100%, $E$13)</f>
        <v>3.3647999999999998</v>
      </c>
      <c r="E125" s="64">
        <f>3.8784 * CHOOSE(CONTROL!$C$22, $C$13, 100%, $E$13)</f>
        <v>3.8784000000000001</v>
      </c>
      <c r="F125" s="64">
        <f>3.8784 * CHOOSE(CONTROL!$C$22, $C$13, 100%, $E$13)</f>
        <v>3.8784000000000001</v>
      </c>
      <c r="G125" s="64">
        <f>3.8805 * CHOOSE(CONTROL!$C$22, $C$13, 100%, $E$13)</f>
        <v>3.8805000000000001</v>
      </c>
      <c r="H125" s="64">
        <f>7.0717* CHOOSE(CONTROL!$C$22, $C$13, 100%, $E$13)</f>
        <v>7.0716999999999999</v>
      </c>
      <c r="I125" s="64">
        <f>7.0738 * CHOOSE(CONTROL!$C$22, $C$13, 100%, $E$13)</f>
        <v>7.0738000000000003</v>
      </c>
      <c r="J125" s="64">
        <f>3.8784 * CHOOSE(CONTROL!$C$22, $C$13, 100%, $E$13)</f>
        <v>3.8784000000000001</v>
      </c>
      <c r="K125" s="64">
        <f>3.8805 * CHOOSE(CONTROL!$C$22, $C$13, 100%, $E$13)</f>
        <v>3.8805000000000001</v>
      </c>
      <c r="L125" s="4"/>
      <c r="M125" s="4"/>
      <c r="N125" s="4"/>
    </row>
    <row r="126" spans="1:14" ht="15">
      <c r="A126" s="13">
        <v>45474</v>
      </c>
      <c r="B126" s="63">
        <f>3.3849 * CHOOSE(CONTROL!$C$22, $C$13, 100%, $E$13)</f>
        <v>3.3849</v>
      </c>
      <c r="C126" s="63">
        <f>3.3849 * CHOOSE(CONTROL!$C$22, $C$13, 100%, $E$13)</f>
        <v>3.3849</v>
      </c>
      <c r="D126" s="63">
        <f>3.4202 * CHOOSE(CONTROL!$C$22, $C$13, 100%, $E$13)</f>
        <v>3.4201999999999999</v>
      </c>
      <c r="E126" s="64">
        <f>3.9401 * CHOOSE(CONTROL!$C$22, $C$13, 100%, $E$13)</f>
        <v>3.9401000000000002</v>
      </c>
      <c r="F126" s="64">
        <f>3.9401 * CHOOSE(CONTROL!$C$22, $C$13, 100%, $E$13)</f>
        <v>3.9401000000000002</v>
      </c>
      <c r="G126" s="64">
        <f>3.9422 * CHOOSE(CONTROL!$C$22, $C$13, 100%, $E$13)</f>
        <v>3.9422000000000001</v>
      </c>
      <c r="H126" s="64">
        <f>7.0864* CHOOSE(CONTROL!$C$22, $C$13, 100%, $E$13)</f>
        <v>7.0864000000000003</v>
      </c>
      <c r="I126" s="64">
        <f>7.0886 * CHOOSE(CONTROL!$C$22, $C$13, 100%, $E$13)</f>
        <v>7.0885999999999996</v>
      </c>
      <c r="J126" s="64">
        <f>3.9401 * CHOOSE(CONTROL!$C$22, $C$13, 100%, $E$13)</f>
        <v>3.9401000000000002</v>
      </c>
      <c r="K126" s="64">
        <f>3.9422 * CHOOSE(CONTROL!$C$22, $C$13, 100%, $E$13)</f>
        <v>3.9422000000000001</v>
      </c>
      <c r="L126" s="4"/>
      <c r="M126" s="4"/>
      <c r="N126" s="4"/>
    </row>
    <row r="127" spans="1:14" ht="15">
      <c r="A127" s="13">
        <v>45505</v>
      </c>
      <c r="B127" s="63">
        <f>3.3915 * CHOOSE(CONTROL!$C$22, $C$13, 100%, $E$13)</f>
        <v>3.3915000000000002</v>
      </c>
      <c r="C127" s="63">
        <f>3.3915 * CHOOSE(CONTROL!$C$22, $C$13, 100%, $E$13)</f>
        <v>3.3915000000000002</v>
      </c>
      <c r="D127" s="63">
        <f>3.4269 * CHOOSE(CONTROL!$C$22, $C$13, 100%, $E$13)</f>
        <v>3.4268999999999998</v>
      </c>
      <c r="E127" s="64">
        <f>3.9039 * CHOOSE(CONTROL!$C$22, $C$13, 100%, $E$13)</f>
        <v>3.9039000000000001</v>
      </c>
      <c r="F127" s="64">
        <f>3.9039 * CHOOSE(CONTROL!$C$22, $C$13, 100%, $E$13)</f>
        <v>3.9039000000000001</v>
      </c>
      <c r="G127" s="64">
        <f>3.906 * CHOOSE(CONTROL!$C$22, $C$13, 100%, $E$13)</f>
        <v>3.9060000000000001</v>
      </c>
      <c r="H127" s="64">
        <f>7.1012* CHOOSE(CONTROL!$C$22, $C$13, 100%, $E$13)</f>
        <v>7.1012000000000004</v>
      </c>
      <c r="I127" s="64">
        <f>7.1033 * CHOOSE(CONTROL!$C$22, $C$13, 100%, $E$13)</f>
        <v>7.1032999999999999</v>
      </c>
      <c r="J127" s="64">
        <f>3.9039 * CHOOSE(CONTROL!$C$22, $C$13, 100%, $E$13)</f>
        <v>3.9039000000000001</v>
      </c>
      <c r="K127" s="64">
        <f>3.906 * CHOOSE(CONTROL!$C$22, $C$13, 100%, $E$13)</f>
        <v>3.9060000000000001</v>
      </c>
      <c r="L127" s="4"/>
      <c r="M127" s="4"/>
      <c r="N127" s="4"/>
    </row>
    <row r="128" spans="1:14" ht="15">
      <c r="A128" s="13">
        <v>45536</v>
      </c>
      <c r="B128" s="63">
        <f>3.3885 * CHOOSE(CONTROL!$C$22, $C$13, 100%, $E$13)</f>
        <v>3.3885000000000001</v>
      </c>
      <c r="C128" s="63">
        <f>3.3885 * CHOOSE(CONTROL!$C$22, $C$13, 100%, $E$13)</f>
        <v>3.3885000000000001</v>
      </c>
      <c r="D128" s="63">
        <f>3.4238 * CHOOSE(CONTROL!$C$22, $C$13, 100%, $E$13)</f>
        <v>3.4238</v>
      </c>
      <c r="E128" s="64">
        <f>3.8972 * CHOOSE(CONTROL!$C$22, $C$13, 100%, $E$13)</f>
        <v>3.8972000000000002</v>
      </c>
      <c r="F128" s="64">
        <f>3.8972 * CHOOSE(CONTROL!$C$22, $C$13, 100%, $E$13)</f>
        <v>3.8972000000000002</v>
      </c>
      <c r="G128" s="64">
        <f>3.8994 * CHOOSE(CONTROL!$C$22, $C$13, 100%, $E$13)</f>
        <v>3.8994</v>
      </c>
      <c r="H128" s="64">
        <f>7.1159* CHOOSE(CONTROL!$C$22, $C$13, 100%, $E$13)</f>
        <v>7.1158999999999999</v>
      </c>
      <c r="I128" s="64">
        <f>7.1181 * CHOOSE(CONTROL!$C$22, $C$13, 100%, $E$13)</f>
        <v>7.1181000000000001</v>
      </c>
      <c r="J128" s="64">
        <f>3.8972 * CHOOSE(CONTROL!$C$22, $C$13, 100%, $E$13)</f>
        <v>3.8972000000000002</v>
      </c>
      <c r="K128" s="64">
        <f>3.8994 * CHOOSE(CONTROL!$C$22, $C$13, 100%, $E$13)</f>
        <v>3.8994</v>
      </c>
      <c r="L128" s="4"/>
      <c r="M128" s="4"/>
      <c r="N128" s="4"/>
    </row>
    <row r="129" spans="1:14" ht="15">
      <c r="A129" s="13">
        <v>45566</v>
      </c>
      <c r="B129" s="63">
        <f>3.3815 * CHOOSE(CONTROL!$C$22, $C$13, 100%, $E$13)</f>
        <v>3.3815</v>
      </c>
      <c r="C129" s="63">
        <f>3.3815 * CHOOSE(CONTROL!$C$22, $C$13, 100%, $E$13)</f>
        <v>3.3815</v>
      </c>
      <c r="D129" s="63">
        <f>3.3991 * CHOOSE(CONTROL!$C$22, $C$13, 100%, $E$13)</f>
        <v>3.3990999999999998</v>
      </c>
      <c r="E129" s="64">
        <f>3.9019 * CHOOSE(CONTROL!$C$22, $C$13, 100%, $E$13)</f>
        <v>3.9018999999999999</v>
      </c>
      <c r="F129" s="64">
        <f>3.9019 * CHOOSE(CONTROL!$C$22, $C$13, 100%, $E$13)</f>
        <v>3.9018999999999999</v>
      </c>
      <c r="G129" s="64">
        <f>3.9021 * CHOOSE(CONTROL!$C$22, $C$13, 100%, $E$13)</f>
        <v>3.9020999999999999</v>
      </c>
      <c r="H129" s="64">
        <f>7.1308* CHOOSE(CONTROL!$C$22, $C$13, 100%, $E$13)</f>
        <v>7.1307999999999998</v>
      </c>
      <c r="I129" s="64">
        <f>7.1309 * CHOOSE(CONTROL!$C$22, $C$13, 100%, $E$13)</f>
        <v>7.1308999999999996</v>
      </c>
      <c r="J129" s="64">
        <f>3.9019 * CHOOSE(CONTROL!$C$22, $C$13, 100%, $E$13)</f>
        <v>3.9018999999999999</v>
      </c>
      <c r="K129" s="64">
        <f>3.9021 * CHOOSE(CONTROL!$C$22, $C$13, 100%, $E$13)</f>
        <v>3.9020999999999999</v>
      </c>
      <c r="L129" s="4"/>
      <c r="M129" s="4"/>
      <c r="N129" s="4"/>
    </row>
    <row r="130" spans="1:14" ht="15">
      <c r="A130" s="13">
        <v>45597</v>
      </c>
      <c r="B130" s="63">
        <f>3.3845 * CHOOSE(CONTROL!$C$22, $C$13, 100%, $E$13)</f>
        <v>3.3845000000000001</v>
      </c>
      <c r="C130" s="63">
        <f>3.3845 * CHOOSE(CONTROL!$C$22, $C$13, 100%, $E$13)</f>
        <v>3.3845000000000001</v>
      </c>
      <c r="D130" s="63">
        <f>3.4022 * CHOOSE(CONTROL!$C$22, $C$13, 100%, $E$13)</f>
        <v>3.4022000000000001</v>
      </c>
      <c r="E130" s="64">
        <f>3.9131 * CHOOSE(CONTROL!$C$22, $C$13, 100%, $E$13)</f>
        <v>3.9131</v>
      </c>
      <c r="F130" s="64">
        <f>3.9131 * CHOOSE(CONTROL!$C$22, $C$13, 100%, $E$13)</f>
        <v>3.9131</v>
      </c>
      <c r="G130" s="64">
        <f>3.9133 * CHOOSE(CONTROL!$C$22, $C$13, 100%, $E$13)</f>
        <v>3.9133</v>
      </c>
      <c r="H130" s="64">
        <f>7.1456* CHOOSE(CONTROL!$C$22, $C$13, 100%, $E$13)</f>
        <v>7.1456</v>
      </c>
      <c r="I130" s="64">
        <f>7.1458 * CHOOSE(CONTROL!$C$22, $C$13, 100%, $E$13)</f>
        <v>7.1458000000000004</v>
      </c>
      <c r="J130" s="64">
        <f>3.9131 * CHOOSE(CONTROL!$C$22, $C$13, 100%, $E$13)</f>
        <v>3.9131</v>
      </c>
      <c r="K130" s="64">
        <f>3.9133 * CHOOSE(CONTROL!$C$22, $C$13, 100%, $E$13)</f>
        <v>3.9133</v>
      </c>
      <c r="L130" s="4"/>
      <c r="M130" s="4"/>
      <c r="N130" s="4"/>
    </row>
    <row r="131" spans="1:14" ht="15">
      <c r="A131" s="13">
        <v>45627</v>
      </c>
      <c r="B131" s="63">
        <f>3.3845 * CHOOSE(CONTROL!$C$22, $C$13, 100%, $E$13)</f>
        <v>3.3845000000000001</v>
      </c>
      <c r="C131" s="63">
        <f>3.3845 * CHOOSE(CONTROL!$C$22, $C$13, 100%, $E$13)</f>
        <v>3.3845000000000001</v>
      </c>
      <c r="D131" s="63">
        <f>3.4022 * CHOOSE(CONTROL!$C$22, $C$13, 100%, $E$13)</f>
        <v>3.4022000000000001</v>
      </c>
      <c r="E131" s="64">
        <f>3.8904 * CHOOSE(CONTROL!$C$22, $C$13, 100%, $E$13)</f>
        <v>3.8904000000000001</v>
      </c>
      <c r="F131" s="64">
        <f>3.8904 * CHOOSE(CONTROL!$C$22, $C$13, 100%, $E$13)</f>
        <v>3.8904000000000001</v>
      </c>
      <c r="G131" s="64">
        <f>3.8906 * CHOOSE(CONTROL!$C$22, $C$13, 100%, $E$13)</f>
        <v>3.8906000000000001</v>
      </c>
      <c r="H131" s="64">
        <f>7.1605* CHOOSE(CONTROL!$C$22, $C$13, 100%, $E$13)</f>
        <v>7.1604999999999999</v>
      </c>
      <c r="I131" s="64">
        <f>7.1607 * CHOOSE(CONTROL!$C$22, $C$13, 100%, $E$13)</f>
        <v>7.1607000000000003</v>
      </c>
      <c r="J131" s="64">
        <f>3.8904 * CHOOSE(CONTROL!$C$22, $C$13, 100%, $E$13)</f>
        <v>3.8904000000000001</v>
      </c>
      <c r="K131" s="64">
        <f>3.8906 * CHOOSE(CONTROL!$C$22, $C$13, 100%, $E$13)</f>
        <v>3.8906000000000001</v>
      </c>
      <c r="L131" s="4"/>
      <c r="M131" s="4"/>
      <c r="N131" s="4"/>
    </row>
    <row r="132" spans="1:14" ht="15">
      <c r="A132" s="13">
        <v>45658</v>
      </c>
      <c r="B132" s="63">
        <f>3.4166 * CHOOSE(CONTROL!$C$22, $C$13, 100%, $E$13)</f>
        <v>3.4165999999999999</v>
      </c>
      <c r="C132" s="63">
        <f>3.4166 * CHOOSE(CONTROL!$C$22, $C$13, 100%, $E$13)</f>
        <v>3.4165999999999999</v>
      </c>
      <c r="D132" s="63">
        <f>3.4343 * CHOOSE(CONTROL!$C$22, $C$13, 100%, $E$13)</f>
        <v>3.4342999999999999</v>
      </c>
      <c r="E132" s="64">
        <f>3.9232 * CHOOSE(CONTROL!$C$22, $C$13, 100%, $E$13)</f>
        <v>3.9232</v>
      </c>
      <c r="F132" s="64">
        <f>3.9232 * CHOOSE(CONTROL!$C$22, $C$13, 100%, $E$13)</f>
        <v>3.9232</v>
      </c>
      <c r="G132" s="64">
        <f>3.9234 * CHOOSE(CONTROL!$C$22, $C$13, 100%, $E$13)</f>
        <v>3.9234</v>
      </c>
      <c r="H132" s="64">
        <f>7.1754* CHOOSE(CONTROL!$C$22, $C$13, 100%, $E$13)</f>
        <v>7.1753999999999998</v>
      </c>
      <c r="I132" s="64">
        <f>7.1756 * CHOOSE(CONTROL!$C$22, $C$13, 100%, $E$13)</f>
        <v>7.1756000000000002</v>
      </c>
      <c r="J132" s="64">
        <f>3.9232 * CHOOSE(CONTROL!$C$22, $C$13, 100%, $E$13)</f>
        <v>3.9232</v>
      </c>
      <c r="K132" s="64">
        <f>3.9234 * CHOOSE(CONTROL!$C$22, $C$13, 100%, $E$13)</f>
        <v>3.9234</v>
      </c>
      <c r="L132" s="4"/>
      <c r="M132" s="4"/>
      <c r="N132" s="4"/>
    </row>
    <row r="133" spans="1:14" ht="15">
      <c r="A133" s="13">
        <v>45689</v>
      </c>
      <c r="B133" s="63">
        <f>3.4136 * CHOOSE(CONTROL!$C$22, $C$13, 100%, $E$13)</f>
        <v>3.4136000000000002</v>
      </c>
      <c r="C133" s="63">
        <f>3.4136 * CHOOSE(CONTROL!$C$22, $C$13, 100%, $E$13)</f>
        <v>3.4136000000000002</v>
      </c>
      <c r="D133" s="63">
        <f>3.4312 * CHOOSE(CONTROL!$C$22, $C$13, 100%, $E$13)</f>
        <v>3.4312</v>
      </c>
      <c r="E133" s="64">
        <f>3.8779 * CHOOSE(CONTROL!$C$22, $C$13, 100%, $E$13)</f>
        <v>3.8778999999999999</v>
      </c>
      <c r="F133" s="64">
        <f>3.8779 * CHOOSE(CONTROL!$C$22, $C$13, 100%, $E$13)</f>
        <v>3.8778999999999999</v>
      </c>
      <c r="G133" s="64">
        <f>3.8781 * CHOOSE(CONTROL!$C$22, $C$13, 100%, $E$13)</f>
        <v>3.8780999999999999</v>
      </c>
      <c r="H133" s="64">
        <f>7.1904* CHOOSE(CONTROL!$C$22, $C$13, 100%, $E$13)</f>
        <v>7.1904000000000003</v>
      </c>
      <c r="I133" s="64">
        <f>7.1906 * CHOOSE(CONTROL!$C$22, $C$13, 100%, $E$13)</f>
        <v>7.1905999999999999</v>
      </c>
      <c r="J133" s="64">
        <f>3.8779 * CHOOSE(CONTROL!$C$22, $C$13, 100%, $E$13)</f>
        <v>3.8778999999999999</v>
      </c>
      <c r="K133" s="64">
        <f>3.8781 * CHOOSE(CONTROL!$C$22, $C$13, 100%, $E$13)</f>
        <v>3.8780999999999999</v>
      </c>
      <c r="L133" s="4"/>
      <c r="M133" s="4"/>
      <c r="N133" s="4"/>
    </row>
    <row r="134" spans="1:14" ht="15">
      <c r="A134" s="13">
        <v>45717</v>
      </c>
      <c r="B134" s="63">
        <f>3.4105 * CHOOSE(CONTROL!$C$22, $C$13, 100%, $E$13)</f>
        <v>3.4104999999999999</v>
      </c>
      <c r="C134" s="63">
        <f>3.4105 * CHOOSE(CONTROL!$C$22, $C$13, 100%, $E$13)</f>
        <v>3.4104999999999999</v>
      </c>
      <c r="D134" s="63">
        <f>3.4282 * CHOOSE(CONTROL!$C$22, $C$13, 100%, $E$13)</f>
        <v>3.4281999999999999</v>
      </c>
      <c r="E134" s="64">
        <f>3.9098 * CHOOSE(CONTROL!$C$22, $C$13, 100%, $E$13)</f>
        <v>3.9098000000000002</v>
      </c>
      <c r="F134" s="64">
        <f>3.9098 * CHOOSE(CONTROL!$C$22, $C$13, 100%, $E$13)</f>
        <v>3.9098000000000002</v>
      </c>
      <c r="G134" s="64">
        <f>3.91 * CHOOSE(CONTROL!$C$22, $C$13, 100%, $E$13)</f>
        <v>3.91</v>
      </c>
      <c r="H134" s="64">
        <f>7.2054* CHOOSE(CONTROL!$C$22, $C$13, 100%, $E$13)</f>
        <v>7.2054</v>
      </c>
      <c r="I134" s="64">
        <f>7.2055 * CHOOSE(CONTROL!$C$22, $C$13, 100%, $E$13)</f>
        <v>7.2054999999999998</v>
      </c>
      <c r="J134" s="64">
        <f>3.9098 * CHOOSE(CONTROL!$C$22, $C$13, 100%, $E$13)</f>
        <v>3.9098000000000002</v>
      </c>
      <c r="K134" s="64">
        <f>3.91 * CHOOSE(CONTROL!$C$22, $C$13, 100%, $E$13)</f>
        <v>3.91</v>
      </c>
      <c r="L134" s="4"/>
      <c r="M134" s="4"/>
      <c r="N134" s="4"/>
    </row>
    <row r="135" spans="1:14" ht="15">
      <c r="A135" s="13">
        <v>45748</v>
      </c>
      <c r="B135" s="63">
        <f>3.4077 * CHOOSE(CONTROL!$C$22, $C$13, 100%, $E$13)</f>
        <v>3.4077000000000002</v>
      </c>
      <c r="C135" s="63">
        <f>3.4077 * CHOOSE(CONTROL!$C$22, $C$13, 100%, $E$13)</f>
        <v>3.4077000000000002</v>
      </c>
      <c r="D135" s="63">
        <f>3.4253 * CHOOSE(CONTROL!$C$22, $C$13, 100%, $E$13)</f>
        <v>3.4253</v>
      </c>
      <c r="E135" s="64">
        <f>3.9422 * CHOOSE(CONTROL!$C$22, $C$13, 100%, $E$13)</f>
        <v>3.9422000000000001</v>
      </c>
      <c r="F135" s="64">
        <f>3.9422 * CHOOSE(CONTROL!$C$22, $C$13, 100%, $E$13)</f>
        <v>3.9422000000000001</v>
      </c>
      <c r="G135" s="64">
        <f>3.9424 * CHOOSE(CONTROL!$C$22, $C$13, 100%, $E$13)</f>
        <v>3.9424000000000001</v>
      </c>
      <c r="H135" s="64">
        <f>7.2204* CHOOSE(CONTROL!$C$22, $C$13, 100%, $E$13)</f>
        <v>7.2203999999999997</v>
      </c>
      <c r="I135" s="64">
        <f>7.2205 * CHOOSE(CONTROL!$C$22, $C$13, 100%, $E$13)</f>
        <v>7.2205000000000004</v>
      </c>
      <c r="J135" s="64">
        <f>3.9422 * CHOOSE(CONTROL!$C$22, $C$13, 100%, $E$13)</f>
        <v>3.9422000000000001</v>
      </c>
      <c r="K135" s="64">
        <f>3.9424 * CHOOSE(CONTROL!$C$22, $C$13, 100%, $E$13)</f>
        <v>3.9424000000000001</v>
      </c>
      <c r="L135" s="4"/>
      <c r="M135" s="4"/>
      <c r="N135" s="4"/>
    </row>
    <row r="136" spans="1:14" ht="15">
      <c r="A136" s="13">
        <v>45778</v>
      </c>
      <c r="B136" s="63">
        <f>3.4077 * CHOOSE(CONTROL!$C$22, $C$13, 100%, $E$13)</f>
        <v>3.4077000000000002</v>
      </c>
      <c r="C136" s="63">
        <f>3.4077 * CHOOSE(CONTROL!$C$22, $C$13, 100%, $E$13)</f>
        <v>3.4077000000000002</v>
      </c>
      <c r="D136" s="63">
        <f>3.443 * CHOOSE(CONTROL!$C$22, $C$13, 100%, $E$13)</f>
        <v>3.4430000000000001</v>
      </c>
      <c r="E136" s="64">
        <f>3.9559 * CHOOSE(CONTROL!$C$22, $C$13, 100%, $E$13)</f>
        <v>3.9559000000000002</v>
      </c>
      <c r="F136" s="64">
        <f>3.9559 * CHOOSE(CONTROL!$C$22, $C$13, 100%, $E$13)</f>
        <v>3.9559000000000002</v>
      </c>
      <c r="G136" s="64">
        <f>3.9581 * CHOOSE(CONTROL!$C$22, $C$13, 100%, $E$13)</f>
        <v>3.9581</v>
      </c>
      <c r="H136" s="64">
        <f>7.2354* CHOOSE(CONTROL!$C$22, $C$13, 100%, $E$13)</f>
        <v>7.2354000000000003</v>
      </c>
      <c r="I136" s="64">
        <f>7.2376 * CHOOSE(CONTROL!$C$22, $C$13, 100%, $E$13)</f>
        <v>7.2375999999999996</v>
      </c>
      <c r="J136" s="64">
        <f>3.9559 * CHOOSE(CONTROL!$C$22, $C$13, 100%, $E$13)</f>
        <v>3.9559000000000002</v>
      </c>
      <c r="K136" s="64">
        <f>3.9581 * CHOOSE(CONTROL!$C$22, $C$13, 100%, $E$13)</f>
        <v>3.9581</v>
      </c>
      <c r="L136" s="4"/>
      <c r="M136" s="4"/>
      <c r="N136" s="4"/>
    </row>
    <row r="137" spans="1:14" ht="15">
      <c r="A137" s="13">
        <v>45809</v>
      </c>
      <c r="B137" s="63">
        <f>3.4137 * CHOOSE(CONTROL!$C$22, $C$13, 100%, $E$13)</f>
        <v>3.4137</v>
      </c>
      <c r="C137" s="63">
        <f>3.4137 * CHOOSE(CONTROL!$C$22, $C$13, 100%, $E$13)</f>
        <v>3.4137</v>
      </c>
      <c r="D137" s="63">
        <f>3.4491 * CHOOSE(CONTROL!$C$22, $C$13, 100%, $E$13)</f>
        <v>3.4491000000000001</v>
      </c>
      <c r="E137" s="64">
        <f>3.9464 * CHOOSE(CONTROL!$C$22, $C$13, 100%, $E$13)</f>
        <v>3.9464000000000001</v>
      </c>
      <c r="F137" s="64">
        <f>3.9464 * CHOOSE(CONTROL!$C$22, $C$13, 100%, $E$13)</f>
        <v>3.9464000000000001</v>
      </c>
      <c r="G137" s="64">
        <f>3.9486 * CHOOSE(CONTROL!$C$22, $C$13, 100%, $E$13)</f>
        <v>3.9485999999999999</v>
      </c>
      <c r="H137" s="64">
        <f>7.2505* CHOOSE(CONTROL!$C$22, $C$13, 100%, $E$13)</f>
        <v>7.2504999999999997</v>
      </c>
      <c r="I137" s="64">
        <f>7.2527 * CHOOSE(CONTROL!$C$22, $C$13, 100%, $E$13)</f>
        <v>7.2526999999999999</v>
      </c>
      <c r="J137" s="64">
        <f>3.9464 * CHOOSE(CONTROL!$C$22, $C$13, 100%, $E$13)</f>
        <v>3.9464000000000001</v>
      </c>
      <c r="K137" s="64">
        <f>3.9486 * CHOOSE(CONTROL!$C$22, $C$13, 100%, $E$13)</f>
        <v>3.9485999999999999</v>
      </c>
      <c r="L137" s="4"/>
      <c r="M137" s="4"/>
      <c r="N137" s="4"/>
    </row>
    <row r="138" spans="1:14" ht="15">
      <c r="A138" s="13">
        <v>45839</v>
      </c>
      <c r="B138" s="63">
        <f>3.4735 * CHOOSE(CONTROL!$C$22, $C$13, 100%, $E$13)</f>
        <v>3.4735</v>
      </c>
      <c r="C138" s="63">
        <f>3.4735 * CHOOSE(CONTROL!$C$22, $C$13, 100%, $E$13)</f>
        <v>3.4735</v>
      </c>
      <c r="D138" s="63">
        <f>3.5088 * CHOOSE(CONTROL!$C$22, $C$13, 100%, $E$13)</f>
        <v>3.5087999999999999</v>
      </c>
      <c r="E138" s="64">
        <f>4.0021 * CHOOSE(CONTROL!$C$22, $C$13, 100%, $E$13)</f>
        <v>4.0021000000000004</v>
      </c>
      <c r="F138" s="64">
        <f>4.0021 * CHOOSE(CONTROL!$C$22, $C$13, 100%, $E$13)</f>
        <v>4.0021000000000004</v>
      </c>
      <c r="G138" s="64">
        <f>4.0043 * CHOOSE(CONTROL!$C$22, $C$13, 100%, $E$13)</f>
        <v>4.0042999999999997</v>
      </c>
      <c r="H138" s="64">
        <f>7.2656* CHOOSE(CONTROL!$C$22, $C$13, 100%, $E$13)</f>
        <v>7.2656000000000001</v>
      </c>
      <c r="I138" s="64">
        <f>7.2678 * CHOOSE(CONTROL!$C$22, $C$13, 100%, $E$13)</f>
        <v>7.2678000000000003</v>
      </c>
      <c r="J138" s="64">
        <f>4.0021 * CHOOSE(CONTROL!$C$22, $C$13, 100%, $E$13)</f>
        <v>4.0021000000000004</v>
      </c>
      <c r="K138" s="64">
        <f>4.0043 * CHOOSE(CONTROL!$C$22, $C$13, 100%, $E$13)</f>
        <v>4.0042999999999997</v>
      </c>
      <c r="L138" s="4"/>
      <c r="M138" s="4"/>
      <c r="N138" s="4"/>
    </row>
    <row r="139" spans="1:14" ht="15">
      <c r="A139" s="13">
        <v>45870</v>
      </c>
      <c r="B139" s="63">
        <f>3.4802 * CHOOSE(CONTROL!$C$22, $C$13, 100%, $E$13)</f>
        <v>3.4802</v>
      </c>
      <c r="C139" s="63">
        <f>3.4802 * CHOOSE(CONTROL!$C$22, $C$13, 100%, $E$13)</f>
        <v>3.4802</v>
      </c>
      <c r="D139" s="63">
        <f>3.5155 * CHOOSE(CONTROL!$C$22, $C$13, 100%, $E$13)</f>
        <v>3.5154999999999998</v>
      </c>
      <c r="E139" s="64">
        <f>3.9656 * CHOOSE(CONTROL!$C$22, $C$13, 100%, $E$13)</f>
        <v>3.9655999999999998</v>
      </c>
      <c r="F139" s="64">
        <f>3.9656 * CHOOSE(CONTROL!$C$22, $C$13, 100%, $E$13)</f>
        <v>3.9655999999999998</v>
      </c>
      <c r="G139" s="64">
        <f>3.9678 * CHOOSE(CONTROL!$C$22, $C$13, 100%, $E$13)</f>
        <v>3.9678</v>
      </c>
      <c r="H139" s="64">
        <f>7.2807* CHOOSE(CONTROL!$C$22, $C$13, 100%, $E$13)</f>
        <v>7.2807000000000004</v>
      </c>
      <c r="I139" s="64">
        <f>7.2829 * CHOOSE(CONTROL!$C$22, $C$13, 100%, $E$13)</f>
        <v>7.2828999999999997</v>
      </c>
      <c r="J139" s="64">
        <f>3.9656 * CHOOSE(CONTROL!$C$22, $C$13, 100%, $E$13)</f>
        <v>3.9655999999999998</v>
      </c>
      <c r="K139" s="64">
        <f>3.9678 * CHOOSE(CONTROL!$C$22, $C$13, 100%, $E$13)</f>
        <v>3.9678</v>
      </c>
      <c r="L139" s="4"/>
      <c r="M139" s="4"/>
      <c r="N139" s="4"/>
    </row>
    <row r="140" spans="1:14" ht="15">
      <c r="A140" s="13">
        <v>45901</v>
      </c>
      <c r="B140" s="63">
        <f>3.4772 * CHOOSE(CONTROL!$C$22, $C$13, 100%, $E$13)</f>
        <v>3.4771999999999998</v>
      </c>
      <c r="C140" s="63">
        <f>3.4772 * CHOOSE(CONTROL!$C$22, $C$13, 100%, $E$13)</f>
        <v>3.4771999999999998</v>
      </c>
      <c r="D140" s="63">
        <f>3.5125 * CHOOSE(CONTROL!$C$22, $C$13, 100%, $E$13)</f>
        <v>3.5125000000000002</v>
      </c>
      <c r="E140" s="64">
        <f>3.959 * CHOOSE(CONTROL!$C$22, $C$13, 100%, $E$13)</f>
        <v>3.9590000000000001</v>
      </c>
      <c r="F140" s="64">
        <f>3.959 * CHOOSE(CONTROL!$C$22, $C$13, 100%, $E$13)</f>
        <v>3.9590000000000001</v>
      </c>
      <c r="G140" s="64">
        <f>3.9611 * CHOOSE(CONTROL!$C$22, $C$13, 100%, $E$13)</f>
        <v>3.9611000000000001</v>
      </c>
      <c r="H140" s="64">
        <f>7.2959* CHOOSE(CONTROL!$C$22, $C$13, 100%, $E$13)</f>
        <v>7.2958999999999996</v>
      </c>
      <c r="I140" s="64">
        <f>7.2981 * CHOOSE(CONTROL!$C$22, $C$13, 100%, $E$13)</f>
        <v>7.2980999999999998</v>
      </c>
      <c r="J140" s="64">
        <f>3.959 * CHOOSE(CONTROL!$C$22, $C$13, 100%, $E$13)</f>
        <v>3.9590000000000001</v>
      </c>
      <c r="K140" s="64">
        <f>3.9611 * CHOOSE(CONTROL!$C$22, $C$13, 100%, $E$13)</f>
        <v>3.9611000000000001</v>
      </c>
      <c r="L140" s="4"/>
      <c r="M140" s="4"/>
      <c r="N140" s="4"/>
    </row>
    <row r="141" spans="1:14" ht="15">
      <c r="A141" s="13">
        <v>45931</v>
      </c>
      <c r="B141" s="63">
        <f>3.4705 * CHOOSE(CONTROL!$C$22, $C$13, 100%, $E$13)</f>
        <v>3.4704999999999999</v>
      </c>
      <c r="C141" s="63">
        <f>3.4705 * CHOOSE(CONTROL!$C$22, $C$13, 100%, $E$13)</f>
        <v>3.4704999999999999</v>
      </c>
      <c r="D141" s="63">
        <f>3.4881 * CHOOSE(CONTROL!$C$22, $C$13, 100%, $E$13)</f>
        <v>3.4881000000000002</v>
      </c>
      <c r="E141" s="64">
        <f>3.9638 * CHOOSE(CONTROL!$C$22, $C$13, 100%, $E$13)</f>
        <v>3.9638</v>
      </c>
      <c r="F141" s="64">
        <f>3.9638 * CHOOSE(CONTROL!$C$22, $C$13, 100%, $E$13)</f>
        <v>3.9638</v>
      </c>
      <c r="G141" s="64">
        <f>3.964 * CHOOSE(CONTROL!$C$22, $C$13, 100%, $E$13)</f>
        <v>3.964</v>
      </c>
      <c r="H141" s="64">
        <f>7.3111* CHOOSE(CONTROL!$C$22, $C$13, 100%, $E$13)</f>
        <v>7.3110999999999997</v>
      </c>
      <c r="I141" s="64">
        <f>7.3113 * CHOOSE(CONTROL!$C$22, $C$13, 100%, $E$13)</f>
        <v>7.3113000000000001</v>
      </c>
      <c r="J141" s="64">
        <f>3.9638 * CHOOSE(CONTROL!$C$22, $C$13, 100%, $E$13)</f>
        <v>3.9638</v>
      </c>
      <c r="K141" s="64">
        <f>3.964 * CHOOSE(CONTROL!$C$22, $C$13, 100%, $E$13)</f>
        <v>3.964</v>
      </c>
      <c r="L141" s="4"/>
      <c r="M141" s="4"/>
      <c r="N141" s="4"/>
    </row>
    <row r="142" spans="1:14" ht="15">
      <c r="A142" s="13">
        <v>45962</v>
      </c>
      <c r="B142" s="63">
        <f>3.4735 * CHOOSE(CONTROL!$C$22, $C$13, 100%, $E$13)</f>
        <v>3.4735</v>
      </c>
      <c r="C142" s="63">
        <f>3.4735 * CHOOSE(CONTROL!$C$22, $C$13, 100%, $E$13)</f>
        <v>3.4735</v>
      </c>
      <c r="D142" s="63">
        <f>3.4912 * CHOOSE(CONTROL!$C$22, $C$13, 100%, $E$13)</f>
        <v>3.4912000000000001</v>
      </c>
      <c r="E142" s="64">
        <f>3.9751 * CHOOSE(CONTROL!$C$22, $C$13, 100%, $E$13)</f>
        <v>3.9750999999999999</v>
      </c>
      <c r="F142" s="64">
        <f>3.9751 * CHOOSE(CONTROL!$C$22, $C$13, 100%, $E$13)</f>
        <v>3.9750999999999999</v>
      </c>
      <c r="G142" s="64">
        <f>3.9753 * CHOOSE(CONTROL!$C$22, $C$13, 100%, $E$13)</f>
        <v>3.9752999999999998</v>
      </c>
      <c r="H142" s="64">
        <f>7.3263* CHOOSE(CONTROL!$C$22, $C$13, 100%, $E$13)</f>
        <v>7.3262999999999998</v>
      </c>
      <c r="I142" s="64">
        <f>7.3265 * CHOOSE(CONTROL!$C$22, $C$13, 100%, $E$13)</f>
        <v>7.3265000000000002</v>
      </c>
      <c r="J142" s="64">
        <f>3.9751 * CHOOSE(CONTROL!$C$22, $C$13, 100%, $E$13)</f>
        <v>3.9750999999999999</v>
      </c>
      <c r="K142" s="64">
        <f>3.9753 * CHOOSE(CONTROL!$C$22, $C$13, 100%, $E$13)</f>
        <v>3.9752999999999998</v>
      </c>
    </row>
    <row r="143" spans="1:14" ht="15">
      <c r="A143" s="13">
        <v>45992</v>
      </c>
      <c r="B143" s="63">
        <f>3.4735 * CHOOSE(CONTROL!$C$22, $C$13, 100%, $E$13)</f>
        <v>3.4735</v>
      </c>
      <c r="C143" s="63">
        <f>3.4735 * CHOOSE(CONTROL!$C$22, $C$13, 100%, $E$13)</f>
        <v>3.4735</v>
      </c>
      <c r="D143" s="63">
        <f>3.4912 * CHOOSE(CONTROL!$C$22, $C$13, 100%, $E$13)</f>
        <v>3.4912000000000001</v>
      </c>
      <c r="E143" s="64">
        <f>3.9522 * CHOOSE(CONTROL!$C$22, $C$13, 100%, $E$13)</f>
        <v>3.9521999999999999</v>
      </c>
      <c r="F143" s="64">
        <f>3.9522 * CHOOSE(CONTROL!$C$22, $C$13, 100%, $E$13)</f>
        <v>3.9521999999999999</v>
      </c>
      <c r="G143" s="64">
        <f>3.9524 * CHOOSE(CONTROL!$C$22, $C$13, 100%, $E$13)</f>
        <v>3.9523999999999999</v>
      </c>
      <c r="H143" s="64">
        <f>7.3416* CHOOSE(CONTROL!$C$22, $C$13, 100%, $E$13)</f>
        <v>7.3415999999999997</v>
      </c>
      <c r="I143" s="64">
        <f>7.3418 * CHOOSE(CONTROL!$C$22, $C$13, 100%, $E$13)</f>
        <v>7.3418000000000001</v>
      </c>
      <c r="J143" s="64">
        <f>3.9522 * CHOOSE(CONTROL!$C$22, $C$13, 100%, $E$13)</f>
        <v>3.9521999999999999</v>
      </c>
      <c r="K143" s="64">
        <f>3.9524 * CHOOSE(CONTROL!$C$22, $C$13, 100%, $E$13)</f>
        <v>3.9523999999999999</v>
      </c>
    </row>
    <row r="144" spans="1:14" ht="15">
      <c r="A144" s="13">
        <v>46023</v>
      </c>
      <c r="B144" s="63">
        <f>3.4998 * CHOOSE(CONTROL!$C$22, $C$13, 100%, $E$13)</f>
        <v>3.4998</v>
      </c>
      <c r="C144" s="63">
        <f>3.4998 * CHOOSE(CONTROL!$C$22, $C$13, 100%, $E$13)</f>
        <v>3.4998</v>
      </c>
      <c r="D144" s="63">
        <f>3.5175 * CHOOSE(CONTROL!$C$22, $C$13, 100%, $E$13)</f>
        <v>3.5175000000000001</v>
      </c>
      <c r="E144" s="64">
        <f>3.9948 * CHOOSE(CONTROL!$C$22, $C$13, 100%, $E$13)</f>
        <v>3.9948000000000001</v>
      </c>
      <c r="F144" s="64">
        <f>3.9948 * CHOOSE(CONTROL!$C$22, $C$13, 100%, $E$13)</f>
        <v>3.9948000000000001</v>
      </c>
      <c r="G144" s="64">
        <f>3.995 * CHOOSE(CONTROL!$C$22, $C$13, 100%, $E$13)</f>
        <v>3.9950000000000001</v>
      </c>
      <c r="H144" s="64">
        <f>7.3569* CHOOSE(CONTROL!$C$22, $C$13, 100%, $E$13)</f>
        <v>7.3569000000000004</v>
      </c>
      <c r="I144" s="64">
        <f>7.3571 * CHOOSE(CONTROL!$C$22, $C$13, 100%, $E$13)</f>
        <v>7.3571</v>
      </c>
      <c r="J144" s="64">
        <f>3.9948 * CHOOSE(CONTROL!$C$22, $C$13, 100%, $E$13)</f>
        <v>3.9948000000000001</v>
      </c>
      <c r="K144" s="64">
        <f>3.995 * CHOOSE(CONTROL!$C$22, $C$13, 100%, $E$13)</f>
        <v>3.9950000000000001</v>
      </c>
    </row>
    <row r="145" spans="1:11" ht="15">
      <c r="A145" s="13">
        <v>46054</v>
      </c>
      <c r="B145" s="63">
        <f>3.4968 * CHOOSE(CONTROL!$C$22, $C$13, 100%, $E$13)</f>
        <v>3.4967999999999999</v>
      </c>
      <c r="C145" s="63">
        <f>3.4968 * CHOOSE(CONTROL!$C$22, $C$13, 100%, $E$13)</f>
        <v>3.4967999999999999</v>
      </c>
      <c r="D145" s="63">
        <f>3.5144 * CHOOSE(CONTROL!$C$22, $C$13, 100%, $E$13)</f>
        <v>3.5144000000000002</v>
      </c>
      <c r="E145" s="64">
        <f>3.9484 * CHOOSE(CONTROL!$C$22, $C$13, 100%, $E$13)</f>
        <v>3.9483999999999999</v>
      </c>
      <c r="F145" s="64">
        <f>3.9484 * CHOOSE(CONTROL!$C$22, $C$13, 100%, $E$13)</f>
        <v>3.9483999999999999</v>
      </c>
      <c r="G145" s="64">
        <f>3.9486 * CHOOSE(CONTROL!$C$22, $C$13, 100%, $E$13)</f>
        <v>3.9485999999999999</v>
      </c>
      <c r="H145" s="64">
        <f>7.3722* CHOOSE(CONTROL!$C$22, $C$13, 100%, $E$13)</f>
        <v>7.3722000000000003</v>
      </c>
      <c r="I145" s="64">
        <f>7.3724 * CHOOSE(CONTROL!$C$22, $C$13, 100%, $E$13)</f>
        <v>7.3723999999999998</v>
      </c>
      <c r="J145" s="64">
        <f>3.9484 * CHOOSE(CONTROL!$C$22, $C$13, 100%, $E$13)</f>
        <v>3.9483999999999999</v>
      </c>
      <c r="K145" s="64">
        <f>3.9486 * CHOOSE(CONTROL!$C$22, $C$13, 100%, $E$13)</f>
        <v>3.9485999999999999</v>
      </c>
    </row>
    <row r="146" spans="1:11" ht="15">
      <c r="A146" s="13">
        <v>46082</v>
      </c>
      <c r="B146" s="63">
        <f>3.4937 * CHOOSE(CONTROL!$C$22, $C$13, 100%, $E$13)</f>
        <v>3.4937</v>
      </c>
      <c r="C146" s="63">
        <f>3.4937 * CHOOSE(CONTROL!$C$22, $C$13, 100%, $E$13)</f>
        <v>3.4937</v>
      </c>
      <c r="D146" s="63">
        <f>3.5114 * CHOOSE(CONTROL!$C$22, $C$13, 100%, $E$13)</f>
        <v>3.5114000000000001</v>
      </c>
      <c r="E146" s="64">
        <f>3.9812 * CHOOSE(CONTROL!$C$22, $C$13, 100%, $E$13)</f>
        <v>3.9811999999999999</v>
      </c>
      <c r="F146" s="64">
        <f>3.9812 * CHOOSE(CONTROL!$C$22, $C$13, 100%, $E$13)</f>
        <v>3.9811999999999999</v>
      </c>
      <c r="G146" s="64">
        <f>3.9814 * CHOOSE(CONTROL!$C$22, $C$13, 100%, $E$13)</f>
        <v>3.9813999999999998</v>
      </c>
      <c r="H146" s="64">
        <f>7.3876* CHOOSE(CONTROL!$C$22, $C$13, 100%, $E$13)</f>
        <v>7.3875999999999999</v>
      </c>
      <c r="I146" s="64">
        <f>7.3877 * CHOOSE(CONTROL!$C$22, $C$13, 100%, $E$13)</f>
        <v>7.3876999999999997</v>
      </c>
      <c r="J146" s="64">
        <f>3.9812 * CHOOSE(CONTROL!$C$22, $C$13, 100%, $E$13)</f>
        <v>3.9811999999999999</v>
      </c>
      <c r="K146" s="64">
        <f>3.9814 * CHOOSE(CONTROL!$C$22, $C$13, 100%, $E$13)</f>
        <v>3.9813999999999998</v>
      </c>
    </row>
    <row r="147" spans="1:11" ht="15">
      <c r="A147" s="13">
        <v>46113</v>
      </c>
      <c r="B147" s="63">
        <f>3.491 * CHOOSE(CONTROL!$C$22, $C$13, 100%, $E$13)</f>
        <v>3.4910000000000001</v>
      </c>
      <c r="C147" s="63">
        <f>3.491 * CHOOSE(CONTROL!$C$22, $C$13, 100%, $E$13)</f>
        <v>3.4910000000000001</v>
      </c>
      <c r="D147" s="63">
        <f>3.5086 * CHOOSE(CONTROL!$C$22, $C$13, 100%, $E$13)</f>
        <v>3.5085999999999999</v>
      </c>
      <c r="E147" s="64">
        <f>4.0145 * CHOOSE(CONTROL!$C$22, $C$13, 100%, $E$13)</f>
        <v>4.0145</v>
      </c>
      <c r="F147" s="64">
        <f>4.0145 * CHOOSE(CONTROL!$C$22, $C$13, 100%, $E$13)</f>
        <v>4.0145</v>
      </c>
      <c r="G147" s="64">
        <f>4.0147 * CHOOSE(CONTROL!$C$22, $C$13, 100%, $E$13)</f>
        <v>4.0147000000000004</v>
      </c>
      <c r="H147" s="64">
        <f>7.403* CHOOSE(CONTROL!$C$22, $C$13, 100%, $E$13)</f>
        <v>7.4029999999999996</v>
      </c>
      <c r="I147" s="64">
        <f>7.4031 * CHOOSE(CONTROL!$C$22, $C$13, 100%, $E$13)</f>
        <v>7.4031000000000002</v>
      </c>
      <c r="J147" s="64">
        <f>4.0145 * CHOOSE(CONTROL!$C$22, $C$13, 100%, $E$13)</f>
        <v>4.0145</v>
      </c>
      <c r="K147" s="64">
        <f>4.0147 * CHOOSE(CONTROL!$C$22, $C$13, 100%, $E$13)</f>
        <v>4.0147000000000004</v>
      </c>
    </row>
    <row r="148" spans="1:11" ht="15">
      <c r="A148" s="13">
        <v>46143</v>
      </c>
      <c r="B148" s="63">
        <f>3.491 * CHOOSE(CONTROL!$C$22, $C$13, 100%, $E$13)</f>
        <v>3.4910000000000001</v>
      </c>
      <c r="C148" s="63">
        <f>3.491 * CHOOSE(CONTROL!$C$22, $C$13, 100%, $E$13)</f>
        <v>3.4910000000000001</v>
      </c>
      <c r="D148" s="63">
        <f>3.5263 * CHOOSE(CONTROL!$C$22, $C$13, 100%, $E$13)</f>
        <v>3.5263</v>
      </c>
      <c r="E148" s="64">
        <f>4.0285 * CHOOSE(CONTROL!$C$22, $C$13, 100%, $E$13)</f>
        <v>4.0285000000000002</v>
      </c>
      <c r="F148" s="64">
        <f>4.0285 * CHOOSE(CONTROL!$C$22, $C$13, 100%, $E$13)</f>
        <v>4.0285000000000002</v>
      </c>
      <c r="G148" s="64">
        <f>4.0307 * CHOOSE(CONTROL!$C$22, $C$13, 100%, $E$13)</f>
        <v>4.0307000000000004</v>
      </c>
      <c r="H148" s="64">
        <f>7.4184* CHOOSE(CONTROL!$C$22, $C$13, 100%, $E$13)</f>
        <v>7.4184000000000001</v>
      </c>
      <c r="I148" s="64">
        <f>7.4206 * CHOOSE(CONTROL!$C$22, $C$13, 100%, $E$13)</f>
        <v>7.4206000000000003</v>
      </c>
      <c r="J148" s="64">
        <f>4.0285 * CHOOSE(CONTROL!$C$22, $C$13, 100%, $E$13)</f>
        <v>4.0285000000000002</v>
      </c>
      <c r="K148" s="64">
        <f>4.0307 * CHOOSE(CONTROL!$C$22, $C$13, 100%, $E$13)</f>
        <v>4.0307000000000004</v>
      </c>
    </row>
    <row r="149" spans="1:11" ht="15">
      <c r="A149" s="13">
        <v>46174</v>
      </c>
      <c r="B149" s="63">
        <f>3.497 * CHOOSE(CONTROL!$C$22, $C$13, 100%, $E$13)</f>
        <v>3.4969999999999999</v>
      </c>
      <c r="C149" s="63">
        <f>3.497 * CHOOSE(CONTROL!$C$22, $C$13, 100%, $E$13)</f>
        <v>3.4969999999999999</v>
      </c>
      <c r="D149" s="63">
        <f>3.5323 * CHOOSE(CONTROL!$C$22, $C$13, 100%, $E$13)</f>
        <v>3.5323000000000002</v>
      </c>
      <c r="E149" s="64">
        <f>4.0187 * CHOOSE(CONTROL!$C$22, $C$13, 100%, $E$13)</f>
        <v>4.0186999999999999</v>
      </c>
      <c r="F149" s="64">
        <f>4.0187 * CHOOSE(CONTROL!$C$22, $C$13, 100%, $E$13)</f>
        <v>4.0186999999999999</v>
      </c>
      <c r="G149" s="64">
        <f>4.0209 * CHOOSE(CONTROL!$C$22, $C$13, 100%, $E$13)</f>
        <v>4.0209000000000001</v>
      </c>
      <c r="H149" s="64">
        <f>7.4338* CHOOSE(CONTROL!$C$22, $C$13, 100%, $E$13)</f>
        <v>7.4337999999999997</v>
      </c>
      <c r="I149" s="64">
        <f>7.436 * CHOOSE(CONTROL!$C$22, $C$13, 100%, $E$13)</f>
        <v>7.4359999999999999</v>
      </c>
      <c r="J149" s="64">
        <f>4.0187 * CHOOSE(CONTROL!$C$22, $C$13, 100%, $E$13)</f>
        <v>4.0186999999999999</v>
      </c>
      <c r="K149" s="64">
        <f>4.0209 * CHOOSE(CONTROL!$C$22, $C$13, 100%, $E$13)</f>
        <v>4.0209000000000001</v>
      </c>
    </row>
    <row r="150" spans="1:11" ht="15">
      <c r="A150" s="13">
        <v>46204</v>
      </c>
      <c r="B150" s="63">
        <f>3.5437 * CHOOSE(CONTROL!$C$22, $C$13, 100%, $E$13)</f>
        <v>3.5436999999999999</v>
      </c>
      <c r="C150" s="63">
        <f>3.5437 * CHOOSE(CONTROL!$C$22, $C$13, 100%, $E$13)</f>
        <v>3.5436999999999999</v>
      </c>
      <c r="D150" s="63">
        <f>3.579 * CHOOSE(CONTROL!$C$22, $C$13, 100%, $E$13)</f>
        <v>3.5790000000000002</v>
      </c>
      <c r="E150" s="64">
        <f>4.0789 * CHOOSE(CONTROL!$C$22, $C$13, 100%, $E$13)</f>
        <v>4.0789</v>
      </c>
      <c r="F150" s="64">
        <f>4.0789 * CHOOSE(CONTROL!$C$22, $C$13, 100%, $E$13)</f>
        <v>4.0789</v>
      </c>
      <c r="G150" s="64">
        <f>4.0811 * CHOOSE(CONTROL!$C$22, $C$13, 100%, $E$13)</f>
        <v>4.0811000000000002</v>
      </c>
      <c r="H150" s="64">
        <f>7.4493* CHOOSE(CONTROL!$C$22, $C$13, 100%, $E$13)</f>
        <v>7.4493</v>
      </c>
      <c r="I150" s="64">
        <f>7.4515 * CHOOSE(CONTROL!$C$22, $C$13, 100%, $E$13)</f>
        <v>7.4515000000000002</v>
      </c>
      <c r="J150" s="64">
        <f>4.0789 * CHOOSE(CONTROL!$C$22, $C$13, 100%, $E$13)</f>
        <v>4.0789</v>
      </c>
      <c r="K150" s="64">
        <f>4.0811 * CHOOSE(CONTROL!$C$22, $C$13, 100%, $E$13)</f>
        <v>4.0811000000000002</v>
      </c>
    </row>
    <row r="151" spans="1:11" ht="15">
      <c r="A151" s="13">
        <v>46235</v>
      </c>
      <c r="B151" s="63">
        <f>3.5504 * CHOOSE(CONTROL!$C$22, $C$13, 100%, $E$13)</f>
        <v>3.5503999999999998</v>
      </c>
      <c r="C151" s="63">
        <f>3.5504 * CHOOSE(CONTROL!$C$22, $C$13, 100%, $E$13)</f>
        <v>3.5503999999999998</v>
      </c>
      <c r="D151" s="63">
        <f>3.5857 * CHOOSE(CONTROL!$C$22, $C$13, 100%, $E$13)</f>
        <v>3.5857000000000001</v>
      </c>
      <c r="E151" s="64">
        <f>4.0414 * CHOOSE(CONTROL!$C$22, $C$13, 100%, $E$13)</f>
        <v>4.0414000000000003</v>
      </c>
      <c r="F151" s="64">
        <f>4.0414 * CHOOSE(CONTROL!$C$22, $C$13, 100%, $E$13)</f>
        <v>4.0414000000000003</v>
      </c>
      <c r="G151" s="64">
        <f>4.0436 * CHOOSE(CONTROL!$C$22, $C$13, 100%, $E$13)</f>
        <v>4.0435999999999996</v>
      </c>
      <c r="H151" s="64">
        <f>7.4648* CHOOSE(CONTROL!$C$22, $C$13, 100%, $E$13)</f>
        <v>7.4648000000000003</v>
      </c>
      <c r="I151" s="64">
        <f>7.467 * CHOOSE(CONTROL!$C$22, $C$13, 100%, $E$13)</f>
        <v>7.4669999999999996</v>
      </c>
      <c r="J151" s="64">
        <f>4.0414 * CHOOSE(CONTROL!$C$22, $C$13, 100%, $E$13)</f>
        <v>4.0414000000000003</v>
      </c>
      <c r="K151" s="64">
        <f>4.0436 * CHOOSE(CONTROL!$C$22, $C$13, 100%, $E$13)</f>
        <v>4.0435999999999996</v>
      </c>
    </row>
    <row r="152" spans="1:11" ht="15">
      <c r="A152" s="13">
        <v>46266</v>
      </c>
      <c r="B152" s="63">
        <f>3.5473 * CHOOSE(CONTROL!$C$22, $C$13, 100%, $E$13)</f>
        <v>3.5472999999999999</v>
      </c>
      <c r="C152" s="63">
        <f>3.5473 * CHOOSE(CONTROL!$C$22, $C$13, 100%, $E$13)</f>
        <v>3.5472999999999999</v>
      </c>
      <c r="D152" s="63">
        <f>3.5826 * CHOOSE(CONTROL!$C$22, $C$13, 100%, $E$13)</f>
        <v>3.5825999999999998</v>
      </c>
      <c r="E152" s="64">
        <f>4.0346 * CHOOSE(CONTROL!$C$22, $C$13, 100%, $E$13)</f>
        <v>4.0346000000000002</v>
      </c>
      <c r="F152" s="64">
        <f>4.0346 * CHOOSE(CONTROL!$C$22, $C$13, 100%, $E$13)</f>
        <v>4.0346000000000002</v>
      </c>
      <c r="G152" s="64">
        <f>4.0368 * CHOOSE(CONTROL!$C$22, $C$13, 100%, $E$13)</f>
        <v>4.0368000000000004</v>
      </c>
      <c r="H152" s="64">
        <f>7.4804* CHOOSE(CONTROL!$C$22, $C$13, 100%, $E$13)</f>
        <v>7.4804000000000004</v>
      </c>
      <c r="I152" s="64">
        <f>7.4826 * CHOOSE(CONTROL!$C$22, $C$13, 100%, $E$13)</f>
        <v>7.4825999999999997</v>
      </c>
      <c r="J152" s="64">
        <f>4.0346 * CHOOSE(CONTROL!$C$22, $C$13, 100%, $E$13)</f>
        <v>4.0346000000000002</v>
      </c>
      <c r="K152" s="64">
        <f>4.0368 * CHOOSE(CONTROL!$C$22, $C$13, 100%, $E$13)</f>
        <v>4.0368000000000004</v>
      </c>
    </row>
    <row r="153" spans="1:11" ht="15">
      <c r="A153" s="13">
        <v>46296</v>
      </c>
      <c r="B153" s="63">
        <f>3.541 * CHOOSE(CONTROL!$C$22, $C$13, 100%, $E$13)</f>
        <v>3.5409999999999999</v>
      </c>
      <c r="C153" s="63">
        <f>3.541 * CHOOSE(CONTROL!$C$22, $C$13, 100%, $E$13)</f>
        <v>3.5409999999999999</v>
      </c>
      <c r="D153" s="63">
        <f>3.5586 * CHOOSE(CONTROL!$C$22, $C$13, 100%, $E$13)</f>
        <v>3.5586000000000002</v>
      </c>
      <c r="E153" s="64">
        <f>4.0399 * CHOOSE(CONTROL!$C$22, $C$13, 100%, $E$13)</f>
        <v>4.0399000000000003</v>
      </c>
      <c r="F153" s="64">
        <f>4.0399 * CHOOSE(CONTROL!$C$22, $C$13, 100%, $E$13)</f>
        <v>4.0399000000000003</v>
      </c>
      <c r="G153" s="64">
        <f>4.0401 * CHOOSE(CONTROL!$C$22, $C$13, 100%, $E$13)</f>
        <v>4.0400999999999998</v>
      </c>
      <c r="H153" s="64">
        <f>7.496* CHOOSE(CONTROL!$C$22, $C$13, 100%, $E$13)</f>
        <v>7.4960000000000004</v>
      </c>
      <c r="I153" s="64">
        <f>7.4962 * CHOOSE(CONTROL!$C$22, $C$13, 100%, $E$13)</f>
        <v>7.4962</v>
      </c>
      <c r="J153" s="64">
        <f>4.0399 * CHOOSE(CONTROL!$C$22, $C$13, 100%, $E$13)</f>
        <v>4.0399000000000003</v>
      </c>
      <c r="K153" s="64">
        <f>4.0401 * CHOOSE(CONTROL!$C$22, $C$13, 100%, $E$13)</f>
        <v>4.0400999999999998</v>
      </c>
    </row>
    <row r="154" spans="1:11" ht="15">
      <c r="A154" s="13">
        <v>46327</v>
      </c>
      <c r="B154" s="63">
        <f>3.544 * CHOOSE(CONTROL!$C$22, $C$13, 100%, $E$13)</f>
        <v>3.544</v>
      </c>
      <c r="C154" s="63">
        <f>3.544 * CHOOSE(CONTROL!$C$22, $C$13, 100%, $E$13)</f>
        <v>3.544</v>
      </c>
      <c r="D154" s="63">
        <f>3.5617 * CHOOSE(CONTROL!$C$22, $C$13, 100%, $E$13)</f>
        <v>3.5617000000000001</v>
      </c>
      <c r="E154" s="64">
        <f>4.0514 * CHOOSE(CONTROL!$C$22, $C$13, 100%, $E$13)</f>
        <v>4.0514000000000001</v>
      </c>
      <c r="F154" s="64">
        <f>4.0514 * CHOOSE(CONTROL!$C$22, $C$13, 100%, $E$13)</f>
        <v>4.0514000000000001</v>
      </c>
      <c r="G154" s="64">
        <f>4.0516 * CHOOSE(CONTROL!$C$22, $C$13, 100%, $E$13)</f>
        <v>4.0515999999999996</v>
      </c>
      <c r="H154" s="64">
        <f>7.5116* CHOOSE(CONTROL!$C$22, $C$13, 100%, $E$13)</f>
        <v>7.5115999999999996</v>
      </c>
      <c r="I154" s="64">
        <f>7.5118 * CHOOSE(CONTROL!$C$22, $C$13, 100%, $E$13)</f>
        <v>7.5118</v>
      </c>
      <c r="J154" s="64">
        <f>4.0514 * CHOOSE(CONTROL!$C$22, $C$13, 100%, $E$13)</f>
        <v>4.0514000000000001</v>
      </c>
      <c r="K154" s="64">
        <f>4.0516 * CHOOSE(CONTROL!$C$22, $C$13, 100%, $E$13)</f>
        <v>4.0515999999999996</v>
      </c>
    </row>
    <row r="155" spans="1:11" ht="15">
      <c r="A155" s="13">
        <v>46357</v>
      </c>
      <c r="B155" s="63">
        <f>3.544 * CHOOSE(CONTROL!$C$22, $C$13, 100%, $E$13)</f>
        <v>3.544</v>
      </c>
      <c r="C155" s="63">
        <f>3.544 * CHOOSE(CONTROL!$C$22, $C$13, 100%, $E$13)</f>
        <v>3.544</v>
      </c>
      <c r="D155" s="63">
        <f>3.5617 * CHOOSE(CONTROL!$C$22, $C$13, 100%, $E$13)</f>
        <v>3.5617000000000001</v>
      </c>
      <c r="E155" s="64">
        <f>4.028 * CHOOSE(CONTROL!$C$22, $C$13, 100%, $E$13)</f>
        <v>4.0279999999999996</v>
      </c>
      <c r="F155" s="64">
        <f>4.028 * CHOOSE(CONTROL!$C$22, $C$13, 100%, $E$13)</f>
        <v>4.0279999999999996</v>
      </c>
      <c r="G155" s="64">
        <f>4.0282 * CHOOSE(CONTROL!$C$22, $C$13, 100%, $E$13)</f>
        <v>4.0282</v>
      </c>
      <c r="H155" s="64">
        <f>7.5273* CHOOSE(CONTROL!$C$22, $C$13, 100%, $E$13)</f>
        <v>7.5273000000000003</v>
      </c>
      <c r="I155" s="64">
        <f>7.5274 * CHOOSE(CONTROL!$C$22, $C$13, 100%, $E$13)</f>
        <v>7.5274000000000001</v>
      </c>
      <c r="J155" s="64">
        <f>4.028 * CHOOSE(CONTROL!$C$22, $C$13, 100%, $E$13)</f>
        <v>4.0279999999999996</v>
      </c>
      <c r="K155" s="64">
        <f>4.0282 * CHOOSE(CONTROL!$C$22, $C$13, 100%, $E$13)</f>
        <v>4.0282</v>
      </c>
    </row>
    <row r="156" spans="1:11" ht="15">
      <c r="A156" s="13">
        <v>46388</v>
      </c>
      <c r="B156" s="63">
        <f>3.5723 * CHOOSE(CONTROL!$C$22, $C$13, 100%, $E$13)</f>
        <v>3.5722999999999998</v>
      </c>
      <c r="C156" s="63">
        <f>3.5723 * CHOOSE(CONTROL!$C$22, $C$13, 100%, $E$13)</f>
        <v>3.5722999999999998</v>
      </c>
      <c r="D156" s="63">
        <f>3.59 * CHOOSE(CONTROL!$C$22, $C$13, 100%, $E$13)</f>
        <v>3.59</v>
      </c>
      <c r="E156" s="64">
        <f>4.0707 * CHOOSE(CONTROL!$C$22, $C$13, 100%, $E$13)</f>
        <v>4.0707000000000004</v>
      </c>
      <c r="F156" s="64">
        <f>4.0707 * CHOOSE(CONTROL!$C$22, $C$13, 100%, $E$13)</f>
        <v>4.0707000000000004</v>
      </c>
      <c r="G156" s="64">
        <f>4.0708 * CHOOSE(CONTROL!$C$22, $C$13, 100%, $E$13)</f>
        <v>4.0708000000000002</v>
      </c>
      <c r="H156" s="64">
        <f>7.5429* CHOOSE(CONTROL!$C$22, $C$13, 100%, $E$13)</f>
        <v>7.5429000000000004</v>
      </c>
      <c r="I156" s="64">
        <f>7.5431 * CHOOSE(CONTROL!$C$22, $C$13, 100%, $E$13)</f>
        <v>7.5430999999999999</v>
      </c>
      <c r="J156" s="64">
        <f>4.0707 * CHOOSE(CONTROL!$C$22, $C$13, 100%, $E$13)</f>
        <v>4.0707000000000004</v>
      </c>
      <c r="K156" s="64">
        <f>4.0708 * CHOOSE(CONTROL!$C$22, $C$13, 100%, $E$13)</f>
        <v>4.0708000000000002</v>
      </c>
    </row>
    <row r="157" spans="1:11" ht="15">
      <c r="A157" s="13">
        <v>46419</v>
      </c>
      <c r="B157" s="63">
        <f>3.5693 * CHOOSE(CONTROL!$C$22, $C$13, 100%, $E$13)</f>
        <v>3.5693000000000001</v>
      </c>
      <c r="C157" s="63">
        <f>3.5693 * CHOOSE(CONTROL!$C$22, $C$13, 100%, $E$13)</f>
        <v>3.5693000000000001</v>
      </c>
      <c r="D157" s="63">
        <f>3.5869 * CHOOSE(CONTROL!$C$22, $C$13, 100%, $E$13)</f>
        <v>3.5869</v>
      </c>
      <c r="E157" s="64">
        <f>4.0231 * CHOOSE(CONTROL!$C$22, $C$13, 100%, $E$13)</f>
        <v>4.0231000000000003</v>
      </c>
      <c r="F157" s="64">
        <f>4.0231 * CHOOSE(CONTROL!$C$22, $C$13, 100%, $E$13)</f>
        <v>4.0231000000000003</v>
      </c>
      <c r="G157" s="64">
        <f>4.0233 * CHOOSE(CONTROL!$C$22, $C$13, 100%, $E$13)</f>
        <v>4.0232999999999999</v>
      </c>
      <c r="H157" s="64">
        <f>7.5586* CHOOSE(CONTROL!$C$22, $C$13, 100%, $E$13)</f>
        <v>7.5586000000000002</v>
      </c>
      <c r="I157" s="64">
        <f>7.5588 * CHOOSE(CONTROL!$C$22, $C$13, 100%, $E$13)</f>
        <v>7.5587999999999997</v>
      </c>
      <c r="J157" s="64">
        <f>4.0231 * CHOOSE(CONTROL!$C$22, $C$13, 100%, $E$13)</f>
        <v>4.0231000000000003</v>
      </c>
      <c r="K157" s="64">
        <f>4.0233 * CHOOSE(CONTROL!$C$22, $C$13, 100%, $E$13)</f>
        <v>4.0232999999999999</v>
      </c>
    </row>
    <row r="158" spans="1:11" ht="15">
      <c r="A158" s="13">
        <v>46447</v>
      </c>
      <c r="B158" s="63">
        <f>3.5662 * CHOOSE(CONTROL!$C$22, $C$13, 100%, $E$13)</f>
        <v>3.5661999999999998</v>
      </c>
      <c r="C158" s="63">
        <f>3.5662 * CHOOSE(CONTROL!$C$22, $C$13, 100%, $E$13)</f>
        <v>3.5661999999999998</v>
      </c>
      <c r="D158" s="63">
        <f>3.5839 * CHOOSE(CONTROL!$C$22, $C$13, 100%, $E$13)</f>
        <v>3.5838999999999999</v>
      </c>
      <c r="E158" s="64">
        <f>4.0568 * CHOOSE(CONTROL!$C$22, $C$13, 100%, $E$13)</f>
        <v>4.0568</v>
      </c>
      <c r="F158" s="64">
        <f>4.0568 * CHOOSE(CONTROL!$C$22, $C$13, 100%, $E$13)</f>
        <v>4.0568</v>
      </c>
      <c r="G158" s="64">
        <f>4.057 * CHOOSE(CONTROL!$C$22, $C$13, 100%, $E$13)</f>
        <v>4.0570000000000004</v>
      </c>
      <c r="H158" s="64">
        <f>7.5744* CHOOSE(CONTROL!$C$22, $C$13, 100%, $E$13)</f>
        <v>7.5743999999999998</v>
      </c>
      <c r="I158" s="64">
        <f>7.5746 * CHOOSE(CONTROL!$C$22, $C$13, 100%, $E$13)</f>
        <v>7.5746000000000002</v>
      </c>
      <c r="J158" s="64">
        <f>4.0568 * CHOOSE(CONTROL!$C$22, $C$13, 100%, $E$13)</f>
        <v>4.0568</v>
      </c>
      <c r="K158" s="64">
        <f>4.057 * CHOOSE(CONTROL!$C$22, $C$13, 100%, $E$13)</f>
        <v>4.0570000000000004</v>
      </c>
    </row>
    <row r="159" spans="1:11" ht="15">
      <c r="A159" s="13">
        <v>46478</v>
      </c>
      <c r="B159" s="63">
        <f>3.5635 * CHOOSE(CONTROL!$C$22, $C$13, 100%, $E$13)</f>
        <v>3.5634999999999999</v>
      </c>
      <c r="C159" s="63">
        <f>3.5635 * CHOOSE(CONTROL!$C$22, $C$13, 100%, $E$13)</f>
        <v>3.5634999999999999</v>
      </c>
      <c r="D159" s="63">
        <f>3.5812 * CHOOSE(CONTROL!$C$22, $C$13, 100%, $E$13)</f>
        <v>3.5811999999999999</v>
      </c>
      <c r="E159" s="64">
        <f>4.091 * CHOOSE(CONTROL!$C$22, $C$13, 100%, $E$13)</f>
        <v>4.0910000000000002</v>
      </c>
      <c r="F159" s="64">
        <f>4.091 * CHOOSE(CONTROL!$C$22, $C$13, 100%, $E$13)</f>
        <v>4.0910000000000002</v>
      </c>
      <c r="G159" s="64">
        <f>4.0912 * CHOOSE(CONTROL!$C$22, $C$13, 100%, $E$13)</f>
        <v>4.0911999999999997</v>
      </c>
      <c r="H159" s="64">
        <f>7.5902* CHOOSE(CONTROL!$C$22, $C$13, 100%, $E$13)</f>
        <v>7.5902000000000003</v>
      </c>
      <c r="I159" s="64">
        <f>7.5904 * CHOOSE(CONTROL!$C$22, $C$13, 100%, $E$13)</f>
        <v>7.5903999999999998</v>
      </c>
      <c r="J159" s="64">
        <f>4.091 * CHOOSE(CONTROL!$C$22, $C$13, 100%, $E$13)</f>
        <v>4.0910000000000002</v>
      </c>
      <c r="K159" s="64">
        <f>4.0912 * CHOOSE(CONTROL!$C$22, $C$13, 100%, $E$13)</f>
        <v>4.0911999999999997</v>
      </c>
    </row>
    <row r="160" spans="1:11" ht="15">
      <c r="A160" s="13">
        <v>46508</v>
      </c>
      <c r="B160" s="63">
        <f>3.5635 * CHOOSE(CONTROL!$C$22, $C$13, 100%, $E$13)</f>
        <v>3.5634999999999999</v>
      </c>
      <c r="C160" s="63">
        <f>3.5635 * CHOOSE(CONTROL!$C$22, $C$13, 100%, $E$13)</f>
        <v>3.5634999999999999</v>
      </c>
      <c r="D160" s="63">
        <f>3.5989 * CHOOSE(CONTROL!$C$22, $C$13, 100%, $E$13)</f>
        <v>3.5989</v>
      </c>
      <c r="E160" s="64">
        <f>4.1054 * CHOOSE(CONTROL!$C$22, $C$13, 100%, $E$13)</f>
        <v>4.1054000000000004</v>
      </c>
      <c r="F160" s="64">
        <f>4.1054 * CHOOSE(CONTROL!$C$22, $C$13, 100%, $E$13)</f>
        <v>4.1054000000000004</v>
      </c>
      <c r="G160" s="64">
        <f>4.1076 * CHOOSE(CONTROL!$C$22, $C$13, 100%, $E$13)</f>
        <v>4.1075999999999997</v>
      </c>
      <c r="H160" s="64">
        <f>7.606* CHOOSE(CONTROL!$C$22, $C$13, 100%, $E$13)</f>
        <v>7.6059999999999999</v>
      </c>
      <c r="I160" s="64">
        <f>7.6082 * CHOOSE(CONTROL!$C$22, $C$13, 100%, $E$13)</f>
        <v>7.6082000000000001</v>
      </c>
      <c r="J160" s="64">
        <f>4.1054 * CHOOSE(CONTROL!$C$22, $C$13, 100%, $E$13)</f>
        <v>4.1054000000000004</v>
      </c>
      <c r="K160" s="64">
        <f>4.1076 * CHOOSE(CONTROL!$C$22, $C$13, 100%, $E$13)</f>
        <v>4.1075999999999997</v>
      </c>
    </row>
    <row r="161" spans="1:11" ht="15">
      <c r="A161" s="13">
        <v>46539</v>
      </c>
      <c r="B161" s="63">
        <f>3.5696 * CHOOSE(CONTROL!$C$22, $C$13, 100%, $E$13)</f>
        <v>3.5695999999999999</v>
      </c>
      <c r="C161" s="63">
        <f>3.5696 * CHOOSE(CONTROL!$C$22, $C$13, 100%, $E$13)</f>
        <v>3.5695999999999999</v>
      </c>
      <c r="D161" s="63">
        <f>3.6049 * CHOOSE(CONTROL!$C$22, $C$13, 100%, $E$13)</f>
        <v>3.6049000000000002</v>
      </c>
      <c r="E161" s="64">
        <f>4.0953 * CHOOSE(CONTROL!$C$22, $C$13, 100%, $E$13)</f>
        <v>4.0952999999999999</v>
      </c>
      <c r="F161" s="64">
        <f>4.0953 * CHOOSE(CONTROL!$C$22, $C$13, 100%, $E$13)</f>
        <v>4.0952999999999999</v>
      </c>
      <c r="G161" s="64">
        <f>4.0974 * CHOOSE(CONTROL!$C$22, $C$13, 100%, $E$13)</f>
        <v>4.0974000000000004</v>
      </c>
      <c r="H161" s="64">
        <f>7.6218* CHOOSE(CONTROL!$C$22, $C$13, 100%, $E$13)</f>
        <v>7.6218000000000004</v>
      </c>
      <c r="I161" s="64">
        <f>7.624 * CHOOSE(CONTROL!$C$22, $C$13, 100%, $E$13)</f>
        <v>7.6239999999999997</v>
      </c>
      <c r="J161" s="64">
        <f>4.0953 * CHOOSE(CONTROL!$C$22, $C$13, 100%, $E$13)</f>
        <v>4.0952999999999999</v>
      </c>
      <c r="K161" s="64">
        <f>4.0974 * CHOOSE(CONTROL!$C$22, $C$13, 100%, $E$13)</f>
        <v>4.0974000000000004</v>
      </c>
    </row>
    <row r="162" spans="1:11" ht="15">
      <c r="A162" s="13">
        <v>46569</v>
      </c>
      <c r="B162" s="63">
        <f>3.6201 * CHOOSE(CONTROL!$C$22, $C$13, 100%, $E$13)</f>
        <v>3.6200999999999999</v>
      </c>
      <c r="C162" s="63">
        <f>3.6201 * CHOOSE(CONTROL!$C$22, $C$13, 100%, $E$13)</f>
        <v>3.6200999999999999</v>
      </c>
      <c r="D162" s="63">
        <f>3.6554 * CHOOSE(CONTROL!$C$22, $C$13, 100%, $E$13)</f>
        <v>3.6554000000000002</v>
      </c>
      <c r="E162" s="64">
        <f>4.1543 * CHOOSE(CONTROL!$C$22, $C$13, 100%, $E$13)</f>
        <v>4.1543000000000001</v>
      </c>
      <c r="F162" s="64">
        <f>4.1543 * CHOOSE(CONTROL!$C$22, $C$13, 100%, $E$13)</f>
        <v>4.1543000000000001</v>
      </c>
      <c r="G162" s="64">
        <f>4.1565 * CHOOSE(CONTROL!$C$22, $C$13, 100%, $E$13)</f>
        <v>4.1565000000000003</v>
      </c>
      <c r="H162" s="64">
        <f>7.6377* CHOOSE(CONTROL!$C$22, $C$13, 100%, $E$13)</f>
        <v>7.6376999999999997</v>
      </c>
      <c r="I162" s="64">
        <f>7.6399 * CHOOSE(CONTROL!$C$22, $C$13, 100%, $E$13)</f>
        <v>7.6398999999999999</v>
      </c>
      <c r="J162" s="64">
        <f>4.1543 * CHOOSE(CONTROL!$C$22, $C$13, 100%, $E$13)</f>
        <v>4.1543000000000001</v>
      </c>
      <c r="K162" s="64">
        <f>4.1565 * CHOOSE(CONTROL!$C$22, $C$13, 100%, $E$13)</f>
        <v>4.1565000000000003</v>
      </c>
    </row>
    <row r="163" spans="1:11" ht="15">
      <c r="A163" s="13">
        <v>46600</v>
      </c>
      <c r="B163" s="63">
        <f>3.6268 * CHOOSE(CONTROL!$C$22, $C$13, 100%, $E$13)</f>
        <v>3.6267999999999998</v>
      </c>
      <c r="C163" s="63">
        <f>3.6268 * CHOOSE(CONTROL!$C$22, $C$13, 100%, $E$13)</f>
        <v>3.6267999999999998</v>
      </c>
      <c r="D163" s="63">
        <f>3.6621 * CHOOSE(CONTROL!$C$22, $C$13, 100%, $E$13)</f>
        <v>3.6621000000000001</v>
      </c>
      <c r="E163" s="64">
        <f>4.1157 * CHOOSE(CONTROL!$C$22, $C$13, 100%, $E$13)</f>
        <v>4.1157000000000004</v>
      </c>
      <c r="F163" s="64">
        <f>4.1157 * CHOOSE(CONTROL!$C$22, $C$13, 100%, $E$13)</f>
        <v>4.1157000000000004</v>
      </c>
      <c r="G163" s="64">
        <f>4.1179 * CHOOSE(CONTROL!$C$22, $C$13, 100%, $E$13)</f>
        <v>4.1178999999999997</v>
      </c>
      <c r="H163" s="64">
        <f>7.6536* CHOOSE(CONTROL!$C$22, $C$13, 100%, $E$13)</f>
        <v>7.6536</v>
      </c>
      <c r="I163" s="64">
        <f>7.6558 * CHOOSE(CONTROL!$C$22, $C$13, 100%, $E$13)</f>
        <v>7.6558000000000002</v>
      </c>
      <c r="J163" s="64">
        <f>4.1157 * CHOOSE(CONTROL!$C$22, $C$13, 100%, $E$13)</f>
        <v>4.1157000000000004</v>
      </c>
      <c r="K163" s="64">
        <f>4.1179 * CHOOSE(CONTROL!$C$22, $C$13, 100%, $E$13)</f>
        <v>4.1178999999999997</v>
      </c>
    </row>
    <row r="164" spans="1:11" ht="15">
      <c r="A164" s="13">
        <v>46631</v>
      </c>
      <c r="B164" s="63">
        <f>3.6237 * CHOOSE(CONTROL!$C$22, $C$13, 100%, $E$13)</f>
        <v>3.6236999999999999</v>
      </c>
      <c r="C164" s="63">
        <f>3.6237 * CHOOSE(CONTROL!$C$22, $C$13, 100%, $E$13)</f>
        <v>3.6236999999999999</v>
      </c>
      <c r="D164" s="63">
        <f>3.659 * CHOOSE(CONTROL!$C$22, $C$13, 100%, $E$13)</f>
        <v>3.6589999999999998</v>
      </c>
      <c r="E164" s="64">
        <f>4.1088 * CHOOSE(CONTROL!$C$22, $C$13, 100%, $E$13)</f>
        <v>4.1087999999999996</v>
      </c>
      <c r="F164" s="64">
        <f>4.1088 * CHOOSE(CONTROL!$C$22, $C$13, 100%, $E$13)</f>
        <v>4.1087999999999996</v>
      </c>
      <c r="G164" s="64">
        <f>4.1109 * CHOOSE(CONTROL!$C$22, $C$13, 100%, $E$13)</f>
        <v>4.1109</v>
      </c>
      <c r="H164" s="64">
        <f>7.6696* CHOOSE(CONTROL!$C$22, $C$13, 100%, $E$13)</f>
        <v>7.6696</v>
      </c>
      <c r="I164" s="64">
        <f>7.6718 * CHOOSE(CONTROL!$C$22, $C$13, 100%, $E$13)</f>
        <v>7.6718000000000002</v>
      </c>
      <c r="J164" s="64">
        <f>4.1088 * CHOOSE(CONTROL!$C$22, $C$13, 100%, $E$13)</f>
        <v>4.1087999999999996</v>
      </c>
      <c r="K164" s="64">
        <f>4.1109 * CHOOSE(CONTROL!$C$22, $C$13, 100%, $E$13)</f>
        <v>4.1109</v>
      </c>
    </row>
    <row r="165" spans="1:11" ht="15">
      <c r="A165" s="13">
        <v>46661</v>
      </c>
      <c r="B165" s="63">
        <f>3.6177 * CHOOSE(CONTROL!$C$22, $C$13, 100%, $E$13)</f>
        <v>3.6177000000000001</v>
      </c>
      <c r="C165" s="63">
        <f>3.6177 * CHOOSE(CONTROL!$C$22, $C$13, 100%, $E$13)</f>
        <v>3.6177000000000001</v>
      </c>
      <c r="D165" s="63">
        <f>3.6353 * CHOOSE(CONTROL!$C$22, $C$13, 100%, $E$13)</f>
        <v>3.6353</v>
      </c>
      <c r="E165" s="64">
        <f>4.1146 * CHOOSE(CONTROL!$C$22, $C$13, 100%, $E$13)</f>
        <v>4.1146000000000003</v>
      </c>
      <c r="F165" s="64">
        <f>4.1146 * CHOOSE(CONTROL!$C$22, $C$13, 100%, $E$13)</f>
        <v>4.1146000000000003</v>
      </c>
      <c r="G165" s="64">
        <f>4.1148 * CHOOSE(CONTROL!$C$22, $C$13, 100%, $E$13)</f>
        <v>4.1147999999999998</v>
      </c>
      <c r="H165" s="64">
        <f>7.6855* CHOOSE(CONTROL!$C$22, $C$13, 100%, $E$13)</f>
        <v>7.6855000000000002</v>
      </c>
      <c r="I165" s="64">
        <f>7.6857 * CHOOSE(CONTROL!$C$22, $C$13, 100%, $E$13)</f>
        <v>7.6856999999999998</v>
      </c>
      <c r="J165" s="64">
        <f>4.1146 * CHOOSE(CONTROL!$C$22, $C$13, 100%, $E$13)</f>
        <v>4.1146000000000003</v>
      </c>
      <c r="K165" s="64">
        <f>4.1148 * CHOOSE(CONTROL!$C$22, $C$13, 100%, $E$13)</f>
        <v>4.1147999999999998</v>
      </c>
    </row>
    <row r="166" spans="1:11" ht="15">
      <c r="A166" s="13">
        <v>46692</v>
      </c>
      <c r="B166" s="63">
        <f>3.6207 * CHOOSE(CONTROL!$C$22, $C$13, 100%, $E$13)</f>
        <v>3.6206999999999998</v>
      </c>
      <c r="C166" s="63">
        <f>3.6207 * CHOOSE(CONTROL!$C$22, $C$13, 100%, $E$13)</f>
        <v>3.6206999999999998</v>
      </c>
      <c r="D166" s="63">
        <f>3.6384 * CHOOSE(CONTROL!$C$22, $C$13, 100%, $E$13)</f>
        <v>3.6383999999999999</v>
      </c>
      <c r="E166" s="64">
        <f>4.1263 * CHOOSE(CONTROL!$C$22, $C$13, 100%, $E$13)</f>
        <v>4.1262999999999996</v>
      </c>
      <c r="F166" s="64">
        <f>4.1263 * CHOOSE(CONTROL!$C$22, $C$13, 100%, $E$13)</f>
        <v>4.1262999999999996</v>
      </c>
      <c r="G166" s="64">
        <f>4.1265 * CHOOSE(CONTROL!$C$22, $C$13, 100%, $E$13)</f>
        <v>4.1265000000000001</v>
      </c>
      <c r="H166" s="64">
        <f>7.7016* CHOOSE(CONTROL!$C$22, $C$13, 100%, $E$13)</f>
        <v>7.7016</v>
      </c>
      <c r="I166" s="64">
        <f>7.7017 * CHOOSE(CONTROL!$C$22, $C$13, 100%, $E$13)</f>
        <v>7.7016999999999998</v>
      </c>
      <c r="J166" s="64">
        <f>4.1263 * CHOOSE(CONTROL!$C$22, $C$13, 100%, $E$13)</f>
        <v>4.1262999999999996</v>
      </c>
      <c r="K166" s="64">
        <f>4.1265 * CHOOSE(CONTROL!$C$22, $C$13, 100%, $E$13)</f>
        <v>4.1265000000000001</v>
      </c>
    </row>
    <row r="167" spans="1:11" ht="15">
      <c r="A167" s="13">
        <v>46722</v>
      </c>
      <c r="B167" s="63">
        <f>3.6207 * CHOOSE(CONTROL!$C$22, $C$13, 100%, $E$13)</f>
        <v>3.6206999999999998</v>
      </c>
      <c r="C167" s="63">
        <f>3.6207 * CHOOSE(CONTROL!$C$22, $C$13, 100%, $E$13)</f>
        <v>3.6206999999999998</v>
      </c>
      <c r="D167" s="63">
        <f>3.6384 * CHOOSE(CONTROL!$C$22, $C$13, 100%, $E$13)</f>
        <v>3.6383999999999999</v>
      </c>
      <c r="E167" s="64">
        <f>4.1023 * CHOOSE(CONTROL!$C$22, $C$13, 100%, $E$13)</f>
        <v>4.1022999999999996</v>
      </c>
      <c r="F167" s="64">
        <f>4.1023 * CHOOSE(CONTROL!$C$22, $C$13, 100%, $E$13)</f>
        <v>4.1022999999999996</v>
      </c>
      <c r="G167" s="64">
        <f>4.1024 * CHOOSE(CONTROL!$C$22, $C$13, 100%, $E$13)</f>
        <v>4.1024000000000003</v>
      </c>
      <c r="H167" s="64">
        <f>7.7176* CHOOSE(CONTROL!$C$22, $C$13, 100%, $E$13)</f>
        <v>7.7176</v>
      </c>
      <c r="I167" s="64">
        <f>7.7178 * CHOOSE(CONTROL!$C$22, $C$13, 100%, $E$13)</f>
        <v>7.7178000000000004</v>
      </c>
      <c r="J167" s="64">
        <f>4.1023 * CHOOSE(CONTROL!$C$22, $C$13, 100%, $E$13)</f>
        <v>4.1022999999999996</v>
      </c>
      <c r="K167" s="64">
        <f>4.1024 * CHOOSE(CONTROL!$C$22, $C$13, 100%, $E$13)</f>
        <v>4.1024000000000003</v>
      </c>
    </row>
    <row r="168" spans="1:11" ht="15">
      <c r="A168" s="13">
        <v>46753</v>
      </c>
      <c r="B168" s="63">
        <f>3.656 * CHOOSE(CONTROL!$C$22, $C$13, 100%, $E$13)</f>
        <v>3.6560000000000001</v>
      </c>
      <c r="C168" s="63">
        <f>3.656 * CHOOSE(CONTROL!$C$22, $C$13, 100%, $E$13)</f>
        <v>3.6560000000000001</v>
      </c>
      <c r="D168" s="63">
        <f>3.6736 * CHOOSE(CONTROL!$C$22, $C$13, 100%, $E$13)</f>
        <v>3.6736</v>
      </c>
      <c r="E168" s="64">
        <f>4.1535 * CHOOSE(CONTROL!$C$22, $C$13, 100%, $E$13)</f>
        <v>4.1535000000000002</v>
      </c>
      <c r="F168" s="64">
        <f>4.1535 * CHOOSE(CONTROL!$C$22, $C$13, 100%, $E$13)</f>
        <v>4.1535000000000002</v>
      </c>
      <c r="G168" s="64">
        <f>4.1537 * CHOOSE(CONTROL!$C$22, $C$13, 100%, $E$13)</f>
        <v>4.1536999999999997</v>
      </c>
      <c r="H168" s="64">
        <f>7.7337* CHOOSE(CONTROL!$C$22, $C$13, 100%, $E$13)</f>
        <v>7.7336999999999998</v>
      </c>
      <c r="I168" s="64">
        <f>7.7339 * CHOOSE(CONTROL!$C$22, $C$13, 100%, $E$13)</f>
        <v>7.7339000000000002</v>
      </c>
      <c r="J168" s="64">
        <f>4.1535 * CHOOSE(CONTROL!$C$22, $C$13, 100%, $E$13)</f>
        <v>4.1535000000000002</v>
      </c>
      <c r="K168" s="64">
        <f>4.1537 * CHOOSE(CONTROL!$C$22, $C$13, 100%, $E$13)</f>
        <v>4.1536999999999997</v>
      </c>
    </row>
    <row r="169" spans="1:11" ht="15">
      <c r="A169" s="13">
        <v>46784</v>
      </c>
      <c r="B169" s="63">
        <f>3.6529 * CHOOSE(CONTROL!$C$22, $C$13, 100%, $E$13)</f>
        <v>3.6528999999999998</v>
      </c>
      <c r="C169" s="63">
        <f>3.6529 * CHOOSE(CONTROL!$C$22, $C$13, 100%, $E$13)</f>
        <v>3.6528999999999998</v>
      </c>
      <c r="D169" s="63">
        <f>3.6706 * CHOOSE(CONTROL!$C$22, $C$13, 100%, $E$13)</f>
        <v>3.6705999999999999</v>
      </c>
      <c r="E169" s="64">
        <f>4.1048 * CHOOSE(CONTROL!$C$22, $C$13, 100%, $E$13)</f>
        <v>4.1048</v>
      </c>
      <c r="F169" s="64">
        <f>4.1048 * CHOOSE(CONTROL!$C$22, $C$13, 100%, $E$13)</f>
        <v>4.1048</v>
      </c>
      <c r="G169" s="64">
        <f>4.105 * CHOOSE(CONTROL!$C$22, $C$13, 100%, $E$13)</f>
        <v>4.1050000000000004</v>
      </c>
      <c r="H169" s="64">
        <f>7.7498* CHOOSE(CONTROL!$C$22, $C$13, 100%, $E$13)</f>
        <v>7.7497999999999996</v>
      </c>
      <c r="I169" s="64">
        <f>7.75 * CHOOSE(CONTROL!$C$22, $C$13, 100%, $E$13)</f>
        <v>7.75</v>
      </c>
      <c r="J169" s="64">
        <f>4.1048 * CHOOSE(CONTROL!$C$22, $C$13, 100%, $E$13)</f>
        <v>4.1048</v>
      </c>
      <c r="K169" s="64">
        <f>4.105 * CHOOSE(CONTROL!$C$22, $C$13, 100%, $E$13)</f>
        <v>4.1050000000000004</v>
      </c>
    </row>
    <row r="170" spans="1:11" ht="15">
      <c r="A170" s="13">
        <v>46813</v>
      </c>
      <c r="B170" s="63">
        <f>3.6499 * CHOOSE(CONTROL!$C$22, $C$13, 100%, $E$13)</f>
        <v>3.6499000000000001</v>
      </c>
      <c r="C170" s="63">
        <f>3.6499 * CHOOSE(CONTROL!$C$22, $C$13, 100%, $E$13)</f>
        <v>3.6499000000000001</v>
      </c>
      <c r="D170" s="63">
        <f>3.6675 * CHOOSE(CONTROL!$C$22, $C$13, 100%, $E$13)</f>
        <v>3.6675</v>
      </c>
      <c r="E170" s="64">
        <f>4.1394 * CHOOSE(CONTROL!$C$22, $C$13, 100%, $E$13)</f>
        <v>4.1394000000000002</v>
      </c>
      <c r="F170" s="64">
        <f>4.1394 * CHOOSE(CONTROL!$C$22, $C$13, 100%, $E$13)</f>
        <v>4.1394000000000002</v>
      </c>
      <c r="G170" s="64">
        <f>4.1396 * CHOOSE(CONTROL!$C$22, $C$13, 100%, $E$13)</f>
        <v>4.1395999999999997</v>
      </c>
      <c r="H170" s="64">
        <f>7.7659* CHOOSE(CONTROL!$C$22, $C$13, 100%, $E$13)</f>
        <v>7.7659000000000002</v>
      </c>
      <c r="I170" s="64">
        <f>7.7661 * CHOOSE(CONTROL!$C$22, $C$13, 100%, $E$13)</f>
        <v>7.7660999999999998</v>
      </c>
      <c r="J170" s="64">
        <f>4.1394 * CHOOSE(CONTROL!$C$22, $C$13, 100%, $E$13)</f>
        <v>4.1394000000000002</v>
      </c>
      <c r="K170" s="64">
        <f>4.1396 * CHOOSE(CONTROL!$C$22, $C$13, 100%, $E$13)</f>
        <v>4.1395999999999997</v>
      </c>
    </row>
    <row r="171" spans="1:11" ht="15">
      <c r="A171" s="13">
        <v>46844</v>
      </c>
      <c r="B171" s="63">
        <f>3.6473 * CHOOSE(CONTROL!$C$22, $C$13, 100%, $E$13)</f>
        <v>3.6473</v>
      </c>
      <c r="C171" s="63">
        <f>3.6473 * CHOOSE(CONTROL!$C$22, $C$13, 100%, $E$13)</f>
        <v>3.6473</v>
      </c>
      <c r="D171" s="63">
        <f>3.6649 * CHOOSE(CONTROL!$C$22, $C$13, 100%, $E$13)</f>
        <v>3.6648999999999998</v>
      </c>
      <c r="E171" s="64">
        <f>4.1746 * CHOOSE(CONTROL!$C$22, $C$13, 100%, $E$13)</f>
        <v>4.1745999999999999</v>
      </c>
      <c r="F171" s="64">
        <f>4.1746 * CHOOSE(CONTROL!$C$22, $C$13, 100%, $E$13)</f>
        <v>4.1745999999999999</v>
      </c>
      <c r="G171" s="64">
        <f>4.1748 * CHOOSE(CONTROL!$C$22, $C$13, 100%, $E$13)</f>
        <v>4.1748000000000003</v>
      </c>
      <c r="H171" s="64">
        <f>7.7821* CHOOSE(CONTROL!$C$22, $C$13, 100%, $E$13)</f>
        <v>7.7820999999999998</v>
      </c>
      <c r="I171" s="64">
        <f>7.7823 * CHOOSE(CONTROL!$C$22, $C$13, 100%, $E$13)</f>
        <v>7.7823000000000002</v>
      </c>
      <c r="J171" s="64">
        <f>4.1746 * CHOOSE(CONTROL!$C$22, $C$13, 100%, $E$13)</f>
        <v>4.1745999999999999</v>
      </c>
      <c r="K171" s="64">
        <f>4.1748 * CHOOSE(CONTROL!$C$22, $C$13, 100%, $E$13)</f>
        <v>4.1748000000000003</v>
      </c>
    </row>
    <row r="172" spans="1:11" ht="15">
      <c r="A172" s="13">
        <v>46874</v>
      </c>
      <c r="B172" s="63">
        <f>3.6473 * CHOOSE(CONTROL!$C$22, $C$13, 100%, $E$13)</f>
        <v>3.6473</v>
      </c>
      <c r="C172" s="63">
        <f>3.6473 * CHOOSE(CONTROL!$C$22, $C$13, 100%, $E$13)</f>
        <v>3.6473</v>
      </c>
      <c r="D172" s="63">
        <f>3.6826 * CHOOSE(CONTROL!$C$22, $C$13, 100%, $E$13)</f>
        <v>3.6825999999999999</v>
      </c>
      <c r="E172" s="64">
        <f>4.1894 * CHOOSE(CONTROL!$C$22, $C$13, 100%, $E$13)</f>
        <v>4.1894</v>
      </c>
      <c r="F172" s="64">
        <f>4.1894 * CHOOSE(CONTROL!$C$22, $C$13, 100%, $E$13)</f>
        <v>4.1894</v>
      </c>
      <c r="G172" s="64">
        <f>4.1916 * CHOOSE(CONTROL!$C$22, $C$13, 100%, $E$13)</f>
        <v>4.1916000000000002</v>
      </c>
      <c r="H172" s="64">
        <f>7.7983* CHOOSE(CONTROL!$C$22, $C$13, 100%, $E$13)</f>
        <v>7.7983000000000002</v>
      </c>
      <c r="I172" s="64">
        <f>7.8005 * CHOOSE(CONTROL!$C$22, $C$13, 100%, $E$13)</f>
        <v>7.8005000000000004</v>
      </c>
      <c r="J172" s="64">
        <f>4.1894 * CHOOSE(CONTROL!$C$22, $C$13, 100%, $E$13)</f>
        <v>4.1894</v>
      </c>
      <c r="K172" s="64">
        <f>4.1916 * CHOOSE(CONTROL!$C$22, $C$13, 100%, $E$13)</f>
        <v>4.1916000000000002</v>
      </c>
    </row>
    <row r="173" spans="1:11" ht="15">
      <c r="A173" s="13">
        <v>46905</v>
      </c>
      <c r="B173" s="63">
        <f>3.6534 * CHOOSE(CONTROL!$C$22, $C$13, 100%, $E$13)</f>
        <v>3.6534</v>
      </c>
      <c r="C173" s="63">
        <f>3.6534 * CHOOSE(CONTROL!$C$22, $C$13, 100%, $E$13)</f>
        <v>3.6534</v>
      </c>
      <c r="D173" s="63">
        <f>3.6887 * CHOOSE(CONTROL!$C$22, $C$13, 100%, $E$13)</f>
        <v>3.6886999999999999</v>
      </c>
      <c r="E173" s="64">
        <f>4.1788 * CHOOSE(CONTROL!$C$22, $C$13, 100%, $E$13)</f>
        <v>4.1787999999999998</v>
      </c>
      <c r="F173" s="64">
        <f>4.1788 * CHOOSE(CONTROL!$C$22, $C$13, 100%, $E$13)</f>
        <v>4.1787999999999998</v>
      </c>
      <c r="G173" s="64">
        <f>4.181 * CHOOSE(CONTROL!$C$22, $C$13, 100%, $E$13)</f>
        <v>4.181</v>
      </c>
      <c r="H173" s="64">
        <f>7.8146* CHOOSE(CONTROL!$C$22, $C$13, 100%, $E$13)</f>
        <v>7.8146000000000004</v>
      </c>
      <c r="I173" s="64">
        <f>7.8168 * CHOOSE(CONTROL!$C$22, $C$13, 100%, $E$13)</f>
        <v>7.8167999999999997</v>
      </c>
      <c r="J173" s="64">
        <f>4.1788 * CHOOSE(CONTROL!$C$22, $C$13, 100%, $E$13)</f>
        <v>4.1787999999999998</v>
      </c>
      <c r="K173" s="64">
        <f>4.181 * CHOOSE(CONTROL!$C$22, $C$13, 100%, $E$13)</f>
        <v>4.181</v>
      </c>
    </row>
    <row r="174" spans="1:11" ht="15">
      <c r="A174" s="13">
        <v>46935</v>
      </c>
      <c r="B174" s="63">
        <f>3.7202 * CHOOSE(CONTROL!$C$22, $C$13, 100%, $E$13)</f>
        <v>3.7202000000000002</v>
      </c>
      <c r="C174" s="63">
        <f>3.7202 * CHOOSE(CONTROL!$C$22, $C$13, 100%, $E$13)</f>
        <v>3.7202000000000002</v>
      </c>
      <c r="D174" s="63">
        <f>3.7555 * CHOOSE(CONTROL!$C$22, $C$13, 100%, $E$13)</f>
        <v>3.7555000000000001</v>
      </c>
      <c r="E174" s="64">
        <f>4.2571 * CHOOSE(CONTROL!$C$22, $C$13, 100%, $E$13)</f>
        <v>4.2571000000000003</v>
      </c>
      <c r="F174" s="64">
        <f>4.2571 * CHOOSE(CONTROL!$C$22, $C$13, 100%, $E$13)</f>
        <v>4.2571000000000003</v>
      </c>
      <c r="G174" s="64">
        <f>4.2593 * CHOOSE(CONTROL!$C$22, $C$13, 100%, $E$13)</f>
        <v>4.2592999999999996</v>
      </c>
      <c r="H174" s="64">
        <f>7.8309* CHOOSE(CONTROL!$C$22, $C$13, 100%, $E$13)</f>
        <v>7.8308999999999997</v>
      </c>
      <c r="I174" s="64">
        <f>7.833 * CHOOSE(CONTROL!$C$22, $C$13, 100%, $E$13)</f>
        <v>7.8330000000000002</v>
      </c>
      <c r="J174" s="64">
        <f>4.2571 * CHOOSE(CONTROL!$C$22, $C$13, 100%, $E$13)</f>
        <v>4.2571000000000003</v>
      </c>
      <c r="K174" s="64">
        <f>4.2593 * CHOOSE(CONTROL!$C$22, $C$13, 100%, $E$13)</f>
        <v>4.2592999999999996</v>
      </c>
    </row>
    <row r="175" spans="1:11" ht="15">
      <c r="A175" s="13">
        <v>46966</v>
      </c>
      <c r="B175" s="63">
        <f>3.7269 * CHOOSE(CONTROL!$C$22, $C$13, 100%, $E$13)</f>
        <v>3.7269000000000001</v>
      </c>
      <c r="C175" s="63">
        <f>3.7269 * CHOOSE(CONTROL!$C$22, $C$13, 100%, $E$13)</f>
        <v>3.7269000000000001</v>
      </c>
      <c r="D175" s="63">
        <f>3.7622 * CHOOSE(CONTROL!$C$22, $C$13, 100%, $E$13)</f>
        <v>3.7622</v>
      </c>
      <c r="E175" s="64">
        <f>4.2174 * CHOOSE(CONTROL!$C$22, $C$13, 100%, $E$13)</f>
        <v>4.2173999999999996</v>
      </c>
      <c r="F175" s="64">
        <f>4.2174 * CHOOSE(CONTROL!$C$22, $C$13, 100%, $E$13)</f>
        <v>4.2173999999999996</v>
      </c>
      <c r="G175" s="64">
        <f>4.2195 * CHOOSE(CONTROL!$C$22, $C$13, 100%, $E$13)</f>
        <v>4.2195</v>
      </c>
      <c r="H175" s="64">
        <f>7.8472* CHOOSE(CONTROL!$C$22, $C$13, 100%, $E$13)</f>
        <v>7.8472</v>
      </c>
      <c r="I175" s="64">
        <f>7.8494 * CHOOSE(CONTROL!$C$22, $C$13, 100%, $E$13)</f>
        <v>7.8494000000000002</v>
      </c>
      <c r="J175" s="64">
        <f>4.2174 * CHOOSE(CONTROL!$C$22, $C$13, 100%, $E$13)</f>
        <v>4.2173999999999996</v>
      </c>
      <c r="K175" s="64">
        <f>4.2195 * CHOOSE(CONTROL!$C$22, $C$13, 100%, $E$13)</f>
        <v>4.2195</v>
      </c>
    </row>
    <row r="176" spans="1:11" ht="15">
      <c r="A176" s="13">
        <v>46997</v>
      </c>
      <c r="B176" s="63">
        <f>3.7239 * CHOOSE(CONTROL!$C$22, $C$13, 100%, $E$13)</f>
        <v>3.7239</v>
      </c>
      <c r="C176" s="63">
        <f>3.7239 * CHOOSE(CONTROL!$C$22, $C$13, 100%, $E$13)</f>
        <v>3.7239</v>
      </c>
      <c r="D176" s="63">
        <f>3.7592 * CHOOSE(CONTROL!$C$22, $C$13, 100%, $E$13)</f>
        <v>3.7591999999999999</v>
      </c>
      <c r="E176" s="64">
        <f>4.2103 * CHOOSE(CONTROL!$C$22, $C$13, 100%, $E$13)</f>
        <v>4.2103000000000002</v>
      </c>
      <c r="F176" s="64">
        <f>4.2103 * CHOOSE(CONTROL!$C$22, $C$13, 100%, $E$13)</f>
        <v>4.2103000000000002</v>
      </c>
      <c r="G176" s="64">
        <f>4.2125 * CHOOSE(CONTROL!$C$22, $C$13, 100%, $E$13)</f>
        <v>4.2125000000000004</v>
      </c>
      <c r="H176" s="64">
        <f>7.8635* CHOOSE(CONTROL!$C$22, $C$13, 100%, $E$13)</f>
        <v>7.8635000000000002</v>
      </c>
      <c r="I176" s="64">
        <f>7.8657 * CHOOSE(CONTROL!$C$22, $C$13, 100%, $E$13)</f>
        <v>7.8657000000000004</v>
      </c>
      <c r="J176" s="64">
        <f>4.2103 * CHOOSE(CONTROL!$C$22, $C$13, 100%, $E$13)</f>
        <v>4.2103000000000002</v>
      </c>
      <c r="K176" s="64">
        <f>4.2125 * CHOOSE(CONTROL!$C$22, $C$13, 100%, $E$13)</f>
        <v>4.2125000000000004</v>
      </c>
    </row>
    <row r="177" spans="1:11" ht="15">
      <c r="A177" s="13">
        <v>47027</v>
      </c>
      <c r="B177" s="63">
        <f>3.7182 * CHOOSE(CONTROL!$C$22, $C$13, 100%, $E$13)</f>
        <v>3.7181999999999999</v>
      </c>
      <c r="C177" s="63">
        <f>3.7182 * CHOOSE(CONTROL!$C$22, $C$13, 100%, $E$13)</f>
        <v>3.7181999999999999</v>
      </c>
      <c r="D177" s="63">
        <f>3.7358 * CHOOSE(CONTROL!$C$22, $C$13, 100%, $E$13)</f>
        <v>3.7357999999999998</v>
      </c>
      <c r="E177" s="64">
        <f>4.2166 * CHOOSE(CONTROL!$C$22, $C$13, 100%, $E$13)</f>
        <v>4.2165999999999997</v>
      </c>
      <c r="F177" s="64">
        <f>4.2166 * CHOOSE(CONTROL!$C$22, $C$13, 100%, $E$13)</f>
        <v>4.2165999999999997</v>
      </c>
      <c r="G177" s="64">
        <f>4.2168 * CHOOSE(CONTROL!$C$22, $C$13, 100%, $E$13)</f>
        <v>4.2168000000000001</v>
      </c>
      <c r="H177" s="64">
        <f>7.8799* CHOOSE(CONTROL!$C$22, $C$13, 100%, $E$13)</f>
        <v>7.8799000000000001</v>
      </c>
      <c r="I177" s="64">
        <f>7.8801 * CHOOSE(CONTROL!$C$22, $C$13, 100%, $E$13)</f>
        <v>7.8800999999999997</v>
      </c>
      <c r="J177" s="64">
        <f>4.2166 * CHOOSE(CONTROL!$C$22, $C$13, 100%, $E$13)</f>
        <v>4.2165999999999997</v>
      </c>
      <c r="K177" s="64">
        <f>4.2168 * CHOOSE(CONTROL!$C$22, $C$13, 100%, $E$13)</f>
        <v>4.2168000000000001</v>
      </c>
    </row>
    <row r="178" spans="1:11" ht="15">
      <c r="A178" s="13">
        <v>47058</v>
      </c>
      <c r="B178" s="63">
        <f>3.7212 * CHOOSE(CONTROL!$C$22, $C$13, 100%, $E$13)</f>
        <v>3.7212000000000001</v>
      </c>
      <c r="C178" s="63">
        <f>3.7212 * CHOOSE(CONTROL!$C$22, $C$13, 100%, $E$13)</f>
        <v>3.7212000000000001</v>
      </c>
      <c r="D178" s="63">
        <f>3.7389 * CHOOSE(CONTROL!$C$22, $C$13, 100%, $E$13)</f>
        <v>3.7389000000000001</v>
      </c>
      <c r="E178" s="64">
        <f>4.2286 * CHOOSE(CONTROL!$C$22, $C$13, 100%, $E$13)</f>
        <v>4.2286000000000001</v>
      </c>
      <c r="F178" s="64">
        <f>4.2286 * CHOOSE(CONTROL!$C$22, $C$13, 100%, $E$13)</f>
        <v>4.2286000000000001</v>
      </c>
      <c r="G178" s="64">
        <f>4.2288 * CHOOSE(CONTROL!$C$22, $C$13, 100%, $E$13)</f>
        <v>4.2287999999999997</v>
      </c>
      <c r="H178" s="64">
        <f>7.8963* CHOOSE(CONTROL!$C$22, $C$13, 100%, $E$13)</f>
        <v>7.8963000000000001</v>
      </c>
      <c r="I178" s="64">
        <f>7.8965 * CHOOSE(CONTROL!$C$22, $C$13, 100%, $E$13)</f>
        <v>7.8964999999999996</v>
      </c>
      <c r="J178" s="64">
        <f>4.2286 * CHOOSE(CONTROL!$C$22, $C$13, 100%, $E$13)</f>
        <v>4.2286000000000001</v>
      </c>
      <c r="K178" s="64">
        <f>4.2288 * CHOOSE(CONTROL!$C$22, $C$13, 100%, $E$13)</f>
        <v>4.2287999999999997</v>
      </c>
    </row>
    <row r="179" spans="1:11" ht="15">
      <c r="A179" s="13">
        <v>47088</v>
      </c>
      <c r="B179" s="63">
        <f>3.7212 * CHOOSE(CONTROL!$C$22, $C$13, 100%, $E$13)</f>
        <v>3.7212000000000001</v>
      </c>
      <c r="C179" s="63">
        <f>3.7212 * CHOOSE(CONTROL!$C$22, $C$13, 100%, $E$13)</f>
        <v>3.7212000000000001</v>
      </c>
      <c r="D179" s="63">
        <f>3.7389 * CHOOSE(CONTROL!$C$22, $C$13, 100%, $E$13)</f>
        <v>3.7389000000000001</v>
      </c>
      <c r="E179" s="64">
        <f>4.2039 * CHOOSE(CONTROL!$C$22, $C$13, 100%, $E$13)</f>
        <v>4.2039</v>
      </c>
      <c r="F179" s="64">
        <f>4.2039 * CHOOSE(CONTROL!$C$22, $C$13, 100%, $E$13)</f>
        <v>4.2039</v>
      </c>
      <c r="G179" s="64">
        <f>4.2041 * CHOOSE(CONTROL!$C$22, $C$13, 100%, $E$13)</f>
        <v>4.2041000000000004</v>
      </c>
      <c r="H179" s="64">
        <f>7.9128* CHOOSE(CONTROL!$C$22, $C$13, 100%, $E$13)</f>
        <v>7.9127999999999998</v>
      </c>
      <c r="I179" s="64">
        <f>7.9129 * CHOOSE(CONTROL!$C$22, $C$13, 100%, $E$13)</f>
        <v>7.9128999999999996</v>
      </c>
      <c r="J179" s="64">
        <f>4.2039 * CHOOSE(CONTROL!$C$22, $C$13, 100%, $E$13)</f>
        <v>4.2039</v>
      </c>
      <c r="K179" s="64">
        <f>4.2041 * CHOOSE(CONTROL!$C$22, $C$13, 100%, $E$13)</f>
        <v>4.2041000000000004</v>
      </c>
    </row>
    <row r="180" spans="1:11" ht="15">
      <c r="A180" s="13">
        <v>47119</v>
      </c>
      <c r="B180" s="63">
        <f>3.7543 * CHOOSE(CONTROL!$C$22, $C$13, 100%, $E$13)</f>
        <v>3.7543000000000002</v>
      </c>
      <c r="C180" s="63">
        <f>3.7543 * CHOOSE(CONTROL!$C$22, $C$13, 100%, $E$13)</f>
        <v>3.7543000000000002</v>
      </c>
      <c r="D180" s="63">
        <f>3.772 * CHOOSE(CONTROL!$C$22, $C$13, 100%, $E$13)</f>
        <v>3.7719999999999998</v>
      </c>
      <c r="E180" s="64">
        <f>4.2617 * CHOOSE(CONTROL!$C$22, $C$13, 100%, $E$13)</f>
        <v>4.2617000000000003</v>
      </c>
      <c r="F180" s="64">
        <f>4.2617 * CHOOSE(CONTROL!$C$22, $C$13, 100%, $E$13)</f>
        <v>4.2617000000000003</v>
      </c>
      <c r="G180" s="64">
        <f>4.2619 * CHOOSE(CONTROL!$C$22, $C$13, 100%, $E$13)</f>
        <v>4.2618999999999998</v>
      </c>
      <c r="H180" s="64">
        <f>7.9293* CHOOSE(CONTROL!$C$22, $C$13, 100%, $E$13)</f>
        <v>7.9292999999999996</v>
      </c>
      <c r="I180" s="64">
        <f>7.9294 * CHOOSE(CONTROL!$C$22, $C$13, 100%, $E$13)</f>
        <v>7.9294000000000002</v>
      </c>
      <c r="J180" s="64">
        <f>4.2617 * CHOOSE(CONTROL!$C$22, $C$13, 100%, $E$13)</f>
        <v>4.2617000000000003</v>
      </c>
      <c r="K180" s="64">
        <f>4.2619 * CHOOSE(CONTROL!$C$22, $C$13, 100%, $E$13)</f>
        <v>4.2618999999999998</v>
      </c>
    </row>
    <row r="181" spans="1:11" ht="15">
      <c r="A181" s="13">
        <v>47150</v>
      </c>
      <c r="B181" s="63">
        <f>3.7513 * CHOOSE(CONTROL!$C$22, $C$13, 100%, $E$13)</f>
        <v>3.7513000000000001</v>
      </c>
      <c r="C181" s="63">
        <f>3.7513 * CHOOSE(CONTROL!$C$22, $C$13, 100%, $E$13)</f>
        <v>3.7513000000000001</v>
      </c>
      <c r="D181" s="63">
        <f>3.7689 * CHOOSE(CONTROL!$C$22, $C$13, 100%, $E$13)</f>
        <v>3.7688999999999999</v>
      </c>
      <c r="E181" s="64">
        <f>4.2118 * CHOOSE(CONTROL!$C$22, $C$13, 100%, $E$13)</f>
        <v>4.2118000000000002</v>
      </c>
      <c r="F181" s="64">
        <f>4.2118 * CHOOSE(CONTROL!$C$22, $C$13, 100%, $E$13)</f>
        <v>4.2118000000000002</v>
      </c>
      <c r="G181" s="64">
        <f>4.212 * CHOOSE(CONTROL!$C$22, $C$13, 100%, $E$13)</f>
        <v>4.2119999999999997</v>
      </c>
      <c r="H181" s="64">
        <f>7.9458* CHOOSE(CONTROL!$C$22, $C$13, 100%, $E$13)</f>
        <v>7.9458000000000002</v>
      </c>
      <c r="I181" s="64">
        <f>7.9459 * CHOOSE(CONTROL!$C$22, $C$13, 100%, $E$13)</f>
        <v>7.9459</v>
      </c>
      <c r="J181" s="64">
        <f>4.2118 * CHOOSE(CONTROL!$C$22, $C$13, 100%, $E$13)</f>
        <v>4.2118000000000002</v>
      </c>
      <c r="K181" s="64">
        <f>4.212 * CHOOSE(CONTROL!$C$22, $C$13, 100%, $E$13)</f>
        <v>4.2119999999999997</v>
      </c>
    </row>
    <row r="182" spans="1:11" ht="15">
      <c r="A182" s="13">
        <v>47178</v>
      </c>
      <c r="B182" s="63">
        <f>3.7482 * CHOOSE(CONTROL!$C$22, $C$13, 100%, $E$13)</f>
        <v>3.7482000000000002</v>
      </c>
      <c r="C182" s="63">
        <f>3.7482 * CHOOSE(CONTROL!$C$22, $C$13, 100%, $E$13)</f>
        <v>3.7482000000000002</v>
      </c>
      <c r="D182" s="63">
        <f>3.7659 * CHOOSE(CONTROL!$C$22, $C$13, 100%, $E$13)</f>
        <v>3.7658999999999998</v>
      </c>
      <c r="E182" s="64">
        <f>4.2474 * CHOOSE(CONTROL!$C$22, $C$13, 100%, $E$13)</f>
        <v>4.2473999999999998</v>
      </c>
      <c r="F182" s="64">
        <f>4.2474 * CHOOSE(CONTROL!$C$22, $C$13, 100%, $E$13)</f>
        <v>4.2473999999999998</v>
      </c>
      <c r="G182" s="64">
        <f>4.2476 * CHOOSE(CONTROL!$C$22, $C$13, 100%, $E$13)</f>
        <v>4.2476000000000003</v>
      </c>
      <c r="H182" s="64">
        <f>7.9623* CHOOSE(CONTROL!$C$22, $C$13, 100%, $E$13)</f>
        <v>7.9622999999999999</v>
      </c>
      <c r="I182" s="64">
        <f>7.9625 * CHOOSE(CONTROL!$C$22, $C$13, 100%, $E$13)</f>
        <v>7.9625000000000004</v>
      </c>
      <c r="J182" s="64">
        <f>4.2474 * CHOOSE(CONTROL!$C$22, $C$13, 100%, $E$13)</f>
        <v>4.2473999999999998</v>
      </c>
      <c r="K182" s="64">
        <f>4.2476 * CHOOSE(CONTROL!$C$22, $C$13, 100%, $E$13)</f>
        <v>4.2476000000000003</v>
      </c>
    </row>
    <row r="183" spans="1:11" ht="15">
      <c r="A183" s="13">
        <v>47209</v>
      </c>
      <c r="B183" s="63">
        <f>3.7457 * CHOOSE(CONTROL!$C$22, $C$13, 100%, $E$13)</f>
        <v>3.7456999999999998</v>
      </c>
      <c r="C183" s="63">
        <f>3.7457 * CHOOSE(CONTROL!$C$22, $C$13, 100%, $E$13)</f>
        <v>3.7456999999999998</v>
      </c>
      <c r="D183" s="63">
        <f>3.7634 * CHOOSE(CONTROL!$C$22, $C$13, 100%, $E$13)</f>
        <v>3.7633999999999999</v>
      </c>
      <c r="E183" s="64">
        <f>4.2836 * CHOOSE(CONTROL!$C$22, $C$13, 100%, $E$13)</f>
        <v>4.2835999999999999</v>
      </c>
      <c r="F183" s="64">
        <f>4.2836 * CHOOSE(CONTROL!$C$22, $C$13, 100%, $E$13)</f>
        <v>4.2835999999999999</v>
      </c>
      <c r="G183" s="64">
        <f>4.2838 * CHOOSE(CONTROL!$C$22, $C$13, 100%, $E$13)</f>
        <v>4.2838000000000003</v>
      </c>
      <c r="H183" s="64">
        <f>7.9789* CHOOSE(CONTROL!$C$22, $C$13, 100%, $E$13)</f>
        <v>7.9789000000000003</v>
      </c>
      <c r="I183" s="64">
        <f>7.9791 * CHOOSE(CONTROL!$C$22, $C$13, 100%, $E$13)</f>
        <v>7.9790999999999999</v>
      </c>
      <c r="J183" s="64">
        <f>4.2836 * CHOOSE(CONTROL!$C$22, $C$13, 100%, $E$13)</f>
        <v>4.2835999999999999</v>
      </c>
      <c r="K183" s="64">
        <f>4.2838 * CHOOSE(CONTROL!$C$22, $C$13, 100%, $E$13)</f>
        <v>4.2838000000000003</v>
      </c>
    </row>
    <row r="184" spans="1:11" ht="15">
      <c r="A184" s="13">
        <v>47239</v>
      </c>
      <c r="B184" s="63">
        <f>3.7457 * CHOOSE(CONTROL!$C$22, $C$13, 100%, $E$13)</f>
        <v>3.7456999999999998</v>
      </c>
      <c r="C184" s="63">
        <f>3.7457 * CHOOSE(CONTROL!$C$22, $C$13, 100%, $E$13)</f>
        <v>3.7456999999999998</v>
      </c>
      <c r="D184" s="63">
        <f>3.781 * CHOOSE(CONTROL!$C$22, $C$13, 100%, $E$13)</f>
        <v>3.7810000000000001</v>
      </c>
      <c r="E184" s="64">
        <f>4.2988 * CHOOSE(CONTROL!$C$22, $C$13, 100%, $E$13)</f>
        <v>4.2988</v>
      </c>
      <c r="F184" s="64">
        <f>4.2988 * CHOOSE(CONTROL!$C$22, $C$13, 100%, $E$13)</f>
        <v>4.2988</v>
      </c>
      <c r="G184" s="64">
        <f>4.301 * CHOOSE(CONTROL!$C$22, $C$13, 100%, $E$13)</f>
        <v>4.3010000000000002</v>
      </c>
      <c r="H184" s="64">
        <f>7.9955* CHOOSE(CONTROL!$C$22, $C$13, 100%, $E$13)</f>
        <v>7.9954999999999998</v>
      </c>
      <c r="I184" s="64">
        <f>7.9977 * CHOOSE(CONTROL!$C$22, $C$13, 100%, $E$13)</f>
        <v>7.9977</v>
      </c>
      <c r="J184" s="64">
        <f>4.2988 * CHOOSE(CONTROL!$C$22, $C$13, 100%, $E$13)</f>
        <v>4.2988</v>
      </c>
      <c r="K184" s="64">
        <f>4.301 * CHOOSE(CONTROL!$C$22, $C$13, 100%, $E$13)</f>
        <v>4.3010000000000002</v>
      </c>
    </row>
    <row r="185" spans="1:11" ht="15">
      <c r="A185" s="13">
        <v>47270</v>
      </c>
      <c r="B185" s="63">
        <f>3.7518 * CHOOSE(CONTROL!$C$22, $C$13, 100%, $E$13)</f>
        <v>3.7517999999999998</v>
      </c>
      <c r="C185" s="63">
        <f>3.7518 * CHOOSE(CONTROL!$C$22, $C$13, 100%, $E$13)</f>
        <v>3.7517999999999998</v>
      </c>
      <c r="D185" s="63">
        <f>3.7871 * CHOOSE(CONTROL!$C$22, $C$13, 100%, $E$13)</f>
        <v>3.7871000000000001</v>
      </c>
      <c r="E185" s="64">
        <f>4.2878 * CHOOSE(CONTROL!$C$22, $C$13, 100%, $E$13)</f>
        <v>4.2877999999999998</v>
      </c>
      <c r="F185" s="64">
        <f>4.2878 * CHOOSE(CONTROL!$C$22, $C$13, 100%, $E$13)</f>
        <v>4.2877999999999998</v>
      </c>
      <c r="G185" s="64">
        <f>4.29 * CHOOSE(CONTROL!$C$22, $C$13, 100%, $E$13)</f>
        <v>4.29</v>
      </c>
      <c r="H185" s="64">
        <f>8.0122* CHOOSE(CONTROL!$C$22, $C$13, 100%, $E$13)</f>
        <v>8.0122</v>
      </c>
      <c r="I185" s="64">
        <f>8.0144 * CHOOSE(CONTROL!$C$22, $C$13, 100%, $E$13)</f>
        <v>8.0144000000000002</v>
      </c>
      <c r="J185" s="64">
        <f>4.2878 * CHOOSE(CONTROL!$C$22, $C$13, 100%, $E$13)</f>
        <v>4.2877999999999998</v>
      </c>
      <c r="K185" s="64">
        <f>4.29 * CHOOSE(CONTROL!$C$22, $C$13, 100%, $E$13)</f>
        <v>4.29</v>
      </c>
    </row>
    <row r="186" spans="1:11" ht="15">
      <c r="A186" s="13">
        <v>47300</v>
      </c>
      <c r="B186" s="63">
        <f>3.8127 * CHOOSE(CONTROL!$C$22, $C$13, 100%, $E$13)</f>
        <v>3.8127</v>
      </c>
      <c r="C186" s="63">
        <f>3.8127 * CHOOSE(CONTROL!$C$22, $C$13, 100%, $E$13)</f>
        <v>3.8127</v>
      </c>
      <c r="D186" s="63">
        <f>3.848 * CHOOSE(CONTROL!$C$22, $C$13, 100%, $E$13)</f>
        <v>3.8479999999999999</v>
      </c>
      <c r="E186" s="64">
        <f>4.3812 * CHOOSE(CONTROL!$C$22, $C$13, 100%, $E$13)</f>
        <v>4.3811999999999998</v>
      </c>
      <c r="F186" s="64">
        <f>4.3812 * CHOOSE(CONTROL!$C$22, $C$13, 100%, $E$13)</f>
        <v>4.3811999999999998</v>
      </c>
      <c r="G186" s="64">
        <f>4.3834 * CHOOSE(CONTROL!$C$22, $C$13, 100%, $E$13)</f>
        <v>4.3834</v>
      </c>
      <c r="H186" s="64">
        <f>8.0289* CHOOSE(CONTROL!$C$22, $C$13, 100%, $E$13)</f>
        <v>8.0289000000000001</v>
      </c>
      <c r="I186" s="64">
        <f>8.0311 * CHOOSE(CONTROL!$C$22, $C$13, 100%, $E$13)</f>
        <v>8.0311000000000003</v>
      </c>
      <c r="J186" s="64">
        <f>4.3812 * CHOOSE(CONTROL!$C$22, $C$13, 100%, $E$13)</f>
        <v>4.3811999999999998</v>
      </c>
      <c r="K186" s="64">
        <f>4.3834 * CHOOSE(CONTROL!$C$22, $C$13, 100%, $E$13)</f>
        <v>4.3834</v>
      </c>
    </row>
    <row r="187" spans="1:11" ht="15">
      <c r="A187" s="13">
        <v>47331</v>
      </c>
      <c r="B187" s="63">
        <f>3.8194 * CHOOSE(CONTROL!$C$22, $C$13, 100%, $E$13)</f>
        <v>3.8193999999999999</v>
      </c>
      <c r="C187" s="63">
        <f>3.8194 * CHOOSE(CONTROL!$C$22, $C$13, 100%, $E$13)</f>
        <v>3.8193999999999999</v>
      </c>
      <c r="D187" s="63">
        <f>3.8547 * CHOOSE(CONTROL!$C$22, $C$13, 100%, $E$13)</f>
        <v>3.8546999999999998</v>
      </c>
      <c r="E187" s="64">
        <f>4.3404 * CHOOSE(CONTROL!$C$22, $C$13, 100%, $E$13)</f>
        <v>4.3403999999999998</v>
      </c>
      <c r="F187" s="64">
        <f>4.3404 * CHOOSE(CONTROL!$C$22, $C$13, 100%, $E$13)</f>
        <v>4.3403999999999998</v>
      </c>
      <c r="G187" s="64">
        <f>4.3426 * CHOOSE(CONTROL!$C$22, $C$13, 100%, $E$13)</f>
        <v>4.3426</v>
      </c>
      <c r="H187" s="64">
        <f>8.0456* CHOOSE(CONTROL!$C$22, $C$13, 100%, $E$13)</f>
        <v>8.0456000000000003</v>
      </c>
      <c r="I187" s="64">
        <f>8.0478 * CHOOSE(CONTROL!$C$22, $C$13, 100%, $E$13)</f>
        <v>8.0478000000000005</v>
      </c>
      <c r="J187" s="64">
        <f>4.3404 * CHOOSE(CONTROL!$C$22, $C$13, 100%, $E$13)</f>
        <v>4.3403999999999998</v>
      </c>
      <c r="K187" s="64">
        <f>4.3426 * CHOOSE(CONTROL!$C$22, $C$13, 100%, $E$13)</f>
        <v>4.3426</v>
      </c>
    </row>
    <row r="188" spans="1:11" ht="15">
      <c r="A188" s="13">
        <v>47362</v>
      </c>
      <c r="B188" s="63">
        <f>3.8164 * CHOOSE(CONTROL!$C$22, $C$13, 100%, $E$13)</f>
        <v>3.8163999999999998</v>
      </c>
      <c r="C188" s="63">
        <f>3.8164 * CHOOSE(CONTROL!$C$22, $C$13, 100%, $E$13)</f>
        <v>3.8163999999999998</v>
      </c>
      <c r="D188" s="63">
        <f>3.8517 * CHOOSE(CONTROL!$C$22, $C$13, 100%, $E$13)</f>
        <v>3.8517000000000001</v>
      </c>
      <c r="E188" s="64">
        <f>4.3332 * CHOOSE(CONTROL!$C$22, $C$13, 100%, $E$13)</f>
        <v>4.3331999999999997</v>
      </c>
      <c r="F188" s="64">
        <f>4.3332 * CHOOSE(CONTROL!$C$22, $C$13, 100%, $E$13)</f>
        <v>4.3331999999999997</v>
      </c>
      <c r="G188" s="64">
        <f>4.3354 * CHOOSE(CONTROL!$C$22, $C$13, 100%, $E$13)</f>
        <v>4.3353999999999999</v>
      </c>
      <c r="H188" s="64">
        <f>8.0624* CHOOSE(CONTROL!$C$22, $C$13, 100%, $E$13)</f>
        <v>8.0624000000000002</v>
      </c>
      <c r="I188" s="64">
        <f>8.0646 * CHOOSE(CONTROL!$C$22, $C$13, 100%, $E$13)</f>
        <v>8.0646000000000004</v>
      </c>
      <c r="J188" s="64">
        <f>4.3332 * CHOOSE(CONTROL!$C$22, $C$13, 100%, $E$13)</f>
        <v>4.3331999999999997</v>
      </c>
      <c r="K188" s="64">
        <f>4.3354 * CHOOSE(CONTROL!$C$22, $C$13, 100%, $E$13)</f>
        <v>4.3353999999999999</v>
      </c>
    </row>
    <row r="189" spans="1:11" ht="15">
      <c r="A189" s="13">
        <v>47392</v>
      </c>
      <c r="B189" s="63">
        <f>3.811 * CHOOSE(CONTROL!$C$22, $C$13, 100%, $E$13)</f>
        <v>3.8109999999999999</v>
      </c>
      <c r="C189" s="63">
        <f>3.811 * CHOOSE(CONTROL!$C$22, $C$13, 100%, $E$13)</f>
        <v>3.8109999999999999</v>
      </c>
      <c r="D189" s="63">
        <f>3.8287 * CHOOSE(CONTROL!$C$22, $C$13, 100%, $E$13)</f>
        <v>3.8287</v>
      </c>
      <c r="E189" s="64">
        <f>4.34 * CHOOSE(CONTROL!$C$22, $C$13, 100%, $E$13)</f>
        <v>4.34</v>
      </c>
      <c r="F189" s="64">
        <f>4.34 * CHOOSE(CONTROL!$C$22, $C$13, 100%, $E$13)</f>
        <v>4.34</v>
      </c>
      <c r="G189" s="64">
        <f>4.3402 * CHOOSE(CONTROL!$C$22, $C$13, 100%, $E$13)</f>
        <v>4.3402000000000003</v>
      </c>
      <c r="H189" s="64">
        <f>8.0792* CHOOSE(CONTROL!$C$22, $C$13, 100%, $E$13)</f>
        <v>8.0792000000000002</v>
      </c>
      <c r="I189" s="64">
        <f>8.0793 * CHOOSE(CONTROL!$C$22, $C$13, 100%, $E$13)</f>
        <v>8.0792999999999999</v>
      </c>
      <c r="J189" s="64">
        <f>4.34 * CHOOSE(CONTROL!$C$22, $C$13, 100%, $E$13)</f>
        <v>4.34</v>
      </c>
      <c r="K189" s="64">
        <f>4.3402 * CHOOSE(CONTROL!$C$22, $C$13, 100%, $E$13)</f>
        <v>4.3402000000000003</v>
      </c>
    </row>
    <row r="190" spans="1:11" ht="15">
      <c r="A190" s="13">
        <v>47423</v>
      </c>
      <c r="B190" s="63">
        <f>3.8141 * CHOOSE(CONTROL!$C$22, $C$13, 100%, $E$13)</f>
        <v>3.8140999999999998</v>
      </c>
      <c r="C190" s="63">
        <f>3.8141 * CHOOSE(CONTROL!$C$22, $C$13, 100%, $E$13)</f>
        <v>3.8140999999999998</v>
      </c>
      <c r="D190" s="63">
        <f>3.8317 * CHOOSE(CONTROL!$C$22, $C$13, 100%, $E$13)</f>
        <v>3.8317000000000001</v>
      </c>
      <c r="E190" s="64">
        <f>4.3522 * CHOOSE(CONTROL!$C$22, $C$13, 100%, $E$13)</f>
        <v>4.3521999999999998</v>
      </c>
      <c r="F190" s="64">
        <f>4.3522 * CHOOSE(CONTROL!$C$22, $C$13, 100%, $E$13)</f>
        <v>4.3521999999999998</v>
      </c>
      <c r="G190" s="64">
        <f>4.3524 * CHOOSE(CONTROL!$C$22, $C$13, 100%, $E$13)</f>
        <v>4.3524000000000003</v>
      </c>
      <c r="H190" s="64">
        <f>8.096* CHOOSE(CONTROL!$C$22, $C$13, 100%, $E$13)</f>
        <v>8.0960000000000001</v>
      </c>
      <c r="I190" s="64">
        <f>8.0962 * CHOOSE(CONTROL!$C$22, $C$13, 100%, $E$13)</f>
        <v>8.0961999999999996</v>
      </c>
      <c r="J190" s="64">
        <f>4.3522 * CHOOSE(CONTROL!$C$22, $C$13, 100%, $E$13)</f>
        <v>4.3521999999999998</v>
      </c>
      <c r="K190" s="64">
        <f>4.3524 * CHOOSE(CONTROL!$C$22, $C$13, 100%, $E$13)</f>
        <v>4.3524000000000003</v>
      </c>
    </row>
    <row r="191" spans="1:11" ht="15">
      <c r="A191" s="13">
        <v>47453</v>
      </c>
      <c r="B191" s="63">
        <f>3.8141 * CHOOSE(CONTROL!$C$22, $C$13, 100%, $E$13)</f>
        <v>3.8140999999999998</v>
      </c>
      <c r="C191" s="63">
        <f>3.8141 * CHOOSE(CONTROL!$C$22, $C$13, 100%, $E$13)</f>
        <v>3.8140999999999998</v>
      </c>
      <c r="D191" s="63">
        <f>3.8317 * CHOOSE(CONTROL!$C$22, $C$13, 100%, $E$13)</f>
        <v>3.8317000000000001</v>
      </c>
      <c r="E191" s="64">
        <f>4.327 * CHOOSE(CONTROL!$C$22, $C$13, 100%, $E$13)</f>
        <v>4.327</v>
      </c>
      <c r="F191" s="64">
        <f>4.327 * CHOOSE(CONTROL!$C$22, $C$13, 100%, $E$13)</f>
        <v>4.327</v>
      </c>
      <c r="G191" s="64">
        <f>4.3271 * CHOOSE(CONTROL!$C$22, $C$13, 100%, $E$13)</f>
        <v>4.3270999999999997</v>
      </c>
      <c r="H191" s="64">
        <f>8.1129* CHOOSE(CONTROL!$C$22, $C$13, 100%, $E$13)</f>
        <v>8.1128999999999998</v>
      </c>
      <c r="I191" s="64">
        <f>8.113 * CHOOSE(CONTROL!$C$22, $C$13, 100%, $E$13)</f>
        <v>8.1129999999999995</v>
      </c>
      <c r="J191" s="64">
        <f>4.327 * CHOOSE(CONTROL!$C$22, $C$13, 100%, $E$13)</f>
        <v>4.327</v>
      </c>
      <c r="K191" s="64">
        <f>4.3271 * CHOOSE(CONTROL!$C$22, $C$13, 100%, $E$13)</f>
        <v>4.3270999999999997</v>
      </c>
    </row>
    <row r="192" spans="1:11" ht="15">
      <c r="A192" s="13">
        <v>47484</v>
      </c>
      <c r="B192" s="63">
        <f>3.85 * CHOOSE(CONTROL!$C$22, $C$13, 100%, $E$13)</f>
        <v>3.85</v>
      </c>
      <c r="C192" s="63">
        <f>3.85 * CHOOSE(CONTROL!$C$22, $C$13, 100%, $E$13)</f>
        <v>3.85</v>
      </c>
      <c r="D192" s="63">
        <f>3.8677 * CHOOSE(CONTROL!$C$22, $C$13, 100%, $E$13)</f>
        <v>3.8677000000000001</v>
      </c>
      <c r="E192" s="64">
        <f>4.3833 * CHOOSE(CONTROL!$C$22, $C$13, 100%, $E$13)</f>
        <v>4.3833000000000002</v>
      </c>
      <c r="F192" s="64">
        <f>4.3833 * CHOOSE(CONTROL!$C$22, $C$13, 100%, $E$13)</f>
        <v>4.3833000000000002</v>
      </c>
      <c r="G192" s="64">
        <f>4.3835 * CHOOSE(CONTROL!$C$22, $C$13, 100%, $E$13)</f>
        <v>4.3834999999999997</v>
      </c>
      <c r="H192" s="64">
        <f>8.1298* CHOOSE(CONTROL!$C$22, $C$13, 100%, $E$13)</f>
        <v>8.1297999999999995</v>
      </c>
      <c r="I192" s="64">
        <f>8.1299 * CHOOSE(CONTROL!$C$22, $C$13, 100%, $E$13)</f>
        <v>8.1298999999999992</v>
      </c>
      <c r="J192" s="64">
        <f>4.3833 * CHOOSE(CONTROL!$C$22, $C$13, 100%, $E$13)</f>
        <v>4.3833000000000002</v>
      </c>
      <c r="K192" s="64">
        <f>4.3835 * CHOOSE(CONTROL!$C$22, $C$13, 100%, $E$13)</f>
        <v>4.3834999999999997</v>
      </c>
    </row>
    <row r="193" spans="1:11" ht="15">
      <c r="A193" s="13">
        <v>47515</v>
      </c>
      <c r="B193" s="63">
        <f>3.847 * CHOOSE(CONTROL!$C$22, $C$13, 100%, $E$13)</f>
        <v>3.847</v>
      </c>
      <c r="C193" s="63">
        <f>3.847 * CHOOSE(CONTROL!$C$22, $C$13, 100%, $E$13)</f>
        <v>3.847</v>
      </c>
      <c r="D193" s="63">
        <f>3.8647 * CHOOSE(CONTROL!$C$22, $C$13, 100%, $E$13)</f>
        <v>3.8647</v>
      </c>
      <c r="E193" s="64">
        <f>4.3322 * CHOOSE(CONTROL!$C$22, $C$13, 100%, $E$13)</f>
        <v>4.3322000000000003</v>
      </c>
      <c r="F193" s="64">
        <f>4.3322 * CHOOSE(CONTROL!$C$22, $C$13, 100%, $E$13)</f>
        <v>4.3322000000000003</v>
      </c>
      <c r="G193" s="64">
        <f>4.3324 * CHOOSE(CONTROL!$C$22, $C$13, 100%, $E$13)</f>
        <v>4.3323999999999998</v>
      </c>
      <c r="H193" s="64">
        <f>8.1467* CHOOSE(CONTROL!$C$22, $C$13, 100%, $E$13)</f>
        <v>8.1466999999999992</v>
      </c>
      <c r="I193" s="64">
        <f>8.1469 * CHOOSE(CONTROL!$C$22, $C$13, 100%, $E$13)</f>
        <v>8.1469000000000005</v>
      </c>
      <c r="J193" s="64">
        <f>4.3322 * CHOOSE(CONTROL!$C$22, $C$13, 100%, $E$13)</f>
        <v>4.3322000000000003</v>
      </c>
      <c r="K193" s="64">
        <f>4.3324 * CHOOSE(CONTROL!$C$22, $C$13, 100%, $E$13)</f>
        <v>4.3323999999999998</v>
      </c>
    </row>
    <row r="194" spans="1:11" ht="15">
      <c r="A194" s="13">
        <v>47543</v>
      </c>
      <c r="B194" s="63">
        <f>3.844 * CHOOSE(CONTROL!$C$22, $C$13, 100%, $E$13)</f>
        <v>3.8439999999999999</v>
      </c>
      <c r="C194" s="63">
        <f>3.844 * CHOOSE(CONTROL!$C$22, $C$13, 100%, $E$13)</f>
        <v>3.8439999999999999</v>
      </c>
      <c r="D194" s="63">
        <f>3.8616 * CHOOSE(CONTROL!$C$22, $C$13, 100%, $E$13)</f>
        <v>3.8616000000000001</v>
      </c>
      <c r="E194" s="64">
        <f>4.3687 * CHOOSE(CONTROL!$C$22, $C$13, 100%, $E$13)</f>
        <v>4.3686999999999996</v>
      </c>
      <c r="F194" s="64">
        <f>4.3687 * CHOOSE(CONTROL!$C$22, $C$13, 100%, $E$13)</f>
        <v>4.3686999999999996</v>
      </c>
      <c r="G194" s="64">
        <f>4.3689 * CHOOSE(CONTROL!$C$22, $C$13, 100%, $E$13)</f>
        <v>4.3689</v>
      </c>
      <c r="H194" s="64">
        <f>8.1637* CHOOSE(CONTROL!$C$22, $C$13, 100%, $E$13)</f>
        <v>8.1637000000000004</v>
      </c>
      <c r="I194" s="64">
        <f>8.1639 * CHOOSE(CONTROL!$C$22, $C$13, 100%, $E$13)</f>
        <v>8.1638999999999999</v>
      </c>
      <c r="J194" s="64">
        <f>4.3687 * CHOOSE(CONTROL!$C$22, $C$13, 100%, $E$13)</f>
        <v>4.3686999999999996</v>
      </c>
      <c r="K194" s="64">
        <f>4.3689 * CHOOSE(CONTROL!$C$22, $C$13, 100%, $E$13)</f>
        <v>4.3689</v>
      </c>
    </row>
    <row r="195" spans="1:11" ht="15">
      <c r="A195" s="13">
        <v>47574</v>
      </c>
      <c r="B195" s="63">
        <f>3.8415 * CHOOSE(CONTROL!$C$22, $C$13, 100%, $E$13)</f>
        <v>3.8414999999999999</v>
      </c>
      <c r="C195" s="63">
        <f>3.8415 * CHOOSE(CONTROL!$C$22, $C$13, 100%, $E$13)</f>
        <v>3.8414999999999999</v>
      </c>
      <c r="D195" s="63">
        <f>3.8592 * CHOOSE(CONTROL!$C$22, $C$13, 100%, $E$13)</f>
        <v>3.8592</v>
      </c>
      <c r="E195" s="64">
        <f>4.406 * CHOOSE(CONTROL!$C$22, $C$13, 100%, $E$13)</f>
        <v>4.4059999999999997</v>
      </c>
      <c r="F195" s="64">
        <f>4.406 * CHOOSE(CONTROL!$C$22, $C$13, 100%, $E$13)</f>
        <v>4.4059999999999997</v>
      </c>
      <c r="G195" s="64">
        <f>4.4061 * CHOOSE(CONTROL!$C$22, $C$13, 100%, $E$13)</f>
        <v>4.4061000000000003</v>
      </c>
      <c r="H195" s="64">
        <f>8.1807* CHOOSE(CONTROL!$C$22, $C$13, 100%, $E$13)</f>
        <v>8.1806999999999999</v>
      </c>
      <c r="I195" s="64">
        <f>8.1809 * CHOOSE(CONTROL!$C$22, $C$13, 100%, $E$13)</f>
        <v>8.1808999999999994</v>
      </c>
      <c r="J195" s="64">
        <f>4.406 * CHOOSE(CONTROL!$C$22, $C$13, 100%, $E$13)</f>
        <v>4.4059999999999997</v>
      </c>
      <c r="K195" s="64">
        <f>4.4061 * CHOOSE(CONTROL!$C$22, $C$13, 100%, $E$13)</f>
        <v>4.4061000000000003</v>
      </c>
    </row>
    <row r="196" spans="1:11" ht="15">
      <c r="A196" s="13">
        <v>47604</v>
      </c>
      <c r="B196" s="63">
        <f>3.8415 * CHOOSE(CONTROL!$C$22, $C$13, 100%, $E$13)</f>
        <v>3.8414999999999999</v>
      </c>
      <c r="C196" s="63">
        <f>3.8415 * CHOOSE(CONTROL!$C$22, $C$13, 100%, $E$13)</f>
        <v>3.8414999999999999</v>
      </c>
      <c r="D196" s="63">
        <f>3.8769 * CHOOSE(CONTROL!$C$22, $C$13, 100%, $E$13)</f>
        <v>3.8769</v>
      </c>
      <c r="E196" s="64">
        <f>4.4215 * CHOOSE(CONTROL!$C$22, $C$13, 100%, $E$13)</f>
        <v>4.4215</v>
      </c>
      <c r="F196" s="64">
        <f>4.4215 * CHOOSE(CONTROL!$C$22, $C$13, 100%, $E$13)</f>
        <v>4.4215</v>
      </c>
      <c r="G196" s="64">
        <f>4.4237 * CHOOSE(CONTROL!$C$22, $C$13, 100%, $E$13)</f>
        <v>4.4237000000000002</v>
      </c>
      <c r="H196" s="64">
        <f>8.1977* CHOOSE(CONTROL!$C$22, $C$13, 100%, $E$13)</f>
        <v>8.1976999999999993</v>
      </c>
      <c r="I196" s="64">
        <f>8.1999 * CHOOSE(CONTROL!$C$22, $C$13, 100%, $E$13)</f>
        <v>8.1998999999999995</v>
      </c>
      <c r="J196" s="64">
        <f>4.4215 * CHOOSE(CONTROL!$C$22, $C$13, 100%, $E$13)</f>
        <v>4.4215</v>
      </c>
      <c r="K196" s="64">
        <f>4.4237 * CHOOSE(CONTROL!$C$22, $C$13, 100%, $E$13)</f>
        <v>4.4237000000000002</v>
      </c>
    </row>
    <row r="197" spans="1:11" ht="15">
      <c r="A197" s="13">
        <v>47635</v>
      </c>
      <c r="B197" s="63">
        <f>3.8476 * CHOOSE(CONTROL!$C$22, $C$13, 100%, $E$13)</f>
        <v>3.8475999999999999</v>
      </c>
      <c r="C197" s="63">
        <f>3.8476 * CHOOSE(CONTROL!$C$22, $C$13, 100%, $E$13)</f>
        <v>3.8475999999999999</v>
      </c>
      <c r="D197" s="63">
        <f>3.8829 * CHOOSE(CONTROL!$C$22, $C$13, 100%, $E$13)</f>
        <v>3.8828999999999998</v>
      </c>
      <c r="E197" s="64">
        <f>4.4102 * CHOOSE(CONTROL!$C$22, $C$13, 100%, $E$13)</f>
        <v>4.4101999999999997</v>
      </c>
      <c r="F197" s="64">
        <f>4.4102 * CHOOSE(CONTROL!$C$22, $C$13, 100%, $E$13)</f>
        <v>4.4101999999999997</v>
      </c>
      <c r="G197" s="64">
        <f>4.4124 * CHOOSE(CONTROL!$C$22, $C$13, 100%, $E$13)</f>
        <v>4.4123999999999999</v>
      </c>
      <c r="H197" s="64">
        <f>8.2148* CHOOSE(CONTROL!$C$22, $C$13, 100%, $E$13)</f>
        <v>8.2148000000000003</v>
      </c>
      <c r="I197" s="64">
        <f>8.217 * CHOOSE(CONTROL!$C$22, $C$13, 100%, $E$13)</f>
        <v>8.2170000000000005</v>
      </c>
      <c r="J197" s="64">
        <f>4.4102 * CHOOSE(CONTROL!$C$22, $C$13, 100%, $E$13)</f>
        <v>4.4101999999999997</v>
      </c>
      <c r="K197" s="64">
        <f>4.4124 * CHOOSE(CONTROL!$C$22, $C$13, 100%, $E$13)</f>
        <v>4.4123999999999999</v>
      </c>
    </row>
    <row r="198" spans="1:11" ht="15">
      <c r="A198" s="13">
        <v>47665</v>
      </c>
      <c r="B198" s="63">
        <f>3.915 * CHOOSE(CONTROL!$C$22, $C$13, 100%, $E$13)</f>
        <v>3.915</v>
      </c>
      <c r="C198" s="63">
        <f>3.915 * CHOOSE(CONTROL!$C$22, $C$13, 100%, $E$13)</f>
        <v>3.915</v>
      </c>
      <c r="D198" s="63">
        <f>3.9504 * CHOOSE(CONTROL!$C$22, $C$13, 100%, $E$13)</f>
        <v>3.9504000000000001</v>
      </c>
      <c r="E198" s="64">
        <f>4.4986 * CHOOSE(CONTROL!$C$22, $C$13, 100%, $E$13)</f>
        <v>4.4985999999999997</v>
      </c>
      <c r="F198" s="64">
        <f>4.4986 * CHOOSE(CONTROL!$C$22, $C$13, 100%, $E$13)</f>
        <v>4.4985999999999997</v>
      </c>
      <c r="G198" s="64">
        <f>4.5008 * CHOOSE(CONTROL!$C$22, $C$13, 100%, $E$13)</f>
        <v>4.5007999999999999</v>
      </c>
      <c r="H198" s="64">
        <f>8.2319* CHOOSE(CONTROL!$C$22, $C$13, 100%, $E$13)</f>
        <v>8.2318999999999996</v>
      </c>
      <c r="I198" s="64">
        <f>8.2341 * CHOOSE(CONTROL!$C$22, $C$13, 100%, $E$13)</f>
        <v>8.2340999999999998</v>
      </c>
      <c r="J198" s="64">
        <f>4.4986 * CHOOSE(CONTROL!$C$22, $C$13, 100%, $E$13)</f>
        <v>4.4985999999999997</v>
      </c>
      <c r="K198" s="64">
        <f>4.5008 * CHOOSE(CONTROL!$C$22, $C$13, 100%, $E$13)</f>
        <v>4.5007999999999999</v>
      </c>
    </row>
    <row r="199" spans="1:11" ht="15">
      <c r="A199" s="13">
        <v>47696</v>
      </c>
      <c r="B199" s="63">
        <f>3.9217 * CHOOSE(CONTROL!$C$22, $C$13, 100%, $E$13)</f>
        <v>3.9217</v>
      </c>
      <c r="C199" s="63">
        <f>3.9217 * CHOOSE(CONTROL!$C$22, $C$13, 100%, $E$13)</f>
        <v>3.9217</v>
      </c>
      <c r="D199" s="63">
        <f>3.957 * CHOOSE(CONTROL!$C$22, $C$13, 100%, $E$13)</f>
        <v>3.9569999999999999</v>
      </c>
      <c r="E199" s="64">
        <f>4.4566 * CHOOSE(CONTROL!$C$22, $C$13, 100%, $E$13)</f>
        <v>4.4565999999999999</v>
      </c>
      <c r="F199" s="64">
        <f>4.4566 * CHOOSE(CONTROL!$C$22, $C$13, 100%, $E$13)</f>
        <v>4.4565999999999999</v>
      </c>
      <c r="G199" s="64">
        <f>4.4588 * CHOOSE(CONTROL!$C$22, $C$13, 100%, $E$13)</f>
        <v>4.4588000000000001</v>
      </c>
      <c r="H199" s="64">
        <f>8.2491* CHOOSE(CONTROL!$C$22, $C$13, 100%, $E$13)</f>
        <v>8.2491000000000003</v>
      </c>
      <c r="I199" s="64">
        <f>8.2513 * CHOOSE(CONTROL!$C$22, $C$13, 100%, $E$13)</f>
        <v>8.2513000000000005</v>
      </c>
      <c r="J199" s="64">
        <f>4.4566 * CHOOSE(CONTROL!$C$22, $C$13, 100%, $E$13)</f>
        <v>4.4565999999999999</v>
      </c>
      <c r="K199" s="64">
        <f>4.4588 * CHOOSE(CONTROL!$C$22, $C$13, 100%, $E$13)</f>
        <v>4.4588000000000001</v>
      </c>
    </row>
    <row r="200" spans="1:11" ht="15">
      <c r="A200" s="13">
        <v>47727</v>
      </c>
      <c r="B200" s="63">
        <f>3.9187 * CHOOSE(CONTROL!$C$22, $C$13, 100%, $E$13)</f>
        <v>3.9186999999999999</v>
      </c>
      <c r="C200" s="63">
        <f>3.9187 * CHOOSE(CONTROL!$C$22, $C$13, 100%, $E$13)</f>
        <v>3.9186999999999999</v>
      </c>
      <c r="D200" s="63">
        <f>3.954 * CHOOSE(CONTROL!$C$22, $C$13, 100%, $E$13)</f>
        <v>3.9540000000000002</v>
      </c>
      <c r="E200" s="64">
        <f>4.4493 * CHOOSE(CONTROL!$C$22, $C$13, 100%, $E$13)</f>
        <v>4.4493</v>
      </c>
      <c r="F200" s="64">
        <f>4.4493 * CHOOSE(CONTROL!$C$22, $C$13, 100%, $E$13)</f>
        <v>4.4493</v>
      </c>
      <c r="G200" s="64">
        <f>4.4515 * CHOOSE(CONTROL!$C$22, $C$13, 100%, $E$13)</f>
        <v>4.4515000000000002</v>
      </c>
      <c r="H200" s="64">
        <f>8.2663* CHOOSE(CONTROL!$C$22, $C$13, 100%, $E$13)</f>
        <v>8.2662999999999993</v>
      </c>
      <c r="I200" s="64">
        <f>8.2684 * CHOOSE(CONTROL!$C$22, $C$13, 100%, $E$13)</f>
        <v>8.2683999999999997</v>
      </c>
      <c r="J200" s="64">
        <f>4.4493 * CHOOSE(CONTROL!$C$22, $C$13, 100%, $E$13)</f>
        <v>4.4493</v>
      </c>
      <c r="K200" s="64">
        <f>4.4515 * CHOOSE(CONTROL!$C$22, $C$13, 100%, $E$13)</f>
        <v>4.4515000000000002</v>
      </c>
    </row>
    <row r="201" spans="1:11" ht="15">
      <c r="A201" s="13">
        <v>47757</v>
      </c>
      <c r="B201" s="63">
        <f>3.9137 * CHOOSE(CONTROL!$C$22, $C$13, 100%, $E$13)</f>
        <v>3.9137</v>
      </c>
      <c r="C201" s="63">
        <f>3.9137 * CHOOSE(CONTROL!$C$22, $C$13, 100%, $E$13)</f>
        <v>3.9137</v>
      </c>
      <c r="D201" s="63">
        <f>3.9314 * CHOOSE(CONTROL!$C$22, $C$13, 100%, $E$13)</f>
        <v>3.9314</v>
      </c>
      <c r="E201" s="64">
        <f>4.4566 * CHOOSE(CONTROL!$C$22, $C$13, 100%, $E$13)</f>
        <v>4.4565999999999999</v>
      </c>
      <c r="F201" s="64">
        <f>4.4566 * CHOOSE(CONTROL!$C$22, $C$13, 100%, $E$13)</f>
        <v>4.4565999999999999</v>
      </c>
      <c r="G201" s="64">
        <f>4.4568 * CHOOSE(CONTROL!$C$22, $C$13, 100%, $E$13)</f>
        <v>4.4568000000000003</v>
      </c>
      <c r="H201" s="64">
        <f>8.2835* CHOOSE(CONTROL!$C$22, $C$13, 100%, $E$13)</f>
        <v>8.2835000000000001</v>
      </c>
      <c r="I201" s="64">
        <f>8.2837 * CHOOSE(CONTROL!$C$22, $C$13, 100%, $E$13)</f>
        <v>8.2836999999999996</v>
      </c>
      <c r="J201" s="64">
        <f>4.4566 * CHOOSE(CONTROL!$C$22, $C$13, 100%, $E$13)</f>
        <v>4.4565999999999999</v>
      </c>
      <c r="K201" s="64">
        <f>4.4568 * CHOOSE(CONTROL!$C$22, $C$13, 100%, $E$13)</f>
        <v>4.4568000000000003</v>
      </c>
    </row>
    <row r="202" spans="1:11" ht="15">
      <c r="A202" s="13">
        <v>47788</v>
      </c>
      <c r="B202" s="63">
        <f>3.9168 * CHOOSE(CONTROL!$C$22, $C$13, 100%, $E$13)</f>
        <v>3.9167999999999998</v>
      </c>
      <c r="C202" s="63">
        <f>3.9168 * CHOOSE(CONTROL!$C$22, $C$13, 100%, $E$13)</f>
        <v>3.9167999999999998</v>
      </c>
      <c r="D202" s="63">
        <f>3.9344 * CHOOSE(CONTROL!$C$22, $C$13, 100%, $E$13)</f>
        <v>3.9344000000000001</v>
      </c>
      <c r="E202" s="64">
        <f>4.4691 * CHOOSE(CONTROL!$C$22, $C$13, 100%, $E$13)</f>
        <v>4.4691000000000001</v>
      </c>
      <c r="F202" s="64">
        <f>4.4691 * CHOOSE(CONTROL!$C$22, $C$13, 100%, $E$13)</f>
        <v>4.4691000000000001</v>
      </c>
      <c r="G202" s="64">
        <f>4.4693 * CHOOSE(CONTROL!$C$22, $C$13, 100%, $E$13)</f>
        <v>4.4692999999999996</v>
      </c>
      <c r="H202" s="64">
        <f>8.3007* CHOOSE(CONTROL!$C$22, $C$13, 100%, $E$13)</f>
        <v>8.3007000000000009</v>
      </c>
      <c r="I202" s="64">
        <f>8.3009 * CHOOSE(CONTROL!$C$22, $C$13, 100%, $E$13)</f>
        <v>8.3009000000000004</v>
      </c>
      <c r="J202" s="64">
        <f>4.4691 * CHOOSE(CONTROL!$C$22, $C$13, 100%, $E$13)</f>
        <v>4.4691000000000001</v>
      </c>
      <c r="K202" s="64">
        <f>4.4693 * CHOOSE(CONTROL!$C$22, $C$13, 100%, $E$13)</f>
        <v>4.4692999999999996</v>
      </c>
    </row>
    <row r="203" spans="1:11" ht="15">
      <c r="A203" s="13">
        <v>47818</v>
      </c>
      <c r="B203" s="63">
        <f>3.9168 * CHOOSE(CONTROL!$C$22, $C$13, 100%, $E$13)</f>
        <v>3.9167999999999998</v>
      </c>
      <c r="C203" s="63">
        <f>3.9168 * CHOOSE(CONTROL!$C$22, $C$13, 100%, $E$13)</f>
        <v>3.9167999999999998</v>
      </c>
      <c r="D203" s="63">
        <f>3.9344 * CHOOSE(CONTROL!$C$22, $C$13, 100%, $E$13)</f>
        <v>3.9344000000000001</v>
      </c>
      <c r="E203" s="64">
        <f>4.4432 * CHOOSE(CONTROL!$C$22, $C$13, 100%, $E$13)</f>
        <v>4.4432</v>
      </c>
      <c r="F203" s="64">
        <f>4.4432 * CHOOSE(CONTROL!$C$22, $C$13, 100%, $E$13)</f>
        <v>4.4432</v>
      </c>
      <c r="G203" s="64">
        <f>4.4434 * CHOOSE(CONTROL!$C$22, $C$13, 100%, $E$13)</f>
        <v>4.4433999999999996</v>
      </c>
      <c r="H203" s="64">
        <f>8.318* CHOOSE(CONTROL!$C$22, $C$13, 100%, $E$13)</f>
        <v>8.3179999999999996</v>
      </c>
      <c r="I203" s="64">
        <f>8.3182 * CHOOSE(CONTROL!$C$22, $C$13, 100%, $E$13)</f>
        <v>8.3181999999999992</v>
      </c>
      <c r="J203" s="64">
        <f>4.4432 * CHOOSE(CONTROL!$C$22, $C$13, 100%, $E$13)</f>
        <v>4.4432</v>
      </c>
      <c r="K203" s="64">
        <f>4.4434 * CHOOSE(CONTROL!$C$22, $C$13, 100%, $E$13)</f>
        <v>4.4433999999999996</v>
      </c>
    </row>
    <row r="204" spans="1:11" ht="15">
      <c r="A204" s="13">
        <v>47849</v>
      </c>
      <c r="B204" s="63">
        <f>3.9538 * CHOOSE(CONTROL!$C$22, $C$13, 100%, $E$13)</f>
        <v>3.9538000000000002</v>
      </c>
      <c r="C204" s="63">
        <f>3.9538 * CHOOSE(CONTROL!$C$22, $C$13, 100%, $E$13)</f>
        <v>3.9538000000000002</v>
      </c>
      <c r="D204" s="63">
        <f>3.9714 * CHOOSE(CONTROL!$C$22, $C$13, 100%, $E$13)</f>
        <v>3.9714</v>
      </c>
      <c r="E204" s="64">
        <f>4.5104 * CHOOSE(CONTROL!$C$22, $C$13, 100%, $E$13)</f>
        <v>4.5103999999999997</v>
      </c>
      <c r="F204" s="64">
        <f>4.5104 * CHOOSE(CONTROL!$C$22, $C$13, 100%, $E$13)</f>
        <v>4.5103999999999997</v>
      </c>
      <c r="G204" s="64">
        <f>4.5106 * CHOOSE(CONTROL!$C$22, $C$13, 100%, $E$13)</f>
        <v>4.5106000000000002</v>
      </c>
      <c r="H204" s="64">
        <f>8.3354* CHOOSE(CONTROL!$C$22, $C$13, 100%, $E$13)</f>
        <v>8.3353999999999999</v>
      </c>
      <c r="I204" s="64">
        <f>8.3355 * CHOOSE(CONTROL!$C$22, $C$13, 100%, $E$13)</f>
        <v>8.3354999999999997</v>
      </c>
      <c r="J204" s="64">
        <f>4.5104 * CHOOSE(CONTROL!$C$22, $C$13, 100%, $E$13)</f>
        <v>4.5103999999999997</v>
      </c>
      <c r="K204" s="64">
        <f>4.5106 * CHOOSE(CONTROL!$C$22, $C$13, 100%, $E$13)</f>
        <v>4.5106000000000002</v>
      </c>
    </row>
    <row r="205" spans="1:11" ht="15">
      <c r="A205" s="13">
        <v>47880</v>
      </c>
      <c r="B205" s="63">
        <f>3.9507 * CHOOSE(CONTROL!$C$22, $C$13, 100%, $E$13)</f>
        <v>3.9506999999999999</v>
      </c>
      <c r="C205" s="63">
        <f>3.9507 * CHOOSE(CONTROL!$C$22, $C$13, 100%, $E$13)</f>
        <v>3.9506999999999999</v>
      </c>
      <c r="D205" s="63">
        <f>3.9684 * CHOOSE(CONTROL!$C$22, $C$13, 100%, $E$13)</f>
        <v>3.9683999999999999</v>
      </c>
      <c r="E205" s="64">
        <f>4.4581 * CHOOSE(CONTROL!$C$22, $C$13, 100%, $E$13)</f>
        <v>4.4581</v>
      </c>
      <c r="F205" s="64">
        <f>4.4581 * CHOOSE(CONTROL!$C$22, $C$13, 100%, $E$13)</f>
        <v>4.4581</v>
      </c>
      <c r="G205" s="64">
        <f>4.4582 * CHOOSE(CONTROL!$C$22, $C$13, 100%, $E$13)</f>
        <v>4.4581999999999997</v>
      </c>
      <c r="H205" s="64">
        <f>8.3527* CHOOSE(CONTROL!$C$22, $C$13, 100%, $E$13)</f>
        <v>8.3527000000000005</v>
      </c>
      <c r="I205" s="64">
        <f>8.3529 * CHOOSE(CONTROL!$C$22, $C$13, 100%, $E$13)</f>
        <v>8.3529</v>
      </c>
      <c r="J205" s="64">
        <f>4.4581 * CHOOSE(CONTROL!$C$22, $C$13, 100%, $E$13)</f>
        <v>4.4581</v>
      </c>
      <c r="K205" s="64">
        <f>4.4582 * CHOOSE(CONTROL!$C$22, $C$13, 100%, $E$13)</f>
        <v>4.4581999999999997</v>
      </c>
    </row>
    <row r="206" spans="1:11" ht="15">
      <c r="A206" s="13">
        <v>47908</v>
      </c>
      <c r="B206" s="63">
        <f>3.9477 * CHOOSE(CONTROL!$C$22, $C$13, 100%, $E$13)</f>
        <v>3.9477000000000002</v>
      </c>
      <c r="C206" s="63">
        <f>3.9477 * CHOOSE(CONTROL!$C$22, $C$13, 100%, $E$13)</f>
        <v>3.9477000000000002</v>
      </c>
      <c r="D206" s="63">
        <f>3.9654 * CHOOSE(CONTROL!$C$22, $C$13, 100%, $E$13)</f>
        <v>3.9653999999999998</v>
      </c>
      <c r="E206" s="64">
        <f>4.4956 * CHOOSE(CONTROL!$C$22, $C$13, 100%, $E$13)</f>
        <v>4.4955999999999996</v>
      </c>
      <c r="F206" s="64">
        <f>4.4956 * CHOOSE(CONTROL!$C$22, $C$13, 100%, $E$13)</f>
        <v>4.4955999999999996</v>
      </c>
      <c r="G206" s="64">
        <f>4.4957 * CHOOSE(CONTROL!$C$22, $C$13, 100%, $E$13)</f>
        <v>4.4957000000000003</v>
      </c>
      <c r="H206" s="64">
        <f>8.3701* CHOOSE(CONTROL!$C$22, $C$13, 100%, $E$13)</f>
        <v>8.3701000000000008</v>
      </c>
      <c r="I206" s="64">
        <f>8.3703 * CHOOSE(CONTROL!$C$22, $C$13, 100%, $E$13)</f>
        <v>8.3703000000000003</v>
      </c>
      <c r="J206" s="64">
        <f>4.4956 * CHOOSE(CONTROL!$C$22, $C$13, 100%, $E$13)</f>
        <v>4.4955999999999996</v>
      </c>
      <c r="K206" s="64">
        <f>4.4957 * CHOOSE(CONTROL!$C$22, $C$13, 100%, $E$13)</f>
        <v>4.4957000000000003</v>
      </c>
    </row>
    <row r="207" spans="1:11" ht="15">
      <c r="A207" s="13">
        <v>47939</v>
      </c>
      <c r="B207" s="63">
        <f>3.9454 * CHOOSE(CONTROL!$C$22, $C$13, 100%, $E$13)</f>
        <v>3.9453999999999998</v>
      </c>
      <c r="C207" s="63">
        <f>3.9454 * CHOOSE(CONTROL!$C$22, $C$13, 100%, $E$13)</f>
        <v>3.9453999999999998</v>
      </c>
      <c r="D207" s="63">
        <f>3.963 * CHOOSE(CONTROL!$C$22, $C$13, 100%, $E$13)</f>
        <v>3.9630000000000001</v>
      </c>
      <c r="E207" s="64">
        <f>4.5339 * CHOOSE(CONTROL!$C$22, $C$13, 100%, $E$13)</f>
        <v>4.5339</v>
      </c>
      <c r="F207" s="64">
        <f>4.5339 * CHOOSE(CONTROL!$C$22, $C$13, 100%, $E$13)</f>
        <v>4.5339</v>
      </c>
      <c r="G207" s="64">
        <f>4.5341 * CHOOSE(CONTROL!$C$22, $C$13, 100%, $E$13)</f>
        <v>4.5340999999999996</v>
      </c>
      <c r="H207" s="64">
        <f>8.3876* CHOOSE(CONTROL!$C$22, $C$13, 100%, $E$13)</f>
        <v>8.3876000000000008</v>
      </c>
      <c r="I207" s="64">
        <f>8.3877 * CHOOSE(CONTROL!$C$22, $C$13, 100%, $E$13)</f>
        <v>8.3877000000000006</v>
      </c>
      <c r="J207" s="64">
        <f>4.5339 * CHOOSE(CONTROL!$C$22, $C$13, 100%, $E$13)</f>
        <v>4.5339</v>
      </c>
      <c r="K207" s="64">
        <f>4.5341 * CHOOSE(CONTROL!$C$22, $C$13, 100%, $E$13)</f>
        <v>4.5340999999999996</v>
      </c>
    </row>
    <row r="208" spans="1:11" ht="15">
      <c r="A208" s="13">
        <v>47969</v>
      </c>
      <c r="B208" s="63">
        <f>3.9454 * CHOOSE(CONTROL!$C$22, $C$13, 100%, $E$13)</f>
        <v>3.9453999999999998</v>
      </c>
      <c r="C208" s="63">
        <f>3.9454 * CHOOSE(CONTROL!$C$22, $C$13, 100%, $E$13)</f>
        <v>3.9453999999999998</v>
      </c>
      <c r="D208" s="63">
        <f>3.9807 * CHOOSE(CONTROL!$C$22, $C$13, 100%, $E$13)</f>
        <v>3.9807000000000001</v>
      </c>
      <c r="E208" s="64">
        <f>4.5498 * CHOOSE(CONTROL!$C$22, $C$13, 100%, $E$13)</f>
        <v>4.5498000000000003</v>
      </c>
      <c r="F208" s="64">
        <f>4.5498 * CHOOSE(CONTROL!$C$22, $C$13, 100%, $E$13)</f>
        <v>4.5498000000000003</v>
      </c>
      <c r="G208" s="64">
        <f>4.552 * CHOOSE(CONTROL!$C$22, $C$13, 100%, $E$13)</f>
        <v>4.5519999999999996</v>
      </c>
      <c r="H208" s="64">
        <f>8.405* CHOOSE(CONTROL!$C$22, $C$13, 100%, $E$13)</f>
        <v>8.4049999999999994</v>
      </c>
      <c r="I208" s="64">
        <f>8.4072 * CHOOSE(CONTROL!$C$22, $C$13, 100%, $E$13)</f>
        <v>8.4071999999999996</v>
      </c>
      <c r="J208" s="64">
        <f>4.5498 * CHOOSE(CONTROL!$C$22, $C$13, 100%, $E$13)</f>
        <v>4.5498000000000003</v>
      </c>
      <c r="K208" s="64">
        <f>4.552 * CHOOSE(CONTROL!$C$22, $C$13, 100%, $E$13)</f>
        <v>4.5519999999999996</v>
      </c>
    </row>
    <row r="209" spans="1:11" ht="15">
      <c r="A209" s="13">
        <v>48000</v>
      </c>
      <c r="B209" s="63">
        <f>3.9515 * CHOOSE(CONTROL!$C$22, $C$13, 100%, $E$13)</f>
        <v>3.9514999999999998</v>
      </c>
      <c r="C209" s="63">
        <f>3.9515 * CHOOSE(CONTROL!$C$22, $C$13, 100%, $E$13)</f>
        <v>3.9514999999999998</v>
      </c>
      <c r="D209" s="63">
        <f>3.9868 * CHOOSE(CONTROL!$C$22, $C$13, 100%, $E$13)</f>
        <v>3.9868000000000001</v>
      </c>
      <c r="E209" s="64">
        <f>4.5381 * CHOOSE(CONTROL!$C$22, $C$13, 100%, $E$13)</f>
        <v>4.5381</v>
      </c>
      <c r="F209" s="64">
        <f>4.5381 * CHOOSE(CONTROL!$C$22, $C$13, 100%, $E$13)</f>
        <v>4.5381</v>
      </c>
      <c r="G209" s="64">
        <f>4.5403 * CHOOSE(CONTROL!$C$22, $C$13, 100%, $E$13)</f>
        <v>4.5403000000000002</v>
      </c>
      <c r="H209" s="64">
        <f>8.4226* CHOOSE(CONTROL!$C$22, $C$13, 100%, $E$13)</f>
        <v>8.4225999999999992</v>
      </c>
      <c r="I209" s="64">
        <f>8.4247 * CHOOSE(CONTROL!$C$22, $C$13, 100%, $E$13)</f>
        <v>8.4246999999999996</v>
      </c>
      <c r="J209" s="64">
        <f>4.5381 * CHOOSE(CONTROL!$C$22, $C$13, 100%, $E$13)</f>
        <v>4.5381</v>
      </c>
      <c r="K209" s="64">
        <f>4.5403 * CHOOSE(CONTROL!$C$22, $C$13, 100%, $E$13)</f>
        <v>4.5403000000000002</v>
      </c>
    </row>
    <row r="210" spans="1:11" ht="15">
      <c r="A210" s="13">
        <v>48030</v>
      </c>
      <c r="B210" s="63">
        <f>4.021 * CHOOSE(CONTROL!$C$22, $C$13, 100%, $E$13)</f>
        <v>4.0209999999999999</v>
      </c>
      <c r="C210" s="63">
        <f>4.021 * CHOOSE(CONTROL!$C$22, $C$13, 100%, $E$13)</f>
        <v>4.0209999999999999</v>
      </c>
      <c r="D210" s="63">
        <f>4.0563 * CHOOSE(CONTROL!$C$22, $C$13, 100%, $E$13)</f>
        <v>4.0563000000000002</v>
      </c>
      <c r="E210" s="64">
        <f>4.6515 * CHOOSE(CONTROL!$C$22, $C$13, 100%, $E$13)</f>
        <v>4.6515000000000004</v>
      </c>
      <c r="F210" s="64">
        <f>4.6515 * CHOOSE(CONTROL!$C$22, $C$13, 100%, $E$13)</f>
        <v>4.6515000000000004</v>
      </c>
      <c r="G210" s="64">
        <f>4.6537 * CHOOSE(CONTROL!$C$22, $C$13, 100%, $E$13)</f>
        <v>4.6536999999999997</v>
      </c>
      <c r="H210" s="64">
        <f>8.4401* CHOOSE(CONTROL!$C$22, $C$13, 100%, $E$13)</f>
        <v>8.4400999999999993</v>
      </c>
      <c r="I210" s="64">
        <f>8.4423 * CHOOSE(CONTROL!$C$22, $C$13, 100%, $E$13)</f>
        <v>8.4422999999999995</v>
      </c>
      <c r="J210" s="64">
        <f>4.6515 * CHOOSE(CONTROL!$C$22, $C$13, 100%, $E$13)</f>
        <v>4.6515000000000004</v>
      </c>
      <c r="K210" s="64">
        <f>4.6537 * CHOOSE(CONTROL!$C$22, $C$13, 100%, $E$13)</f>
        <v>4.6536999999999997</v>
      </c>
    </row>
    <row r="211" spans="1:11" ht="15">
      <c r="A211" s="13">
        <v>48061</v>
      </c>
      <c r="B211" s="63">
        <f>4.0277 * CHOOSE(CONTROL!$C$22, $C$13, 100%, $E$13)</f>
        <v>4.0277000000000003</v>
      </c>
      <c r="C211" s="63">
        <f>4.0277 * CHOOSE(CONTROL!$C$22, $C$13, 100%, $E$13)</f>
        <v>4.0277000000000003</v>
      </c>
      <c r="D211" s="63">
        <f>4.063 * CHOOSE(CONTROL!$C$22, $C$13, 100%, $E$13)</f>
        <v>4.0629999999999997</v>
      </c>
      <c r="E211" s="64">
        <f>4.6083 * CHOOSE(CONTROL!$C$22, $C$13, 100%, $E$13)</f>
        <v>4.6082999999999998</v>
      </c>
      <c r="F211" s="64">
        <f>4.6083 * CHOOSE(CONTROL!$C$22, $C$13, 100%, $E$13)</f>
        <v>4.6082999999999998</v>
      </c>
      <c r="G211" s="64">
        <f>4.6104 * CHOOSE(CONTROL!$C$22, $C$13, 100%, $E$13)</f>
        <v>4.6104000000000003</v>
      </c>
      <c r="H211" s="64">
        <f>8.4577* CHOOSE(CONTROL!$C$22, $C$13, 100%, $E$13)</f>
        <v>8.4577000000000009</v>
      </c>
      <c r="I211" s="64">
        <f>8.4599 * CHOOSE(CONTROL!$C$22, $C$13, 100%, $E$13)</f>
        <v>8.4598999999999993</v>
      </c>
      <c r="J211" s="64">
        <f>4.6083 * CHOOSE(CONTROL!$C$22, $C$13, 100%, $E$13)</f>
        <v>4.6082999999999998</v>
      </c>
      <c r="K211" s="64">
        <f>4.6104 * CHOOSE(CONTROL!$C$22, $C$13, 100%, $E$13)</f>
        <v>4.6104000000000003</v>
      </c>
    </row>
    <row r="212" spans="1:11" ht="15">
      <c r="A212" s="13">
        <v>48092</v>
      </c>
      <c r="B212" s="63">
        <f>4.0246 * CHOOSE(CONTROL!$C$22, $C$13, 100%, $E$13)</f>
        <v>4.0246000000000004</v>
      </c>
      <c r="C212" s="63">
        <f>4.0246 * CHOOSE(CONTROL!$C$22, $C$13, 100%, $E$13)</f>
        <v>4.0246000000000004</v>
      </c>
      <c r="D212" s="63">
        <f>4.0599 * CHOOSE(CONTROL!$C$22, $C$13, 100%, $E$13)</f>
        <v>4.0598999999999998</v>
      </c>
      <c r="E212" s="64">
        <f>4.6008 * CHOOSE(CONTROL!$C$22, $C$13, 100%, $E$13)</f>
        <v>4.6007999999999996</v>
      </c>
      <c r="F212" s="64">
        <f>4.6008 * CHOOSE(CONTROL!$C$22, $C$13, 100%, $E$13)</f>
        <v>4.6007999999999996</v>
      </c>
      <c r="G212" s="64">
        <f>4.603 * CHOOSE(CONTROL!$C$22, $C$13, 100%, $E$13)</f>
        <v>4.6029999999999998</v>
      </c>
      <c r="H212" s="64">
        <f>8.4753* CHOOSE(CONTROL!$C$22, $C$13, 100%, $E$13)</f>
        <v>8.4753000000000007</v>
      </c>
      <c r="I212" s="64">
        <f>8.4775 * CHOOSE(CONTROL!$C$22, $C$13, 100%, $E$13)</f>
        <v>8.4774999999999991</v>
      </c>
      <c r="J212" s="64">
        <f>4.6008 * CHOOSE(CONTROL!$C$22, $C$13, 100%, $E$13)</f>
        <v>4.6007999999999996</v>
      </c>
      <c r="K212" s="64">
        <f>4.603 * CHOOSE(CONTROL!$C$22, $C$13, 100%, $E$13)</f>
        <v>4.6029999999999998</v>
      </c>
    </row>
    <row r="213" spans="1:11" ht="15">
      <c r="A213" s="13">
        <v>48122</v>
      </c>
      <c r="B213" s="63">
        <f>4.02 * CHOOSE(CONTROL!$C$22, $C$13, 100%, $E$13)</f>
        <v>4.0199999999999996</v>
      </c>
      <c r="C213" s="63">
        <f>4.02 * CHOOSE(CONTROL!$C$22, $C$13, 100%, $E$13)</f>
        <v>4.0199999999999996</v>
      </c>
      <c r="D213" s="63">
        <f>4.0377 * CHOOSE(CONTROL!$C$22, $C$13, 100%, $E$13)</f>
        <v>4.0377000000000001</v>
      </c>
      <c r="E213" s="64">
        <f>4.6087 * CHOOSE(CONTROL!$C$22, $C$13, 100%, $E$13)</f>
        <v>4.6086999999999998</v>
      </c>
      <c r="F213" s="64">
        <f>4.6087 * CHOOSE(CONTROL!$C$22, $C$13, 100%, $E$13)</f>
        <v>4.6086999999999998</v>
      </c>
      <c r="G213" s="64">
        <f>4.6089 * CHOOSE(CONTROL!$C$22, $C$13, 100%, $E$13)</f>
        <v>4.6089000000000002</v>
      </c>
      <c r="H213" s="64">
        <f>8.493* CHOOSE(CONTROL!$C$22, $C$13, 100%, $E$13)</f>
        <v>8.4930000000000003</v>
      </c>
      <c r="I213" s="64">
        <f>8.4931 * CHOOSE(CONTROL!$C$22, $C$13, 100%, $E$13)</f>
        <v>8.4931000000000001</v>
      </c>
      <c r="J213" s="64">
        <f>4.6087 * CHOOSE(CONTROL!$C$22, $C$13, 100%, $E$13)</f>
        <v>4.6086999999999998</v>
      </c>
      <c r="K213" s="64">
        <f>4.6089 * CHOOSE(CONTROL!$C$22, $C$13, 100%, $E$13)</f>
        <v>4.6089000000000002</v>
      </c>
    </row>
    <row r="214" spans="1:11" ht="15">
      <c r="A214" s="13">
        <v>48153</v>
      </c>
      <c r="B214" s="63">
        <f>4.0231 * CHOOSE(CONTROL!$C$22, $C$13, 100%, $E$13)</f>
        <v>4.0231000000000003</v>
      </c>
      <c r="C214" s="63">
        <f>4.0231 * CHOOSE(CONTROL!$C$22, $C$13, 100%, $E$13)</f>
        <v>4.0231000000000003</v>
      </c>
      <c r="D214" s="63">
        <f>4.0407 * CHOOSE(CONTROL!$C$22, $C$13, 100%, $E$13)</f>
        <v>4.0407000000000002</v>
      </c>
      <c r="E214" s="64">
        <f>4.6214 * CHOOSE(CONTROL!$C$22, $C$13, 100%, $E$13)</f>
        <v>4.6214000000000004</v>
      </c>
      <c r="F214" s="64">
        <f>4.6214 * CHOOSE(CONTROL!$C$22, $C$13, 100%, $E$13)</f>
        <v>4.6214000000000004</v>
      </c>
      <c r="G214" s="64">
        <f>4.6216 * CHOOSE(CONTROL!$C$22, $C$13, 100%, $E$13)</f>
        <v>4.6215999999999999</v>
      </c>
      <c r="H214" s="64">
        <f>8.5107* CHOOSE(CONTROL!$C$22, $C$13, 100%, $E$13)</f>
        <v>8.5106999999999999</v>
      </c>
      <c r="I214" s="64">
        <f>8.5108 * CHOOSE(CONTROL!$C$22, $C$13, 100%, $E$13)</f>
        <v>8.5107999999999997</v>
      </c>
      <c r="J214" s="64">
        <f>4.6214 * CHOOSE(CONTROL!$C$22, $C$13, 100%, $E$13)</f>
        <v>4.6214000000000004</v>
      </c>
      <c r="K214" s="64">
        <f>4.6216 * CHOOSE(CONTROL!$C$22, $C$13, 100%, $E$13)</f>
        <v>4.6215999999999999</v>
      </c>
    </row>
    <row r="215" spans="1:11" ht="15">
      <c r="A215" s="13">
        <v>48183</v>
      </c>
      <c r="B215" s="63">
        <f>4.0231 * CHOOSE(CONTROL!$C$22, $C$13, 100%, $E$13)</f>
        <v>4.0231000000000003</v>
      </c>
      <c r="C215" s="63">
        <f>4.0231 * CHOOSE(CONTROL!$C$22, $C$13, 100%, $E$13)</f>
        <v>4.0231000000000003</v>
      </c>
      <c r="D215" s="63">
        <f>4.0407 * CHOOSE(CONTROL!$C$22, $C$13, 100%, $E$13)</f>
        <v>4.0407000000000002</v>
      </c>
      <c r="E215" s="64">
        <f>4.5948 * CHOOSE(CONTROL!$C$22, $C$13, 100%, $E$13)</f>
        <v>4.5948000000000002</v>
      </c>
      <c r="F215" s="64">
        <f>4.5948 * CHOOSE(CONTROL!$C$22, $C$13, 100%, $E$13)</f>
        <v>4.5948000000000002</v>
      </c>
      <c r="G215" s="64">
        <f>4.595 * CHOOSE(CONTROL!$C$22, $C$13, 100%, $E$13)</f>
        <v>4.5949999999999998</v>
      </c>
      <c r="H215" s="64">
        <f>8.5284* CHOOSE(CONTROL!$C$22, $C$13, 100%, $E$13)</f>
        <v>8.5283999999999995</v>
      </c>
      <c r="I215" s="64">
        <f>8.5286 * CHOOSE(CONTROL!$C$22, $C$13, 100%, $E$13)</f>
        <v>8.5286000000000008</v>
      </c>
      <c r="J215" s="64">
        <f>4.5948 * CHOOSE(CONTROL!$C$22, $C$13, 100%, $E$13)</f>
        <v>4.5948000000000002</v>
      </c>
      <c r="K215" s="64">
        <f>4.595 * CHOOSE(CONTROL!$C$22, $C$13, 100%, $E$13)</f>
        <v>4.5949999999999998</v>
      </c>
    </row>
    <row r="216" spans="1:11" ht="15">
      <c r="A216" s="13">
        <v>48214</v>
      </c>
      <c r="B216" s="63">
        <f>4.0668 * CHOOSE(CONTROL!$C$22, $C$13, 100%, $E$13)</f>
        <v>4.0667999999999997</v>
      </c>
      <c r="C216" s="63">
        <f>4.0668 * CHOOSE(CONTROL!$C$22, $C$13, 100%, $E$13)</f>
        <v>4.0667999999999997</v>
      </c>
      <c r="D216" s="63">
        <f>4.0844 * CHOOSE(CONTROL!$C$22, $C$13, 100%, $E$13)</f>
        <v>4.0843999999999996</v>
      </c>
      <c r="E216" s="64">
        <f>4.6594 * CHOOSE(CONTROL!$C$22, $C$13, 100%, $E$13)</f>
        <v>4.6593999999999998</v>
      </c>
      <c r="F216" s="64">
        <f>4.6594 * CHOOSE(CONTROL!$C$22, $C$13, 100%, $E$13)</f>
        <v>4.6593999999999998</v>
      </c>
      <c r="G216" s="64">
        <f>4.6595 * CHOOSE(CONTROL!$C$22, $C$13, 100%, $E$13)</f>
        <v>4.6595000000000004</v>
      </c>
      <c r="H216" s="64">
        <f>8.5462* CHOOSE(CONTROL!$C$22, $C$13, 100%, $E$13)</f>
        <v>8.5462000000000007</v>
      </c>
      <c r="I216" s="64">
        <f>8.5463 * CHOOSE(CONTROL!$C$22, $C$13, 100%, $E$13)</f>
        <v>8.5463000000000005</v>
      </c>
      <c r="J216" s="64">
        <f>4.6594 * CHOOSE(CONTROL!$C$22, $C$13, 100%, $E$13)</f>
        <v>4.6593999999999998</v>
      </c>
      <c r="K216" s="64">
        <f>4.6595 * CHOOSE(CONTROL!$C$22, $C$13, 100%, $E$13)</f>
        <v>4.6595000000000004</v>
      </c>
    </row>
    <row r="217" spans="1:11" ht="15">
      <c r="A217" s="13">
        <v>48245</v>
      </c>
      <c r="B217" s="63">
        <f>4.0637 * CHOOSE(CONTROL!$C$22, $C$13, 100%, $E$13)</f>
        <v>4.0636999999999999</v>
      </c>
      <c r="C217" s="63">
        <f>4.0637 * CHOOSE(CONTROL!$C$22, $C$13, 100%, $E$13)</f>
        <v>4.0636999999999999</v>
      </c>
      <c r="D217" s="63">
        <f>4.0814 * CHOOSE(CONTROL!$C$22, $C$13, 100%, $E$13)</f>
        <v>4.0814000000000004</v>
      </c>
      <c r="E217" s="64">
        <f>4.6056 * CHOOSE(CONTROL!$C$22, $C$13, 100%, $E$13)</f>
        <v>4.6055999999999999</v>
      </c>
      <c r="F217" s="64">
        <f>4.6056 * CHOOSE(CONTROL!$C$22, $C$13, 100%, $E$13)</f>
        <v>4.6055999999999999</v>
      </c>
      <c r="G217" s="64">
        <f>4.6058 * CHOOSE(CONTROL!$C$22, $C$13, 100%, $E$13)</f>
        <v>4.6058000000000003</v>
      </c>
      <c r="H217" s="64">
        <f>8.564* CHOOSE(CONTROL!$C$22, $C$13, 100%, $E$13)</f>
        <v>8.5640000000000001</v>
      </c>
      <c r="I217" s="64">
        <f>8.5641 * CHOOSE(CONTROL!$C$22, $C$13, 100%, $E$13)</f>
        <v>8.5640999999999998</v>
      </c>
      <c r="J217" s="64">
        <f>4.6056 * CHOOSE(CONTROL!$C$22, $C$13, 100%, $E$13)</f>
        <v>4.6055999999999999</v>
      </c>
      <c r="K217" s="64">
        <f>4.6058 * CHOOSE(CONTROL!$C$22, $C$13, 100%, $E$13)</f>
        <v>4.6058000000000003</v>
      </c>
    </row>
    <row r="218" spans="1:11" ht="15">
      <c r="A218" s="13">
        <v>48274</v>
      </c>
      <c r="B218" s="63">
        <f>4.0607 * CHOOSE(CONTROL!$C$22, $C$13, 100%, $E$13)</f>
        <v>4.0606999999999998</v>
      </c>
      <c r="C218" s="63">
        <f>4.0607 * CHOOSE(CONTROL!$C$22, $C$13, 100%, $E$13)</f>
        <v>4.0606999999999998</v>
      </c>
      <c r="D218" s="63">
        <f>4.0784 * CHOOSE(CONTROL!$C$22, $C$13, 100%, $E$13)</f>
        <v>4.0784000000000002</v>
      </c>
      <c r="E218" s="64">
        <f>4.6442 * CHOOSE(CONTROL!$C$22, $C$13, 100%, $E$13)</f>
        <v>4.6441999999999997</v>
      </c>
      <c r="F218" s="64">
        <f>4.6442 * CHOOSE(CONTROL!$C$22, $C$13, 100%, $E$13)</f>
        <v>4.6441999999999997</v>
      </c>
      <c r="G218" s="64">
        <f>4.6444 * CHOOSE(CONTROL!$C$22, $C$13, 100%, $E$13)</f>
        <v>4.6444000000000001</v>
      </c>
      <c r="H218" s="64">
        <f>8.5818* CHOOSE(CONTROL!$C$22, $C$13, 100%, $E$13)</f>
        <v>8.5817999999999994</v>
      </c>
      <c r="I218" s="64">
        <f>8.582 * CHOOSE(CONTROL!$C$22, $C$13, 100%, $E$13)</f>
        <v>8.5820000000000007</v>
      </c>
      <c r="J218" s="64">
        <f>4.6442 * CHOOSE(CONTROL!$C$22, $C$13, 100%, $E$13)</f>
        <v>4.6441999999999997</v>
      </c>
      <c r="K218" s="64">
        <f>4.6444 * CHOOSE(CONTROL!$C$22, $C$13, 100%, $E$13)</f>
        <v>4.6444000000000001</v>
      </c>
    </row>
    <row r="219" spans="1:11" ht="15">
      <c r="A219" s="13">
        <v>48305</v>
      </c>
      <c r="B219" s="63">
        <f>4.0585 * CHOOSE(CONTROL!$C$22, $C$13, 100%, $E$13)</f>
        <v>4.0585000000000004</v>
      </c>
      <c r="C219" s="63">
        <f>4.0585 * CHOOSE(CONTROL!$C$22, $C$13, 100%, $E$13)</f>
        <v>4.0585000000000004</v>
      </c>
      <c r="D219" s="63">
        <f>4.0761 * CHOOSE(CONTROL!$C$22, $C$13, 100%, $E$13)</f>
        <v>4.0761000000000003</v>
      </c>
      <c r="E219" s="64">
        <f>4.6837 * CHOOSE(CONTROL!$C$22, $C$13, 100%, $E$13)</f>
        <v>4.6837</v>
      </c>
      <c r="F219" s="64">
        <f>4.6837 * CHOOSE(CONTROL!$C$22, $C$13, 100%, $E$13)</f>
        <v>4.6837</v>
      </c>
      <c r="G219" s="64">
        <f>4.6838 * CHOOSE(CONTROL!$C$22, $C$13, 100%, $E$13)</f>
        <v>4.6837999999999997</v>
      </c>
      <c r="H219" s="64">
        <f>8.5997* CHOOSE(CONTROL!$C$22, $C$13, 100%, $E$13)</f>
        <v>8.5997000000000003</v>
      </c>
      <c r="I219" s="64">
        <f>8.5999 * CHOOSE(CONTROL!$C$22, $C$13, 100%, $E$13)</f>
        <v>8.5998999999999999</v>
      </c>
      <c r="J219" s="64">
        <f>4.6837 * CHOOSE(CONTROL!$C$22, $C$13, 100%, $E$13)</f>
        <v>4.6837</v>
      </c>
      <c r="K219" s="64">
        <f>4.6838 * CHOOSE(CONTROL!$C$22, $C$13, 100%, $E$13)</f>
        <v>4.6837999999999997</v>
      </c>
    </row>
    <row r="220" spans="1:11" ht="15">
      <c r="A220" s="13">
        <v>48335</v>
      </c>
      <c r="B220" s="63">
        <f>4.0585 * CHOOSE(CONTROL!$C$22, $C$13, 100%, $E$13)</f>
        <v>4.0585000000000004</v>
      </c>
      <c r="C220" s="63">
        <f>4.0585 * CHOOSE(CONTROL!$C$22, $C$13, 100%, $E$13)</f>
        <v>4.0585000000000004</v>
      </c>
      <c r="D220" s="63">
        <f>4.0938 * CHOOSE(CONTROL!$C$22, $C$13, 100%, $E$13)</f>
        <v>4.0937999999999999</v>
      </c>
      <c r="E220" s="64">
        <f>4.7 * CHOOSE(CONTROL!$C$22, $C$13, 100%, $E$13)</f>
        <v>4.7</v>
      </c>
      <c r="F220" s="64">
        <f>4.7 * CHOOSE(CONTROL!$C$22, $C$13, 100%, $E$13)</f>
        <v>4.7</v>
      </c>
      <c r="G220" s="64">
        <f>4.7022 * CHOOSE(CONTROL!$C$22, $C$13, 100%, $E$13)</f>
        <v>4.7022000000000004</v>
      </c>
      <c r="H220" s="64">
        <f>8.6176* CHOOSE(CONTROL!$C$22, $C$13, 100%, $E$13)</f>
        <v>8.6175999999999995</v>
      </c>
      <c r="I220" s="64">
        <f>8.6198 * CHOOSE(CONTROL!$C$22, $C$13, 100%, $E$13)</f>
        <v>8.6197999999999997</v>
      </c>
      <c r="J220" s="64">
        <f>4.7 * CHOOSE(CONTROL!$C$22, $C$13, 100%, $E$13)</f>
        <v>4.7</v>
      </c>
      <c r="K220" s="64">
        <f>4.7022 * CHOOSE(CONTROL!$C$22, $C$13, 100%, $E$13)</f>
        <v>4.7022000000000004</v>
      </c>
    </row>
    <row r="221" spans="1:11" ht="15">
      <c r="A221" s="13">
        <v>48366</v>
      </c>
      <c r="B221" s="63">
        <f>4.0646 * CHOOSE(CONTROL!$C$22, $C$13, 100%, $E$13)</f>
        <v>4.0646000000000004</v>
      </c>
      <c r="C221" s="63">
        <f>4.0646 * CHOOSE(CONTROL!$C$22, $C$13, 100%, $E$13)</f>
        <v>4.0646000000000004</v>
      </c>
      <c r="D221" s="63">
        <f>4.0999 * CHOOSE(CONTROL!$C$22, $C$13, 100%, $E$13)</f>
        <v>4.0998999999999999</v>
      </c>
      <c r="E221" s="64">
        <f>4.6879 * CHOOSE(CONTROL!$C$22, $C$13, 100%, $E$13)</f>
        <v>4.6879</v>
      </c>
      <c r="F221" s="64">
        <f>4.6879 * CHOOSE(CONTROL!$C$22, $C$13, 100%, $E$13)</f>
        <v>4.6879</v>
      </c>
      <c r="G221" s="64">
        <f>4.6901 * CHOOSE(CONTROL!$C$22, $C$13, 100%, $E$13)</f>
        <v>4.6901000000000002</v>
      </c>
      <c r="H221" s="64">
        <f>8.6355* CHOOSE(CONTROL!$C$22, $C$13, 100%, $E$13)</f>
        <v>8.6355000000000004</v>
      </c>
      <c r="I221" s="64">
        <f>8.6377 * CHOOSE(CONTROL!$C$22, $C$13, 100%, $E$13)</f>
        <v>8.6377000000000006</v>
      </c>
      <c r="J221" s="64">
        <f>4.6879 * CHOOSE(CONTROL!$C$22, $C$13, 100%, $E$13)</f>
        <v>4.6879</v>
      </c>
      <c r="K221" s="64">
        <f>4.6901 * CHOOSE(CONTROL!$C$22, $C$13, 100%, $E$13)</f>
        <v>4.6901000000000002</v>
      </c>
    </row>
    <row r="222" spans="1:11" ht="15">
      <c r="A222" s="13">
        <v>48396</v>
      </c>
      <c r="B222" s="63">
        <f>4.1497 * CHOOSE(CONTROL!$C$22, $C$13, 100%, $E$13)</f>
        <v>4.1497000000000002</v>
      </c>
      <c r="C222" s="63">
        <f>4.1497 * CHOOSE(CONTROL!$C$22, $C$13, 100%, $E$13)</f>
        <v>4.1497000000000002</v>
      </c>
      <c r="D222" s="63">
        <f>4.185 * CHOOSE(CONTROL!$C$22, $C$13, 100%, $E$13)</f>
        <v>4.1849999999999996</v>
      </c>
      <c r="E222" s="64">
        <f>4.7922 * CHOOSE(CONTROL!$C$22, $C$13, 100%, $E$13)</f>
        <v>4.7922000000000002</v>
      </c>
      <c r="F222" s="64">
        <f>4.7922 * CHOOSE(CONTROL!$C$22, $C$13, 100%, $E$13)</f>
        <v>4.7922000000000002</v>
      </c>
      <c r="G222" s="64">
        <f>4.7944 * CHOOSE(CONTROL!$C$22, $C$13, 100%, $E$13)</f>
        <v>4.7944000000000004</v>
      </c>
      <c r="H222" s="64">
        <f>8.6535* CHOOSE(CONTROL!$C$22, $C$13, 100%, $E$13)</f>
        <v>8.6534999999999993</v>
      </c>
      <c r="I222" s="64">
        <f>8.6557 * CHOOSE(CONTROL!$C$22, $C$13, 100%, $E$13)</f>
        <v>8.6556999999999995</v>
      </c>
      <c r="J222" s="64">
        <f>4.7922 * CHOOSE(CONTROL!$C$22, $C$13, 100%, $E$13)</f>
        <v>4.7922000000000002</v>
      </c>
      <c r="K222" s="64">
        <f>4.7944 * CHOOSE(CONTROL!$C$22, $C$13, 100%, $E$13)</f>
        <v>4.7944000000000004</v>
      </c>
    </row>
    <row r="223" spans="1:11" ht="15">
      <c r="A223" s="13">
        <v>48427</v>
      </c>
      <c r="B223" s="63">
        <f>4.1564 * CHOOSE(CONTROL!$C$22, $C$13, 100%, $E$13)</f>
        <v>4.1563999999999997</v>
      </c>
      <c r="C223" s="63">
        <f>4.1564 * CHOOSE(CONTROL!$C$22, $C$13, 100%, $E$13)</f>
        <v>4.1563999999999997</v>
      </c>
      <c r="D223" s="63">
        <f>4.1917 * CHOOSE(CONTROL!$C$22, $C$13, 100%, $E$13)</f>
        <v>4.1917</v>
      </c>
      <c r="E223" s="64">
        <f>4.7477 * CHOOSE(CONTROL!$C$22, $C$13, 100%, $E$13)</f>
        <v>4.7477</v>
      </c>
      <c r="F223" s="64">
        <f>4.7477 * CHOOSE(CONTROL!$C$22, $C$13, 100%, $E$13)</f>
        <v>4.7477</v>
      </c>
      <c r="G223" s="64">
        <f>4.7499 * CHOOSE(CONTROL!$C$22, $C$13, 100%, $E$13)</f>
        <v>4.7499000000000002</v>
      </c>
      <c r="H223" s="64">
        <f>8.6716* CHOOSE(CONTROL!$C$22, $C$13, 100%, $E$13)</f>
        <v>8.6715999999999998</v>
      </c>
      <c r="I223" s="64">
        <f>8.6737 * CHOOSE(CONTROL!$C$22, $C$13, 100%, $E$13)</f>
        <v>8.6737000000000002</v>
      </c>
      <c r="J223" s="64">
        <f>4.7477 * CHOOSE(CONTROL!$C$22, $C$13, 100%, $E$13)</f>
        <v>4.7477</v>
      </c>
      <c r="K223" s="64">
        <f>4.7499 * CHOOSE(CONTROL!$C$22, $C$13, 100%, $E$13)</f>
        <v>4.7499000000000002</v>
      </c>
    </row>
    <row r="224" spans="1:11" ht="15">
      <c r="A224" s="13">
        <v>48458</v>
      </c>
      <c r="B224" s="63">
        <f>4.1533 * CHOOSE(CONTROL!$C$22, $C$13, 100%, $E$13)</f>
        <v>4.1532999999999998</v>
      </c>
      <c r="C224" s="63">
        <f>4.1533 * CHOOSE(CONTROL!$C$22, $C$13, 100%, $E$13)</f>
        <v>4.1532999999999998</v>
      </c>
      <c r="D224" s="63">
        <f>4.1886 * CHOOSE(CONTROL!$C$22, $C$13, 100%, $E$13)</f>
        <v>4.1886000000000001</v>
      </c>
      <c r="E224" s="64">
        <f>4.7401 * CHOOSE(CONTROL!$C$22, $C$13, 100%, $E$13)</f>
        <v>4.7401</v>
      </c>
      <c r="F224" s="64">
        <f>4.7401 * CHOOSE(CONTROL!$C$22, $C$13, 100%, $E$13)</f>
        <v>4.7401</v>
      </c>
      <c r="G224" s="64">
        <f>4.7423 * CHOOSE(CONTROL!$C$22, $C$13, 100%, $E$13)</f>
        <v>4.7423000000000002</v>
      </c>
      <c r="H224" s="64">
        <f>8.6896* CHOOSE(CONTROL!$C$22, $C$13, 100%, $E$13)</f>
        <v>8.6896000000000004</v>
      </c>
      <c r="I224" s="64">
        <f>8.6918 * CHOOSE(CONTROL!$C$22, $C$13, 100%, $E$13)</f>
        <v>8.6918000000000006</v>
      </c>
      <c r="J224" s="64">
        <f>4.7401 * CHOOSE(CONTROL!$C$22, $C$13, 100%, $E$13)</f>
        <v>4.7401</v>
      </c>
      <c r="K224" s="64">
        <f>4.7423 * CHOOSE(CONTROL!$C$22, $C$13, 100%, $E$13)</f>
        <v>4.7423000000000002</v>
      </c>
    </row>
    <row r="225" spans="1:11" ht="15">
      <c r="A225" s="13">
        <v>48488</v>
      </c>
      <c r="B225" s="63">
        <f>4.1491 * CHOOSE(CONTROL!$C$22, $C$13, 100%, $E$13)</f>
        <v>4.1490999999999998</v>
      </c>
      <c r="C225" s="63">
        <f>4.1491 * CHOOSE(CONTROL!$C$22, $C$13, 100%, $E$13)</f>
        <v>4.1490999999999998</v>
      </c>
      <c r="D225" s="63">
        <f>4.1668 * CHOOSE(CONTROL!$C$22, $C$13, 100%, $E$13)</f>
        <v>4.1668000000000003</v>
      </c>
      <c r="E225" s="64">
        <f>4.7485 * CHOOSE(CONTROL!$C$22, $C$13, 100%, $E$13)</f>
        <v>4.7484999999999999</v>
      </c>
      <c r="F225" s="64">
        <f>4.7485 * CHOOSE(CONTROL!$C$22, $C$13, 100%, $E$13)</f>
        <v>4.7484999999999999</v>
      </c>
      <c r="G225" s="64">
        <f>4.7487 * CHOOSE(CONTROL!$C$22, $C$13, 100%, $E$13)</f>
        <v>4.7487000000000004</v>
      </c>
      <c r="H225" s="64">
        <f>8.7077* CHOOSE(CONTROL!$C$22, $C$13, 100%, $E$13)</f>
        <v>8.7077000000000009</v>
      </c>
      <c r="I225" s="64">
        <f>8.7079 * CHOOSE(CONTROL!$C$22, $C$13, 100%, $E$13)</f>
        <v>8.7079000000000004</v>
      </c>
      <c r="J225" s="64">
        <f>4.7485 * CHOOSE(CONTROL!$C$22, $C$13, 100%, $E$13)</f>
        <v>4.7484999999999999</v>
      </c>
      <c r="K225" s="64">
        <f>4.7487 * CHOOSE(CONTROL!$C$22, $C$13, 100%, $E$13)</f>
        <v>4.7487000000000004</v>
      </c>
    </row>
    <row r="226" spans="1:11" ht="15">
      <c r="A226" s="13">
        <v>48519</v>
      </c>
      <c r="B226" s="63">
        <f>4.1522 * CHOOSE(CONTROL!$C$22, $C$13, 100%, $E$13)</f>
        <v>4.1521999999999997</v>
      </c>
      <c r="C226" s="63">
        <f>4.1522 * CHOOSE(CONTROL!$C$22, $C$13, 100%, $E$13)</f>
        <v>4.1521999999999997</v>
      </c>
      <c r="D226" s="63">
        <f>4.1698 * CHOOSE(CONTROL!$C$22, $C$13, 100%, $E$13)</f>
        <v>4.1698000000000004</v>
      </c>
      <c r="E226" s="64">
        <f>4.7616 * CHOOSE(CONTROL!$C$22, $C$13, 100%, $E$13)</f>
        <v>4.7615999999999996</v>
      </c>
      <c r="F226" s="64">
        <f>4.7616 * CHOOSE(CONTROL!$C$22, $C$13, 100%, $E$13)</f>
        <v>4.7615999999999996</v>
      </c>
      <c r="G226" s="64">
        <f>4.7617 * CHOOSE(CONTROL!$C$22, $C$13, 100%, $E$13)</f>
        <v>4.7617000000000003</v>
      </c>
      <c r="H226" s="64">
        <f>8.7259* CHOOSE(CONTROL!$C$22, $C$13, 100%, $E$13)</f>
        <v>8.7258999999999993</v>
      </c>
      <c r="I226" s="64">
        <f>8.7261 * CHOOSE(CONTROL!$C$22, $C$13, 100%, $E$13)</f>
        <v>8.7261000000000006</v>
      </c>
      <c r="J226" s="64">
        <f>4.7616 * CHOOSE(CONTROL!$C$22, $C$13, 100%, $E$13)</f>
        <v>4.7615999999999996</v>
      </c>
      <c r="K226" s="64">
        <f>4.7617 * CHOOSE(CONTROL!$C$22, $C$13, 100%, $E$13)</f>
        <v>4.7617000000000003</v>
      </c>
    </row>
    <row r="227" spans="1:11" ht="15">
      <c r="A227" s="13">
        <v>48549</v>
      </c>
      <c r="B227" s="63">
        <f>4.1522 * CHOOSE(CONTROL!$C$22, $C$13, 100%, $E$13)</f>
        <v>4.1521999999999997</v>
      </c>
      <c r="C227" s="63">
        <f>4.1522 * CHOOSE(CONTROL!$C$22, $C$13, 100%, $E$13)</f>
        <v>4.1521999999999997</v>
      </c>
      <c r="D227" s="63">
        <f>4.1698 * CHOOSE(CONTROL!$C$22, $C$13, 100%, $E$13)</f>
        <v>4.1698000000000004</v>
      </c>
      <c r="E227" s="64">
        <f>4.7343 * CHOOSE(CONTROL!$C$22, $C$13, 100%, $E$13)</f>
        <v>4.7343000000000002</v>
      </c>
      <c r="F227" s="64">
        <f>4.7343 * CHOOSE(CONTROL!$C$22, $C$13, 100%, $E$13)</f>
        <v>4.7343000000000002</v>
      </c>
      <c r="G227" s="64">
        <f>4.7344 * CHOOSE(CONTROL!$C$22, $C$13, 100%, $E$13)</f>
        <v>4.7343999999999999</v>
      </c>
      <c r="H227" s="64">
        <f>8.7441* CHOOSE(CONTROL!$C$22, $C$13, 100%, $E$13)</f>
        <v>8.7440999999999995</v>
      </c>
      <c r="I227" s="64">
        <f>8.7442 * CHOOSE(CONTROL!$C$22, $C$13, 100%, $E$13)</f>
        <v>8.7441999999999993</v>
      </c>
      <c r="J227" s="64">
        <f>4.7343 * CHOOSE(CONTROL!$C$22, $C$13, 100%, $E$13)</f>
        <v>4.7343000000000002</v>
      </c>
      <c r="K227" s="64">
        <f>4.7344 * CHOOSE(CONTROL!$C$22, $C$13, 100%, $E$13)</f>
        <v>4.7343999999999999</v>
      </c>
    </row>
    <row r="228" spans="1:11" ht="15">
      <c r="A228" s="13">
        <v>48580</v>
      </c>
      <c r="B228" s="63">
        <f>4.1941 * CHOOSE(CONTROL!$C$22, $C$13, 100%, $E$13)</f>
        <v>4.1940999999999997</v>
      </c>
      <c r="C228" s="63">
        <f>4.1941 * CHOOSE(CONTROL!$C$22, $C$13, 100%, $E$13)</f>
        <v>4.1940999999999997</v>
      </c>
      <c r="D228" s="63">
        <f>4.2117 * CHOOSE(CONTROL!$C$22, $C$13, 100%, $E$13)</f>
        <v>4.2117000000000004</v>
      </c>
      <c r="E228" s="64">
        <f>4.8032 * CHOOSE(CONTROL!$C$22, $C$13, 100%, $E$13)</f>
        <v>4.8032000000000004</v>
      </c>
      <c r="F228" s="64">
        <f>4.8032 * CHOOSE(CONTROL!$C$22, $C$13, 100%, $E$13)</f>
        <v>4.8032000000000004</v>
      </c>
      <c r="G228" s="64">
        <f>4.8033 * CHOOSE(CONTROL!$C$22, $C$13, 100%, $E$13)</f>
        <v>4.8033000000000001</v>
      </c>
      <c r="H228" s="64">
        <f>8.7623* CHOOSE(CONTROL!$C$22, $C$13, 100%, $E$13)</f>
        <v>8.7622999999999998</v>
      </c>
      <c r="I228" s="64">
        <f>8.7624 * CHOOSE(CONTROL!$C$22, $C$13, 100%, $E$13)</f>
        <v>8.7623999999999995</v>
      </c>
      <c r="J228" s="64">
        <f>4.8032 * CHOOSE(CONTROL!$C$22, $C$13, 100%, $E$13)</f>
        <v>4.8032000000000004</v>
      </c>
      <c r="K228" s="64">
        <f>4.8033 * CHOOSE(CONTROL!$C$22, $C$13, 100%, $E$13)</f>
        <v>4.8033000000000001</v>
      </c>
    </row>
    <row r="229" spans="1:11" ht="15">
      <c r="A229" s="13">
        <v>48611</v>
      </c>
      <c r="B229" s="63">
        <f>4.191 * CHOOSE(CONTROL!$C$22, $C$13, 100%, $E$13)</f>
        <v>4.1909999999999998</v>
      </c>
      <c r="C229" s="63">
        <f>4.191 * CHOOSE(CONTROL!$C$22, $C$13, 100%, $E$13)</f>
        <v>4.1909999999999998</v>
      </c>
      <c r="D229" s="63">
        <f>4.2087 * CHOOSE(CONTROL!$C$22, $C$13, 100%, $E$13)</f>
        <v>4.2087000000000003</v>
      </c>
      <c r="E229" s="64">
        <f>4.7481 * CHOOSE(CONTROL!$C$22, $C$13, 100%, $E$13)</f>
        <v>4.7481</v>
      </c>
      <c r="F229" s="64">
        <f>4.7481 * CHOOSE(CONTROL!$C$22, $C$13, 100%, $E$13)</f>
        <v>4.7481</v>
      </c>
      <c r="G229" s="64">
        <f>4.7483 * CHOOSE(CONTROL!$C$22, $C$13, 100%, $E$13)</f>
        <v>4.7483000000000004</v>
      </c>
      <c r="H229" s="64">
        <f>8.7805* CHOOSE(CONTROL!$C$22, $C$13, 100%, $E$13)</f>
        <v>8.7805</v>
      </c>
      <c r="I229" s="64">
        <f>8.7807 * CHOOSE(CONTROL!$C$22, $C$13, 100%, $E$13)</f>
        <v>8.7806999999999995</v>
      </c>
      <c r="J229" s="64">
        <f>4.7481 * CHOOSE(CONTROL!$C$22, $C$13, 100%, $E$13)</f>
        <v>4.7481</v>
      </c>
      <c r="K229" s="64">
        <f>4.7483 * CHOOSE(CONTROL!$C$22, $C$13, 100%, $E$13)</f>
        <v>4.7483000000000004</v>
      </c>
    </row>
    <row r="230" spans="1:11" ht="15">
      <c r="A230" s="13">
        <v>48639</v>
      </c>
      <c r="B230" s="63">
        <f>4.188 * CHOOSE(CONTROL!$C$22, $C$13, 100%, $E$13)</f>
        <v>4.1879999999999997</v>
      </c>
      <c r="C230" s="63">
        <f>4.188 * CHOOSE(CONTROL!$C$22, $C$13, 100%, $E$13)</f>
        <v>4.1879999999999997</v>
      </c>
      <c r="D230" s="63">
        <f>4.2056 * CHOOSE(CONTROL!$C$22, $C$13, 100%, $E$13)</f>
        <v>4.2055999999999996</v>
      </c>
      <c r="E230" s="64">
        <f>4.7877 * CHOOSE(CONTROL!$C$22, $C$13, 100%, $E$13)</f>
        <v>4.7877000000000001</v>
      </c>
      <c r="F230" s="64">
        <f>4.7877 * CHOOSE(CONTROL!$C$22, $C$13, 100%, $E$13)</f>
        <v>4.7877000000000001</v>
      </c>
      <c r="G230" s="64">
        <f>4.7879 * CHOOSE(CONTROL!$C$22, $C$13, 100%, $E$13)</f>
        <v>4.7878999999999996</v>
      </c>
      <c r="H230" s="64">
        <f>8.7988* CHOOSE(CONTROL!$C$22, $C$13, 100%, $E$13)</f>
        <v>8.7988</v>
      </c>
      <c r="I230" s="64">
        <f>8.799 * CHOOSE(CONTROL!$C$22, $C$13, 100%, $E$13)</f>
        <v>8.7989999999999995</v>
      </c>
      <c r="J230" s="64">
        <f>4.7877 * CHOOSE(CONTROL!$C$22, $C$13, 100%, $E$13)</f>
        <v>4.7877000000000001</v>
      </c>
      <c r="K230" s="64">
        <f>4.7879 * CHOOSE(CONTROL!$C$22, $C$13, 100%, $E$13)</f>
        <v>4.7878999999999996</v>
      </c>
    </row>
    <row r="231" spans="1:11" ht="15">
      <c r="A231" s="13">
        <v>48670</v>
      </c>
      <c r="B231" s="63">
        <f>4.1858 * CHOOSE(CONTROL!$C$22, $C$13, 100%, $E$13)</f>
        <v>4.1858000000000004</v>
      </c>
      <c r="C231" s="63">
        <f>4.1858 * CHOOSE(CONTROL!$C$22, $C$13, 100%, $E$13)</f>
        <v>4.1858000000000004</v>
      </c>
      <c r="D231" s="63">
        <f>4.2035 * CHOOSE(CONTROL!$C$22, $C$13, 100%, $E$13)</f>
        <v>4.2035</v>
      </c>
      <c r="E231" s="64">
        <f>4.8283 * CHOOSE(CONTROL!$C$22, $C$13, 100%, $E$13)</f>
        <v>4.8282999999999996</v>
      </c>
      <c r="F231" s="64">
        <f>4.8283 * CHOOSE(CONTROL!$C$22, $C$13, 100%, $E$13)</f>
        <v>4.8282999999999996</v>
      </c>
      <c r="G231" s="64">
        <f>4.8285 * CHOOSE(CONTROL!$C$22, $C$13, 100%, $E$13)</f>
        <v>4.8285</v>
      </c>
      <c r="H231" s="64">
        <f>8.8171* CHOOSE(CONTROL!$C$22, $C$13, 100%, $E$13)</f>
        <v>8.8170999999999999</v>
      </c>
      <c r="I231" s="64">
        <f>8.8173 * CHOOSE(CONTROL!$C$22, $C$13, 100%, $E$13)</f>
        <v>8.8172999999999995</v>
      </c>
      <c r="J231" s="64">
        <f>4.8283 * CHOOSE(CONTROL!$C$22, $C$13, 100%, $E$13)</f>
        <v>4.8282999999999996</v>
      </c>
      <c r="K231" s="64">
        <f>4.8285 * CHOOSE(CONTROL!$C$22, $C$13, 100%, $E$13)</f>
        <v>4.8285</v>
      </c>
    </row>
    <row r="232" spans="1:11" ht="15">
      <c r="A232" s="13">
        <v>48700</v>
      </c>
      <c r="B232" s="63">
        <f>4.1858 * CHOOSE(CONTROL!$C$22, $C$13, 100%, $E$13)</f>
        <v>4.1858000000000004</v>
      </c>
      <c r="C232" s="63">
        <f>4.1858 * CHOOSE(CONTROL!$C$22, $C$13, 100%, $E$13)</f>
        <v>4.1858000000000004</v>
      </c>
      <c r="D232" s="63">
        <f>4.2212 * CHOOSE(CONTROL!$C$22, $C$13, 100%, $E$13)</f>
        <v>4.2211999999999996</v>
      </c>
      <c r="E232" s="64">
        <f>4.8452 * CHOOSE(CONTROL!$C$22, $C$13, 100%, $E$13)</f>
        <v>4.8452000000000002</v>
      </c>
      <c r="F232" s="64">
        <f>4.8452 * CHOOSE(CONTROL!$C$22, $C$13, 100%, $E$13)</f>
        <v>4.8452000000000002</v>
      </c>
      <c r="G232" s="64">
        <f>4.8473 * CHOOSE(CONTROL!$C$22, $C$13, 100%, $E$13)</f>
        <v>4.8472999999999997</v>
      </c>
      <c r="H232" s="64">
        <f>8.8355* CHOOSE(CONTROL!$C$22, $C$13, 100%, $E$13)</f>
        <v>8.8354999999999997</v>
      </c>
      <c r="I232" s="64">
        <f>8.8377 * CHOOSE(CONTROL!$C$22, $C$13, 100%, $E$13)</f>
        <v>8.8376999999999999</v>
      </c>
      <c r="J232" s="64">
        <f>4.8452 * CHOOSE(CONTROL!$C$22, $C$13, 100%, $E$13)</f>
        <v>4.8452000000000002</v>
      </c>
      <c r="K232" s="64">
        <f>4.8473 * CHOOSE(CONTROL!$C$22, $C$13, 100%, $E$13)</f>
        <v>4.8472999999999997</v>
      </c>
    </row>
    <row r="233" spans="1:11" ht="15">
      <c r="A233" s="13">
        <v>48731</v>
      </c>
      <c r="B233" s="63">
        <f>4.1919 * CHOOSE(CONTROL!$C$22, $C$13, 100%, $E$13)</f>
        <v>4.1919000000000004</v>
      </c>
      <c r="C233" s="63">
        <f>4.1919 * CHOOSE(CONTROL!$C$22, $C$13, 100%, $E$13)</f>
        <v>4.1919000000000004</v>
      </c>
      <c r="D233" s="63">
        <f>4.2272 * CHOOSE(CONTROL!$C$22, $C$13, 100%, $E$13)</f>
        <v>4.2271999999999998</v>
      </c>
      <c r="E233" s="64">
        <f>4.8326 * CHOOSE(CONTROL!$C$22, $C$13, 100%, $E$13)</f>
        <v>4.8326000000000002</v>
      </c>
      <c r="F233" s="64">
        <f>4.8326 * CHOOSE(CONTROL!$C$22, $C$13, 100%, $E$13)</f>
        <v>4.8326000000000002</v>
      </c>
      <c r="G233" s="64">
        <f>4.8348 * CHOOSE(CONTROL!$C$22, $C$13, 100%, $E$13)</f>
        <v>4.8348000000000004</v>
      </c>
      <c r="H233" s="64">
        <f>8.8539* CHOOSE(CONTROL!$C$22, $C$13, 100%, $E$13)</f>
        <v>8.8538999999999994</v>
      </c>
      <c r="I233" s="64">
        <f>8.8561 * CHOOSE(CONTROL!$C$22, $C$13, 100%, $E$13)</f>
        <v>8.8560999999999996</v>
      </c>
      <c r="J233" s="64">
        <f>4.8326 * CHOOSE(CONTROL!$C$22, $C$13, 100%, $E$13)</f>
        <v>4.8326000000000002</v>
      </c>
      <c r="K233" s="64">
        <f>4.8348 * CHOOSE(CONTROL!$C$22, $C$13, 100%, $E$13)</f>
        <v>4.8348000000000004</v>
      </c>
    </row>
    <row r="234" spans="1:11" ht="15">
      <c r="A234" s="13">
        <v>48761</v>
      </c>
      <c r="B234" s="63">
        <f>4.2719 * CHOOSE(CONTROL!$C$22, $C$13, 100%, $E$13)</f>
        <v>4.2718999999999996</v>
      </c>
      <c r="C234" s="63">
        <f>4.2719 * CHOOSE(CONTROL!$C$22, $C$13, 100%, $E$13)</f>
        <v>4.2718999999999996</v>
      </c>
      <c r="D234" s="63">
        <f>4.3073 * CHOOSE(CONTROL!$C$22, $C$13, 100%, $E$13)</f>
        <v>4.3072999999999997</v>
      </c>
      <c r="E234" s="64">
        <f>4.9466 * CHOOSE(CONTROL!$C$22, $C$13, 100%, $E$13)</f>
        <v>4.9466000000000001</v>
      </c>
      <c r="F234" s="64">
        <f>4.9466 * CHOOSE(CONTROL!$C$22, $C$13, 100%, $E$13)</f>
        <v>4.9466000000000001</v>
      </c>
      <c r="G234" s="64">
        <f>4.9488 * CHOOSE(CONTROL!$C$22, $C$13, 100%, $E$13)</f>
        <v>4.9488000000000003</v>
      </c>
      <c r="H234" s="64">
        <f>8.8724* CHOOSE(CONTROL!$C$22, $C$13, 100%, $E$13)</f>
        <v>8.8724000000000007</v>
      </c>
      <c r="I234" s="64">
        <f>8.8746 * CHOOSE(CONTROL!$C$22, $C$13, 100%, $E$13)</f>
        <v>8.8745999999999992</v>
      </c>
      <c r="J234" s="64">
        <f>4.9466 * CHOOSE(CONTROL!$C$22, $C$13, 100%, $E$13)</f>
        <v>4.9466000000000001</v>
      </c>
      <c r="K234" s="64">
        <f>4.9488 * CHOOSE(CONTROL!$C$22, $C$13, 100%, $E$13)</f>
        <v>4.9488000000000003</v>
      </c>
    </row>
    <row r="235" spans="1:11" ht="15">
      <c r="A235" s="13">
        <v>48792</v>
      </c>
      <c r="B235" s="63">
        <f>4.2786 * CHOOSE(CONTROL!$C$22, $C$13, 100%, $E$13)</f>
        <v>4.2786</v>
      </c>
      <c r="C235" s="63">
        <f>4.2786 * CHOOSE(CONTROL!$C$22, $C$13, 100%, $E$13)</f>
        <v>4.2786</v>
      </c>
      <c r="D235" s="63">
        <f>4.3139 * CHOOSE(CONTROL!$C$22, $C$13, 100%, $E$13)</f>
        <v>4.3139000000000003</v>
      </c>
      <c r="E235" s="64">
        <f>4.9008 * CHOOSE(CONTROL!$C$22, $C$13, 100%, $E$13)</f>
        <v>4.9008000000000003</v>
      </c>
      <c r="F235" s="64">
        <f>4.9008 * CHOOSE(CONTROL!$C$22, $C$13, 100%, $E$13)</f>
        <v>4.9008000000000003</v>
      </c>
      <c r="G235" s="64">
        <f>4.903 * CHOOSE(CONTROL!$C$22, $C$13, 100%, $E$13)</f>
        <v>4.9029999999999996</v>
      </c>
      <c r="H235" s="64">
        <f>8.8909* CHOOSE(CONTROL!$C$22, $C$13, 100%, $E$13)</f>
        <v>8.8909000000000002</v>
      </c>
      <c r="I235" s="64">
        <f>8.893 * CHOOSE(CONTROL!$C$22, $C$13, 100%, $E$13)</f>
        <v>8.8930000000000007</v>
      </c>
      <c r="J235" s="64">
        <f>4.9008 * CHOOSE(CONTROL!$C$22, $C$13, 100%, $E$13)</f>
        <v>4.9008000000000003</v>
      </c>
      <c r="K235" s="64">
        <f>4.903 * CHOOSE(CONTROL!$C$22, $C$13, 100%, $E$13)</f>
        <v>4.9029999999999996</v>
      </c>
    </row>
    <row r="236" spans="1:11" ht="15">
      <c r="A236" s="13">
        <v>48823</v>
      </c>
      <c r="B236" s="63">
        <f>4.2756 * CHOOSE(CONTROL!$C$22, $C$13, 100%, $E$13)</f>
        <v>4.2755999999999998</v>
      </c>
      <c r="C236" s="63">
        <f>4.2756 * CHOOSE(CONTROL!$C$22, $C$13, 100%, $E$13)</f>
        <v>4.2755999999999998</v>
      </c>
      <c r="D236" s="63">
        <f>4.3109 * CHOOSE(CONTROL!$C$22, $C$13, 100%, $E$13)</f>
        <v>4.3109000000000002</v>
      </c>
      <c r="E236" s="64">
        <f>4.8931 * CHOOSE(CONTROL!$C$22, $C$13, 100%, $E$13)</f>
        <v>4.8930999999999996</v>
      </c>
      <c r="F236" s="64">
        <f>4.8931 * CHOOSE(CONTROL!$C$22, $C$13, 100%, $E$13)</f>
        <v>4.8930999999999996</v>
      </c>
      <c r="G236" s="64">
        <f>4.8953 * CHOOSE(CONTROL!$C$22, $C$13, 100%, $E$13)</f>
        <v>4.8952999999999998</v>
      </c>
      <c r="H236" s="64">
        <f>8.9094* CHOOSE(CONTROL!$C$22, $C$13, 100%, $E$13)</f>
        <v>8.9093999999999998</v>
      </c>
      <c r="I236" s="64">
        <f>8.9116 * CHOOSE(CONTROL!$C$22, $C$13, 100%, $E$13)</f>
        <v>8.9116</v>
      </c>
      <c r="J236" s="64">
        <f>4.8931 * CHOOSE(CONTROL!$C$22, $C$13, 100%, $E$13)</f>
        <v>4.8930999999999996</v>
      </c>
      <c r="K236" s="64">
        <f>4.8953 * CHOOSE(CONTROL!$C$22, $C$13, 100%, $E$13)</f>
        <v>4.8952999999999998</v>
      </c>
    </row>
    <row r="237" spans="1:11" ht="15">
      <c r="A237" s="13">
        <v>48853</v>
      </c>
      <c r="B237" s="63">
        <f>4.2718 * CHOOSE(CONTROL!$C$22, $C$13, 100%, $E$13)</f>
        <v>4.2717999999999998</v>
      </c>
      <c r="C237" s="63">
        <f>4.2718 * CHOOSE(CONTROL!$C$22, $C$13, 100%, $E$13)</f>
        <v>4.2717999999999998</v>
      </c>
      <c r="D237" s="63">
        <f>4.2894 * CHOOSE(CONTROL!$C$22, $C$13, 100%, $E$13)</f>
        <v>4.2893999999999997</v>
      </c>
      <c r="E237" s="64">
        <f>4.9021 * CHOOSE(CONTROL!$C$22, $C$13, 100%, $E$13)</f>
        <v>4.9020999999999999</v>
      </c>
      <c r="F237" s="64">
        <f>4.9021 * CHOOSE(CONTROL!$C$22, $C$13, 100%, $E$13)</f>
        <v>4.9020999999999999</v>
      </c>
      <c r="G237" s="64">
        <f>4.9023 * CHOOSE(CONTROL!$C$22, $C$13, 100%, $E$13)</f>
        <v>4.9023000000000003</v>
      </c>
      <c r="H237" s="64">
        <f>8.9279* CHOOSE(CONTROL!$C$22, $C$13, 100%, $E$13)</f>
        <v>8.9278999999999993</v>
      </c>
      <c r="I237" s="64">
        <f>8.9281 * CHOOSE(CONTROL!$C$22, $C$13, 100%, $E$13)</f>
        <v>8.9281000000000006</v>
      </c>
      <c r="J237" s="64">
        <f>4.9021 * CHOOSE(CONTROL!$C$22, $C$13, 100%, $E$13)</f>
        <v>4.9020999999999999</v>
      </c>
      <c r="K237" s="64">
        <f>4.9023 * CHOOSE(CONTROL!$C$22, $C$13, 100%, $E$13)</f>
        <v>4.9023000000000003</v>
      </c>
    </row>
    <row r="238" spans="1:11" ht="15">
      <c r="A238" s="13">
        <v>48884</v>
      </c>
      <c r="B238" s="63">
        <f>4.2748 * CHOOSE(CONTROL!$C$22, $C$13, 100%, $E$13)</f>
        <v>4.2747999999999999</v>
      </c>
      <c r="C238" s="63">
        <f>4.2748 * CHOOSE(CONTROL!$C$22, $C$13, 100%, $E$13)</f>
        <v>4.2747999999999999</v>
      </c>
      <c r="D238" s="63">
        <f>4.2925 * CHOOSE(CONTROL!$C$22, $C$13, 100%, $E$13)</f>
        <v>4.2925000000000004</v>
      </c>
      <c r="E238" s="64">
        <f>4.9154 * CHOOSE(CONTROL!$C$22, $C$13, 100%, $E$13)</f>
        <v>4.9154</v>
      </c>
      <c r="F238" s="64">
        <f>4.9154 * CHOOSE(CONTROL!$C$22, $C$13, 100%, $E$13)</f>
        <v>4.9154</v>
      </c>
      <c r="G238" s="64">
        <f>4.9156 * CHOOSE(CONTROL!$C$22, $C$13, 100%, $E$13)</f>
        <v>4.9156000000000004</v>
      </c>
      <c r="H238" s="64">
        <f>8.9465* CHOOSE(CONTROL!$C$22, $C$13, 100%, $E$13)</f>
        <v>8.9465000000000003</v>
      </c>
      <c r="I238" s="64">
        <f>8.9467 * CHOOSE(CONTROL!$C$22, $C$13, 100%, $E$13)</f>
        <v>8.9466999999999999</v>
      </c>
      <c r="J238" s="64">
        <f>4.9154 * CHOOSE(CONTROL!$C$22, $C$13, 100%, $E$13)</f>
        <v>4.9154</v>
      </c>
      <c r="K238" s="64">
        <f>4.9156 * CHOOSE(CONTROL!$C$22, $C$13, 100%, $E$13)</f>
        <v>4.9156000000000004</v>
      </c>
    </row>
    <row r="239" spans="1:11" ht="15">
      <c r="A239" s="13">
        <v>48914</v>
      </c>
      <c r="B239" s="63">
        <f>4.2748 * CHOOSE(CONTROL!$C$22, $C$13, 100%, $E$13)</f>
        <v>4.2747999999999999</v>
      </c>
      <c r="C239" s="63">
        <f>4.2748 * CHOOSE(CONTROL!$C$22, $C$13, 100%, $E$13)</f>
        <v>4.2747999999999999</v>
      </c>
      <c r="D239" s="63">
        <f>4.2925 * CHOOSE(CONTROL!$C$22, $C$13, 100%, $E$13)</f>
        <v>4.2925000000000004</v>
      </c>
      <c r="E239" s="64">
        <f>4.8874 * CHOOSE(CONTROL!$C$22, $C$13, 100%, $E$13)</f>
        <v>4.8874000000000004</v>
      </c>
      <c r="F239" s="64">
        <f>4.8874 * CHOOSE(CONTROL!$C$22, $C$13, 100%, $E$13)</f>
        <v>4.8874000000000004</v>
      </c>
      <c r="G239" s="64">
        <f>4.8876 * CHOOSE(CONTROL!$C$22, $C$13, 100%, $E$13)</f>
        <v>4.8875999999999999</v>
      </c>
      <c r="H239" s="64">
        <f>8.9652* CHOOSE(CONTROL!$C$22, $C$13, 100%, $E$13)</f>
        <v>8.9651999999999994</v>
      </c>
      <c r="I239" s="64">
        <f>8.9654 * CHOOSE(CONTROL!$C$22, $C$13, 100%, $E$13)</f>
        <v>8.9654000000000007</v>
      </c>
      <c r="J239" s="64">
        <f>4.8874 * CHOOSE(CONTROL!$C$22, $C$13, 100%, $E$13)</f>
        <v>4.8874000000000004</v>
      </c>
      <c r="K239" s="64">
        <f>4.8876 * CHOOSE(CONTROL!$C$22, $C$13, 100%, $E$13)</f>
        <v>4.8875999999999999</v>
      </c>
    </row>
    <row r="240" spans="1:11" ht="15">
      <c r="A240" s="13">
        <v>48945</v>
      </c>
      <c r="B240" s="63">
        <f>4.32 * CHOOSE(CONTROL!$C$22, $C$13, 100%, $E$13)</f>
        <v>4.32</v>
      </c>
      <c r="C240" s="63">
        <f>4.32 * CHOOSE(CONTROL!$C$22, $C$13, 100%, $E$13)</f>
        <v>4.32</v>
      </c>
      <c r="D240" s="63">
        <f>4.3376 * CHOOSE(CONTROL!$C$22, $C$13, 100%, $E$13)</f>
        <v>4.3376000000000001</v>
      </c>
      <c r="E240" s="64">
        <f>4.957 * CHOOSE(CONTROL!$C$22, $C$13, 100%, $E$13)</f>
        <v>4.9569999999999999</v>
      </c>
      <c r="F240" s="64">
        <f>4.957 * CHOOSE(CONTROL!$C$22, $C$13, 100%, $E$13)</f>
        <v>4.9569999999999999</v>
      </c>
      <c r="G240" s="64">
        <f>4.9572 * CHOOSE(CONTROL!$C$22, $C$13, 100%, $E$13)</f>
        <v>4.9572000000000003</v>
      </c>
      <c r="H240" s="64">
        <f>8.9839* CHOOSE(CONTROL!$C$22, $C$13, 100%, $E$13)</f>
        <v>8.9839000000000002</v>
      </c>
      <c r="I240" s="64">
        <f>8.984 * CHOOSE(CONTROL!$C$22, $C$13, 100%, $E$13)</f>
        <v>8.984</v>
      </c>
      <c r="J240" s="64">
        <f>4.957 * CHOOSE(CONTROL!$C$22, $C$13, 100%, $E$13)</f>
        <v>4.9569999999999999</v>
      </c>
      <c r="K240" s="64">
        <f>4.9572 * CHOOSE(CONTROL!$C$22, $C$13, 100%, $E$13)</f>
        <v>4.9572000000000003</v>
      </c>
    </row>
    <row r="241" spans="1:11" ht="15">
      <c r="A241" s="13">
        <v>48976</v>
      </c>
      <c r="B241" s="63">
        <f>4.3169 * CHOOSE(CONTROL!$C$22, $C$13, 100%, $E$13)</f>
        <v>4.3169000000000004</v>
      </c>
      <c r="C241" s="63">
        <f>4.3169 * CHOOSE(CONTROL!$C$22, $C$13, 100%, $E$13)</f>
        <v>4.3169000000000004</v>
      </c>
      <c r="D241" s="63">
        <f>4.3346 * CHOOSE(CONTROL!$C$22, $C$13, 100%, $E$13)</f>
        <v>4.3346</v>
      </c>
      <c r="E241" s="64">
        <f>4.9005 * CHOOSE(CONTROL!$C$22, $C$13, 100%, $E$13)</f>
        <v>4.9005000000000001</v>
      </c>
      <c r="F241" s="64">
        <f>4.9005 * CHOOSE(CONTROL!$C$22, $C$13, 100%, $E$13)</f>
        <v>4.9005000000000001</v>
      </c>
      <c r="G241" s="64">
        <f>4.9007 * CHOOSE(CONTROL!$C$22, $C$13, 100%, $E$13)</f>
        <v>4.9006999999999996</v>
      </c>
      <c r="H241" s="64">
        <f>9.0026* CHOOSE(CONTROL!$C$22, $C$13, 100%, $E$13)</f>
        <v>9.0025999999999993</v>
      </c>
      <c r="I241" s="64">
        <f>9.0027 * CHOOSE(CONTROL!$C$22, $C$13, 100%, $E$13)</f>
        <v>9.0027000000000008</v>
      </c>
      <c r="J241" s="64">
        <f>4.9005 * CHOOSE(CONTROL!$C$22, $C$13, 100%, $E$13)</f>
        <v>4.9005000000000001</v>
      </c>
      <c r="K241" s="64">
        <f>4.9007 * CHOOSE(CONTROL!$C$22, $C$13, 100%, $E$13)</f>
        <v>4.9006999999999996</v>
      </c>
    </row>
    <row r="242" spans="1:11" ht="15">
      <c r="A242" s="13">
        <v>49004</v>
      </c>
      <c r="B242" s="63">
        <f>4.3139 * CHOOSE(CONTROL!$C$22, $C$13, 100%, $E$13)</f>
        <v>4.3139000000000003</v>
      </c>
      <c r="C242" s="63">
        <f>4.3139 * CHOOSE(CONTROL!$C$22, $C$13, 100%, $E$13)</f>
        <v>4.3139000000000003</v>
      </c>
      <c r="D242" s="63">
        <f>4.3315 * CHOOSE(CONTROL!$C$22, $C$13, 100%, $E$13)</f>
        <v>4.3315000000000001</v>
      </c>
      <c r="E242" s="64">
        <f>4.9413 * CHOOSE(CONTROL!$C$22, $C$13, 100%, $E$13)</f>
        <v>4.9413</v>
      </c>
      <c r="F242" s="64">
        <f>4.9413 * CHOOSE(CONTROL!$C$22, $C$13, 100%, $E$13)</f>
        <v>4.9413</v>
      </c>
      <c r="G242" s="64">
        <f>4.9414 * CHOOSE(CONTROL!$C$22, $C$13, 100%, $E$13)</f>
        <v>4.9413999999999998</v>
      </c>
      <c r="H242" s="64">
        <f>9.0213* CHOOSE(CONTROL!$C$22, $C$13, 100%, $E$13)</f>
        <v>9.0213000000000001</v>
      </c>
      <c r="I242" s="64">
        <f>9.0215 * CHOOSE(CONTROL!$C$22, $C$13, 100%, $E$13)</f>
        <v>9.0214999999999996</v>
      </c>
      <c r="J242" s="64">
        <f>4.9413 * CHOOSE(CONTROL!$C$22, $C$13, 100%, $E$13)</f>
        <v>4.9413</v>
      </c>
      <c r="K242" s="64">
        <f>4.9414 * CHOOSE(CONTROL!$C$22, $C$13, 100%, $E$13)</f>
        <v>4.9413999999999998</v>
      </c>
    </row>
    <row r="243" spans="1:11" ht="15">
      <c r="A243" s="13">
        <v>49035</v>
      </c>
      <c r="B243" s="63">
        <f>4.3119 * CHOOSE(CONTROL!$C$22, $C$13, 100%, $E$13)</f>
        <v>4.3118999999999996</v>
      </c>
      <c r="C243" s="63">
        <f>4.3119 * CHOOSE(CONTROL!$C$22, $C$13, 100%, $E$13)</f>
        <v>4.3118999999999996</v>
      </c>
      <c r="D243" s="63">
        <f>4.3295 * CHOOSE(CONTROL!$C$22, $C$13, 100%, $E$13)</f>
        <v>4.3295000000000003</v>
      </c>
      <c r="E243" s="64">
        <f>4.9831 * CHOOSE(CONTROL!$C$22, $C$13, 100%, $E$13)</f>
        <v>4.9831000000000003</v>
      </c>
      <c r="F243" s="64">
        <f>4.9831 * CHOOSE(CONTROL!$C$22, $C$13, 100%, $E$13)</f>
        <v>4.9831000000000003</v>
      </c>
      <c r="G243" s="64">
        <f>4.9833 * CHOOSE(CONTROL!$C$22, $C$13, 100%, $E$13)</f>
        <v>4.9832999999999998</v>
      </c>
      <c r="H243" s="64">
        <f>9.0401* CHOOSE(CONTROL!$C$22, $C$13, 100%, $E$13)</f>
        <v>9.0401000000000007</v>
      </c>
      <c r="I243" s="64">
        <f>9.0403 * CHOOSE(CONTROL!$C$22, $C$13, 100%, $E$13)</f>
        <v>9.0403000000000002</v>
      </c>
      <c r="J243" s="64">
        <f>4.9831 * CHOOSE(CONTROL!$C$22, $C$13, 100%, $E$13)</f>
        <v>4.9831000000000003</v>
      </c>
      <c r="K243" s="64">
        <f>4.9833 * CHOOSE(CONTROL!$C$22, $C$13, 100%, $E$13)</f>
        <v>4.9832999999999998</v>
      </c>
    </row>
    <row r="244" spans="1:11" ht="15">
      <c r="A244" s="13">
        <v>49065</v>
      </c>
      <c r="B244" s="63">
        <f>4.3119 * CHOOSE(CONTROL!$C$22, $C$13, 100%, $E$13)</f>
        <v>4.3118999999999996</v>
      </c>
      <c r="C244" s="63">
        <f>4.3119 * CHOOSE(CONTROL!$C$22, $C$13, 100%, $E$13)</f>
        <v>4.3118999999999996</v>
      </c>
      <c r="D244" s="63">
        <f>4.3472 * CHOOSE(CONTROL!$C$22, $C$13, 100%, $E$13)</f>
        <v>4.3472</v>
      </c>
      <c r="E244" s="64">
        <f>5.0004 * CHOOSE(CONTROL!$C$22, $C$13, 100%, $E$13)</f>
        <v>5.0004</v>
      </c>
      <c r="F244" s="64">
        <f>5.0004 * CHOOSE(CONTROL!$C$22, $C$13, 100%, $E$13)</f>
        <v>5.0004</v>
      </c>
      <c r="G244" s="64">
        <f>5.0025 * CHOOSE(CONTROL!$C$22, $C$13, 100%, $E$13)</f>
        <v>5.0025000000000004</v>
      </c>
      <c r="H244" s="64">
        <f>9.059* CHOOSE(CONTROL!$C$22, $C$13, 100%, $E$13)</f>
        <v>9.0589999999999993</v>
      </c>
      <c r="I244" s="64">
        <f>9.0611 * CHOOSE(CONTROL!$C$22, $C$13, 100%, $E$13)</f>
        <v>9.0610999999999997</v>
      </c>
      <c r="J244" s="64">
        <f>5.0004 * CHOOSE(CONTROL!$C$22, $C$13, 100%, $E$13)</f>
        <v>5.0004</v>
      </c>
      <c r="K244" s="64">
        <f>5.0025 * CHOOSE(CONTROL!$C$22, $C$13, 100%, $E$13)</f>
        <v>5.0025000000000004</v>
      </c>
    </row>
    <row r="245" spans="1:11" ht="15">
      <c r="A245" s="13">
        <v>49096</v>
      </c>
      <c r="B245" s="63">
        <f>4.3179 * CHOOSE(CONTROL!$C$22, $C$13, 100%, $E$13)</f>
        <v>4.3178999999999998</v>
      </c>
      <c r="C245" s="63">
        <f>4.3179 * CHOOSE(CONTROL!$C$22, $C$13, 100%, $E$13)</f>
        <v>4.3178999999999998</v>
      </c>
      <c r="D245" s="63">
        <f>4.3533 * CHOOSE(CONTROL!$C$22, $C$13, 100%, $E$13)</f>
        <v>4.3532999999999999</v>
      </c>
      <c r="E245" s="64">
        <f>4.9873 * CHOOSE(CONTROL!$C$22, $C$13, 100%, $E$13)</f>
        <v>4.9873000000000003</v>
      </c>
      <c r="F245" s="64">
        <f>4.9873 * CHOOSE(CONTROL!$C$22, $C$13, 100%, $E$13)</f>
        <v>4.9873000000000003</v>
      </c>
      <c r="G245" s="64">
        <f>4.9895 * CHOOSE(CONTROL!$C$22, $C$13, 100%, $E$13)</f>
        <v>4.9894999999999996</v>
      </c>
      <c r="H245" s="64">
        <f>9.0778* CHOOSE(CONTROL!$C$22, $C$13, 100%, $E$13)</f>
        <v>9.0777999999999999</v>
      </c>
      <c r="I245" s="64">
        <f>9.08 * CHOOSE(CONTROL!$C$22, $C$13, 100%, $E$13)</f>
        <v>9.08</v>
      </c>
      <c r="J245" s="64">
        <f>4.9873 * CHOOSE(CONTROL!$C$22, $C$13, 100%, $E$13)</f>
        <v>4.9873000000000003</v>
      </c>
      <c r="K245" s="64">
        <f>4.9895 * CHOOSE(CONTROL!$C$22, $C$13, 100%, $E$13)</f>
        <v>4.9894999999999996</v>
      </c>
    </row>
    <row r="246" spans="1:11" ht="15">
      <c r="A246" s="13">
        <v>49126</v>
      </c>
      <c r="B246" s="63">
        <f>4.4051 * CHOOSE(CONTROL!$C$22, $C$13, 100%, $E$13)</f>
        <v>4.4051</v>
      </c>
      <c r="C246" s="63">
        <f>4.4051 * CHOOSE(CONTROL!$C$22, $C$13, 100%, $E$13)</f>
        <v>4.4051</v>
      </c>
      <c r="D246" s="63">
        <f>4.4404 * CHOOSE(CONTROL!$C$22, $C$13, 100%, $E$13)</f>
        <v>4.4404000000000003</v>
      </c>
      <c r="E246" s="64">
        <f>5.1009 * CHOOSE(CONTROL!$C$22, $C$13, 100%, $E$13)</f>
        <v>5.1009000000000002</v>
      </c>
      <c r="F246" s="64">
        <f>5.1009 * CHOOSE(CONTROL!$C$22, $C$13, 100%, $E$13)</f>
        <v>5.1009000000000002</v>
      </c>
      <c r="G246" s="64">
        <f>5.1031 * CHOOSE(CONTROL!$C$22, $C$13, 100%, $E$13)</f>
        <v>5.1031000000000004</v>
      </c>
      <c r="H246" s="64">
        <f>9.0967* CHOOSE(CONTROL!$C$22, $C$13, 100%, $E$13)</f>
        <v>9.0967000000000002</v>
      </c>
      <c r="I246" s="64">
        <f>9.0989 * CHOOSE(CONTROL!$C$22, $C$13, 100%, $E$13)</f>
        <v>9.0989000000000004</v>
      </c>
      <c r="J246" s="64">
        <f>5.1009 * CHOOSE(CONTROL!$C$22, $C$13, 100%, $E$13)</f>
        <v>5.1009000000000002</v>
      </c>
      <c r="K246" s="64">
        <f>5.1031 * CHOOSE(CONTROL!$C$22, $C$13, 100%, $E$13)</f>
        <v>5.1031000000000004</v>
      </c>
    </row>
    <row r="247" spans="1:11" ht="15">
      <c r="A247" s="13">
        <v>49157</v>
      </c>
      <c r="B247" s="63">
        <f>4.4118 * CHOOSE(CONTROL!$C$22, $C$13, 100%, $E$13)</f>
        <v>4.4118000000000004</v>
      </c>
      <c r="C247" s="63">
        <f>4.4118 * CHOOSE(CONTROL!$C$22, $C$13, 100%, $E$13)</f>
        <v>4.4118000000000004</v>
      </c>
      <c r="D247" s="63">
        <f>4.4471 * CHOOSE(CONTROL!$C$22, $C$13, 100%, $E$13)</f>
        <v>4.4470999999999998</v>
      </c>
      <c r="E247" s="64">
        <f>5.0538 * CHOOSE(CONTROL!$C$22, $C$13, 100%, $E$13)</f>
        <v>5.0537999999999998</v>
      </c>
      <c r="F247" s="64">
        <f>5.0538 * CHOOSE(CONTROL!$C$22, $C$13, 100%, $E$13)</f>
        <v>5.0537999999999998</v>
      </c>
      <c r="G247" s="64">
        <f>5.056 * CHOOSE(CONTROL!$C$22, $C$13, 100%, $E$13)</f>
        <v>5.056</v>
      </c>
      <c r="H247" s="64">
        <f>9.1157* CHOOSE(CONTROL!$C$22, $C$13, 100%, $E$13)</f>
        <v>9.1157000000000004</v>
      </c>
      <c r="I247" s="64">
        <f>9.1179 * CHOOSE(CONTROL!$C$22, $C$13, 100%, $E$13)</f>
        <v>9.1179000000000006</v>
      </c>
      <c r="J247" s="64">
        <f>5.0538 * CHOOSE(CONTROL!$C$22, $C$13, 100%, $E$13)</f>
        <v>5.0537999999999998</v>
      </c>
      <c r="K247" s="64">
        <f>5.056 * CHOOSE(CONTROL!$C$22, $C$13, 100%, $E$13)</f>
        <v>5.056</v>
      </c>
    </row>
    <row r="248" spans="1:11" ht="15">
      <c r="A248" s="13">
        <v>49188</v>
      </c>
      <c r="B248" s="63">
        <f>4.4088 * CHOOSE(CONTROL!$C$22, $C$13, 100%, $E$13)</f>
        <v>4.4088000000000003</v>
      </c>
      <c r="C248" s="63">
        <f>4.4088 * CHOOSE(CONTROL!$C$22, $C$13, 100%, $E$13)</f>
        <v>4.4088000000000003</v>
      </c>
      <c r="D248" s="63">
        <f>4.4441 * CHOOSE(CONTROL!$C$22, $C$13, 100%, $E$13)</f>
        <v>4.4440999999999997</v>
      </c>
      <c r="E248" s="64">
        <f>5.0459 * CHOOSE(CONTROL!$C$22, $C$13, 100%, $E$13)</f>
        <v>5.0458999999999996</v>
      </c>
      <c r="F248" s="64">
        <f>5.0459 * CHOOSE(CONTROL!$C$22, $C$13, 100%, $E$13)</f>
        <v>5.0458999999999996</v>
      </c>
      <c r="G248" s="64">
        <f>5.0481 * CHOOSE(CONTROL!$C$22, $C$13, 100%, $E$13)</f>
        <v>5.0480999999999998</v>
      </c>
      <c r="H248" s="64">
        <f>9.1347* CHOOSE(CONTROL!$C$22, $C$13, 100%, $E$13)</f>
        <v>9.1347000000000005</v>
      </c>
      <c r="I248" s="64">
        <f>9.1369 * CHOOSE(CONTROL!$C$22, $C$13, 100%, $E$13)</f>
        <v>9.1369000000000007</v>
      </c>
      <c r="J248" s="64">
        <f>5.0459 * CHOOSE(CONTROL!$C$22, $C$13, 100%, $E$13)</f>
        <v>5.0458999999999996</v>
      </c>
      <c r="K248" s="64">
        <f>5.0481 * CHOOSE(CONTROL!$C$22, $C$13, 100%, $E$13)</f>
        <v>5.0480999999999998</v>
      </c>
    </row>
    <row r="249" spans="1:11" ht="15">
      <c r="A249" s="13">
        <v>49218</v>
      </c>
      <c r="B249" s="63">
        <f>4.4054 * CHOOSE(CONTROL!$C$22, $C$13, 100%, $E$13)</f>
        <v>4.4054000000000002</v>
      </c>
      <c r="C249" s="63">
        <f>4.4054 * CHOOSE(CONTROL!$C$22, $C$13, 100%, $E$13)</f>
        <v>4.4054000000000002</v>
      </c>
      <c r="D249" s="63">
        <f>4.423 * CHOOSE(CONTROL!$C$22, $C$13, 100%, $E$13)</f>
        <v>4.423</v>
      </c>
      <c r="E249" s="64">
        <f>5.0555 * CHOOSE(CONTROL!$C$22, $C$13, 100%, $E$13)</f>
        <v>5.0555000000000003</v>
      </c>
      <c r="F249" s="64">
        <f>5.0555 * CHOOSE(CONTROL!$C$22, $C$13, 100%, $E$13)</f>
        <v>5.0555000000000003</v>
      </c>
      <c r="G249" s="64">
        <f>5.0557 * CHOOSE(CONTROL!$C$22, $C$13, 100%, $E$13)</f>
        <v>5.0556999999999999</v>
      </c>
      <c r="H249" s="64">
        <f>9.1537* CHOOSE(CONTROL!$C$22, $C$13, 100%, $E$13)</f>
        <v>9.1537000000000006</v>
      </c>
      <c r="I249" s="64">
        <f>9.1539 * CHOOSE(CONTROL!$C$22, $C$13, 100%, $E$13)</f>
        <v>9.1539000000000001</v>
      </c>
      <c r="J249" s="64">
        <f>5.0555 * CHOOSE(CONTROL!$C$22, $C$13, 100%, $E$13)</f>
        <v>5.0555000000000003</v>
      </c>
      <c r="K249" s="64">
        <f>5.0557 * CHOOSE(CONTROL!$C$22, $C$13, 100%, $E$13)</f>
        <v>5.0556999999999999</v>
      </c>
    </row>
    <row r="250" spans="1:11" ht="15">
      <c r="A250" s="13">
        <v>49249</v>
      </c>
      <c r="B250" s="63">
        <f>4.4084 * CHOOSE(CONTROL!$C$22, $C$13, 100%, $E$13)</f>
        <v>4.4084000000000003</v>
      </c>
      <c r="C250" s="63">
        <f>4.4084 * CHOOSE(CONTROL!$C$22, $C$13, 100%, $E$13)</f>
        <v>4.4084000000000003</v>
      </c>
      <c r="D250" s="63">
        <f>4.4261 * CHOOSE(CONTROL!$C$22, $C$13, 100%, $E$13)</f>
        <v>4.4260999999999999</v>
      </c>
      <c r="E250" s="64">
        <f>5.0691 * CHOOSE(CONTROL!$C$22, $C$13, 100%, $E$13)</f>
        <v>5.0690999999999997</v>
      </c>
      <c r="F250" s="64">
        <f>5.0691 * CHOOSE(CONTROL!$C$22, $C$13, 100%, $E$13)</f>
        <v>5.0690999999999997</v>
      </c>
      <c r="G250" s="64">
        <f>5.0693 * CHOOSE(CONTROL!$C$22, $C$13, 100%, $E$13)</f>
        <v>5.0693000000000001</v>
      </c>
      <c r="H250" s="64">
        <f>9.1728* CHOOSE(CONTROL!$C$22, $C$13, 100%, $E$13)</f>
        <v>9.1728000000000005</v>
      </c>
      <c r="I250" s="64">
        <f>9.173 * CHOOSE(CONTROL!$C$22, $C$13, 100%, $E$13)</f>
        <v>9.173</v>
      </c>
      <c r="J250" s="64">
        <f>5.0691 * CHOOSE(CONTROL!$C$22, $C$13, 100%, $E$13)</f>
        <v>5.0690999999999997</v>
      </c>
      <c r="K250" s="64">
        <f>5.0693 * CHOOSE(CONTROL!$C$22, $C$13, 100%, $E$13)</f>
        <v>5.0693000000000001</v>
      </c>
    </row>
    <row r="251" spans="1:11" ht="15">
      <c r="A251" s="13">
        <v>49279</v>
      </c>
      <c r="B251" s="63">
        <f>4.4084 * CHOOSE(CONTROL!$C$22, $C$13, 100%, $E$13)</f>
        <v>4.4084000000000003</v>
      </c>
      <c r="C251" s="63">
        <f>4.4084 * CHOOSE(CONTROL!$C$22, $C$13, 100%, $E$13)</f>
        <v>4.4084000000000003</v>
      </c>
      <c r="D251" s="63">
        <f>4.4261 * CHOOSE(CONTROL!$C$22, $C$13, 100%, $E$13)</f>
        <v>4.4260999999999999</v>
      </c>
      <c r="E251" s="64">
        <f>5.0404 * CHOOSE(CONTROL!$C$22, $C$13, 100%, $E$13)</f>
        <v>5.0404</v>
      </c>
      <c r="F251" s="64">
        <f>5.0404 * CHOOSE(CONTROL!$C$22, $C$13, 100%, $E$13)</f>
        <v>5.0404</v>
      </c>
      <c r="G251" s="64">
        <f>5.0405 * CHOOSE(CONTROL!$C$22, $C$13, 100%, $E$13)</f>
        <v>5.0404999999999998</v>
      </c>
      <c r="H251" s="64">
        <f>9.1919* CHOOSE(CONTROL!$C$22, $C$13, 100%, $E$13)</f>
        <v>9.1919000000000004</v>
      </c>
      <c r="I251" s="64">
        <f>9.1921 * CHOOSE(CONTROL!$C$22, $C$13, 100%, $E$13)</f>
        <v>9.1920999999999999</v>
      </c>
      <c r="J251" s="64">
        <f>5.0404 * CHOOSE(CONTROL!$C$22, $C$13, 100%, $E$13)</f>
        <v>5.0404</v>
      </c>
      <c r="K251" s="64">
        <f>5.0405 * CHOOSE(CONTROL!$C$22, $C$13, 100%, $E$13)</f>
        <v>5.0404999999999998</v>
      </c>
    </row>
    <row r="252" spans="1:11" ht="15">
      <c r="A252" s="13">
        <v>49310</v>
      </c>
      <c r="B252" s="63">
        <f>4.4493 * CHOOSE(CONTROL!$C$22, $C$13, 100%, $E$13)</f>
        <v>4.4493</v>
      </c>
      <c r="C252" s="63">
        <f>4.4493 * CHOOSE(CONTROL!$C$22, $C$13, 100%, $E$13)</f>
        <v>4.4493</v>
      </c>
      <c r="D252" s="63">
        <f>4.467 * CHOOSE(CONTROL!$C$22, $C$13, 100%, $E$13)</f>
        <v>4.4669999999999996</v>
      </c>
      <c r="E252" s="64">
        <f>5.1042 * CHOOSE(CONTROL!$C$22, $C$13, 100%, $E$13)</f>
        <v>5.1041999999999996</v>
      </c>
      <c r="F252" s="64">
        <f>5.1042 * CHOOSE(CONTROL!$C$22, $C$13, 100%, $E$13)</f>
        <v>5.1041999999999996</v>
      </c>
      <c r="G252" s="64">
        <f>5.1043 * CHOOSE(CONTROL!$C$22, $C$13, 100%, $E$13)</f>
        <v>5.1043000000000003</v>
      </c>
      <c r="H252" s="64">
        <f>9.211* CHOOSE(CONTROL!$C$22, $C$13, 100%, $E$13)</f>
        <v>9.2110000000000003</v>
      </c>
      <c r="I252" s="64">
        <f>9.2112 * CHOOSE(CONTROL!$C$22, $C$13, 100%, $E$13)</f>
        <v>9.2111999999999998</v>
      </c>
      <c r="J252" s="64">
        <f>5.1042 * CHOOSE(CONTROL!$C$22, $C$13, 100%, $E$13)</f>
        <v>5.1041999999999996</v>
      </c>
      <c r="K252" s="64">
        <f>5.1043 * CHOOSE(CONTROL!$C$22, $C$13, 100%, $E$13)</f>
        <v>5.1043000000000003</v>
      </c>
    </row>
    <row r="253" spans="1:11" ht="15">
      <c r="A253" s="13">
        <v>49341</v>
      </c>
      <c r="B253" s="63">
        <f>4.4463 * CHOOSE(CONTROL!$C$22, $C$13, 100%, $E$13)</f>
        <v>4.4462999999999999</v>
      </c>
      <c r="C253" s="63">
        <f>4.4463 * CHOOSE(CONTROL!$C$22, $C$13, 100%, $E$13)</f>
        <v>4.4462999999999999</v>
      </c>
      <c r="D253" s="63">
        <f>4.4639 * CHOOSE(CONTROL!$C$22, $C$13, 100%, $E$13)</f>
        <v>4.4638999999999998</v>
      </c>
      <c r="E253" s="64">
        <f>5.0462 * CHOOSE(CONTROL!$C$22, $C$13, 100%, $E$13)</f>
        <v>5.0461999999999998</v>
      </c>
      <c r="F253" s="64">
        <f>5.0462 * CHOOSE(CONTROL!$C$22, $C$13, 100%, $E$13)</f>
        <v>5.0461999999999998</v>
      </c>
      <c r="G253" s="64">
        <f>5.0464 * CHOOSE(CONTROL!$C$22, $C$13, 100%, $E$13)</f>
        <v>5.0464000000000002</v>
      </c>
      <c r="H253" s="64">
        <f>9.2302* CHOOSE(CONTROL!$C$22, $C$13, 100%, $E$13)</f>
        <v>9.2302</v>
      </c>
      <c r="I253" s="64">
        <f>9.2304 * CHOOSE(CONTROL!$C$22, $C$13, 100%, $E$13)</f>
        <v>9.2303999999999995</v>
      </c>
      <c r="J253" s="64">
        <f>5.0462 * CHOOSE(CONTROL!$C$22, $C$13, 100%, $E$13)</f>
        <v>5.0461999999999998</v>
      </c>
      <c r="K253" s="64">
        <f>5.0464 * CHOOSE(CONTROL!$C$22, $C$13, 100%, $E$13)</f>
        <v>5.0464000000000002</v>
      </c>
    </row>
    <row r="254" spans="1:11" ht="15">
      <c r="A254" s="13">
        <v>49369</v>
      </c>
      <c r="B254" s="63">
        <f>4.4432 * CHOOSE(CONTROL!$C$22, $C$13, 100%, $E$13)</f>
        <v>4.4432</v>
      </c>
      <c r="C254" s="63">
        <f>4.4432 * CHOOSE(CONTROL!$C$22, $C$13, 100%, $E$13)</f>
        <v>4.4432</v>
      </c>
      <c r="D254" s="63">
        <f>4.4609 * CHOOSE(CONTROL!$C$22, $C$13, 100%, $E$13)</f>
        <v>4.4608999999999996</v>
      </c>
      <c r="E254" s="64">
        <f>5.0881 * CHOOSE(CONTROL!$C$22, $C$13, 100%, $E$13)</f>
        <v>5.0880999999999998</v>
      </c>
      <c r="F254" s="64">
        <f>5.0881 * CHOOSE(CONTROL!$C$22, $C$13, 100%, $E$13)</f>
        <v>5.0880999999999998</v>
      </c>
      <c r="G254" s="64">
        <f>5.0883 * CHOOSE(CONTROL!$C$22, $C$13, 100%, $E$13)</f>
        <v>5.0883000000000003</v>
      </c>
      <c r="H254" s="64">
        <f>9.2495* CHOOSE(CONTROL!$C$22, $C$13, 100%, $E$13)</f>
        <v>9.2494999999999994</v>
      </c>
      <c r="I254" s="64">
        <f>9.2496 * CHOOSE(CONTROL!$C$22, $C$13, 100%, $E$13)</f>
        <v>9.2495999999999992</v>
      </c>
      <c r="J254" s="64">
        <f>5.0881 * CHOOSE(CONTROL!$C$22, $C$13, 100%, $E$13)</f>
        <v>5.0880999999999998</v>
      </c>
      <c r="K254" s="64">
        <f>5.0883 * CHOOSE(CONTROL!$C$22, $C$13, 100%, $E$13)</f>
        <v>5.0883000000000003</v>
      </c>
    </row>
    <row r="255" spans="1:11" ht="15">
      <c r="A255" s="13">
        <v>49400</v>
      </c>
      <c r="B255" s="63">
        <f>4.4413 * CHOOSE(CONTROL!$C$22, $C$13, 100%, $E$13)</f>
        <v>4.4413</v>
      </c>
      <c r="C255" s="63">
        <f>4.4413 * CHOOSE(CONTROL!$C$22, $C$13, 100%, $E$13)</f>
        <v>4.4413</v>
      </c>
      <c r="D255" s="63">
        <f>4.459 * CHOOSE(CONTROL!$C$22, $C$13, 100%, $E$13)</f>
        <v>4.4589999999999996</v>
      </c>
      <c r="E255" s="64">
        <f>5.1311 * CHOOSE(CONTROL!$C$22, $C$13, 100%, $E$13)</f>
        <v>5.1311</v>
      </c>
      <c r="F255" s="64">
        <f>5.1311 * CHOOSE(CONTROL!$C$22, $C$13, 100%, $E$13)</f>
        <v>5.1311</v>
      </c>
      <c r="G255" s="64">
        <f>5.1313 * CHOOSE(CONTROL!$C$22, $C$13, 100%, $E$13)</f>
        <v>5.1313000000000004</v>
      </c>
      <c r="H255" s="64">
        <f>9.2687* CHOOSE(CONTROL!$C$22, $C$13, 100%, $E$13)</f>
        <v>9.2687000000000008</v>
      </c>
      <c r="I255" s="64">
        <f>9.2689 * CHOOSE(CONTROL!$C$22, $C$13, 100%, $E$13)</f>
        <v>9.2689000000000004</v>
      </c>
      <c r="J255" s="64">
        <f>5.1311 * CHOOSE(CONTROL!$C$22, $C$13, 100%, $E$13)</f>
        <v>5.1311</v>
      </c>
      <c r="K255" s="64">
        <f>5.1313 * CHOOSE(CONTROL!$C$22, $C$13, 100%, $E$13)</f>
        <v>5.1313000000000004</v>
      </c>
    </row>
    <row r="256" spans="1:11" ht="15">
      <c r="A256" s="13">
        <v>49430</v>
      </c>
      <c r="B256" s="63">
        <f>4.4413 * CHOOSE(CONTROL!$C$22, $C$13, 100%, $E$13)</f>
        <v>4.4413</v>
      </c>
      <c r="C256" s="63">
        <f>4.4413 * CHOOSE(CONTROL!$C$22, $C$13, 100%, $E$13)</f>
        <v>4.4413</v>
      </c>
      <c r="D256" s="63">
        <f>4.4766 * CHOOSE(CONTROL!$C$22, $C$13, 100%, $E$13)</f>
        <v>4.4766000000000004</v>
      </c>
      <c r="E256" s="64">
        <f>5.1489 * CHOOSE(CONTROL!$C$22, $C$13, 100%, $E$13)</f>
        <v>5.1489000000000003</v>
      </c>
      <c r="F256" s="64">
        <f>5.1489 * CHOOSE(CONTROL!$C$22, $C$13, 100%, $E$13)</f>
        <v>5.1489000000000003</v>
      </c>
      <c r="G256" s="64">
        <f>5.1511 * CHOOSE(CONTROL!$C$22, $C$13, 100%, $E$13)</f>
        <v>5.1510999999999996</v>
      </c>
      <c r="H256" s="64">
        <f>9.288* CHOOSE(CONTROL!$C$22, $C$13, 100%, $E$13)</f>
        <v>9.2880000000000003</v>
      </c>
      <c r="I256" s="64">
        <f>9.2902 * CHOOSE(CONTROL!$C$22, $C$13, 100%, $E$13)</f>
        <v>9.2902000000000005</v>
      </c>
      <c r="J256" s="64">
        <f>5.1489 * CHOOSE(CONTROL!$C$22, $C$13, 100%, $E$13)</f>
        <v>5.1489000000000003</v>
      </c>
      <c r="K256" s="64">
        <f>5.1511 * CHOOSE(CONTROL!$C$22, $C$13, 100%, $E$13)</f>
        <v>5.1510999999999996</v>
      </c>
    </row>
    <row r="257" spans="1:11" ht="15">
      <c r="A257" s="13">
        <v>49461</v>
      </c>
      <c r="B257" s="63">
        <f>4.4474 * CHOOSE(CONTROL!$C$22, $C$13, 100%, $E$13)</f>
        <v>4.4474</v>
      </c>
      <c r="C257" s="63">
        <f>4.4474 * CHOOSE(CONTROL!$C$22, $C$13, 100%, $E$13)</f>
        <v>4.4474</v>
      </c>
      <c r="D257" s="63">
        <f>4.4827 * CHOOSE(CONTROL!$C$22, $C$13, 100%, $E$13)</f>
        <v>4.4827000000000004</v>
      </c>
      <c r="E257" s="64">
        <f>5.1354 * CHOOSE(CONTROL!$C$22, $C$13, 100%, $E$13)</f>
        <v>5.1353999999999997</v>
      </c>
      <c r="F257" s="64">
        <f>5.1354 * CHOOSE(CONTROL!$C$22, $C$13, 100%, $E$13)</f>
        <v>5.1353999999999997</v>
      </c>
      <c r="G257" s="64">
        <f>5.1376 * CHOOSE(CONTROL!$C$22, $C$13, 100%, $E$13)</f>
        <v>5.1375999999999999</v>
      </c>
      <c r="H257" s="64">
        <f>9.3074* CHOOSE(CONTROL!$C$22, $C$13, 100%, $E$13)</f>
        <v>9.3073999999999995</v>
      </c>
      <c r="I257" s="64">
        <f>9.3096 * CHOOSE(CONTROL!$C$22, $C$13, 100%, $E$13)</f>
        <v>9.3095999999999997</v>
      </c>
      <c r="J257" s="64">
        <f>5.1354 * CHOOSE(CONTROL!$C$22, $C$13, 100%, $E$13)</f>
        <v>5.1353999999999997</v>
      </c>
      <c r="K257" s="64">
        <f>5.1376 * CHOOSE(CONTROL!$C$22, $C$13, 100%, $E$13)</f>
        <v>5.1375999999999999</v>
      </c>
    </row>
    <row r="258" spans="1:11" ht="15">
      <c r="A258" s="13">
        <v>49491</v>
      </c>
      <c r="B258" s="63">
        <f>4.5237 * CHOOSE(CONTROL!$C$22, $C$13, 100%, $E$13)</f>
        <v>4.5236999999999998</v>
      </c>
      <c r="C258" s="63">
        <f>4.5237 * CHOOSE(CONTROL!$C$22, $C$13, 100%, $E$13)</f>
        <v>4.5236999999999998</v>
      </c>
      <c r="D258" s="63">
        <f>4.5591 * CHOOSE(CONTROL!$C$22, $C$13, 100%, $E$13)</f>
        <v>4.5590999999999999</v>
      </c>
      <c r="E258" s="64">
        <f>5.2334 * CHOOSE(CONTROL!$C$22, $C$13, 100%, $E$13)</f>
        <v>5.2333999999999996</v>
      </c>
      <c r="F258" s="64">
        <f>5.2334 * CHOOSE(CONTROL!$C$22, $C$13, 100%, $E$13)</f>
        <v>5.2333999999999996</v>
      </c>
      <c r="G258" s="64">
        <f>5.2356 * CHOOSE(CONTROL!$C$22, $C$13, 100%, $E$13)</f>
        <v>5.2355999999999998</v>
      </c>
      <c r="H258" s="64">
        <f>9.3268* CHOOSE(CONTROL!$C$22, $C$13, 100%, $E$13)</f>
        <v>9.3268000000000004</v>
      </c>
      <c r="I258" s="64">
        <f>9.329 * CHOOSE(CONTROL!$C$22, $C$13, 100%, $E$13)</f>
        <v>9.3290000000000006</v>
      </c>
      <c r="J258" s="64">
        <f>5.2334 * CHOOSE(CONTROL!$C$22, $C$13, 100%, $E$13)</f>
        <v>5.2333999999999996</v>
      </c>
      <c r="K258" s="64">
        <f>5.2356 * CHOOSE(CONTROL!$C$22, $C$13, 100%, $E$13)</f>
        <v>5.2355999999999998</v>
      </c>
    </row>
    <row r="259" spans="1:11" ht="15">
      <c r="A259" s="13">
        <v>49522</v>
      </c>
      <c r="B259" s="63">
        <f>4.5304 * CHOOSE(CONTROL!$C$22, $C$13, 100%, $E$13)</f>
        <v>4.5304000000000002</v>
      </c>
      <c r="C259" s="63">
        <f>4.5304 * CHOOSE(CONTROL!$C$22, $C$13, 100%, $E$13)</f>
        <v>4.5304000000000002</v>
      </c>
      <c r="D259" s="63">
        <f>4.5657 * CHOOSE(CONTROL!$C$22, $C$13, 100%, $E$13)</f>
        <v>4.5656999999999996</v>
      </c>
      <c r="E259" s="64">
        <f>5.1849 * CHOOSE(CONTROL!$C$22, $C$13, 100%, $E$13)</f>
        <v>5.1848999999999998</v>
      </c>
      <c r="F259" s="64">
        <f>5.1849 * CHOOSE(CONTROL!$C$22, $C$13, 100%, $E$13)</f>
        <v>5.1848999999999998</v>
      </c>
      <c r="G259" s="64">
        <f>5.1871 * CHOOSE(CONTROL!$C$22, $C$13, 100%, $E$13)</f>
        <v>5.1871</v>
      </c>
      <c r="H259" s="64">
        <f>9.3462* CHOOSE(CONTROL!$C$22, $C$13, 100%, $E$13)</f>
        <v>9.3461999999999996</v>
      </c>
      <c r="I259" s="64">
        <f>9.3484 * CHOOSE(CONTROL!$C$22, $C$13, 100%, $E$13)</f>
        <v>9.3483999999999998</v>
      </c>
      <c r="J259" s="64">
        <f>5.1849 * CHOOSE(CONTROL!$C$22, $C$13, 100%, $E$13)</f>
        <v>5.1848999999999998</v>
      </c>
      <c r="K259" s="64">
        <f>5.1871 * CHOOSE(CONTROL!$C$22, $C$13, 100%, $E$13)</f>
        <v>5.1871</v>
      </c>
    </row>
    <row r="260" spans="1:11" ht="15">
      <c r="A260" s="13">
        <v>49553</v>
      </c>
      <c r="B260" s="63">
        <f>4.5274 * CHOOSE(CONTROL!$C$22, $C$13, 100%, $E$13)</f>
        <v>4.5274000000000001</v>
      </c>
      <c r="C260" s="63">
        <f>4.5274 * CHOOSE(CONTROL!$C$22, $C$13, 100%, $E$13)</f>
        <v>4.5274000000000001</v>
      </c>
      <c r="D260" s="63">
        <f>4.5627 * CHOOSE(CONTROL!$C$22, $C$13, 100%, $E$13)</f>
        <v>4.5627000000000004</v>
      </c>
      <c r="E260" s="64">
        <f>5.1768 * CHOOSE(CONTROL!$C$22, $C$13, 100%, $E$13)</f>
        <v>5.1768000000000001</v>
      </c>
      <c r="F260" s="64">
        <f>5.1768 * CHOOSE(CONTROL!$C$22, $C$13, 100%, $E$13)</f>
        <v>5.1768000000000001</v>
      </c>
      <c r="G260" s="64">
        <f>5.179 * CHOOSE(CONTROL!$C$22, $C$13, 100%, $E$13)</f>
        <v>5.1790000000000003</v>
      </c>
      <c r="H260" s="64">
        <f>9.3657* CHOOSE(CONTROL!$C$22, $C$13, 100%, $E$13)</f>
        <v>9.3657000000000004</v>
      </c>
      <c r="I260" s="64">
        <f>9.3679 * CHOOSE(CONTROL!$C$22, $C$13, 100%, $E$13)</f>
        <v>9.3679000000000006</v>
      </c>
      <c r="J260" s="64">
        <f>5.1768 * CHOOSE(CONTROL!$C$22, $C$13, 100%, $E$13)</f>
        <v>5.1768000000000001</v>
      </c>
      <c r="K260" s="64">
        <f>5.179 * CHOOSE(CONTROL!$C$22, $C$13, 100%, $E$13)</f>
        <v>5.1790000000000003</v>
      </c>
    </row>
    <row r="261" spans="1:11" ht="15">
      <c r="A261" s="13">
        <v>49583</v>
      </c>
      <c r="B261" s="63">
        <f>4.5244 * CHOOSE(CONTROL!$C$22, $C$13, 100%, $E$13)</f>
        <v>4.5244</v>
      </c>
      <c r="C261" s="63">
        <f>4.5244 * CHOOSE(CONTROL!$C$22, $C$13, 100%, $E$13)</f>
        <v>4.5244</v>
      </c>
      <c r="D261" s="63">
        <f>4.5421 * CHOOSE(CONTROL!$C$22, $C$13, 100%, $E$13)</f>
        <v>4.5420999999999996</v>
      </c>
      <c r="E261" s="64">
        <f>5.1871 * CHOOSE(CONTROL!$C$22, $C$13, 100%, $E$13)</f>
        <v>5.1871</v>
      </c>
      <c r="F261" s="64">
        <f>5.1871 * CHOOSE(CONTROL!$C$22, $C$13, 100%, $E$13)</f>
        <v>5.1871</v>
      </c>
      <c r="G261" s="64">
        <f>5.1872 * CHOOSE(CONTROL!$C$22, $C$13, 100%, $E$13)</f>
        <v>5.1871999999999998</v>
      </c>
      <c r="H261" s="64">
        <f>9.3852* CHOOSE(CONTROL!$C$22, $C$13, 100%, $E$13)</f>
        <v>9.3851999999999993</v>
      </c>
      <c r="I261" s="64">
        <f>9.3854 * CHOOSE(CONTROL!$C$22, $C$13, 100%, $E$13)</f>
        <v>9.3854000000000006</v>
      </c>
      <c r="J261" s="64">
        <f>5.1871 * CHOOSE(CONTROL!$C$22, $C$13, 100%, $E$13)</f>
        <v>5.1871</v>
      </c>
      <c r="K261" s="64">
        <f>5.1872 * CHOOSE(CONTROL!$C$22, $C$13, 100%, $E$13)</f>
        <v>5.1871999999999998</v>
      </c>
    </row>
    <row r="262" spans="1:11" ht="15">
      <c r="A262" s="13">
        <v>49614</v>
      </c>
      <c r="B262" s="63">
        <f>4.5275 * CHOOSE(CONTROL!$C$22, $C$13, 100%, $E$13)</f>
        <v>4.5274999999999999</v>
      </c>
      <c r="C262" s="63">
        <f>4.5275 * CHOOSE(CONTROL!$C$22, $C$13, 100%, $E$13)</f>
        <v>4.5274999999999999</v>
      </c>
      <c r="D262" s="63">
        <f>4.5451 * CHOOSE(CONTROL!$C$22, $C$13, 100%, $E$13)</f>
        <v>4.5450999999999997</v>
      </c>
      <c r="E262" s="64">
        <f>5.201 * CHOOSE(CONTROL!$C$22, $C$13, 100%, $E$13)</f>
        <v>5.2009999999999996</v>
      </c>
      <c r="F262" s="64">
        <f>5.201 * CHOOSE(CONTROL!$C$22, $C$13, 100%, $E$13)</f>
        <v>5.2009999999999996</v>
      </c>
      <c r="G262" s="64">
        <f>5.2012 * CHOOSE(CONTROL!$C$22, $C$13, 100%, $E$13)</f>
        <v>5.2012</v>
      </c>
      <c r="H262" s="64">
        <f>9.4047* CHOOSE(CONTROL!$C$22, $C$13, 100%, $E$13)</f>
        <v>9.4047000000000001</v>
      </c>
      <c r="I262" s="64">
        <f>9.4049 * CHOOSE(CONTROL!$C$22, $C$13, 100%, $E$13)</f>
        <v>9.4048999999999996</v>
      </c>
      <c r="J262" s="64">
        <f>5.201 * CHOOSE(CONTROL!$C$22, $C$13, 100%, $E$13)</f>
        <v>5.2009999999999996</v>
      </c>
      <c r="K262" s="64">
        <f>5.2012 * CHOOSE(CONTROL!$C$22, $C$13, 100%, $E$13)</f>
        <v>5.2012</v>
      </c>
    </row>
    <row r="263" spans="1:11" ht="15">
      <c r="A263" s="13">
        <v>49644</v>
      </c>
      <c r="B263" s="63">
        <f>4.5275 * CHOOSE(CONTROL!$C$22, $C$13, 100%, $E$13)</f>
        <v>4.5274999999999999</v>
      </c>
      <c r="C263" s="63">
        <f>4.5275 * CHOOSE(CONTROL!$C$22, $C$13, 100%, $E$13)</f>
        <v>4.5274999999999999</v>
      </c>
      <c r="D263" s="63">
        <f>4.5451 * CHOOSE(CONTROL!$C$22, $C$13, 100%, $E$13)</f>
        <v>4.5450999999999997</v>
      </c>
      <c r="E263" s="64">
        <f>5.1715 * CHOOSE(CONTROL!$C$22, $C$13, 100%, $E$13)</f>
        <v>5.1715</v>
      </c>
      <c r="F263" s="64">
        <f>5.1715 * CHOOSE(CONTROL!$C$22, $C$13, 100%, $E$13)</f>
        <v>5.1715</v>
      </c>
      <c r="G263" s="64">
        <f>5.1716 * CHOOSE(CONTROL!$C$22, $C$13, 100%, $E$13)</f>
        <v>5.1715999999999998</v>
      </c>
      <c r="H263" s="64">
        <f>9.4243* CHOOSE(CONTROL!$C$22, $C$13, 100%, $E$13)</f>
        <v>9.4243000000000006</v>
      </c>
      <c r="I263" s="64">
        <f>9.4245 * CHOOSE(CONTROL!$C$22, $C$13, 100%, $E$13)</f>
        <v>9.4245000000000001</v>
      </c>
      <c r="J263" s="64">
        <f>5.1715 * CHOOSE(CONTROL!$C$22, $C$13, 100%, $E$13)</f>
        <v>5.1715</v>
      </c>
      <c r="K263" s="64">
        <f>5.1716 * CHOOSE(CONTROL!$C$22, $C$13, 100%, $E$13)</f>
        <v>5.1715999999999998</v>
      </c>
    </row>
    <row r="264" spans="1:11" ht="15">
      <c r="A264" s="13">
        <v>49675</v>
      </c>
      <c r="B264" s="63">
        <f>4.5704 * CHOOSE(CONTROL!$C$22, $C$13, 100%, $E$13)</f>
        <v>4.5704000000000002</v>
      </c>
      <c r="C264" s="63">
        <f>4.5704 * CHOOSE(CONTROL!$C$22, $C$13, 100%, $E$13)</f>
        <v>4.5704000000000002</v>
      </c>
      <c r="D264" s="63">
        <f>4.588 * CHOOSE(CONTROL!$C$22, $C$13, 100%, $E$13)</f>
        <v>4.5880000000000001</v>
      </c>
      <c r="E264" s="64">
        <f>5.2414 * CHOOSE(CONTROL!$C$22, $C$13, 100%, $E$13)</f>
        <v>5.2413999999999996</v>
      </c>
      <c r="F264" s="64">
        <f>5.2414 * CHOOSE(CONTROL!$C$22, $C$13, 100%, $E$13)</f>
        <v>5.2413999999999996</v>
      </c>
      <c r="G264" s="64">
        <f>5.2415 * CHOOSE(CONTROL!$C$22, $C$13, 100%, $E$13)</f>
        <v>5.2415000000000003</v>
      </c>
      <c r="H264" s="64">
        <f>9.444* CHOOSE(CONTROL!$C$22, $C$13, 100%, $E$13)</f>
        <v>9.4440000000000008</v>
      </c>
      <c r="I264" s="64">
        <f>9.4442 * CHOOSE(CONTROL!$C$22, $C$13, 100%, $E$13)</f>
        <v>9.4442000000000004</v>
      </c>
      <c r="J264" s="64">
        <f>5.2414 * CHOOSE(CONTROL!$C$22, $C$13, 100%, $E$13)</f>
        <v>5.2413999999999996</v>
      </c>
      <c r="K264" s="64">
        <f>5.2415 * CHOOSE(CONTROL!$C$22, $C$13, 100%, $E$13)</f>
        <v>5.2415000000000003</v>
      </c>
    </row>
    <row r="265" spans="1:11" ht="15">
      <c r="A265" s="13">
        <v>49706</v>
      </c>
      <c r="B265" s="63">
        <f>4.5673 * CHOOSE(CONTROL!$C$22, $C$13, 100%, $E$13)</f>
        <v>4.5673000000000004</v>
      </c>
      <c r="C265" s="63">
        <f>4.5673 * CHOOSE(CONTROL!$C$22, $C$13, 100%, $E$13)</f>
        <v>4.5673000000000004</v>
      </c>
      <c r="D265" s="63">
        <f>4.585 * CHOOSE(CONTROL!$C$22, $C$13, 100%, $E$13)</f>
        <v>4.585</v>
      </c>
      <c r="E265" s="64">
        <f>5.1819 * CHOOSE(CONTROL!$C$22, $C$13, 100%, $E$13)</f>
        <v>5.1818999999999997</v>
      </c>
      <c r="F265" s="64">
        <f>5.1819 * CHOOSE(CONTROL!$C$22, $C$13, 100%, $E$13)</f>
        <v>5.1818999999999997</v>
      </c>
      <c r="G265" s="64">
        <f>5.182 * CHOOSE(CONTROL!$C$22, $C$13, 100%, $E$13)</f>
        <v>5.1820000000000004</v>
      </c>
      <c r="H265" s="64">
        <f>9.4636* CHOOSE(CONTROL!$C$22, $C$13, 100%, $E$13)</f>
        <v>9.4635999999999996</v>
      </c>
      <c r="I265" s="64">
        <f>9.4638 * CHOOSE(CONTROL!$C$22, $C$13, 100%, $E$13)</f>
        <v>9.4638000000000009</v>
      </c>
      <c r="J265" s="64">
        <f>5.1819 * CHOOSE(CONTROL!$C$22, $C$13, 100%, $E$13)</f>
        <v>5.1818999999999997</v>
      </c>
      <c r="K265" s="64">
        <f>5.182 * CHOOSE(CONTROL!$C$22, $C$13, 100%, $E$13)</f>
        <v>5.1820000000000004</v>
      </c>
    </row>
    <row r="266" spans="1:11" ht="15">
      <c r="A266" s="13">
        <v>49735</v>
      </c>
      <c r="B266" s="63">
        <f>4.5643 * CHOOSE(CONTROL!$C$22, $C$13, 100%, $E$13)</f>
        <v>4.5643000000000002</v>
      </c>
      <c r="C266" s="63">
        <f>4.5643 * CHOOSE(CONTROL!$C$22, $C$13, 100%, $E$13)</f>
        <v>4.5643000000000002</v>
      </c>
      <c r="D266" s="63">
        <f>4.582 * CHOOSE(CONTROL!$C$22, $C$13, 100%, $E$13)</f>
        <v>4.5819999999999999</v>
      </c>
      <c r="E266" s="64">
        <f>5.225 * CHOOSE(CONTROL!$C$22, $C$13, 100%, $E$13)</f>
        <v>5.2249999999999996</v>
      </c>
      <c r="F266" s="64">
        <f>5.225 * CHOOSE(CONTROL!$C$22, $C$13, 100%, $E$13)</f>
        <v>5.2249999999999996</v>
      </c>
      <c r="G266" s="64">
        <f>5.2251 * CHOOSE(CONTROL!$C$22, $C$13, 100%, $E$13)</f>
        <v>5.2251000000000003</v>
      </c>
      <c r="H266" s="64">
        <f>9.4834* CHOOSE(CONTROL!$C$22, $C$13, 100%, $E$13)</f>
        <v>9.4833999999999996</v>
      </c>
      <c r="I266" s="64">
        <f>9.4835 * CHOOSE(CONTROL!$C$22, $C$13, 100%, $E$13)</f>
        <v>9.4834999999999994</v>
      </c>
      <c r="J266" s="64">
        <f>5.225 * CHOOSE(CONTROL!$C$22, $C$13, 100%, $E$13)</f>
        <v>5.2249999999999996</v>
      </c>
      <c r="K266" s="64">
        <f>5.2251 * CHOOSE(CONTROL!$C$22, $C$13, 100%, $E$13)</f>
        <v>5.2251000000000003</v>
      </c>
    </row>
    <row r="267" spans="1:11" ht="15">
      <c r="A267" s="13">
        <v>49766</v>
      </c>
      <c r="B267" s="63">
        <f>4.5625 * CHOOSE(CONTROL!$C$22, $C$13, 100%, $E$13)</f>
        <v>4.5625</v>
      </c>
      <c r="C267" s="63">
        <f>4.5625 * CHOOSE(CONTROL!$C$22, $C$13, 100%, $E$13)</f>
        <v>4.5625</v>
      </c>
      <c r="D267" s="63">
        <f>4.5802 * CHOOSE(CONTROL!$C$22, $C$13, 100%, $E$13)</f>
        <v>4.5801999999999996</v>
      </c>
      <c r="E267" s="64">
        <f>5.2693 * CHOOSE(CONTROL!$C$22, $C$13, 100%, $E$13)</f>
        <v>5.2693000000000003</v>
      </c>
      <c r="F267" s="64">
        <f>5.2693 * CHOOSE(CONTROL!$C$22, $C$13, 100%, $E$13)</f>
        <v>5.2693000000000003</v>
      </c>
      <c r="G267" s="64">
        <f>5.2695 * CHOOSE(CONTROL!$C$22, $C$13, 100%, $E$13)</f>
        <v>5.2694999999999999</v>
      </c>
      <c r="H267" s="64">
        <f>9.5031* CHOOSE(CONTROL!$C$22, $C$13, 100%, $E$13)</f>
        <v>9.5030999999999999</v>
      </c>
      <c r="I267" s="64">
        <f>9.5033 * CHOOSE(CONTROL!$C$22, $C$13, 100%, $E$13)</f>
        <v>9.5032999999999994</v>
      </c>
      <c r="J267" s="64">
        <f>5.2693 * CHOOSE(CONTROL!$C$22, $C$13, 100%, $E$13)</f>
        <v>5.2693000000000003</v>
      </c>
      <c r="K267" s="64">
        <f>5.2695 * CHOOSE(CONTROL!$C$22, $C$13, 100%, $E$13)</f>
        <v>5.2694999999999999</v>
      </c>
    </row>
    <row r="268" spans="1:11" ht="15">
      <c r="A268" s="13">
        <v>49796</v>
      </c>
      <c r="B268" s="63">
        <f>4.5625 * CHOOSE(CONTROL!$C$22, $C$13, 100%, $E$13)</f>
        <v>4.5625</v>
      </c>
      <c r="C268" s="63">
        <f>4.5625 * CHOOSE(CONTROL!$C$22, $C$13, 100%, $E$13)</f>
        <v>4.5625</v>
      </c>
      <c r="D268" s="63">
        <f>4.5978 * CHOOSE(CONTROL!$C$22, $C$13, 100%, $E$13)</f>
        <v>4.5978000000000003</v>
      </c>
      <c r="E268" s="64">
        <f>5.2875 * CHOOSE(CONTROL!$C$22, $C$13, 100%, $E$13)</f>
        <v>5.2874999999999996</v>
      </c>
      <c r="F268" s="64">
        <f>5.2875 * CHOOSE(CONTROL!$C$22, $C$13, 100%, $E$13)</f>
        <v>5.2874999999999996</v>
      </c>
      <c r="G268" s="64">
        <f>5.2897 * CHOOSE(CONTROL!$C$22, $C$13, 100%, $E$13)</f>
        <v>5.2896999999999998</v>
      </c>
      <c r="H268" s="64">
        <f>9.5229* CHOOSE(CONTROL!$C$22, $C$13, 100%, $E$13)</f>
        <v>9.5228999999999999</v>
      </c>
      <c r="I268" s="64">
        <f>9.5251 * CHOOSE(CONTROL!$C$22, $C$13, 100%, $E$13)</f>
        <v>9.5251000000000001</v>
      </c>
      <c r="J268" s="64">
        <f>5.2875 * CHOOSE(CONTROL!$C$22, $C$13, 100%, $E$13)</f>
        <v>5.2874999999999996</v>
      </c>
      <c r="K268" s="64">
        <f>5.2897 * CHOOSE(CONTROL!$C$22, $C$13, 100%, $E$13)</f>
        <v>5.2896999999999998</v>
      </c>
    </row>
    <row r="269" spans="1:11" ht="15">
      <c r="A269" s="13">
        <v>49827</v>
      </c>
      <c r="B269" s="63">
        <f>4.5686 * CHOOSE(CONTROL!$C$22, $C$13, 100%, $E$13)</f>
        <v>4.5686</v>
      </c>
      <c r="C269" s="63">
        <f>4.5686 * CHOOSE(CONTROL!$C$22, $C$13, 100%, $E$13)</f>
        <v>4.5686</v>
      </c>
      <c r="D269" s="63">
        <f>4.6039 * CHOOSE(CONTROL!$C$22, $C$13, 100%, $E$13)</f>
        <v>4.6039000000000003</v>
      </c>
      <c r="E269" s="64">
        <f>5.2735 * CHOOSE(CONTROL!$C$22, $C$13, 100%, $E$13)</f>
        <v>5.2735000000000003</v>
      </c>
      <c r="F269" s="64">
        <f>5.2735 * CHOOSE(CONTROL!$C$22, $C$13, 100%, $E$13)</f>
        <v>5.2735000000000003</v>
      </c>
      <c r="G269" s="64">
        <f>5.2757 * CHOOSE(CONTROL!$C$22, $C$13, 100%, $E$13)</f>
        <v>5.2756999999999996</v>
      </c>
      <c r="H269" s="64">
        <f>9.5428* CHOOSE(CONTROL!$C$22, $C$13, 100%, $E$13)</f>
        <v>9.5427999999999997</v>
      </c>
      <c r="I269" s="64">
        <f>9.5449 * CHOOSE(CONTROL!$C$22, $C$13, 100%, $E$13)</f>
        <v>9.5449000000000002</v>
      </c>
      <c r="J269" s="64">
        <f>5.2735 * CHOOSE(CONTROL!$C$22, $C$13, 100%, $E$13)</f>
        <v>5.2735000000000003</v>
      </c>
      <c r="K269" s="64">
        <f>5.2757 * CHOOSE(CONTROL!$C$22, $C$13, 100%, $E$13)</f>
        <v>5.2756999999999996</v>
      </c>
    </row>
    <row r="270" spans="1:11" ht="15">
      <c r="A270" s="13">
        <v>49857</v>
      </c>
      <c r="B270" s="63">
        <f>4.6492 * CHOOSE(CONTROL!$C$22, $C$13, 100%, $E$13)</f>
        <v>4.6492000000000004</v>
      </c>
      <c r="C270" s="63">
        <f>4.6492 * CHOOSE(CONTROL!$C$22, $C$13, 100%, $E$13)</f>
        <v>4.6492000000000004</v>
      </c>
      <c r="D270" s="63">
        <f>4.6845 * CHOOSE(CONTROL!$C$22, $C$13, 100%, $E$13)</f>
        <v>4.6844999999999999</v>
      </c>
      <c r="E270" s="64">
        <f>5.3842 * CHOOSE(CONTROL!$C$22, $C$13, 100%, $E$13)</f>
        <v>5.3841999999999999</v>
      </c>
      <c r="F270" s="64">
        <f>5.3842 * CHOOSE(CONTROL!$C$22, $C$13, 100%, $E$13)</f>
        <v>5.3841999999999999</v>
      </c>
      <c r="G270" s="64">
        <f>5.3864 * CHOOSE(CONTROL!$C$22, $C$13, 100%, $E$13)</f>
        <v>5.3864000000000001</v>
      </c>
      <c r="H270" s="64">
        <f>9.5626* CHOOSE(CONTROL!$C$22, $C$13, 100%, $E$13)</f>
        <v>9.5625999999999998</v>
      </c>
      <c r="I270" s="64">
        <f>9.5648 * CHOOSE(CONTROL!$C$22, $C$13, 100%, $E$13)</f>
        <v>9.5648</v>
      </c>
      <c r="J270" s="64">
        <f>5.3842 * CHOOSE(CONTROL!$C$22, $C$13, 100%, $E$13)</f>
        <v>5.3841999999999999</v>
      </c>
      <c r="K270" s="64">
        <f>5.3864 * CHOOSE(CONTROL!$C$22, $C$13, 100%, $E$13)</f>
        <v>5.3864000000000001</v>
      </c>
    </row>
    <row r="271" spans="1:11" ht="15">
      <c r="A271" s="13">
        <v>49888</v>
      </c>
      <c r="B271" s="63">
        <f>4.6559 * CHOOSE(CONTROL!$C$22, $C$13, 100%, $E$13)</f>
        <v>4.6558999999999999</v>
      </c>
      <c r="C271" s="63">
        <f>4.6559 * CHOOSE(CONTROL!$C$22, $C$13, 100%, $E$13)</f>
        <v>4.6558999999999999</v>
      </c>
      <c r="D271" s="63">
        <f>4.6912 * CHOOSE(CONTROL!$C$22, $C$13, 100%, $E$13)</f>
        <v>4.6912000000000003</v>
      </c>
      <c r="E271" s="64">
        <f>5.3342 * CHOOSE(CONTROL!$C$22, $C$13, 100%, $E$13)</f>
        <v>5.3342000000000001</v>
      </c>
      <c r="F271" s="64">
        <f>5.3342 * CHOOSE(CONTROL!$C$22, $C$13, 100%, $E$13)</f>
        <v>5.3342000000000001</v>
      </c>
      <c r="G271" s="64">
        <f>5.3364 * CHOOSE(CONTROL!$C$22, $C$13, 100%, $E$13)</f>
        <v>5.3364000000000003</v>
      </c>
      <c r="H271" s="64">
        <f>9.5826* CHOOSE(CONTROL!$C$22, $C$13, 100%, $E$13)</f>
        <v>9.5825999999999993</v>
      </c>
      <c r="I271" s="64">
        <f>9.5847 * CHOOSE(CONTROL!$C$22, $C$13, 100%, $E$13)</f>
        <v>9.5846999999999998</v>
      </c>
      <c r="J271" s="64">
        <f>5.3342 * CHOOSE(CONTROL!$C$22, $C$13, 100%, $E$13)</f>
        <v>5.3342000000000001</v>
      </c>
      <c r="K271" s="64">
        <f>5.3364 * CHOOSE(CONTROL!$C$22, $C$13, 100%, $E$13)</f>
        <v>5.3364000000000003</v>
      </c>
    </row>
    <row r="272" spans="1:11" ht="15">
      <c r="A272" s="13">
        <v>49919</v>
      </c>
      <c r="B272" s="63">
        <f>4.6528 * CHOOSE(CONTROL!$C$22, $C$13, 100%, $E$13)</f>
        <v>4.6528</v>
      </c>
      <c r="C272" s="63">
        <f>4.6528 * CHOOSE(CONTROL!$C$22, $C$13, 100%, $E$13)</f>
        <v>4.6528</v>
      </c>
      <c r="D272" s="63">
        <f>4.6881 * CHOOSE(CONTROL!$C$22, $C$13, 100%, $E$13)</f>
        <v>4.6881000000000004</v>
      </c>
      <c r="E272" s="64">
        <f>5.326 * CHOOSE(CONTROL!$C$22, $C$13, 100%, $E$13)</f>
        <v>5.3259999999999996</v>
      </c>
      <c r="F272" s="64">
        <f>5.326 * CHOOSE(CONTROL!$C$22, $C$13, 100%, $E$13)</f>
        <v>5.3259999999999996</v>
      </c>
      <c r="G272" s="64">
        <f>5.3282 * CHOOSE(CONTROL!$C$22, $C$13, 100%, $E$13)</f>
        <v>5.3281999999999998</v>
      </c>
      <c r="H272" s="64">
        <f>9.6025* CHOOSE(CONTROL!$C$22, $C$13, 100%, $E$13)</f>
        <v>9.6024999999999991</v>
      </c>
      <c r="I272" s="64">
        <f>9.6047 * CHOOSE(CONTROL!$C$22, $C$13, 100%, $E$13)</f>
        <v>9.6046999999999993</v>
      </c>
      <c r="J272" s="64">
        <f>5.326 * CHOOSE(CONTROL!$C$22, $C$13, 100%, $E$13)</f>
        <v>5.3259999999999996</v>
      </c>
      <c r="K272" s="64">
        <f>5.3282 * CHOOSE(CONTROL!$C$22, $C$13, 100%, $E$13)</f>
        <v>5.3281999999999998</v>
      </c>
    </row>
    <row r="273" spans="1:11" ht="15">
      <c r="A273" s="13">
        <v>49949</v>
      </c>
      <c r="B273" s="63">
        <f>4.6503 * CHOOSE(CONTROL!$C$22, $C$13, 100%, $E$13)</f>
        <v>4.6502999999999997</v>
      </c>
      <c r="C273" s="63">
        <f>4.6503 * CHOOSE(CONTROL!$C$22, $C$13, 100%, $E$13)</f>
        <v>4.6502999999999997</v>
      </c>
      <c r="D273" s="63">
        <f>4.6679 * CHOOSE(CONTROL!$C$22, $C$13, 100%, $E$13)</f>
        <v>4.6679000000000004</v>
      </c>
      <c r="E273" s="64">
        <f>5.3369 * CHOOSE(CONTROL!$C$22, $C$13, 100%, $E$13)</f>
        <v>5.3369</v>
      </c>
      <c r="F273" s="64">
        <f>5.3369 * CHOOSE(CONTROL!$C$22, $C$13, 100%, $E$13)</f>
        <v>5.3369</v>
      </c>
      <c r="G273" s="64">
        <f>5.3371 * CHOOSE(CONTROL!$C$22, $C$13, 100%, $E$13)</f>
        <v>5.3371000000000004</v>
      </c>
      <c r="H273" s="64">
        <f>9.6225* CHOOSE(CONTROL!$C$22, $C$13, 100%, $E$13)</f>
        <v>9.6225000000000005</v>
      </c>
      <c r="I273" s="64">
        <f>9.6227 * CHOOSE(CONTROL!$C$22, $C$13, 100%, $E$13)</f>
        <v>9.6227</v>
      </c>
      <c r="J273" s="64">
        <f>5.3369 * CHOOSE(CONTROL!$C$22, $C$13, 100%, $E$13)</f>
        <v>5.3369</v>
      </c>
      <c r="K273" s="64">
        <f>5.3371 * CHOOSE(CONTROL!$C$22, $C$13, 100%, $E$13)</f>
        <v>5.3371000000000004</v>
      </c>
    </row>
    <row r="274" spans="1:11" ht="15">
      <c r="A274" s="13">
        <v>49980</v>
      </c>
      <c r="B274" s="63">
        <f>4.6533 * CHOOSE(CONTROL!$C$22, $C$13, 100%, $E$13)</f>
        <v>4.6532999999999998</v>
      </c>
      <c r="C274" s="63">
        <f>4.6533 * CHOOSE(CONTROL!$C$22, $C$13, 100%, $E$13)</f>
        <v>4.6532999999999998</v>
      </c>
      <c r="D274" s="63">
        <f>4.671 * CHOOSE(CONTROL!$C$22, $C$13, 100%, $E$13)</f>
        <v>4.6710000000000003</v>
      </c>
      <c r="E274" s="64">
        <f>5.3512 * CHOOSE(CONTROL!$C$22, $C$13, 100%, $E$13)</f>
        <v>5.3512000000000004</v>
      </c>
      <c r="F274" s="64">
        <f>5.3512 * CHOOSE(CONTROL!$C$22, $C$13, 100%, $E$13)</f>
        <v>5.3512000000000004</v>
      </c>
      <c r="G274" s="64">
        <f>5.3513 * CHOOSE(CONTROL!$C$22, $C$13, 100%, $E$13)</f>
        <v>5.3513000000000002</v>
      </c>
      <c r="H274" s="64">
        <f>9.6426* CHOOSE(CONTROL!$C$22, $C$13, 100%, $E$13)</f>
        <v>9.6425999999999998</v>
      </c>
      <c r="I274" s="64">
        <f>9.6428 * CHOOSE(CONTROL!$C$22, $C$13, 100%, $E$13)</f>
        <v>9.6427999999999994</v>
      </c>
      <c r="J274" s="64">
        <f>5.3512 * CHOOSE(CONTROL!$C$22, $C$13, 100%, $E$13)</f>
        <v>5.3512000000000004</v>
      </c>
      <c r="K274" s="64">
        <f>5.3513 * CHOOSE(CONTROL!$C$22, $C$13, 100%, $E$13)</f>
        <v>5.3513000000000002</v>
      </c>
    </row>
    <row r="275" spans="1:11" ht="15">
      <c r="A275" s="13">
        <v>50010</v>
      </c>
      <c r="B275" s="63">
        <f>4.6533 * CHOOSE(CONTROL!$C$22, $C$13, 100%, $E$13)</f>
        <v>4.6532999999999998</v>
      </c>
      <c r="C275" s="63">
        <f>4.6533 * CHOOSE(CONTROL!$C$22, $C$13, 100%, $E$13)</f>
        <v>4.6532999999999998</v>
      </c>
      <c r="D275" s="63">
        <f>4.671 * CHOOSE(CONTROL!$C$22, $C$13, 100%, $E$13)</f>
        <v>4.6710000000000003</v>
      </c>
      <c r="E275" s="64">
        <f>5.3208 * CHOOSE(CONTROL!$C$22, $C$13, 100%, $E$13)</f>
        <v>5.3208000000000002</v>
      </c>
      <c r="F275" s="64">
        <f>5.3208 * CHOOSE(CONTROL!$C$22, $C$13, 100%, $E$13)</f>
        <v>5.3208000000000002</v>
      </c>
      <c r="G275" s="64">
        <f>5.321 * CHOOSE(CONTROL!$C$22, $C$13, 100%, $E$13)</f>
        <v>5.3209999999999997</v>
      </c>
      <c r="H275" s="64">
        <f>9.6627* CHOOSE(CONTROL!$C$22, $C$13, 100%, $E$13)</f>
        <v>9.6626999999999992</v>
      </c>
      <c r="I275" s="64">
        <f>9.6628 * CHOOSE(CONTROL!$C$22, $C$13, 100%, $E$13)</f>
        <v>9.6628000000000007</v>
      </c>
      <c r="J275" s="64">
        <f>5.3208 * CHOOSE(CONTROL!$C$22, $C$13, 100%, $E$13)</f>
        <v>5.3208000000000002</v>
      </c>
      <c r="K275" s="64">
        <f>5.321 * CHOOSE(CONTROL!$C$22, $C$13, 100%, $E$13)</f>
        <v>5.3209999999999997</v>
      </c>
    </row>
    <row r="276" spans="1:11" ht="15">
      <c r="A276" s="13">
        <v>50041</v>
      </c>
      <c r="B276" s="63">
        <f>4.6966 * CHOOSE(CONTROL!$C$22, $C$13, 100%, $E$13)</f>
        <v>4.6966000000000001</v>
      </c>
      <c r="C276" s="63">
        <f>4.6966 * CHOOSE(CONTROL!$C$22, $C$13, 100%, $E$13)</f>
        <v>4.6966000000000001</v>
      </c>
      <c r="D276" s="63">
        <f>4.7143 * CHOOSE(CONTROL!$C$22, $C$13, 100%, $E$13)</f>
        <v>4.7142999999999997</v>
      </c>
      <c r="E276" s="64">
        <f>5.3901 * CHOOSE(CONTROL!$C$22, $C$13, 100%, $E$13)</f>
        <v>5.3901000000000003</v>
      </c>
      <c r="F276" s="64">
        <f>5.3901 * CHOOSE(CONTROL!$C$22, $C$13, 100%, $E$13)</f>
        <v>5.3901000000000003</v>
      </c>
      <c r="G276" s="64">
        <f>5.3903 * CHOOSE(CONTROL!$C$22, $C$13, 100%, $E$13)</f>
        <v>5.3902999999999999</v>
      </c>
      <c r="H276" s="64">
        <f>9.6828* CHOOSE(CONTROL!$C$22, $C$13, 100%, $E$13)</f>
        <v>9.6828000000000003</v>
      </c>
      <c r="I276" s="64">
        <f>9.683 * CHOOSE(CONTROL!$C$22, $C$13, 100%, $E$13)</f>
        <v>9.6829999999999998</v>
      </c>
      <c r="J276" s="64">
        <f>5.3901 * CHOOSE(CONTROL!$C$22, $C$13, 100%, $E$13)</f>
        <v>5.3901000000000003</v>
      </c>
      <c r="K276" s="64">
        <f>5.3903 * CHOOSE(CONTROL!$C$22, $C$13, 100%, $E$13)</f>
        <v>5.3902999999999999</v>
      </c>
    </row>
    <row r="277" spans="1:11" ht="15">
      <c r="A277" s="13">
        <v>50072</v>
      </c>
      <c r="B277" s="63">
        <f>4.6936 * CHOOSE(CONTROL!$C$22, $C$13, 100%, $E$13)</f>
        <v>4.6936</v>
      </c>
      <c r="C277" s="63">
        <f>4.6936 * CHOOSE(CONTROL!$C$22, $C$13, 100%, $E$13)</f>
        <v>4.6936</v>
      </c>
      <c r="D277" s="63">
        <f>4.7112 * CHOOSE(CONTROL!$C$22, $C$13, 100%, $E$13)</f>
        <v>4.7111999999999998</v>
      </c>
      <c r="E277" s="64">
        <f>5.3291 * CHOOSE(CONTROL!$C$22, $C$13, 100%, $E$13)</f>
        <v>5.3291000000000004</v>
      </c>
      <c r="F277" s="64">
        <f>5.3291 * CHOOSE(CONTROL!$C$22, $C$13, 100%, $E$13)</f>
        <v>5.3291000000000004</v>
      </c>
      <c r="G277" s="64">
        <f>5.3293 * CHOOSE(CONTROL!$C$22, $C$13, 100%, $E$13)</f>
        <v>5.3292999999999999</v>
      </c>
      <c r="H277" s="64">
        <f>9.703* CHOOSE(CONTROL!$C$22, $C$13, 100%, $E$13)</f>
        <v>9.7029999999999994</v>
      </c>
      <c r="I277" s="64">
        <f>9.7031 * CHOOSE(CONTROL!$C$22, $C$13, 100%, $E$13)</f>
        <v>9.7030999999999992</v>
      </c>
      <c r="J277" s="64">
        <f>5.3291 * CHOOSE(CONTROL!$C$22, $C$13, 100%, $E$13)</f>
        <v>5.3291000000000004</v>
      </c>
      <c r="K277" s="64">
        <f>5.3293 * CHOOSE(CONTROL!$C$22, $C$13, 100%, $E$13)</f>
        <v>5.3292999999999999</v>
      </c>
    </row>
    <row r="278" spans="1:11" ht="15">
      <c r="A278" s="13">
        <v>50100</v>
      </c>
      <c r="B278" s="63">
        <f>4.6905 * CHOOSE(CONTROL!$C$22, $C$13, 100%, $E$13)</f>
        <v>4.6905000000000001</v>
      </c>
      <c r="C278" s="63">
        <f>4.6905 * CHOOSE(CONTROL!$C$22, $C$13, 100%, $E$13)</f>
        <v>4.6905000000000001</v>
      </c>
      <c r="D278" s="63">
        <f>4.7082 * CHOOSE(CONTROL!$C$22, $C$13, 100%, $E$13)</f>
        <v>4.7081999999999997</v>
      </c>
      <c r="E278" s="64">
        <f>5.3734 * CHOOSE(CONTROL!$C$22, $C$13, 100%, $E$13)</f>
        <v>5.3734000000000002</v>
      </c>
      <c r="F278" s="64">
        <f>5.3734 * CHOOSE(CONTROL!$C$22, $C$13, 100%, $E$13)</f>
        <v>5.3734000000000002</v>
      </c>
      <c r="G278" s="64">
        <f>5.3736 * CHOOSE(CONTROL!$C$22, $C$13, 100%, $E$13)</f>
        <v>5.3735999999999997</v>
      </c>
      <c r="H278" s="64">
        <f>9.7232* CHOOSE(CONTROL!$C$22, $C$13, 100%, $E$13)</f>
        <v>9.7232000000000003</v>
      </c>
      <c r="I278" s="64">
        <f>9.7234 * CHOOSE(CONTROL!$C$22, $C$13, 100%, $E$13)</f>
        <v>9.7233999999999998</v>
      </c>
      <c r="J278" s="64">
        <f>5.3734 * CHOOSE(CONTROL!$C$22, $C$13, 100%, $E$13)</f>
        <v>5.3734000000000002</v>
      </c>
      <c r="K278" s="64">
        <f>5.3736 * CHOOSE(CONTROL!$C$22, $C$13, 100%, $E$13)</f>
        <v>5.3735999999999997</v>
      </c>
    </row>
    <row r="279" spans="1:11" ht="15">
      <c r="A279" s="13">
        <v>50131</v>
      </c>
      <c r="B279" s="63">
        <f>4.6888 * CHOOSE(CONTROL!$C$22, $C$13, 100%, $E$13)</f>
        <v>4.6887999999999996</v>
      </c>
      <c r="C279" s="63">
        <f>4.6888 * CHOOSE(CONTROL!$C$22, $C$13, 100%, $E$13)</f>
        <v>4.6887999999999996</v>
      </c>
      <c r="D279" s="63">
        <f>4.7065 * CHOOSE(CONTROL!$C$22, $C$13, 100%, $E$13)</f>
        <v>4.7065000000000001</v>
      </c>
      <c r="E279" s="64">
        <f>5.4191 * CHOOSE(CONTROL!$C$22, $C$13, 100%, $E$13)</f>
        <v>5.4191000000000003</v>
      </c>
      <c r="F279" s="64">
        <f>5.4191 * CHOOSE(CONTROL!$C$22, $C$13, 100%, $E$13)</f>
        <v>5.4191000000000003</v>
      </c>
      <c r="G279" s="64">
        <f>5.4192 * CHOOSE(CONTROL!$C$22, $C$13, 100%, $E$13)</f>
        <v>5.4192</v>
      </c>
      <c r="H279" s="64">
        <f>9.7434* CHOOSE(CONTROL!$C$22, $C$13, 100%, $E$13)</f>
        <v>9.7433999999999994</v>
      </c>
      <c r="I279" s="64">
        <f>9.7436 * CHOOSE(CONTROL!$C$22, $C$13, 100%, $E$13)</f>
        <v>9.7436000000000007</v>
      </c>
      <c r="J279" s="64">
        <f>5.4191 * CHOOSE(CONTROL!$C$22, $C$13, 100%, $E$13)</f>
        <v>5.4191000000000003</v>
      </c>
      <c r="K279" s="64">
        <f>5.4192 * CHOOSE(CONTROL!$C$22, $C$13, 100%, $E$13)</f>
        <v>5.4192</v>
      </c>
    </row>
    <row r="280" spans="1:11" ht="15">
      <c r="A280" s="13">
        <v>50161</v>
      </c>
      <c r="B280" s="63">
        <f>4.6888 * CHOOSE(CONTROL!$C$22, $C$13, 100%, $E$13)</f>
        <v>4.6887999999999996</v>
      </c>
      <c r="C280" s="63">
        <f>4.6888 * CHOOSE(CONTROL!$C$22, $C$13, 100%, $E$13)</f>
        <v>4.6887999999999996</v>
      </c>
      <c r="D280" s="63">
        <f>4.7241 * CHOOSE(CONTROL!$C$22, $C$13, 100%, $E$13)</f>
        <v>4.7241</v>
      </c>
      <c r="E280" s="64">
        <f>5.4378 * CHOOSE(CONTROL!$C$22, $C$13, 100%, $E$13)</f>
        <v>5.4378000000000002</v>
      </c>
      <c r="F280" s="64">
        <f>5.4378 * CHOOSE(CONTROL!$C$22, $C$13, 100%, $E$13)</f>
        <v>5.4378000000000002</v>
      </c>
      <c r="G280" s="64">
        <f>5.44 * CHOOSE(CONTROL!$C$22, $C$13, 100%, $E$13)</f>
        <v>5.44</v>
      </c>
      <c r="H280" s="64">
        <f>9.7637* CHOOSE(CONTROL!$C$22, $C$13, 100%, $E$13)</f>
        <v>9.7637</v>
      </c>
      <c r="I280" s="64">
        <f>9.7659 * CHOOSE(CONTROL!$C$22, $C$13, 100%, $E$13)</f>
        <v>9.7659000000000002</v>
      </c>
      <c r="J280" s="64">
        <f>5.4378 * CHOOSE(CONTROL!$C$22, $C$13, 100%, $E$13)</f>
        <v>5.4378000000000002</v>
      </c>
      <c r="K280" s="64">
        <f>5.44 * CHOOSE(CONTROL!$C$22, $C$13, 100%, $E$13)</f>
        <v>5.44</v>
      </c>
    </row>
    <row r="281" spans="1:11" ht="15">
      <c r="A281" s="13">
        <v>50192</v>
      </c>
      <c r="B281" s="63">
        <f>4.6949 * CHOOSE(CONTROL!$C$22, $C$13, 100%, $E$13)</f>
        <v>4.6948999999999996</v>
      </c>
      <c r="C281" s="63">
        <f>4.6949 * CHOOSE(CONTROL!$C$22, $C$13, 100%, $E$13)</f>
        <v>4.6948999999999996</v>
      </c>
      <c r="D281" s="63">
        <f>4.7302 * CHOOSE(CONTROL!$C$22, $C$13, 100%, $E$13)</f>
        <v>4.7302</v>
      </c>
      <c r="E281" s="64">
        <f>5.4233 * CHOOSE(CONTROL!$C$22, $C$13, 100%, $E$13)</f>
        <v>5.4233000000000002</v>
      </c>
      <c r="F281" s="64">
        <f>5.4233 * CHOOSE(CONTROL!$C$22, $C$13, 100%, $E$13)</f>
        <v>5.4233000000000002</v>
      </c>
      <c r="G281" s="64">
        <f>5.4255 * CHOOSE(CONTROL!$C$22, $C$13, 100%, $E$13)</f>
        <v>5.4255000000000004</v>
      </c>
      <c r="H281" s="64">
        <f>9.7841* CHOOSE(CONTROL!$C$22, $C$13, 100%, $E$13)</f>
        <v>9.7841000000000005</v>
      </c>
      <c r="I281" s="64">
        <f>9.7863 * CHOOSE(CONTROL!$C$22, $C$13, 100%, $E$13)</f>
        <v>9.7863000000000007</v>
      </c>
      <c r="J281" s="64">
        <f>5.4233 * CHOOSE(CONTROL!$C$22, $C$13, 100%, $E$13)</f>
        <v>5.4233000000000002</v>
      </c>
      <c r="K281" s="64">
        <f>5.4255 * CHOOSE(CONTROL!$C$22, $C$13, 100%, $E$13)</f>
        <v>5.4255000000000004</v>
      </c>
    </row>
    <row r="282" spans="1:11" ht="15">
      <c r="A282" s="13">
        <v>50222</v>
      </c>
      <c r="B282" s="63">
        <f>4.7758 * CHOOSE(CONTROL!$C$22, $C$13, 100%, $E$13)</f>
        <v>4.7758000000000003</v>
      </c>
      <c r="C282" s="63">
        <f>4.7758 * CHOOSE(CONTROL!$C$22, $C$13, 100%, $E$13)</f>
        <v>4.7758000000000003</v>
      </c>
      <c r="D282" s="63">
        <f>4.8111 * CHOOSE(CONTROL!$C$22, $C$13, 100%, $E$13)</f>
        <v>4.8110999999999997</v>
      </c>
      <c r="E282" s="64">
        <f>5.5312 * CHOOSE(CONTROL!$C$22, $C$13, 100%, $E$13)</f>
        <v>5.5312000000000001</v>
      </c>
      <c r="F282" s="64">
        <f>5.5312 * CHOOSE(CONTROL!$C$22, $C$13, 100%, $E$13)</f>
        <v>5.5312000000000001</v>
      </c>
      <c r="G282" s="64">
        <f>5.5334 * CHOOSE(CONTROL!$C$22, $C$13, 100%, $E$13)</f>
        <v>5.5334000000000003</v>
      </c>
      <c r="H282" s="64">
        <f>9.8045* CHOOSE(CONTROL!$C$22, $C$13, 100%, $E$13)</f>
        <v>9.8045000000000009</v>
      </c>
      <c r="I282" s="64">
        <f>9.8066 * CHOOSE(CONTROL!$C$22, $C$13, 100%, $E$13)</f>
        <v>9.8065999999999995</v>
      </c>
      <c r="J282" s="64">
        <f>5.5312 * CHOOSE(CONTROL!$C$22, $C$13, 100%, $E$13)</f>
        <v>5.5312000000000001</v>
      </c>
      <c r="K282" s="64">
        <f>5.5334 * CHOOSE(CONTROL!$C$22, $C$13, 100%, $E$13)</f>
        <v>5.5334000000000003</v>
      </c>
    </row>
    <row r="283" spans="1:11" ht="15">
      <c r="A283" s="13">
        <v>50253</v>
      </c>
      <c r="B283" s="63">
        <f>4.7825 * CHOOSE(CONTROL!$C$22, $C$13, 100%, $E$13)</f>
        <v>4.7824999999999998</v>
      </c>
      <c r="C283" s="63">
        <f>4.7825 * CHOOSE(CONTROL!$C$22, $C$13, 100%, $E$13)</f>
        <v>4.7824999999999998</v>
      </c>
      <c r="D283" s="63">
        <f>4.8178 * CHOOSE(CONTROL!$C$22, $C$13, 100%, $E$13)</f>
        <v>4.8178000000000001</v>
      </c>
      <c r="E283" s="64">
        <f>5.4797 * CHOOSE(CONTROL!$C$22, $C$13, 100%, $E$13)</f>
        <v>5.4797000000000002</v>
      </c>
      <c r="F283" s="64">
        <f>5.4797 * CHOOSE(CONTROL!$C$22, $C$13, 100%, $E$13)</f>
        <v>5.4797000000000002</v>
      </c>
      <c r="G283" s="64">
        <f>5.4819 * CHOOSE(CONTROL!$C$22, $C$13, 100%, $E$13)</f>
        <v>5.4819000000000004</v>
      </c>
      <c r="H283" s="64">
        <f>9.8249* CHOOSE(CONTROL!$C$22, $C$13, 100%, $E$13)</f>
        <v>9.8248999999999995</v>
      </c>
      <c r="I283" s="64">
        <f>9.8271 * CHOOSE(CONTROL!$C$22, $C$13, 100%, $E$13)</f>
        <v>9.8270999999999997</v>
      </c>
      <c r="J283" s="64">
        <f>5.4797 * CHOOSE(CONTROL!$C$22, $C$13, 100%, $E$13)</f>
        <v>5.4797000000000002</v>
      </c>
      <c r="K283" s="64">
        <f>5.4819 * CHOOSE(CONTROL!$C$22, $C$13, 100%, $E$13)</f>
        <v>5.4819000000000004</v>
      </c>
    </row>
    <row r="284" spans="1:11" ht="15">
      <c r="A284" s="13">
        <v>50284</v>
      </c>
      <c r="B284" s="63">
        <f>4.7794 * CHOOSE(CONTROL!$C$22, $C$13, 100%, $E$13)</f>
        <v>4.7793999999999999</v>
      </c>
      <c r="C284" s="63">
        <f>4.7794 * CHOOSE(CONTROL!$C$22, $C$13, 100%, $E$13)</f>
        <v>4.7793999999999999</v>
      </c>
      <c r="D284" s="63">
        <f>4.8147 * CHOOSE(CONTROL!$C$22, $C$13, 100%, $E$13)</f>
        <v>4.8147000000000002</v>
      </c>
      <c r="E284" s="64">
        <f>5.4714 * CHOOSE(CONTROL!$C$22, $C$13, 100%, $E$13)</f>
        <v>5.4714</v>
      </c>
      <c r="F284" s="64">
        <f>5.4714 * CHOOSE(CONTROL!$C$22, $C$13, 100%, $E$13)</f>
        <v>5.4714</v>
      </c>
      <c r="G284" s="64">
        <f>5.4736 * CHOOSE(CONTROL!$C$22, $C$13, 100%, $E$13)</f>
        <v>5.4736000000000002</v>
      </c>
      <c r="H284" s="64">
        <f>9.8454* CHOOSE(CONTROL!$C$22, $C$13, 100%, $E$13)</f>
        <v>9.8453999999999997</v>
      </c>
      <c r="I284" s="64">
        <f>9.8475 * CHOOSE(CONTROL!$C$22, $C$13, 100%, $E$13)</f>
        <v>9.8475000000000001</v>
      </c>
      <c r="J284" s="64">
        <f>5.4714 * CHOOSE(CONTROL!$C$22, $C$13, 100%, $E$13)</f>
        <v>5.4714</v>
      </c>
      <c r="K284" s="64">
        <f>5.4736 * CHOOSE(CONTROL!$C$22, $C$13, 100%, $E$13)</f>
        <v>5.4736000000000002</v>
      </c>
    </row>
    <row r="285" spans="1:11" ht="15">
      <c r="A285" s="13">
        <v>50314</v>
      </c>
      <c r="B285" s="63">
        <f>4.7773 * CHOOSE(CONTROL!$C$22, $C$13, 100%, $E$13)</f>
        <v>4.7773000000000003</v>
      </c>
      <c r="C285" s="63">
        <f>4.7773 * CHOOSE(CONTROL!$C$22, $C$13, 100%, $E$13)</f>
        <v>4.7773000000000003</v>
      </c>
      <c r="D285" s="63">
        <f>4.795 * CHOOSE(CONTROL!$C$22, $C$13, 100%, $E$13)</f>
        <v>4.7949999999999999</v>
      </c>
      <c r="E285" s="64">
        <f>5.4829 * CHOOSE(CONTROL!$C$22, $C$13, 100%, $E$13)</f>
        <v>5.4828999999999999</v>
      </c>
      <c r="F285" s="64">
        <f>5.4829 * CHOOSE(CONTROL!$C$22, $C$13, 100%, $E$13)</f>
        <v>5.4828999999999999</v>
      </c>
      <c r="G285" s="64">
        <f>5.4831 * CHOOSE(CONTROL!$C$22, $C$13, 100%, $E$13)</f>
        <v>5.4831000000000003</v>
      </c>
      <c r="H285" s="64">
        <f>9.8659* CHOOSE(CONTROL!$C$22, $C$13, 100%, $E$13)</f>
        <v>9.8658999999999999</v>
      </c>
      <c r="I285" s="64">
        <f>9.866 * CHOOSE(CONTROL!$C$22, $C$13, 100%, $E$13)</f>
        <v>9.8659999999999997</v>
      </c>
      <c r="J285" s="64">
        <f>5.4829 * CHOOSE(CONTROL!$C$22, $C$13, 100%, $E$13)</f>
        <v>5.4828999999999999</v>
      </c>
      <c r="K285" s="64">
        <f>5.4831 * CHOOSE(CONTROL!$C$22, $C$13, 100%, $E$13)</f>
        <v>5.4831000000000003</v>
      </c>
    </row>
    <row r="286" spans="1:11" ht="15">
      <c r="A286" s="13">
        <v>50345</v>
      </c>
      <c r="B286" s="63">
        <f>4.7804 * CHOOSE(CONTROL!$C$22, $C$13, 100%, $E$13)</f>
        <v>4.7804000000000002</v>
      </c>
      <c r="C286" s="63">
        <f>4.7804 * CHOOSE(CONTROL!$C$22, $C$13, 100%, $E$13)</f>
        <v>4.7804000000000002</v>
      </c>
      <c r="D286" s="63">
        <f>4.798 * CHOOSE(CONTROL!$C$22, $C$13, 100%, $E$13)</f>
        <v>4.798</v>
      </c>
      <c r="E286" s="64">
        <f>5.4975 * CHOOSE(CONTROL!$C$22, $C$13, 100%, $E$13)</f>
        <v>5.4974999999999996</v>
      </c>
      <c r="F286" s="64">
        <f>5.4975 * CHOOSE(CONTROL!$C$22, $C$13, 100%, $E$13)</f>
        <v>5.4974999999999996</v>
      </c>
      <c r="G286" s="64">
        <f>5.4977 * CHOOSE(CONTROL!$C$22, $C$13, 100%, $E$13)</f>
        <v>5.4977</v>
      </c>
      <c r="H286" s="64">
        <f>9.8864* CHOOSE(CONTROL!$C$22, $C$13, 100%, $E$13)</f>
        <v>9.8864000000000001</v>
      </c>
      <c r="I286" s="64">
        <f>9.8866 * CHOOSE(CONTROL!$C$22, $C$13, 100%, $E$13)</f>
        <v>9.8865999999999996</v>
      </c>
      <c r="J286" s="64">
        <f>5.4975 * CHOOSE(CONTROL!$C$22, $C$13, 100%, $E$13)</f>
        <v>5.4974999999999996</v>
      </c>
      <c r="K286" s="64">
        <f>5.4977 * CHOOSE(CONTROL!$C$22, $C$13, 100%, $E$13)</f>
        <v>5.4977</v>
      </c>
    </row>
    <row r="287" spans="1:11" ht="15">
      <c r="A287" s="13">
        <v>50375</v>
      </c>
      <c r="B287" s="63">
        <f>4.7804 * CHOOSE(CONTROL!$C$22, $C$13, 100%, $E$13)</f>
        <v>4.7804000000000002</v>
      </c>
      <c r="C287" s="63">
        <f>4.7804 * CHOOSE(CONTROL!$C$22, $C$13, 100%, $E$13)</f>
        <v>4.7804000000000002</v>
      </c>
      <c r="D287" s="63">
        <f>4.798 * CHOOSE(CONTROL!$C$22, $C$13, 100%, $E$13)</f>
        <v>4.798</v>
      </c>
      <c r="E287" s="64">
        <f>5.4663 * CHOOSE(CONTROL!$C$22, $C$13, 100%, $E$13)</f>
        <v>5.4663000000000004</v>
      </c>
      <c r="F287" s="64">
        <f>5.4663 * CHOOSE(CONTROL!$C$22, $C$13, 100%, $E$13)</f>
        <v>5.4663000000000004</v>
      </c>
      <c r="G287" s="64">
        <f>5.4665 * CHOOSE(CONTROL!$C$22, $C$13, 100%, $E$13)</f>
        <v>5.4664999999999999</v>
      </c>
      <c r="H287" s="64">
        <f>9.907* CHOOSE(CONTROL!$C$22, $C$13, 100%, $E$13)</f>
        <v>9.907</v>
      </c>
      <c r="I287" s="64">
        <f>9.9072 * CHOOSE(CONTROL!$C$22, $C$13, 100%, $E$13)</f>
        <v>9.9071999999999996</v>
      </c>
      <c r="J287" s="64">
        <f>5.4663 * CHOOSE(CONTROL!$C$22, $C$13, 100%, $E$13)</f>
        <v>5.4663000000000004</v>
      </c>
      <c r="K287" s="64">
        <f>5.4665 * CHOOSE(CONTROL!$C$22, $C$13, 100%, $E$13)</f>
        <v>5.4664999999999999</v>
      </c>
    </row>
    <row r="288" spans="1:11" ht="15">
      <c r="A288" s="13">
        <v>50406</v>
      </c>
      <c r="B288" s="63">
        <f>4.8249 * CHOOSE(CONTROL!$C$22, $C$13, 100%, $E$13)</f>
        <v>4.8249000000000004</v>
      </c>
      <c r="C288" s="63">
        <f>4.8249 * CHOOSE(CONTROL!$C$22, $C$13, 100%, $E$13)</f>
        <v>4.8249000000000004</v>
      </c>
      <c r="D288" s="63">
        <f>4.8426 * CHOOSE(CONTROL!$C$22, $C$13, 100%, $E$13)</f>
        <v>4.8426</v>
      </c>
      <c r="E288" s="64">
        <f>5.5383 * CHOOSE(CONTROL!$C$22, $C$13, 100%, $E$13)</f>
        <v>5.5382999999999996</v>
      </c>
      <c r="F288" s="64">
        <f>5.5383 * CHOOSE(CONTROL!$C$22, $C$13, 100%, $E$13)</f>
        <v>5.5382999999999996</v>
      </c>
      <c r="G288" s="64">
        <f>5.5385 * CHOOSE(CONTROL!$C$22, $C$13, 100%, $E$13)</f>
        <v>5.5385</v>
      </c>
      <c r="H288" s="64">
        <f>9.9277* CHOOSE(CONTROL!$C$22, $C$13, 100%, $E$13)</f>
        <v>9.9276999999999997</v>
      </c>
      <c r="I288" s="64">
        <f>9.9278 * CHOOSE(CONTROL!$C$22, $C$13, 100%, $E$13)</f>
        <v>9.9277999999999995</v>
      </c>
      <c r="J288" s="64">
        <f>5.5383 * CHOOSE(CONTROL!$C$22, $C$13, 100%, $E$13)</f>
        <v>5.5382999999999996</v>
      </c>
      <c r="K288" s="64">
        <f>5.5385 * CHOOSE(CONTROL!$C$22, $C$13, 100%, $E$13)</f>
        <v>5.5385</v>
      </c>
    </row>
    <row r="289" spans="1:11" ht="15">
      <c r="A289" s="13">
        <v>50437</v>
      </c>
      <c r="B289" s="63">
        <f>4.8219 * CHOOSE(CONTROL!$C$22, $C$13, 100%, $E$13)</f>
        <v>4.8219000000000003</v>
      </c>
      <c r="C289" s="63">
        <f>4.8219 * CHOOSE(CONTROL!$C$22, $C$13, 100%, $E$13)</f>
        <v>4.8219000000000003</v>
      </c>
      <c r="D289" s="63">
        <f>4.8395 * CHOOSE(CONTROL!$C$22, $C$13, 100%, $E$13)</f>
        <v>4.8395000000000001</v>
      </c>
      <c r="E289" s="64">
        <f>5.4757 * CHOOSE(CONTROL!$C$22, $C$13, 100%, $E$13)</f>
        <v>5.4756999999999998</v>
      </c>
      <c r="F289" s="64">
        <f>5.4757 * CHOOSE(CONTROL!$C$22, $C$13, 100%, $E$13)</f>
        <v>5.4756999999999998</v>
      </c>
      <c r="G289" s="64">
        <f>5.4759 * CHOOSE(CONTROL!$C$22, $C$13, 100%, $E$13)</f>
        <v>5.4759000000000002</v>
      </c>
      <c r="H289" s="64">
        <f>9.9483* CHOOSE(CONTROL!$C$22, $C$13, 100%, $E$13)</f>
        <v>9.9482999999999997</v>
      </c>
      <c r="I289" s="64">
        <f>9.9485 * CHOOSE(CONTROL!$C$22, $C$13, 100%, $E$13)</f>
        <v>9.9484999999999992</v>
      </c>
      <c r="J289" s="64">
        <f>5.4757 * CHOOSE(CONTROL!$C$22, $C$13, 100%, $E$13)</f>
        <v>5.4756999999999998</v>
      </c>
      <c r="K289" s="64">
        <f>5.4759 * CHOOSE(CONTROL!$C$22, $C$13, 100%, $E$13)</f>
        <v>5.4759000000000002</v>
      </c>
    </row>
    <row r="290" spans="1:11" ht="15">
      <c r="A290" s="13">
        <v>50465</v>
      </c>
      <c r="B290" s="63">
        <f>4.8188 * CHOOSE(CONTROL!$C$22, $C$13, 100%, $E$13)</f>
        <v>4.8188000000000004</v>
      </c>
      <c r="C290" s="63">
        <f>4.8188 * CHOOSE(CONTROL!$C$22, $C$13, 100%, $E$13)</f>
        <v>4.8188000000000004</v>
      </c>
      <c r="D290" s="63">
        <f>4.8365 * CHOOSE(CONTROL!$C$22, $C$13, 100%, $E$13)</f>
        <v>4.8365</v>
      </c>
      <c r="E290" s="64">
        <f>5.5212 * CHOOSE(CONTROL!$C$22, $C$13, 100%, $E$13)</f>
        <v>5.5212000000000003</v>
      </c>
      <c r="F290" s="64">
        <f>5.5212 * CHOOSE(CONTROL!$C$22, $C$13, 100%, $E$13)</f>
        <v>5.5212000000000003</v>
      </c>
      <c r="G290" s="64">
        <f>5.5214 * CHOOSE(CONTROL!$C$22, $C$13, 100%, $E$13)</f>
        <v>5.5213999999999999</v>
      </c>
      <c r="H290" s="64">
        <f>9.9691* CHOOSE(CONTROL!$C$22, $C$13, 100%, $E$13)</f>
        <v>9.9690999999999992</v>
      </c>
      <c r="I290" s="64">
        <f>9.9692 * CHOOSE(CONTROL!$C$22, $C$13, 100%, $E$13)</f>
        <v>9.9692000000000007</v>
      </c>
      <c r="J290" s="64">
        <f>5.5212 * CHOOSE(CONTROL!$C$22, $C$13, 100%, $E$13)</f>
        <v>5.5212000000000003</v>
      </c>
      <c r="K290" s="64">
        <f>5.5214 * CHOOSE(CONTROL!$C$22, $C$13, 100%, $E$13)</f>
        <v>5.5213999999999999</v>
      </c>
    </row>
    <row r="291" spans="1:11" ht="15">
      <c r="A291" s="13">
        <v>50496</v>
      </c>
      <c r="B291" s="63">
        <f>4.8172 * CHOOSE(CONTROL!$C$22, $C$13, 100%, $E$13)</f>
        <v>4.8171999999999997</v>
      </c>
      <c r="C291" s="63">
        <f>4.8172 * CHOOSE(CONTROL!$C$22, $C$13, 100%, $E$13)</f>
        <v>4.8171999999999997</v>
      </c>
      <c r="D291" s="63">
        <f>4.8349 * CHOOSE(CONTROL!$C$22, $C$13, 100%, $E$13)</f>
        <v>4.8349000000000002</v>
      </c>
      <c r="E291" s="64">
        <f>5.5682 * CHOOSE(CONTROL!$C$22, $C$13, 100%, $E$13)</f>
        <v>5.5682</v>
      </c>
      <c r="F291" s="64">
        <f>5.5682 * CHOOSE(CONTROL!$C$22, $C$13, 100%, $E$13)</f>
        <v>5.5682</v>
      </c>
      <c r="G291" s="64">
        <f>5.5684 * CHOOSE(CONTROL!$C$22, $C$13, 100%, $E$13)</f>
        <v>5.5683999999999996</v>
      </c>
      <c r="H291" s="64">
        <f>9.9898* CHOOSE(CONTROL!$C$22, $C$13, 100%, $E$13)</f>
        <v>9.9898000000000007</v>
      </c>
      <c r="I291" s="64">
        <f>9.99 * CHOOSE(CONTROL!$C$22, $C$13, 100%, $E$13)</f>
        <v>9.99</v>
      </c>
      <c r="J291" s="64">
        <f>5.5682 * CHOOSE(CONTROL!$C$22, $C$13, 100%, $E$13)</f>
        <v>5.5682</v>
      </c>
      <c r="K291" s="64">
        <f>5.5684 * CHOOSE(CONTROL!$C$22, $C$13, 100%, $E$13)</f>
        <v>5.5683999999999996</v>
      </c>
    </row>
    <row r="292" spans="1:11" ht="15">
      <c r="A292" s="13">
        <v>50526</v>
      </c>
      <c r="B292" s="63">
        <f>4.8172 * CHOOSE(CONTROL!$C$22, $C$13, 100%, $E$13)</f>
        <v>4.8171999999999997</v>
      </c>
      <c r="C292" s="63">
        <f>4.8172 * CHOOSE(CONTROL!$C$22, $C$13, 100%, $E$13)</f>
        <v>4.8171999999999997</v>
      </c>
      <c r="D292" s="63">
        <f>4.8525 * CHOOSE(CONTROL!$C$22, $C$13, 100%, $E$13)</f>
        <v>4.8525</v>
      </c>
      <c r="E292" s="64">
        <f>5.5874 * CHOOSE(CONTROL!$C$22, $C$13, 100%, $E$13)</f>
        <v>5.5873999999999997</v>
      </c>
      <c r="F292" s="64">
        <f>5.5874 * CHOOSE(CONTROL!$C$22, $C$13, 100%, $E$13)</f>
        <v>5.5873999999999997</v>
      </c>
      <c r="G292" s="64">
        <f>5.5896 * CHOOSE(CONTROL!$C$22, $C$13, 100%, $E$13)</f>
        <v>5.5895999999999999</v>
      </c>
      <c r="H292" s="64">
        <f>10.0107* CHOOSE(CONTROL!$C$22, $C$13, 100%, $E$13)</f>
        <v>10.0107</v>
      </c>
      <c r="I292" s="64">
        <f>10.0128 * CHOOSE(CONTROL!$C$22, $C$13, 100%, $E$13)</f>
        <v>10.0128</v>
      </c>
      <c r="J292" s="64">
        <f>5.5874 * CHOOSE(CONTROL!$C$22, $C$13, 100%, $E$13)</f>
        <v>5.5873999999999997</v>
      </c>
      <c r="K292" s="64">
        <f>5.5896 * CHOOSE(CONTROL!$C$22, $C$13, 100%, $E$13)</f>
        <v>5.5895999999999999</v>
      </c>
    </row>
    <row r="293" spans="1:11" ht="15">
      <c r="A293" s="13">
        <v>50557</v>
      </c>
      <c r="B293" s="63">
        <f>4.8233 * CHOOSE(CONTROL!$C$22, $C$13, 100%, $E$13)</f>
        <v>4.8232999999999997</v>
      </c>
      <c r="C293" s="63">
        <f>4.8233 * CHOOSE(CONTROL!$C$22, $C$13, 100%, $E$13)</f>
        <v>4.8232999999999997</v>
      </c>
      <c r="D293" s="63">
        <f>4.8586 * CHOOSE(CONTROL!$C$22, $C$13, 100%, $E$13)</f>
        <v>4.8586</v>
      </c>
      <c r="E293" s="64">
        <f>5.5724 * CHOOSE(CONTROL!$C$22, $C$13, 100%, $E$13)</f>
        <v>5.5724</v>
      </c>
      <c r="F293" s="64">
        <f>5.5724 * CHOOSE(CONTROL!$C$22, $C$13, 100%, $E$13)</f>
        <v>5.5724</v>
      </c>
      <c r="G293" s="64">
        <f>5.5746 * CHOOSE(CONTROL!$C$22, $C$13, 100%, $E$13)</f>
        <v>5.5746000000000002</v>
      </c>
      <c r="H293" s="64">
        <f>10.0315* CHOOSE(CONTROL!$C$22, $C$13, 100%, $E$13)</f>
        <v>10.031499999999999</v>
      </c>
      <c r="I293" s="64">
        <f>10.0337 * CHOOSE(CONTROL!$C$22, $C$13, 100%, $E$13)</f>
        <v>10.0337</v>
      </c>
      <c r="J293" s="64">
        <f>5.5724 * CHOOSE(CONTROL!$C$22, $C$13, 100%, $E$13)</f>
        <v>5.5724</v>
      </c>
      <c r="K293" s="64">
        <f>5.5746 * CHOOSE(CONTROL!$C$22, $C$13, 100%, $E$13)</f>
        <v>5.5746000000000002</v>
      </c>
    </row>
    <row r="294" spans="1:11" ht="15">
      <c r="A294" s="13">
        <v>50587</v>
      </c>
      <c r="B294" s="63">
        <f>4.9066 * CHOOSE(CONTROL!$C$22, $C$13, 100%, $E$13)</f>
        <v>4.9066000000000001</v>
      </c>
      <c r="C294" s="63">
        <f>4.9066 * CHOOSE(CONTROL!$C$22, $C$13, 100%, $E$13)</f>
        <v>4.9066000000000001</v>
      </c>
      <c r="D294" s="63">
        <f>4.9419 * CHOOSE(CONTROL!$C$22, $C$13, 100%, $E$13)</f>
        <v>4.9419000000000004</v>
      </c>
      <c r="E294" s="64">
        <f>5.6862 * CHOOSE(CONTROL!$C$22, $C$13, 100%, $E$13)</f>
        <v>5.6862000000000004</v>
      </c>
      <c r="F294" s="64">
        <f>5.6862 * CHOOSE(CONTROL!$C$22, $C$13, 100%, $E$13)</f>
        <v>5.6862000000000004</v>
      </c>
      <c r="G294" s="64">
        <f>5.6883 * CHOOSE(CONTROL!$C$22, $C$13, 100%, $E$13)</f>
        <v>5.6882999999999999</v>
      </c>
      <c r="H294" s="64">
        <f>10.0524* CHOOSE(CONTROL!$C$22, $C$13, 100%, $E$13)</f>
        <v>10.0524</v>
      </c>
      <c r="I294" s="64">
        <f>10.0546 * CHOOSE(CONTROL!$C$22, $C$13, 100%, $E$13)</f>
        <v>10.054600000000001</v>
      </c>
      <c r="J294" s="64">
        <f>5.6862 * CHOOSE(CONTROL!$C$22, $C$13, 100%, $E$13)</f>
        <v>5.6862000000000004</v>
      </c>
      <c r="K294" s="64">
        <f>5.6883 * CHOOSE(CONTROL!$C$22, $C$13, 100%, $E$13)</f>
        <v>5.6882999999999999</v>
      </c>
    </row>
    <row r="295" spans="1:11" ht="15">
      <c r="A295" s="13">
        <v>50618</v>
      </c>
      <c r="B295" s="63">
        <f>4.9133 * CHOOSE(CONTROL!$C$22, $C$13, 100%, $E$13)</f>
        <v>4.9132999999999996</v>
      </c>
      <c r="C295" s="63">
        <f>4.9133 * CHOOSE(CONTROL!$C$22, $C$13, 100%, $E$13)</f>
        <v>4.9132999999999996</v>
      </c>
      <c r="D295" s="63">
        <f>4.9486 * CHOOSE(CONTROL!$C$22, $C$13, 100%, $E$13)</f>
        <v>4.9485999999999999</v>
      </c>
      <c r="E295" s="64">
        <f>5.6332 * CHOOSE(CONTROL!$C$22, $C$13, 100%, $E$13)</f>
        <v>5.6332000000000004</v>
      </c>
      <c r="F295" s="64">
        <f>5.6332 * CHOOSE(CONTROL!$C$22, $C$13, 100%, $E$13)</f>
        <v>5.6332000000000004</v>
      </c>
      <c r="G295" s="64">
        <f>5.6354 * CHOOSE(CONTROL!$C$22, $C$13, 100%, $E$13)</f>
        <v>5.6353999999999997</v>
      </c>
      <c r="H295" s="64">
        <f>10.0733* CHOOSE(CONTROL!$C$22, $C$13, 100%, $E$13)</f>
        <v>10.0733</v>
      </c>
      <c r="I295" s="64">
        <f>10.0755 * CHOOSE(CONTROL!$C$22, $C$13, 100%, $E$13)</f>
        <v>10.0755</v>
      </c>
      <c r="J295" s="64">
        <f>5.6332 * CHOOSE(CONTROL!$C$22, $C$13, 100%, $E$13)</f>
        <v>5.6332000000000004</v>
      </c>
      <c r="K295" s="64">
        <f>5.6354 * CHOOSE(CONTROL!$C$22, $C$13, 100%, $E$13)</f>
        <v>5.6353999999999997</v>
      </c>
    </row>
    <row r="296" spans="1:11" ht="15">
      <c r="A296" s="13">
        <v>50649</v>
      </c>
      <c r="B296" s="63">
        <f>4.9102 * CHOOSE(CONTROL!$C$22, $C$13, 100%, $E$13)</f>
        <v>4.9101999999999997</v>
      </c>
      <c r="C296" s="63">
        <f>4.9102 * CHOOSE(CONTROL!$C$22, $C$13, 100%, $E$13)</f>
        <v>4.9101999999999997</v>
      </c>
      <c r="D296" s="63">
        <f>4.9456 * CHOOSE(CONTROL!$C$22, $C$13, 100%, $E$13)</f>
        <v>4.9455999999999998</v>
      </c>
      <c r="E296" s="64">
        <f>5.6247 * CHOOSE(CONTROL!$C$22, $C$13, 100%, $E$13)</f>
        <v>5.6246999999999998</v>
      </c>
      <c r="F296" s="64">
        <f>5.6247 * CHOOSE(CONTROL!$C$22, $C$13, 100%, $E$13)</f>
        <v>5.6246999999999998</v>
      </c>
      <c r="G296" s="64">
        <f>5.6269 * CHOOSE(CONTROL!$C$22, $C$13, 100%, $E$13)</f>
        <v>5.6269</v>
      </c>
      <c r="H296" s="64">
        <f>10.0943* CHOOSE(CONTROL!$C$22, $C$13, 100%, $E$13)</f>
        <v>10.0943</v>
      </c>
      <c r="I296" s="64">
        <f>10.0965 * CHOOSE(CONTROL!$C$22, $C$13, 100%, $E$13)</f>
        <v>10.096500000000001</v>
      </c>
      <c r="J296" s="64">
        <f>5.6247 * CHOOSE(CONTROL!$C$22, $C$13, 100%, $E$13)</f>
        <v>5.6246999999999998</v>
      </c>
      <c r="K296" s="64">
        <f>5.6269 * CHOOSE(CONTROL!$C$22, $C$13, 100%, $E$13)</f>
        <v>5.6269</v>
      </c>
    </row>
    <row r="297" spans="1:11" ht="15">
      <c r="A297" s="13">
        <v>50679</v>
      </c>
      <c r="B297" s="63">
        <f>4.9086 * CHOOSE(CONTROL!$C$22, $C$13, 100%, $E$13)</f>
        <v>4.9085999999999999</v>
      </c>
      <c r="C297" s="63">
        <f>4.9086 * CHOOSE(CONTROL!$C$22, $C$13, 100%, $E$13)</f>
        <v>4.9085999999999999</v>
      </c>
      <c r="D297" s="63">
        <f>4.9262 * CHOOSE(CONTROL!$C$22, $C$13, 100%, $E$13)</f>
        <v>4.9261999999999997</v>
      </c>
      <c r="E297" s="64">
        <f>5.6369 * CHOOSE(CONTROL!$C$22, $C$13, 100%, $E$13)</f>
        <v>5.6368999999999998</v>
      </c>
      <c r="F297" s="64">
        <f>5.6369 * CHOOSE(CONTROL!$C$22, $C$13, 100%, $E$13)</f>
        <v>5.6368999999999998</v>
      </c>
      <c r="G297" s="64">
        <f>5.6371 * CHOOSE(CONTROL!$C$22, $C$13, 100%, $E$13)</f>
        <v>5.6371000000000002</v>
      </c>
      <c r="H297" s="64">
        <f>10.1154* CHOOSE(CONTROL!$C$22, $C$13, 100%, $E$13)</f>
        <v>10.115399999999999</v>
      </c>
      <c r="I297" s="64">
        <f>10.1155 * CHOOSE(CONTROL!$C$22, $C$13, 100%, $E$13)</f>
        <v>10.115500000000001</v>
      </c>
      <c r="J297" s="64">
        <f>5.6369 * CHOOSE(CONTROL!$C$22, $C$13, 100%, $E$13)</f>
        <v>5.6368999999999998</v>
      </c>
      <c r="K297" s="64">
        <f>5.6371 * CHOOSE(CONTROL!$C$22, $C$13, 100%, $E$13)</f>
        <v>5.6371000000000002</v>
      </c>
    </row>
    <row r="298" spans="1:11" ht="15">
      <c r="A298" s="13">
        <v>50710</v>
      </c>
      <c r="B298" s="63">
        <f>4.9116 * CHOOSE(CONTROL!$C$22, $C$13, 100%, $E$13)</f>
        <v>4.9116</v>
      </c>
      <c r="C298" s="63">
        <f>4.9116 * CHOOSE(CONTROL!$C$22, $C$13, 100%, $E$13)</f>
        <v>4.9116</v>
      </c>
      <c r="D298" s="63">
        <f>4.9293 * CHOOSE(CONTROL!$C$22, $C$13, 100%, $E$13)</f>
        <v>4.9292999999999996</v>
      </c>
      <c r="E298" s="64">
        <f>5.6518 * CHOOSE(CONTROL!$C$22, $C$13, 100%, $E$13)</f>
        <v>5.6517999999999997</v>
      </c>
      <c r="F298" s="64">
        <f>5.6518 * CHOOSE(CONTROL!$C$22, $C$13, 100%, $E$13)</f>
        <v>5.6517999999999997</v>
      </c>
      <c r="G298" s="64">
        <f>5.652 * CHOOSE(CONTROL!$C$22, $C$13, 100%, $E$13)</f>
        <v>5.6520000000000001</v>
      </c>
      <c r="H298" s="64">
        <f>10.1364* CHOOSE(CONTROL!$C$22, $C$13, 100%, $E$13)</f>
        <v>10.1364</v>
      </c>
      <c r="I298" s="64">
        <f>10.1366 * CHOOSE(CONTROL!$C$22, $C$13, 100%, $E$13)</f>
        <v>10.1366</v>
      </c>
      <c r="J298" s="64">
        <f>5.6518 * CHOOSE(CONTROL!$C$22, $C$13, 100%, $E$13)</f>
        <v>5.6517999999999997</v>
      </c>
      <c r="K298" s="64">
        <f>5.652 * CHOOSE(CONTROL!$C$22, $C$13, 100%, $E$13)</f>
        <v>5.6520000000000001</v>
      </c>
    </row>
    <row r="299" spans="1:11" ht="15">
      <c r="A299" s="13">
        <v>50740</v>
      </c>
      <c r="B299" s="63">
        <f>4.9116 * CHOOSE(CONTROL!$C$22, $C$13, 100%, $E$13)</f>
        <v>4.9116</v>
      </c>
      <c r="C299" s="63">
        <f>4.9116 * CHOOSE(CONTROL!$C$22, $C$13, 100%, $E$13)</f>
        <v>4.9116</v>
      </c>
      <c r="D299" s="63">
        <f>4.9293 * CHOOSE(CONTROL!$C$22, $C$13, 100%, $E$13)</f>
        <v>4.9292999999999996</v>
      </c>
      <c r="E299" s="64">
        <f>5.6369 * CHOOSE(CONTROL!$C$22, $C$13, 100%, $E$13)</f>
        <v>5.6368999999999998</v>
      </c>
      <c r="F299" s="64">
        <f>5.6369 * CHOOSE(CONTROL!$C$22, $C$13, 100%, $E$13)</f>
        <v>5.6368999999999998</v>
      </c>
      <c r="G299" s="64">
        <f>5.6371 * CHOOSE(CONTROL!$C$22, $C$13, 100%, $E$13)</f>
        <v>5.6371000000000002</v>
      </c>
      <c r="H299" s="64">
        <f>10.1576* CHOOSE(CONTROL!$C$22, $C$13, 100%, $E$13)</f>
        <v>10.1576</v>
      </c>
      <c r="I299" s="64">
        <f>10.1577 * CHOOSE(CONTROL!$C$22, $C$13, 100%, $E$13)</f>
        <v>10.1577</v>
      </c>
      <c r="J299" s="64">
        <f>5.6369 * CHOOSE(CONTROL!$C$22, $C$13, 100%, $E$13)</f>
        <v>5.6368999999999998</v>
      </c>
      <c r="K299" s="64">
        <f>5.6371 * CHOOSE(CONTROL!$C$22, $C$13, 100%, $E$13)</f>
        <v>5.6371000000000002</v>
      </c>
    </row>
    <row r="300" spans="1:11" ht="15">
      <c r="A300" s="13">
        <v>50771</v>
      </c>
      <c r="B300" s="63">
        <f>4.9579 * CHOOSE(CONTROL!$C$22, $C$13, 100%, $E$13)</f>
        <v>4.9579000000000004</v>
      </c>
      <c r="C300" s="63">
        <f>4.9579 * CHOOSE(CONTROL!$C$22, $C$13, 100%, $E$13)</f>
        <v>4.9579000000000004</v>
      </c>
      <c r="D300" s="63">
        <f>4.9756 * CHOOSE(CONTROL!$C$22, $C$13, 100%, $E$13)</f>
        <v>4.9756</v>
      </c>
      <c r="E300" s="64">
        <f>5.6938 * CHOOSE(CONTROL!$C$22, $C$13, 100%, $E$13)</f>
        <v>5.6938000000000004</v>
      </c>
      <c r="F300" s="64">
        <f>5.6938 * CHOOSE(CONTROL!$C$22, $C$13, 100%, $E$13)</f>
        <v>5.6938000000000004</v>
      </c>
      <c r="G300" s="64">
        <f>5.6939 * CHOOSE(CONTROL!$C$22, $C$13, 100%, $E$13)</f>
        <v>5.6939000000000002</v>
      </c>
      <c r="H300" s="64">
        <f>10.1787* CHOOSE(CONTROL!$C$22, $C$13, 100%, $E$13)</f>
        <v>10.178699999999999</v>
      </c>
      <c r="I300" s="64">
        <f>10.1789 * CHOOSE(CONTROL!$C$22, $C$13, 100%, $E$13)</f>
        <v>10.178900000000001</v>
      </c>
      <c r="J300" s="64">
        <f>5.6938 * CHOOSE(CONTROL!$C$22, $C$13, 100%, $E$13)</f>
        <v>5.6938000000000004</v>
      </c>
      <c r="K300" s="64">
        <f>5.6939 * CHOOSE(CONTROL!$C$22, $C$13, 100%, $E$13)</f>
        <v>5.6939000000000002</v>
      </c>
    </row>
    <row r="301" spans="1:11" ht="15">
      <c r="A301" s="13">
        <v>50802</v>
      </c>
      <c r="B301" s="63">
        <f>4.9549 * CHOOSE(CONTROL!$C$22, $C$13, 100%, $E$13)</f>
        <v>4.9549000000000003</v>
      </c>
      <c r="C301" s="63">
        <f>4.9549 * CHOOSE(CONTROL!$C$22, $C$13, 100%, $E$13)</f>
        <v>4.9549000000000003</v>
      </c>
      <c r="D301" s="63">
        <f>4.9725 * CHOOSE(CONTROL!$C$22, $C$13, 100%, $E$13)</f>
        <v>4.9725000000000001</v>
      </c>
      <c r="E301" s="64">
        <f>5.6295 * CHOOSE(CONTROL!$C$22, $C$13, 100%, $E$13)</f>
        <v>5.6295000000000002</v>
      </c>
      <c r="F301" s="64">
        <f>5.6295 * CHOOSE(CONTROL!$C$22, $C$13, 100%, $E$13)</f>
        <v>5.6295000000000002</v>
      </c>
      <c r="G301" s="64">
        <f>5.6297 * CHOOSE(CONTROL!$C$22, $C$13, 100%, $E$13)</f>
        <v>5.6296999999999997</v>
      </c>
      <c r="H301" s="64">
        <f>10.1999* CHOOSE(CONTROL!$C$22, $C$13, 100%, $E$13)</f>
        <v>10.1999</v>
      </c>
      <c r="I301" s="64">
        <f>10.2001 * CHOOSE(CONTROL!$C$22, $C$13, 100%, $E$13)</f>
        <v>10.200100000000001</v>
      </c>
      <c r="J301" s="64">
        <f>5.6295 * CHOOSE(CONTROL!$C$22, $C$13, 100%, $E$13)</f>
        <v>5.6295000000000002</v>
      </c>
      <c r="K301" s="64">
        <f>5.6297 * CHOOSE(CONTROL!$C$22, $C$13, 100%, $E$13)</f>
        <v>5.6296999999999997</v>
      </c>
    </row>
    <row r="302" spans="1:11" ht="15">
      <c r="A302" s="13">
        <v>50830</v>
      </c>
      <c r="B302" s="63">
        <f>4.9518 * CHOOSE(CONTROL!$C$22, $C$13, 100%, $E$13)</f>
        <v>4.9518000000000004</v>
      </c>
      <c r="C302" s="63">
        <f>4.9518 * CHOOSE(CONTROL!$C$22, $C$13, 100%, $E$13)</f>
        <v>4.9518000000000004</v>
      </c>
      <c r="D302" s="63">
        <f>4.9695 * CHOOSE(CONTROL!$C$22, $C$13, 100%, $E$13)</f>
        <v>4.9695</v>
      </c>
      <c r="E302" s="64">
        <f>5.6764 * CHOOSE(CONTROL!$C$22, $C$13, 100%, $E$13)</f>
        <v>5.6764000000000001</v>
      </c>
      <c r="F302" s="64">
        <f>5.6764 * CHOOSE(CONTROL!$C$22, $C$13, 100%, $E$13)</f>
        <v>5.6764000000000001</v>
      </c>
      <c r="G302" s="64">
        <f>5.6766 * CHOOSE(CONTROL!$C$22, $C$13, 100%, $E$13)</f>
        <v>5.6765999999999996</v>
      </c>
      <c r="H302" s="64">
        <f>10.2212* CHOOSE(CONTROL!$C$22, $C$13, 100%, $E$13)</f>
        <v>10.2212</v>
      </c>
      <c r="I302" s="64">
        <f>10.2213 * CHOOSE(CONTROL!$C$22, $C$13, 100%, $E$13)</f>
        <v>10.221299999999999</v>
      </c>
      <c r="J302" s="64">
        <f>5.6764 * CHOOSE(CONTROL!$C$22, $C$13, 100%, $E$13)</f>
        <v>5.6764000000000001</v>
      </c>
      <c r="K302" s="64">
        <f>5.6766 * CHOOSE(CONTROL!$C$22, $C$13, 100%, $E$13)</f>
        <v>5.6765999999999996</v>
      </c>
    </row>
    <row r="303" spans="1:11" ht="15">
      <c r="A303" s="13">
        <v>50861</v>
      </c>
      <c r="B303" s="63">
        <f>4.9504 * CHOOSE(CONTROL!$C$22, $C$13, 100%, $E$13)</f>
        <v>4.9504000000000001</v>
      </c>
      <c r="C303" s="63">
        <f>4.9504 * CHOOSE(CONTROL!$C$22, $C$13, 100%, $E$13)</f>
        <v>4.9504000000000001</v>
      </c>
      <c r="D303" s="63">
        <f>4.968 * CHOOSE(CONTROL!$C$22, $C$13, 100%, $E$13)</f>
        <v>4.968</v>
      </c>
      <c r="E303" s="64">
        <f>5.7247 * CHOOSE(CONTROL!$C$22, $C$13, 100%, $E$13)</f>
        <v>5.7247000000000003</v>
      </c>
      <c r="F303" s="64">
        <f>5.7247 * CHOOSE(CONTROL!$C$22, $C$13, 100%, $E$13)</f>
        <v>5.7247000000000003</v>
      </c>
      <c r="G303" s="64">
        <f>5.7249 * CHOOSE(CONTROL!$C$22, $C$13, 100%, $E$13)</f>
        <v>5.7248999999999999</v>
      </c>
      <c r="H303" s="64">
        <f>10.2425* CHOOSE(CONTROL!$C$22, $C$13, 100%, $E$13)</f>
        <v>10.2425</v>
      </c>
      <c r="I303" s="64">
        <f>10.2426 * CHOOSE(CONTROL!$C$22, $C$13, 100%, $E$13)</f>
        <v>10.242599999999999</v>
      </c>
      <c r="J303" s="64">
        <f>5.7247 * CHOOSE(CONTROL!$C$22, $C$13, 100%, $E$13)</f>
        <v>5.7247000000000003</v>
      </c>
      <c r="K303" s="64">
        <f>5.7249 * CHOOSE(CONTROL!$C$22, $C$13, 100%, $E$13)</f>
        <v>5.7248999999999999</v>
      </c>
    </row>
    <row r="304" spans="1:11" ht="15">
      <c r="A304" s="13">
        <v>50891</v>
      </c>
      <c r="B304" s="63">
        <f>4.9504 * CHOOSE(CONTROL!$C$22, $C$13, 100%, $E$13)</f>
        <v>4.9504000000000001</v>
      </c>
      <c r="C304" s="63">
        <f>4.9504 * CHOOSE(CONTROL!$C$22, $C$13, 100%, $E$13)</f>
        <v>4.9504000000000001</v>
      </c>
      <c r="D304" s="63">
        <f>4.9857 * CHOOSE(CONTROL!$C$22, $C$13, 100%, $E$13)</f>
        <v>4.9856999999999996</v>
      </c>
      <c r="E304" s="64">
        <f>5.7445 * CHOOSE(CONTROL!$C$22, $C$13, 100%, $E$13)</f>
        <v>5.7445000000000004</v>
      </c>
      <c r="F304" s="64">
        <f>5.7445 * CHOOSE(CONTROL!$C$22, $C$13, 100%, $E$13)</f>
        <v>5.7445000000000004</v>
      </c>
      <c r="G304" s="64">
        <f>5.7467 * CHOOSE(CONTROL!$C$22, $C$13, 100%, $E$13)</f>
        <v>5.7466999999999997</v>
      </c>
      <c r="H304" s="64">
        <f>10.2638* CHOOSE(CONTROL!$C$22, $C$13, 100%, $E$13)</f>
        <v>10.2638</v>
      </c>
      <c r="I304" s="64">
        <f>10.266 * CHOOSE(CONTROL!$C$22, $C$13, 100%, $E$13)</f>
        <v>10.266</v>
      </c>
      <c r="J304" s="64">
        <f>5.7445 * CHOOSE(CONTROL!$C$22, $C$13, 100%, $E$13)</f>
        <v>5.7445000000000004</v>
      </c>
      <c r="K304" s="64">
        <f>5.7467 * CHOOSE(CONTROL!$C$22, $C$13, 100%, $E$13)</f>
        <v>5.7466999999999997</v>
      </c>
    </row>
    <row r="305" spans="1:11" ht="15">
      <c r="A305" s="13">
        <v>50922</v>
      </c>
      <c r="B305" s="63">
        <f>4.9565 * CHOOSE(CONTROL!$C$22, $C$13, 100%, $E$13)</f>
        <v>4.9565000000000001</v>
      </c>
      <c r="C305" s="63">
        <f>4.9565 * CHOOSE(CONTROL!$C$22, $C$13, 100%, $E$13)</f>
        <v>4.9565000000000001</v>
      </c>
      <c r="D305" s="63">
        <f>4.9918 * CHOOSE(CONTROL!$C$22, $C$13, 100%, $E$13)</f>
        <v>4.9917999999999996</v>
      </c>
      <c r="E305" s="64">
        <f>5.729 * CHOOSE(CONTROL!$C$22, $C$13, 100%, $E$13)</f>
        <v>5.7290000000000001</v>
      </c>
      <c r="F305" s="64">
        <f>5.729 * CHOOSE(CONTROL!$C$22, $C$13, 100%, $E$13)</f>
        <v>5.7290000000000001</v>
      </c>
      <c r="G305" s="64">
        <f>5.7312 * CHOOSE(CONTROL!$C$22, $C$13, 100%, $E$13)</f>
        <v>5.7312000000000003</v>
      </c>
      <c r="H305" s="64">
        <f>10.2852* CHOOSE(CONTROL!$C$22, $C$13, 100%, $E$13)</f>
        <v>10.2852</v>
      </c>
      <c r="I305" s="64">
        <f>10.2874 * CHOOSE(CONTROL!$C$22, $C$13, 100%, $E$13)</f>
        <v>10.2874</v>
      </c>
      <c r="J305" s="64">
        <f>5.729 * CHOOSE(CONTROL!$C$22, $C$13, 100%, $E$13)</f>
        <v>5.7290000000000001</v>
      </c>
      <c r="K305" s="64">
        <f>5.7312 * CHOOSE(CONTROL!$C$22, $C$13, 100%, $E$13)</f>
        <v>5.7312000000000003</v>
      </c>
    </row>
    <row r="306" spans="1:11" ht="15">
      <c r="A306" s="13">
        <v>50952</v>
      </c>
      <c r="B306" s="63">
        <f>5.043 * CHOOSE(CONTROL!$C$22, $C$13, 100%, $E$13)</f>
        <v>5.0430000000000001</v>
      </c>
      <c r="C306" s="63">
        <f>5.043 * CHOOSE(CONTROL!$C$22, $C$13, 100%, $E$13)</f>
        <v>5.0430000000000001</v>
      </c>
      <c r="D306" s="63">
        <f>5.0783 * CHOOSE(CONTROL!$C$22, $C$13, 100%, $E$13)</f>
        <v>5.0782999999999996</v>
      </c>
      <c r="E306" s="64">
        <f>5.8439 * CHOOSE(CONTROL!$C$22, $C$13, 100%, $E$13)</f>
        <v>5.8438999999999997</v>
      </c>
      <c r="F306" s="64">
        <f>5.8439 * CHOOSE(CONTROL!$C$22, $C$13, 100%, $E$13)</f>
        <v>5.8438999999999997</v>
      </c>
      <c r="G306" s="64">
        <f>5.8461 * CHOOSE(CONTROL!$C$22, $C$13, 100%, $E$13)</f>
        <v>5.8460999999999999</v>
      </c>
      <c r="H306" s="64">
        <f>10.3066* CHOOSE(CONTROL!$C$22, $C$13, 100%, $E$13)</f>
        <v>10.3066</v>
      </c>
      <c r="I306" s="64">
        <f>10.3088 * CHOOSE(CONTROL!$C$22, $C$13, 100%, $E$13)</f>
        <v>10.3088</v>
      </c>
      <c r="J306" s="64">
        <f>5.8439 * CHOOSE(CONTROL!$C$22, $C$13, 100%, $E$13)</f>
        <v>5.8438999999999997</v>
      </c>
      <c r="K306" s="64">
        <f>5.8461 * CHOOSE(CONTROL!$C$22, $C$13, 100%, $E$13)</f>
        <v>5.8460999999999999</v>
      </c>
    </row>
    <row r="307" spans="1:11" ht="15">
      <c r="A307" s="13">
        <v>50983</v>
      </c>
      <c r="B307" s="63">
        <f>5.0497 * CHOOSE(CONTROL!$C$22, $C$13, 100%, $E$13)</f>
        <v>5.0496999999999996</v>
      </c>
      <c r="C307" s="63">
        <f>5.0497 * CHOOSE(CONTROL!$C$22, $C$13, 100%, $E$13)</f>
        <v>5.0496999999999996</v>
      </c>
      <c r="D307" s="63">
        <f>5.085 * CHOOSE(CONTROL!$C$22, $C$13, 100%, $E$13)</f>
        <v>5.085</v>
      </c>
      <c r="E307" s="64">
        <f>5.7894 * CHOOSE(CONTROL!$C$22, $C$13, 100%, $E$13)</f>
        <v>5.7893999999999997</v>
      </c>
      <c r="F307" s="64">
        <f>5.7894 * CHOOSE(CONTROL!$C$22, $C$13, 100%, $E$13)</f>
        <v>5.7893999999999997</v>
      </c>
      <c r="G307" s="64">
        <f>5.7916 * CHOOSE(CONTROL!$C$22, $C$13, 100%, $E$13)</f>
        <v>5.7915999999999999</v>
      </c>
      <c r="H307" s="64">
        <f>10.3281* CHOOSE(CONTROL!$C$22, $C$13, 100%, $E$13)</f>
        <v>10.328099999999999</v>
      </c>
      <c r="I307" s="64">
        <f>10.3303 * CHOOSE(CONTROL!$C$22, $C$13, 100%, $E$13)</f>
        <v>10.330299999999999</v>
      </c>
      <c r="J307" s="64">
        <f>5.7894 * CHOOSE(CONTROL!$C$22, $C$13, 100%, $E$13)</f>
        <v>5.7893999999999997</v>
      </c>
      <c r="K307" s="64">
        <f>5.7916 * CHOOSE(CONTROL!$C$22, $C$13, 100%, $E$13)</f>
        <v>5.7915999999999999</v>
      </c>
    </row>
    <row r="308" spans="1:11" ht="15">
      <c r="A308" s="13">
        <v>51014</v>
      </c>
      <c r="B308" s="63">
        <f>5.0467 * CHOOSE(CONTROL!$C$22, $C$13, 100%, $E$13)</f>
        <v>5.0467000000000004</v>
      </c>
      <c r="C308" s="63">
        <f>5.0467 * CHOOSE(CONTROL!$C$22, $C$13, 100%, $E$13)</f>
        <v>5.0467000000000004</v>
      </c>
      <c r="D308" s="63">
        <f>5.082 * CHOOSE(CONTROL!$C$22, $C$13, 100%, $E$13)</f>
        <v>5.0819999999999999</v>
      </c>
      <c r="E308" s="64">
        <f>5.7807 * CHOOSE(CONTROL!$C$22, $C$13, 100%, $E$13)</f>
        <v>5.7807000000000004</v>
      </c>
      <c r="F308" s="64">
        <f>5.7807 * CHOOSE(CONTROL!$C$22, $C$13, 100%, $E$13)</f>
        <v>5.7807000000000004</v>
      </c>
      <c r="G308" s="64">
        <f>5.7829 * CHOOSE(CONTROL!$C$22, $C$13, 100%, $E$13)</f>
        <v>5.7828999999999997</v>
      </c>
      <c r="H308" s="64">
        <f>10.3496* CHOOSE(CONTROL!$C$22, $C$13, 100%, $E$13)</f>
        <v>10.349600000000001</v>
      </c>
      <c r="I308" s="64">
        <f>10.3518 * CHOOSE(CONTROL!$C$22, $C$13, 100%, $E$13)</f>
        <v>10.351800000000001</v>
      </c>
      <c r="J308" s="64">
        <f>5.7807 * CHOOSE(CONTROL!$C$22, $C$13, 100%, $E$13)</f>
        <v>5.7807000000000004</v>
      </c>
      <c r="K308" s="64">
        <f>5.7829 * CHOOSE(CONTROL!$C$22, $C$13, 100%, $E$13)</f>
        <v>5.7828999999999997</v>
      </c>
    </row>
    <row r="309" spans="1:11" ht="15">
      <c r="A309" s="13">
        <v>51044</v>
      </c>
      <c r="B309" s="63">
        <f>5.0455 * CHOOSE(CONTROL!$C$22, $C$13, 100%, $E$13)</f>
        <v>5.0454999999999997</v>
      </c>
      <c r="C309" s="63">
        <f>5.0455 * CHOOSE(CONTROL!$C$22, $C$13, 100%, $E$13)</f>
        <v>5.0454999999999997</v>
      </c>
      <c r="D309" s="63">
        <f>5.0631 * CHOOSE(CONTROL!$C$22, $C$13, 100%, $E$13)</f>
        <v>5.0631000000000004</v>
      </c>
      <c r="E309" s="64">
        <f>5.7936 * CHOOSE(CONTROL!$C$22, $C$13, 100%, $E$13)</f>
        <v>5.7935999999999996</v>
      </c>
      <c r="F309" s="64">
        <f>5.7936 * CHOOSE(CONTROL!$C$22, $C$13, 100%, $E$13)</f>
        <v>5.7935999999999996</v>
      </c>
      <c r="G309" s="64">
        <f>5.7938 * CHOOSE(CONTROL!$C$22, $C$13, 100%, $E$13)</f>
        <v>5.7938000000000001</v>
      </c>
      <c r="H309" s="64">
        <f>10.3712* CHOOSE(CONTROL!$C$22, $C$13, 100%, $E$13)</f>
        <v>10.3712</v>
      </c>
      <c r="I309" s="64">
        <f>10.3713 * CHOOSE(CONTROL!$C$22, $C$13, 100%, $E$13)</f>
        <v>10.3713</v>
      </c>
      <c r="J309" s="64">
        <f>5.7936 * CHOOSE(CONTROL!$C$22, $C$13, 100%, $E$13)</f>
        <v>5.7935999999999996</v>
      </c>
      <c r="K309" s="64">
        <f>5.7938 * CHOOSE(CONTROL!$C$22, $C$13, 100%, $E$13)</f>
        <v>5.7938000000000001</v>
      </c>
    </row>
    <row r="310" spans="1:11" ht="15">
      <c r="A310" s="13">
        <v>51075</v>
      </c>
      <c r="B310" s="63">
        <f>5.0485 * CHOOSE(CONTROL!$C$22, $C$13, 100%, $E$13)</f>
        <v>5.0484999999999998</v>
      </c>
      <c r="C310" s="63">
        <f>5.0485 * CHOOSE(CONTROL!$C$22, $C$13, 100%, $E$13)</f>
        <v>5.0484999999999998</v>
      </c>
      <c r="D310" s="63">
        <f>5.0662 * CHOOSE(CONTROL!$C$22, $C$13, 100%, $E$13)</f>
        <v>5.0662000000000003</v>
      </c>
      <c r="E310" s="64">
        <f>5.8089 * CHOOSE(CONTROL!$C$22, $C$13, 100%, $E$13)</f>
        <v>5.8089000000000004</v>
      </c>
      <c r="F310" s="64">
        <f>5.8089 * CHOOSE(CONTROL!$C$22, $C$13, 100%, $E$13)</f>
        <v>5.8089000000000004</v>
      </c>
      <c r="G310" s="64">
        <f>5.809 * CHOOSE(CONTROL!$C$22, $C$13, 100%, $E$13)</f>
        <v>5.8090000000000002</v>
      </c>
      <c r="H310" s="64">
        <f>10.3928* CHOOSE(CONTROL!$C$22, $C$13, 100%, $E$13)</f>
        <v>10.392799999999999</v>
      </c>
      <c r="I310" s="64">
        <f>10.3929 * CHOOSE(CONTROL!$C$22, $C$13, 100%, $E$13)</f>
        <v>10.392899999999999</v>
      </c>
      <c r="J310" s="64">
        <f>5.8089 * CHOOSE(CONTROL!$C$22, $C$13, 100%, $E$13)</f>
        <v>5.8089000000000004</v>
      </c>
      <c r="K310" s="64">
        <f>5.809 * CHOOSE(CONTROL!$C$22, $C$13, 100%, $E$13)</f>
        <v>5.8090000000000002</v>
      </c>
    </row>
    <row r="311" spans="1:11" ht="15">
      <c r="A311" s="13">
        <v>51105</v>
      </c>
      <c r="B311" s="63">
        <f>5.0485 * CHOOSE(CONTROL!$C$22, $C$13, 100%, $E$13)</f>
        <v>5.0484999999999998</v>
      </c>
      <c r="C311" s="63">
        <f>5.0485 * CHOOSE(CONTROL!$C$22, $C$13, 100%, $E$13)</f>
        <v>5.0484999999999998</v>
      </c>
      <c r="D311" s="63">
        <f>5.0662 * CHOOSE(CONTROL!$C$22, $C$13, 100%, $E$13)</f>
        <v>5.0662000000000003</v>
      </c>
      <c r="E311" s="64">
        <f>5.776 * CHOOSE(CONTROL!$C$22, $C$13, 100%, $E$13)</f>
        <v>5.7759999999999998</v>
      </c>
      <c r="F311" s="64">
        <f>5.776 * CHOOSE(CONTROL!$C$22, $C$13, 100%, $E$13)</f>
        <v>5.7759999999999998</v>
      </c>
      <c r="G311" s="64">
        <f>5.7762 * CHOOSE(CONTROL!$C$22, $C$13, 100%, $E$13)</f>
        <v>5.7762000000000002</v>
      </c>
      <c r="H311" s="64">
        <f>10.4144* CHOOSE(CONTROL!$C$22, $C$13, 100%, $E$13)</f>
        <v>10.414400000000001</v>
      </c>
      <c r="I311" s="64">
        <f>10.4146 * CHOOSE(CONTROL!$C$22, $C$13, 100%, $E$13)</f>
        <v>10.4146</v>
      </c>
      <c r="J311" s="64">
        <f>5.776 * CHOOSE(CONTROL!$C$22, $C$13, 100%, $E$13)</f>
        <v>5.7759999999999998</v>
      </c>
      <c r="K311" s="64">
        <f>5.7762 * CHOOSE(CONTROL!$C$22, $C$13, 100%, $E$13)</f>
        <v>5.7762000000000002</v>
      </c>
    </row>
    <row r="312" spans="1:11" ht="15">
      <c r="A312" s="13">
        <v>51136</v>
      </c>
      <c r="B312" s="63">
        <f>5.0944 * CHOOSE(CONTROL!$C$22, $C$13, 100%, $E$13)</f>
        <v>5.0944000000000003</v>
      </c>
      <c r="C312" s="63">
        <f>5.0944 * CHOOSE(CONTROL!$C$22, $C$13, 100%, $E$13)</f>
        <v>5.0944000000000003</v>
      </c>
      <c r="D312" s="63">
        <f>5.112 * CHOOSE(CONTROL!$C$22, $C$13, 100%, $E$13)</f>
        <v>5.1120000000000001</v>
      </c>
      <c r="E312" s="64">
        <f>5.8526 * CHOOSE(CONTROL!$C$22, $C$13, 100%, $E$13)</f>
        <v>5.8525999999999998</v>
      </c>
      <c r="F312" s="64">
        <f>5.8526 * CHOOSE(CONTROL!$C$22, $C$13, 100%, $E$13)</f>
        <v>5.8525999999999998</v>
      </c>
      <c r="G312" s="64">
        <f>5.8528 * CHOOSE(CONTROL!$C$22, $C$13, 100%, $E$13)</f>
        <v>5.8528000000000002</v>
      </c>
      <c r="H312" s="64">
        <f>10.4361* CHOOSE(CONTROL!$C$22, $C$13, 100%, $E$13)</f>
        <v>10.4361</v>
      </c>
      <c r="I312" s="64">
        <f>10.4363 * CHOOSE(CONTROL!$C$22, $C$13, 100%, $E$13)</f>
        <v>10.436299999999999</v>
      </c>
      <c r="J312" s="64">
        <f>5.8526 * CHOOSE(CONTROL!$C$22, $C$13, 100%, $E$13)</f>
        <v>5.8525999999999998</v>
      </c>
      <c r="K312" s="64">
        <f>5.8528 * CHOOSE(CONTROL!$C$22, $C$13, 100%, $E$13)</f>
        <v>5.8528000000000002</v>
      </c>
    </row>
    <row r="313" spans="1:11" ht="15">
      <c r="A313" s="13">
        <v>51167</v>
      </c>
      <c r="B313" s="63">
        <f>5.0913 * CHOOSE(CONTROL!$C$22, $C$13, 100%, $E$13)</f>
        <v>5.0913000000000004</v>
      </c>
      <c r="C313" s="63">
        <f>5.0913 * CHOOSE(CONTROL!$C$22, $C$13, 100%, $E$13)</f>
        <v>5.0913000000000004</v>
      </c>
      <c r="D313" s="63">
        <f>5.109 * CHOOSE(CONTROL!$C$22, $C$13, 100%, $E$13)</f>
        <v>5.109</v>
      </c>
      <c r="E313" s="64">
        <f>5.7866 * CHOOSE(CONTROL!$C$22, $C$13, 100%, $E$13)</f>
        <v>5.7866</v>
      </c>
      <c r="F313" s="64">
        <f>5.7866 * CHOOSE(CONTROL!$C$22, $C$13, 100%, $E$13)</f>
        <v>5.7866</v>
      </c>
      <c r="G313" s="64">
        <f>5.7868 * CHOOSE(CONTROL!$C$22, $C$13, 100%, $E$13)</f>
        <v>5.7868000000000004</v>
      </c>
      <c r="H313" s="64">
        <f>10.4579* CHOOSE(CONTROL!$C$22, $C$13, 100%, $E$13)</f>
        <v>10.4579</v>
      </c>
      <c r="I313" s="64">
        <f>10.458 * CHOOSE(CONTROL!$C$22, $C$13, 100%, $E$13)</f>
        <v>10.458</v>
      </c>
      <c r="J313" s="64">
        <f>5.7866 * CHOOSE(CONTROL!$C$22, $C$13, 100%, $E$13)</f>
        <v>5.7866</v>
      </c>
      <c r="K313" s="64">
        <f>5.7868 * CHOOSE(CONTROL!$C$22, $C$13, 100%, $E$13)</f>
        <v>5.7868000000000004</v>
      </c>
    </row>
    <row r="314" spans="1:11" ht="15">
      <c r="A314" s="13">
        <v>51196</v>
      </c>
      <c r="B314" s="63">
        <f>5.0883 * CHOOSE(CONTROL!$C$22, $C$13, 100%, $E$13)</f>
        <v>5.0883000000000003</v>
      </c>
      <c r="C314" s="63">
        <f>5.0883 * CHOOSE(CONTROL!$C$22, $C$13, 100%, $E$13)</f>
        <v>5.0883000000000003</v>
      </c>
      <c r="D314" s="63">
        <f>5.1059 * CHOOSE(CONTROL!$C$22, $C$13, 100%, $E$13)</f>
        <v>5.1059000000000001</v>
      </c>
      <c r="E314" s="64">
        <f>5.8349 * CHOOSE(CONTROL!$C$22, $C$13, 100%, $E$13)</f>
        <v>5.8349000000000002</v>
      </c>
      <c r="F314" s="64">
        <f>5.8349 * CHOOSE(CONTROL!$C$22, $C$13, 100%, $E$13)</f>
        <v>5.8349000000000002</v>
      </c>
      <c r="G314" s="64">
        <f>5.835 * CHOOSE(CONTROL!$C$22, $C$13, 100%, $E$13)</f>
        <v>5.835</v>
      </c>
      <c r="H314" s="64">
        <f>10.4796* CHOOSE(CONTROL!$C$22, $C$13, 100%, $E$13)</f>
        <v>10.4796</v>
      </c>
      <c r="I314" s="64">
        <f>10.4798 * CHOOSE(CONTROL!$C$22, $C$13, 100%, $E$13)</f>
        <v>10.479799999999999</v>
      </c>
      <c r="J314" s="64">
        <f>5.8349 * CHOOSE(CONTROL!$C$22, $C$13, 100%, $E$13)</f>
        <v>5.8349000000000002</v>
      </c>
      <c r="K314" s="64">
        <f>5.835 * CHOOSE(CONTROL!$C$22, $C$13, 100%, $E$13)</f>
        <v>5.835</v>
      </c>
    </row>
    <row r="315" spans="1:11" ht="15">
      <c r="A315" s="13">
        <v>51227</v>
      </c>
      <c r="B315" s="63">
        <f>5.0869 * CHOOSE(CONTROL!$C$22, $C$13, 100%, $E$13)</f>
        <v>5.0869</v>
      </c>
      <c r="C315" s="63">
        <f>5.0869 * CHOOSE(CONTROL!$C$22, $C$13, 100%, $E$13)</f>
        <v>5.0869</v>
      </c>
      <c r="D315" s="63">
        <f>5.1046 * CHOOSE(CONTROL!$C$22, $C$13, 100%, $E$13)</f>
        <v>5.1045999999999996</v>
      </c>
      <c r="E315" s="64">
        <f>5.8847 * CHOOSE(CONTROL!$C$22, $C$13, 100%, $E$13)</f>
        <v>5.8846999999999996</v>
      </c>
      <c r="F315" s="64">
        <f>5.8847 * CHOOSE(CONTROL!$C$22, $C$13, 100%, $E$13)</f>
        <v>5.8846999999999996</v>
      </c>
      <c r="G315" s="64">
        <f>5.8849 * CHOOSE(CONTROL!$C$22, $C$13, 100%, $E$13)</f>
        <v>5.8849</v>
      </c>
      <c r="H315" s="64">
        <f>10.5015* CHOOSE(CONTROL!$C$22, $C$13, 100%, $E$13)</f>
        <v>10.5015</v>
      </c>
      <c r="I315" s="64">
        <f>10.5017 * CHOOSE(CONTROL!$C$22, $C$13, 100%, $E$13)</f>
        <v>10.5017</v>
      </c>
      <c r="J315" s="64">
        <f>5.8847 * CHOOSE(CONTROL!$C$22, $C$13, 100%, $E$13)</f>
        <v>5.8846999999999996</v>
      </c>
      <c r="K315" s="64">
        <f>5.8849 * CHOOSE(CONTROL!$C$22, $C$13, 100%, $E$13)</f>
        <v>5.8849</v>
      </c>
    </row>
    <row r="316" spans="1:11" ht="15">
      <c r="A316" s="13">
        <v>51257</v>
      </c>
      <c r="B316" s="63">
        <f>5.0869 * CHOOSE(CONTROL!$C$22, $C$13, 100%, $E$13)</f>
        <v>5.0869</v>
      </c>
      <c r="C316" s="63">
        <f>5.0869 * CHOOSE(CONTROL!$C$22, $C$13, 100%, $E$13)</f>
        <v>5.0869</v>
      </c>
      <c r="D316" s="63">
        <f>5.1223 * CHOOSE(CONTROL!$C$22, $C$13, 100%, $E$13)</f>
        <v>5.1223000000000001</v>
      </c>
      <c r="E316" s="64">
        <f>5.905 * CHOOSE(CONTROL!$C$22, $C$13, 100%, $E$13)</f>
        <v>5.9050000000000002</v>
      </c>
      <c r="F316" s="64">
        <f>5.905 * CHOOSE(CONTROL!$C$22, $C$13, 100%, $E$13)</f>
        <v>5.9050000000000002</v>
      </c>
      <c r="G316" s="64">
        <f>5.9072 * CHOOSE(CONTROL!$C$22, $C$13, 100%, $E$13)</f>
        <v>5.9071999999999996</v>
      </c>
      <c r="H316" s="64">
        <f>10.5234* CHOOSE(CONTROL!$C$22, $C$13, 100%, $E$13)</f>
        <v>10.523400000000001</v>
      </c>
      <c r="I316" s="64">
        <f>10.5255 * CHOOSE(CONTROL!$C$22, $C$13, 100%, $E$13)</f>
        <v>10.525499999999999</v>
      </c>
      <c r="J316" s="64">
        <f>5.905 * CHOOSE(CONTROL!$C$22, $C$13, 100%, $E$13)</f>
        <v>5.9050000000000002</v>
      </c>
      <c r="K316" s="64">
        <f>5.9072 * CHOOSE(CONTROL!$C$22, $C$13, 100%, $E$13)</f>
        <v>5.9071999999999996</v>
      </c>
    </row>
    <row r="317" spans="1:11" ht="15">
      <c r="A317" s="13">
        <v>51288</v>
      </c>
      <c r="B317" s="63">
        <f>5.093 * CHOOSE(CONTROL!$C$22, $C$13, 100%, $E$13)</f>
        <v>5.093</v>
      </c>
      <c r="C317" s="63">
        <f>5.093 * CHOOSE(CONTROL!$C$22, $C$13, 100%, $E$13)</f>
        <v>5.093</v>
      </c>
      <c r="D317" s="63">
        <f>5.1283 * CHOOSE(CONTROL!$C$22, $C$13, 100%, $E$13)</f>
        <v>5.1283000000000003</v>
      </c>
      <c r="E317" s="64">
        <f>5.889 * CHOOSE(CONTROL!$C$22, $C$13, 100%, $E$13)</f>
        <v>5.8890000000000002</v>
      </c>
      <c r="F317" s="64">
        <f>5.889 * CHOOSE(CONTROL!$C$22, $C$13, 100%, $E$13)</f>
        <v>5.8890000000000002</v>
      </c>
      <c r="G317" s="64">
        <f>5.8911 * CHOOSE(CONTROL!$C$22, $C$13, 100%, $E$13)</f>
        <v>5.8910999999999998</v>
      </c>
      <c r="H317" s="64">
        <f>10.5453* CHOOSE(CONTROL!$C$22, $C$13, 100%, $E$13)</f>
        <v>10.545299999999999</v>
      </c>
      <c r="I317" s="64">
        <f>10.5475 * CHOOSE(CONTROL!$C$22, $C$13, 100%, $E$13)</f>
        <v>10.547499999999999</v>
      </c>
      <c r="J317" s="64">
        <f>5.889 * CHOOSE(CONTROL!$C$22, $C$13, 100%, $E$13)</f>
        <v>5.8890000000000002</v>
      </c>
      <c r="K317" s="64">
        <f>5.8911 * CHOOSE(CONTROL!$C$22, $C$13, 100%, $E$13)</f>
        <v>5.8910999999999998</v>
      </c>
    </row>
    <row r="318" spans="1:11" ht="15">
      <c r="A318" s="13">
        <v>51318</v>
      </c>
      <c r="B318" s="63">
        <f>5.1785 * CHOOSE(CONTROL!$C$22, $C$13, 100%, $E$13)</f>
        <v>5.1784999999999997</v>
      </c>
      <c r="C318" s="63">
        <f>5.1785 * CHOOSE(CONTROL!$C$22, $C$13, 100%, $E$13)</f>
        <v>5.1784999999999997</v>
      </c>
      <c r="D318" s="63">
        <f>5.2139 * CHOOSE(CONTROL!$C$22, $C$13, 100%, $E$13)</f>
        <v>5.2138999999999998</v>
      </c>
      <c r="E318" s="64">
        <f>6.0078 * CHOOSE(CONTROL!$C$22, $C$13, 100%, $E$13)</f>
        <v>6.0077999999999996</v>
      </c>
      <c r="F318" s="64">
        <f>6.0078 * CHOOSE(CONTROL!$C$22, $C$13, 100%, $E$13)</f>
        <v>6.0077999999999996</v>
      </c>
      <c r="G318" s="64">
        <f>6.01 * CHOOSE(CONTROL!$C$22, $C$13, 100%, $E$13)</f>
        <v>6.01</v>
      </c>
      <c r="H318" s="64">
        <f>10.5673* CHOOSE(CONTROL!$C$22, $C$13, 100%, $E$13)</f>
        <v>10.567299999999999</v>
      </c>
      <c r="I318" s="64">
        <f>10.5694 * CHOOSE(CONTROL!$C$22, $C$13, 100%, $E$13)</f>
        <v>10.5694</v>
      </c>
      <c r="J318" s="64">
        <f>6.0078 * CHOOSE(CONTROL!$C$22, $C$13, 100%, $E$13)</f>
        <v>6.0077999999999996</v>
      </c>
      <c r="K318" s="64">
        <f>6.01 * CHOOSE(CONTROL!$C$22, $C$13, 100%, $E$13)</f>
        <v>6.01</v>
      </c>
    </row>
    <row r="319" spans="1:11" ht="15">
      <c r="A319" s="13">
        <v>51349</v>
      </c>
      <c r="B319" s="63">
        <f>5.1852 * CHOOSE(CONTROL!$C$22, $C$13, 100%, $E$13)</f>
        <v>5.1852</v>
      </c>
      <c r="C319" s="63">
        <f>5.1852 * CHOOSE(CONTROL!$C$22, $C$13, 100%, $E$13)</f>
        <v>5.1852</v>
      </c>
      <c r="D319" s="63">
        <f>5.2205 * CHOOSE(CONTROL!$C$22, $C$13, 100%, $E$13)</f>
        <v>5.2205000000000004</v>
      </c>
      <c r="E319" s="64">
        <f>5.9516 * CHOOSE(CONTROL!$C$22, $C$13, 100%, $E$13)</f>
        <v>5.9516</v>
      </c>
      <c r="F319" s="64">
        <f>5.9516 * CHOOSE(CONTROL!$C$22, $C$13, 100%, $E$13)</f>
        <v>5.9516</v>
      </c>
      <c r="G319" s="64">
        <f>5.9538 * CHOOSE(CONTROL!$C$22, $C$13, 100%, $E$13)</f>
        <v>5.9538000000000002</v>
      </c>
      <c r="H319" s="64">
        <f>10.5893* CHOOSE(CONTROL!$C$22, $C$13, 100%, $E$13)</f>
        <v>10.5893</v>
      </c>
      <c r="I319" s="64">
        <f>10.5915 * CHOOSE(CONTROL!$C$22, $C$13, 100%, $E$13)</f>
        <v>10.5915</v>
      </c>
      <c r="J319" s="64">
        <f>5.9516 * CHOOSE(CONTROL!$C$22, $C$13, 100%, $E$13)</f>
        <v>5.9516</v>
      </c>
      <c r="K319" s="64">
        <f>5.9538 * CHOOSE(CONTROL!$C$22, $C$13, 100%, $E$13)</f>
        <v>5.9538000000000002</v>
      </c>
    </row>
    <row r="320" spans="1:11" ht="15">
      <c r="A320" s="13">
        <v>51380</v>
      </c>
      <c r="B320" s="63">
        <f>5.1822 * CHOOSE(CONTROL!$C$22, $C$13, 100%, $E$13)</f>
        <v>5.1821999999999999</v>
      </c>
      <c r="C320" s="63">
        <f>5.1822 * CHOOSE(CONTROL!$C$22, $C$13, 100%, $E$13)</f>
        <v>5.1821999999999999</v>
      </c>
      <c r="D320" s="63">
        <f>5.2175 * CHOOSE(CONTROL!$C$22, $C$13, 100%, $E$13)</f>
        <v>5.2175000000000002</v>
      </c>
      <c r="E320" s="64">
        <f>5.9427 * CHOOSE(CONTROL!$C$22, $C$13, 100%, $E$13)</f>
        <v>5.9427000000000003</v>
      </c>
      <c r="F320" s="64">
        <f>5.9427 * CHOOSE(CONTROL!$C$22, $C$13, 100%, $E$13)</f>
        <v>5.9427000000000003</v>
      </c>
      <c r="G320" s="64">
        <f>5.9449 * CHOOSE(CONTROL!$C$22, $C$13, 100%, $E$13)</f>
        <v>5.9448999999999996</v>
      </c>
      <c r="H320" s="64">
        <f>10.6113* CHOOSE(CONTROL!$C$22, $C$13, 100%, $E$13)</f>
        <v>10.6113</v>
      </c>
      <c r="I320" s="64">
        <f>10.6135 * CHOOSE(CONTROL!$C$22, $C$13, 100%, $E$13)</f>
        <v>10.6135</v>
      </c>
      <c r="J320" s="64">
        <f>5.9427 * CHOOSE(CONTROL!$C$22, $C$13, 100%, $E$13)</f>
        <v>5.9427000000000003</v>
      </c>
      <c r="K320" s="64">
        <f>5.9449 * CHOOSE(CONTROL!$C$22, $C$13, 100%, $E$13)</f>
        <v>5.9448999999999996</v>
      </c>
    </row>
    <row r="321" spans="1:11" ht="15">
      <c r="A321" s="13">
        <v>51410</v>
      </c>
      <c r="B321" s="63">
        <f>5.1814 * CHOOSE(CONTROL!$C$22, $C$13, 100%, $E$13)</f>
        <v>5.1814</v>
      </c>
      <c r="C321" s="63">
        <f>5.1814 * CHOOSE(CONTROL!$C$22, $C$13, 100%, $E$13)</f>
        <v>5.1814</v>
      </c>
      <c r="D321" s="63">
        <f>5.1991 * CHOOSE(CONTROL!$C$22, $C$13, 100%, $E$13)</f>
        <v>5.1990999999999996</v>
      </c>
      <c r="E321" s="64">
        <f>5.9563 * CHOOSE(CONTROL!$C$22, $C$13, 100%, $E$13)</f>
        <v>5.9562999999999997</v>
      </c>
      <c r="F321" s="64">
        <f>5.9563 * CHOOSE(CONTROL!$C$22, $C$13, 100%, $E$13)</f>
        <v>5.9562999999999997</v>
      </c>
      <c r="G321" s="64">
        <f>5.9565 * CHOOSE(CONTROL!$C$22, $C$13, 100%, $E$13)</f>
        <v>5.9565000000000001</v>
      </c>
      <c r="H321" s="64">
        <f>10.6334* CHOOSE(CONTROL!$C$22, $C$13, 100%, $E$13)</f>
        <v>10.6334</v>
      </c>
      <c r="I321" s="64">
        <f>10.6336 * CHOOSE(CONTROL!$C$22, $C$13, 100%, $E$13)</f>
        <v>10.633599999999999</v>
      </c>
      <c r="J321" s="64">
        <f>5.9563 * CHOOSE(CONTROL!$C$22, $C$13, 100%, $E$13)</f>
        <v>5.9562999999999997</v>
      </c>
      <c r="K321" s="64">
        <f>5.9565 * CHOOSE(CONTROL!$C$22, $C$13, 100%, $E$13)</f>
        <v>5.9565000000000001</v>
      </c>
    </row>
    <row r="322" spans="1:11" ht="15">
      <c r="A322" s="13">
        <v>51441</v>
      </c>
      <c r="B322" s="63">
        <f>5.1845 * CHOOSE(CONTROL!$C$22, $C$13, 100%, $E$13)</f>
        <v>5.1844999999999999</v>
      </c>
      <c r="C322" s="63">
        <f>5.1845 * CHOOSE(CONTROL!$C$22, $C$13, 100%, $E$13)</f>
        <v>5.1844999999999999</v>
      </c>
      <c r="D322" s="63">
        <f>5.2021 * CHOOSE(CONTROL!$C$22, $C$13, 100%, $E$13)</f>
        <v>5.2020999999999997</v>
      </c>
      <c r="E322" s="64">
        <f>5.972 * CHOOSE(CONTROL!$C$22, $C$13, 100%, $E$13)</f>
        <v>5.9720000000000004</v>
      </c>
      <c r="F322" s="64">
        <f>5.972 * CHOOSE(CONTROL!$C$22, $C$13, 100%, $E$13)</f>
        <v>5.9720000000000004</v>
      </c>
      <c r="G322" s="64">
        <f>5.9722 * CHOOSE(CONTROL!$C$22, $C$13, 100%, $E$13)</f>
        <v>5.9722</v>
      </c>
      <c r="H322" s="64">
        <f>10.6556* CHOOSE(CONTROL!$C$22, $C$13, 100%, $E$13)</f>
        <v>10.6556</v>
      </c>
      <c r="I322" s="64">
        <f>10.6558 * CHOOSE(CONTROL!$C$22, $C$13, 100%, $E$13)</f>
        <v>10.655799999999999</v>
      </c>
      <c r="J322" s="64">
        <f>5.972 * CHOOSE(CONTROL!$C$22, $C$13, 100%, $E$13)</f>
        <v>5.9720000000000004</v>
      </c>
      <c r="K322" s="64">
        <f>5.9722 * CHOOSE(CONTROL!$C$22, $C$13, 100%, $E$13)</f>
        <v>5.9722</v>
      </c>
    </row>
    <row r="323" spans="1:11" ht="15">
      <c r="A323" s="13">
        <v>51471</v>
      </c>
      <c r="B323" s="63">
        <f>5.1845 * CHOOSE(CONTROL!$C$22, $C$13, 100%, $E$13)</f>
        <v>5.1844999999999999</v>
      </c>
      <c r="C323" s="63">
        <f>5.1845 * CHOOSE(CONTROL!$C$22, $C$13, 100%, $E$13)</f>
        <v>5.1844999999999999</v>
      </c>
      <c r="D323" s="63">
        <f>5.2021 * CHOOSE(CONTROL!$C$22, $C$13, 100%, $E$13)</f>
        <v>5.2020999999999997</v>
      </c>
      <c r="E323" s="64">
        <f>5.9382 * CHOOSE(CONTROL!$C$22, $C$13, 100%, $E$13)</f>
        <v>5.9382000000000001</v>
      </c>
      <c r="F323" s="64">
        <f>5.9382 * CHOOSE(CONTROL!$C$22, $C$13, 100%, $E$13)</f>
        <v>5.9382000000000001</v>
      </c>
      <c r="G323" s="64">
        <f>5.9384 * CHOOSE(CONTROL!$C$22, $C$13, 100%, $E$13)</f>
        <v>5.9383999999999997</v>
      </c>
      <c r="H323" s="64">
        <f>10.6778* CHOOSE(CONTROL!$C$22, $C$13, 100%, $E$13)</f>
        <v>10.6778</v>
      </c>
      <c r="I323" s="64">
        <f>10.678 * CHOOSE(CONTROL!$C$22, $C$13, 100%, $E$13)</f>
        <v>10.678000000000001</v>
      </c>
      <c r="J323" s="64">
        <f>5.9382 * CHOOSE(CONTROL!$C$22, $C$13, 100%, $E$13)</f>
        <v>5.9382000000000001</v>
      </c>
      <c r="K323" s="64">
        <f>5.9384 * CHOOSE(CONTROL!$C$22, $C$13, 100%, $E$13)</f>
        <v>5.9383999999999997</v>
      </c>
    </row>
    <row r="324" spans="1:11" ht="15">
      <c r="A324" s="13">
        <v>51502</v>
      </c>
      <c r="B324" s="63">
        <f>5.2322 * CHOOSE(CONTROL!$C$22, $C$13, 100%, $E$13)</f>
        <v>5.2321999999999997</v>
      </c>
      <c r="C324" s="63">
        <f>5.2322 * CHOOSE(CONTROL!$C$22, $C$13, 100%, $E$13)</f>
        <v>5.2321999999999997</v>
      </c>
      <c r="D324" s="63">
        <f>5.2499 * CHOOSE(CONTROL!$C$22, $C$13, 100%, $E$13)</f>
        <v>5.2499000000000002</v>
      </c>
      <c r="E324" s="64">
        <f>6.0167 * CHOOSE(CONTROL!$C$22, $C$13, 100%, $E$13)</f>
        <v>6.0167000000000002</v>
      </c>
      <c r="F324" s="64">
        <f>6.0167 * CHOOSE(CONTROL!$C$22, $C$13, 100%, $E$13)</f>
        <v>6.0167000000000002</v>
      </c>
      <c r="G324" s="64">
        <f>6.0168 * CHOOSE(CONTROL!$C$22, $C$13, 100%, $E$13)</f>
        <v>6.0167999999999999</v>
      </c>
      <c r="H324" s="64">
        <f>10.7* CHOOSE(CONTROL!$C$22, $C$13, 100%, $E$13)</f>
        <v>10.7</v>
      </c>
      <c r="I324" s="64">
        <f>10.7002 * CHOOSE(CONTROL!$C$22, $C$13, 100%, $E$13)</f>
        <v>10.700200000000001</v>
      </c>
      <c r="J324" s="64">
        <f>6.0167 * CHOOSE(CONTROL!$C$22, $C$13, 100%, $E$13)</f>
        <v>6.0167000000000002</v>
      </c>
      <c r="K324" s="64">
        <f>6.0168 * CHOOSE(CONTROL!$C$22, $C$13, 100%, $E$13)</f>
        <v>6.0167999999999999</v>
      </c>
    </row>
    <row r="325" spans="1:11" ht="15">
      <c r="A325" s="13">
        <v>51533</v>
      </c>
      <c r="B325" s="63">
        <f>5.2292 * CHOOSE(CONTROL!$C$22, $C$13, 100%, $E$13)</f>
        <v>5.2291999999999996</v>
      </c>
      <c r="C325" s="63">
        <f>5.2292 * CHOOSE(CONTROL!$C$22, $C$13, 100%, $E$13)</f>
        <v>5.2291999999999996</v>
      </c>
      <c r="D325" s="63">
        <f>5.2469 * CHOOSE(CONTROL!$C$22, $C$13, 100%, $E$13)</f>
        <v>5.2469000000000001</v>
      </c>
      <c r="E325" s="64">
        <f>5.9489 * CHOOSE(CONTROL!$C$22, $C$13, 100%, $E$13)</f>
        <v>5.9489000000000001</v>
      </c>
      <c r="F325" s="64">
        <f>5.9489 * CHOOSE(CONTROL!$C$22, $C$13, 100%, $E$13)</f>
        <v>5.9489000000000001</v>
      </c>
      <c r="G325" s="64">
        <f>5.949 * CHOOSE(CONTROL!$C$22, $C$13, 100%, $E$13)</f>
        <v>5.9489999999999998</v>
      </c>
      <c r="H325" s="64">
        <f>10.7223* CHOOSE(CONTROL!$C$22, $C$13, 100%, $E$13)</f>
        <v>10.722300000000001</v>
      </c>
      <c r="I325" s="64">
        <f>10.7225 * CHOOSE(CONTROL!$C$22, $C$13, 100%, $E$13)</f>
        <v>10.7225</v>
      </c>
      <c r="J325" s="64">
        <f>5.9489 * CHOOSE(CONTROL!$C$22, $C$13, 100%, $E$13)</f>
        <v>5.9489000000000001</v>
      </c>
      <c r="K325" s="64">
        <f>5.949 * CHOOSE(CONTROL!$C$22, $C$13, 100%, $E$13)</f>
        <v>5.9489999999999998</v>
      </c>
    </row>
    <row r="326" spans="1:11" ht="15">
      <c r="A326" s="13">
        <v>51561</v>
      </c>
      <c r="B326" s="63">
        <f>5.2262 * CHOOSE(CONTROL!$C$22, $C$13, 100%, $E$13)</f>
        <v>5.2262000000000004</v>
      </c>
      <c r="C326" s="63">
        <f>5.2262 * CHOOSE(CONTROL!$C$22, $C$13, 100%, $E$13)</f>
        <v>5.2262000000000004</v>
      </c>
      <c r="D326" s="63">
        <f>5.2438 * CHOOSE(CONTROL!$C$22, $C$13, 100%, $E$13)</f>
        <v>5.2438000000000002</v>
      </c>
      <c r="E326" s="64">
        <f>5.9985 * CHOOSE(CONTROL!$C$22, $C$13, 100%, $E$13)</f>
        <v>5.9984999999999999</v>
      </c>
      <c r="F326" s="64">
        <f>5.9985 * CHOOSE(CONTROL!$C$22, $C$13, 100%, $E$13)</f>
        <v>5.9984999999999999</v>
      </c>
      <c r="G326" s="64">
        <f>5.9987 * CHOOSE(CONTROL!$C$22, $C$13, 100%, $E$13)</f>
        <v>5.9987000000000004</v>
      </c>
      <c r="H326" s="64">
        <f>10.7447* CHOOSE(CONTROL!$C$22, $C$13, 100%, $E$13)</f>
        <v>10.7447</v>
      </c>
      <c r="I326" s="64">
        <f>10.7448 * CHOOSE(CONTROL!$C$22, $C$13, 100%, $E$13)</f>
        <v>10.7448</v>
      </c>
      <c r="J326" s="64">
        <f>5.9985 * CHOOSE(CONTROL!$C$22, $C$13, 100%, $E$13)</f>
        <v>5.9984999999999999</v>
      </c>
      <c r="K326" s="64">
        <f>5.9987 * CHOOSE(CONTROL!$C$22, $C$13, 100%, $E$13)</f>
        <v>5.9987000000000004</v>
      </c>
    </row>
    <row r="327" spans="1:11" ht="15">
      <c r="A327" s="13">
        <v>51592</v>
      </c>
      <c r="B327" s="63">
        <f>5.2249 * CHOOSE(CONTROL!$C$22, $C$13, 100%, $E$13)</f>
        <v>5.2248999999999999</v>
      </c>
      <c r="C327" s="63">
        <f>5.2249 * CHOOSE(CONTROL!$C$22, $C$13, 100%, $E$13)</f>
        <v>5.2248999999999999</v>
      </c>
      <c r="D327" s="63">
        <f>5.2426 * CHOOSE(CONTROL!$C$22, $C$13, 100%, $E$13)</f>
        <v>5.2426000000000004</v>
      </c>
      <c r="E327" s="64">
        <f>6.0499 * CHOOSE(CONTROL!$C$22, $C$13, 100%, $E$13)</f>
        <v>6.0499000000000001</v>
      </c>
      <c r="F327" s="64">
        <f>6.0499 * CHOOSE(CONTROL!$C$22, $C$13, 100%, $E$13)</f>
        <v>6.0499000000000001</v>
      </c>
      <c r="G327" s="64">
        <f>6.0501 * CHOOSE(CONTROL!$C$22, $C$13, 100%, $E$13)</f>
        <v>6.0500999999999996</v>
      </c>
      <c r="H327" s="64">
        <f>10.767* CHOOSE(CONTROL!$C$22, $C$13, 100%, $E$13)</f>
        <v>10.766999999999999</v>
      </c>
      <c r="I327" s="64">
        <f>10.7672 * CHOOSE(CONTROL!$C$22, $C$13, 100%, $E$13)</f>
        <v>10.767200000000001</v>
      </c>
      <c r="J327" s="64">
        <f>6.0499 * CHOOSE(CONTROL!$C$22, $C$13, 100%, $E$13)</f>
        <v>6.0499000000000001</v>
      </c>
      <c r="K327" s="64">
        <f>6.0501 * CHOOSE(CONTROL!$C$22, $C$13, 100%, $E$13)</f>
        <v>6.0500999999999996</v>
      </c>
    </row>
    <row r="328" spans="1:11" ht="15">
      <c r="A328" s="13">
        <v>51622</v>
      </c>
      <c r="B328" s="63">
        <f>5.2249 * CHOOSE(CONTROL!$C$22, $C$13, 100%, $E$13)</f>
        <v>5.2248999999999999</v>
      </c>
      <c r="C328" s="63">
        <f>5.2249 * CHOOSE(CONTROL!$C$22, $C$13, 100%, $E$13)</f>
        <v>5.2248999999999999</v>
      </c>
      <c r="D328" s="63">
        <f>5.2603 * CHOOSE(CONTROL!$C$22, $C$13, 100%, $E$13)</f>
        <v>5.2603</v>
      </c>
      <c r="E328" s="64">
        <f>6.0707 * CHOOSE(CONTROL!$C$22, $C$13, 100%, $E$13)</f>
        <v>6.0707000000000004</v>
      </c>
      <c r="F328" s="64">
        <f>6.0707 * CHOOSE(CONTROL!$C$22, $C$13, 100%, $E$13)</f>
        <v>6.0707000000000004</v>
      </c>
      <c r="G328" s="64">
        <f>6.0729 * CHOOSE(CONTROL!$C$22, $C$13, 100%, $E$13)</f>
        <v>6.0728999999999997</v>
      </c>
      <c r="H328" s="64">
        <f>10.7895* CHOOSE(CONTROL!$C$22, $C$13, 100%, $E$13)</f>
        <v>10.7895</v>
      </c>
      <c r="I328" s="64">
        <f>10.7917 * CHOOSE(CONTROL!$C$22, $C$13, 100%, $E$13)</f>
        <v>10.791700000000001</v>
      </c>
      <c r="J328" s="64">
        <f>6.0707 * CHOOSE(CONTROL!$C$22, $C$13, 100%, $E$13)</f>
        <v>6.0707000000000004</v>
      </c>
      <c r="K328" s="64">
        <f>6.0729 * CHOOSE(CONTROL!$C$22, $C$13, 100%, $E$13)</f>
        <v>6.0728999999999997</v>
      </c>
    </row>
    <row r="329" spans="1:11" ht="15">
      <c r="A329" s="13">
        <v>51653</v>
      </c>
      <c r="B329" s="63">
        <f>5.231 * CHOOSE(CONTROL!$C$22, $C$13, 100%, $E$13)</f>
        <v>5.2309999999999999</v>
      </c>
      <c r="C329" s="63">
        <f>5.231 * CHOOSE(CONTROL!$C$22, $C$13, 100%, $E$13)</f>
        <v>5.2309999999999999</v>
      </c>
      <c r="D329" s="63">
        <f>5.2663 * CHOOSE(CONTROL!$C$22, $C$13, 100%, $E$13)</f>
        <v>5.2663000000000002</v>
      </c>
      <c r="E329" s="64">
        <f>6.0541 * CHOOSE(CONTROL!$C$22, $C$13, 100%, $E$13)</f>
        <v>6.0541</v>
      </c>
      <c r="F329" s="64">
        <f>6.0541 * CHOOSE(CONTROL!$C$22, $C$13, 100%, $E$13)</f>
        <v>6.0541</v>
      </c>
      <c r="G329" s="64">
        <f>6.0563 * CHOOSE(CONTROL!$C$22, $C$13, 100%, $E$13)</f>
        <v>6.0563000000000002</v>
      </c>
      <c r="H329" s="64">
        <f>10.812* CHOOSE(CONTROL!$C$22, $C$13, 100%, $E$13)</f>
        <v>10.811999999999999</v>
      </c>
      <c r="I329" s="64">
        <f>10.8141 * CHOOSE(CONTROL!$C$22, $C$13, 100%, $E$13)</f>
        <v>10.8141</v>
      </c>
      <c r="J329" s="64">
        <f>6.0541 * CHOOSE(CONTROL!$C$22, $C$13, 100%, $E$13)</f>
        <v>6.0541</v>
      </c>
      <c r="K329" s="64">
        <f>6.0563 * CHOOSE(CONTROL!$C$22, $C$13, 100%, $E$13)</f>
        <v>6.0563000000000002</v>
      </c>
    </row>
    <row r="330" spans="1:11" ht="15">
      <c r="A330" s="13">
        <v>51683</v>
      </c>
      <c r="B330" s="63">
        <f>5.3201 * CHOOSE(CONTROL!$C$22, $C$13, 100%, $E$13)</f>
        <v>5.3201000000000001</v>
      </c>
      <c r="C330" s="63">
        <f>5.3201 * CHOOSE(CONTROL!$C$22, $C$13, 100%, $E$13)</f>
        <v>5.3201000000000001</v>
      </c>
      <c r="D330" s="63">
        <f>5.3554 * CHOOSE(CONTROL!$C$22, $C$13, 100%, $E$13)</f>
        <v>5.3554000000000004</v>
      </c>
      <c r="E330" s="64">
        <f>6.1755 * CHOOSE(CONTROL!$C$22, $C$13, 100%, $E$13)</f>
        <v>6.1755000000000004</v>
      </c>
      <c r="F330" s="64">
        <f>6.1755 * CHOOSE(CONTROL!$C$22, $C$13, 100%, $E$13)</f>
        <v>6.1755000000000004</v>
      </c>
      <c r="G330" s="64">
        <f>6.1777 * CHOOSE(CONTROL!$C$22, $C$13, 100%, $E$13)</f>
        <v>6.1776999999999997</v>
      </c>
      <c r="H330" s="64">
        <f>10.8345* CHOOSE(CONTROL!$C$22, $C$13, 100%, $E$13)</f>
        <v>10.8345</v>
      </c>
      <c r="I330" s="64">
        <f>10.8367 * CHOOSE(CONTROL!$C$22, $C$13, 100%, $E$13)</f>
        <v>10.8367</v>
      </c>
      <c r="J330" s="64">
        <f>6.1755 * CHOOSE(CONTROL!$C$22, $C$13, 100%, $E$13)</f>
        <v>6.1755000000000004</v>
      </c>
      <c r="K330" s="64">
        <f>6.1777 * CHOOSE(CONTROL!$C$22, $C$13, 100%, $E$13)</f>
        <v>6.1776999999999997</v>
      </c>
    </row>
    <row r="331" spans="1:11" ht="15">
      <c r="A331" s="13">
        <v>51714</v>
      </c>
      <c r="B331" s="63">
        <f>5.3268 * CHOOSE(CONTROL!$C$22, $C$13, 100%, $E$13)</f>
        <v>5.3268000000000004</v>
      </c>
      <c r="C331" s="63">
        <f>5.3268 * CHOOSE(CONTROL!$C$22, $C$13, 100%, $E$13)</f>
        <v>5.3268000000000004</v>
      </c>
      <c r="D331" s="63">
        <f>5.3621 * CHOOSE(CONTROL!$C$22, $C$13, 100%, $E$13)</f>
        <v>5.3620999999999999</v>
      </c>
      <c r="E331" s="64">
        <f>6.1176 * CHOOSE(CONTROL!$C$22, $C$13, 100%, $E$13)</f>
        <v>6.1176000000000004</v>
      </c>
      <c r="F331" s="64">
        <f>6.1176 * CHOOSE(CONTROL!$C$22, $C$13, 100%, $E$13)</f>
        <v>6.1176000000000004</v>
      </c>
      <c r="G331" s="64">
        <f>6.1198 * CHOOSE(CONTROL!$C$22, $C$13, 100%, $E$13)</f>
        <v>6.1197999999999997</v>
      </c>
      <c r="H331" s="64">
        <f>10.8571* CHOOSE(CONTROL!$C$22, $C$13, 100%, $E$13)</f>
        <v>10.857100000000001</v>
      </c>
      <c r="I331" s="64">
        <f>10.8592 * CHOOSE(CONTROL!$C$22, $C$13, 100%, $E$13)</f>
        <v>10.8592</v>
      </c>
      <c r="J331" s="64">
        <f>6.1176 * CHOOSE(CONTROL!$C$22, $C$13, 100%, $E$13)</f>
        <v>6.1176000000000004</v>
      </c>
      <c r="K331" s="64">
        <f>6.1198 * CHOOSE(CONTROL!$C$22, $C$13, 100%, $E$13)</f>
        <v>6.1197999999999997</v>
      </c>
    </row>
    <row r="332" spans="1:11" ht="15">
      <c r="A332" s="13">
        <v>51745</v>
      </c>
      <c r="B332" s="63">
        <f>5.3237 * CHOOSE(CONTROL!$C$22, $C$13, 100%, $E$13)</f>
        <v>5.3236999999999997</v>
      </c>
      <c r="C332" s="63">
        <f>5.3237 * CHOOSE(CONTROL!$C$22, $C$13, 100%, $E$13)</f>
        <v>5.3236999999999997</v>
      </c>
      <c r="D332" s="63">
        <f>5.359 * CHOOSE(CONTROL!$C$22, $C$13, 100%, $E$13)</f>
        <v>5.359</v>
      </c>
      <c r="E332" s="64">
        <f>6.1085 * CHOOSE(CONTROL!$C$22, $C$13, 100%, $E$13)</f>
        <v>6.1085000000000003</v>
      </c>
      <c r="F332" s="64">
        <f>6.1085 * CHOOSE(CONTROL!$C$22, $C$13, 100%, $E$13)</f>
        <v>6.1085000000000003</v>
      </c>
      <c r="G332" s="64">
        <f>6.1107 * CHOOSE(CONTROL!$C$22, $C$13, 100%, $E$13)</f>
        <v>6.1106999999999996</v>
      </c>
      <c r="H332" s="64">
        <f>10.8797* CHOOSE(CONTROL!$C$22, $C$13, 100%, $E$13)</f>
        <v>10.8797</v>
      </c>
      <c r="I332" s="64">
        <f>10.8819 * CHOOSE(CONTROL!$C$22, $C$13, 100%, $E$13)</f>
        <v>10.8819</v>
      </c>
      <c r="J332" s="64">
        <f>6.1085 * CHOOSE(CONTROL!$C$22, $C$13, 100%, $E$13)</f>
        <v>6.1085000000000003</v>
      </c>
      <c r="K332" s="64">
        <f>6.1107 * CHOOSE(CONTROL!$C$22, $C$13, 100%, $E$13)</f>
        <v>6.1106999999999996</v>
      </c>
    </row>
    <row r="333" spans="1:11" ht="15">
      <c r="A333" s="13">
        <v>51775</v>
      </c>
      <c r="B333" s="63">
        <f>5.3234 * CHOOSE(CONTROL!$C$22, $C$13, 100%, $E$13)</f>
        <v>5.3234000000000004</v>
      </c>
      <c r="C333" s="63">
        <f>5.3234 * CHOOSE(CONTROL!$C$22, $C$13, 100%, $E$13)</f>
        <v>5.3234000000000004</v>
      </c>
      <c r="D333" s="63">
        <f>5.3411 * CHOOSE(CONTROL!$C$22, $C$13, 100%, $E$13)</f>
        <v>5.3411</v>
      </c>
      <c r="E333" s="64">
        <f>6.1229 * CHOOSE(CONTROL!$C$22, $C$13, 100%, $E$13)</f>
        <v>6.1228999999999996</v>
      </c>
      <c r="F333" s="64">
        <f>6.1229 * CHOOSE(CONTROL!$C$22, $C$13, 100%, $E$13)</f>
        <v>6.1228999999999996</v>
      </c>
      <c r="G333" s="64">
        <f>6.1231 * CHOOSE(CONTROL!$C$22, $C$13, 100%, $E$13)</f>
        <v>6.1231</v>
      </c>
      <c r="H333" s="64">
        <f>10.9023* CHOOSE(CONTROL!$C$22, $C$13, 100%, $E$13)</f>
        <v>10.9023</v>
      </c>
      <c r="I333" s="64">
        <f>10.9025 * CHOOSE(CONTROL!$C$22, $C$13, 100%, $E$13)</f>
        <v>10.9025</v>
      </c>
      <c r="J333" s="64">
        <f>6.1229 * CHOOSE(CONTROL!$C$22, $C$13, 100%, $E$13)</f>
        <v>6.1228999999999996</v>
      </c>
      <c r="K333" s="64">
        <f>6.1231 * CHOOSE(CONTROL!$C$22, $C$13, 100%, $E$13)</f>
        <v>6.1231</v>
      </c>
    </row>
    <row r="334" spans="1:11" ht="15">
      <c r="A334" s="13">
        <v>51806</v>
      </c>
      <c r="B334" s="63">
        <f>5.3265 * CHOOSE(CONTROL!$C$22, $C$13, 100%, $E$13)</f>
        <v>5.3265000000000002</v>
      </c>
      <c r="C334" s="63">
        <f>5.3265 * CHOOSE(CONTROL!$C$22, $C$13, 100%, $E$13)</f>
        <v>5.3265000000000002</v>
      </c>
      <c r="D334" s="63">
        <f>5.3441 * CHOOSE(CONTROL!$C$22, $C$13, 100%, $E$13)</f>
        <v>5.3441000000000001</v>
      </c>
      <c r="E334" s="64">
        <f>6.1389 * CHOOSE(CONTROL!$C$22, $C$13, 100%, $E$13)</f>
        <v>6.1388999999999996</v>
      </c>
      <c r="F334" s="64">
        <f>6.1389 * CHOOSE(CONTROL!$C$22, $C$13, 100%, $E$13)</f>
        <v>6.1388999999999996</v>
      </c>
      <c r="G334" s="64">
        <f>6.1391 * CHOOSE(CONTROL!$C$22, $C$13, 100%, $E$13)</f>
        <v>6.1391</v>
      </c>
      <c r="H334" s="64">
        <f>10.9251* CHOOSE(CONTROL!$C$22, $C$13, 100%, $E$13)</f>
        <v>10.9251</v>
      </c>
      <c r="I334" s="64">
        <f>10.9252 * CHOOSE(CONTROL!$C$22, $C$13, 100%, $E$13)</f>
        <v>10.9252</v>
      </c>
      <c r="J334" s="64">
        <f>6.1389 * CHOOSE(CONTROL!$C$22, $C$13, 100%, $E$13)</f>
        <v>6.1388999999999996</v>
      </c>
      <c r="K334" s="64">
        <f>6.1391 * CHOOSE(CONTROL!$C$22, $C$13, 100%, $E$13)</f>
        <v>6.1391</v>
      </c>
    </row>
    <row r="335" spans="1:11" ht="15">
      <c r="A335" s="13">
        <v>51836</v>
      </c>
      <c r="B335" s="63">
        <f>5.3265 * CHOOSE(CONTROL!$C$22, $C$13, 100%, $E$13)</f>
        <v>5.3265000000000002</v>
      </c>
      <c r="C335" s="63">
        <f>5.3265 * CHOOSE(CONTROL!$C$22, $C$13, 100%, $E$13)</f>
        <v>5.3265000000000002</v>
      </c>
      <c r="D335" s="63">
        <f>5.3441 * CHOOSE(CONTROL!$C$22, $C$13, 100%, $E$13)</f>
        <v>5.3441000000000001</v>
      </c>
      <c r="E335" s="64">
        <f>6.1042 * CHOOSE(CONTROL!$C$22, $C$13, 100%, $E$13)</f>
        <v>6.1041999999999996</v>
      </c>
      <c r="F335" s="64">
        <f>6.1042 * CHOOSE(CONTROL!$C$22, $C$13, 100%, $E$13)</f>
        <v>6.1041999999999996</v>
      </c>
      <c r="G335" s="64">
        <f>6.1044 * CHOOSE(CONTROL!$C$22, $C$13, 100%, $E$13)</f>
        <v>6.1044</v>
      </c>
      <c r="H335" s="64">
        <f>10.9478* CHOOSE(CONTROL!$C$22, $C$13, 100%, $E$13)</f>
        <v>10.947800000000001</v>
      </c>
      <c r="I335" s="64">
        <f>10.948 * CHOOSE(CONTROL!$C$22, $C$13, 100%, $E$13)</f>
        <v>10.948</v>
      </c>
      <c r="J335" s="64">
        <f>6.1042 * CHOOSE(CONTROL!$C$22, $C$13, 100%, $E$13)</f>
        <v>6.1041999999999996</v>
      </c>
      <c r="K335" s="64">
        <f>6.1044 * CHOOSE(CONTROL!$C$22, $C$13, 100%, $E$13)</f>
        <v>6.1044</v>
      </c>
    </row>
    <row r="336" spans="1:11" ht="15">
      <c r="A336" s="13">
        <v>51867</v>
      </c>
      <c r="B336" s="63">
        <f>5.375 * CHOOSE(CONTROL!$C$22, $C$13, 100%, $E$13)</f>
        <v>5.375</v>
      </c>
      <c r="C336" s="63">
        <f>5.375 * CHOOSE(CONTROL!$C$22, $C$13, 100%, $E$13)</f>
        <v>5.375</v>
      </c>
      <c r="D336" s="63">
        <f>5.3927 * CHOOSE(CONTROL!$C$22, $C$13, 100%, $E$13)</f>
        <v>5.3926999999999996</v>
      </c>
      <c r="E336" s="64">
        <f>6.1849 * CHOOSE(CONTROL!$C$22, $C$13, 100%, $E$13)</f>
        <v>6.1848999999999998</v>
      </c>
      <c r="F336" s="64">
        <f>6.1849 * CHOOSE(CONTROL!$C$22, $C$13, 100%, $E$13)</f>
        <v>6.1848999999999998</v>
      </c>
      <c r="G336" s="64">
        <f>6.1851 * CHOOSE(CONTROL!$C$22, $C$13, 100%, $E$13)</f>
        <v>6.1851000000000003</v>
      </c>
      <c r="H336" s="64">
        <f>10.9706* CHOOSE(CONTROL!$C$22, $C$13, 100%, $E$13)</f>
        <v>10.970599999999999</v>
      </c>
      <c r="I336" s="64">
        <f>10.9708 * CHOOSE(CONTROL!$C$22, $C$13, 100%, $E$13)</f>
        <v>10.970800000000001</v>
      </c>
      <c r="J336" s="64">
        <f>6.1849 * CHOOSE(CONTROL!$C$22, $C$13, 100%, $E$13)</f>
        <v>6.1848999999999998</v>
      </c>
      <c r="K336" s="64">
        <f>6.1851 * CHOOSE(CONTROL!$C$22, $C$13, 100%, $E$13)</f>
        <v>6.1851000000000003</v>
      </c>
    </row>
    <row r="337" spans="1:11" ht="15">
      <c r="A337" s="13">
        <v>51898</v>
      </c>
      <c r="B337" s="63">
        <f>5.372 * CHOOSE(CONTROL!$C$22, $C$13, 100%, $E$13)</f>
        <v>5.3719999999999999</v>
      </c>
      <c r="C337" s="63">
        <f>5.372 * CHOOSE(CONTROL!$C$22, $C$13, 100%, $E$13)</f>
        <v>5.3719999999999999</v>
      </c>
      <c r="D337" s="63">
        <f>5.3897 * CHOOSE(CONTROL!$C$22, $C$13, 100%, $E$13)</f>
        <v>5.3897000000000004</v>
      </c>
      <c r="E337" s="64">
        <f>6.1153 * CHOOSE(CONTROL!$C$22, $C$13, 100%, $E$13)</f>
        <v>6.1153000000000004</v>
      </c>
      <c r="F337" s="64">
        <f>6.1153 * CHOOSE(CONTROL!$C$22, $C$13, 100%, $E$13)</f>
        <v>6.1153000000000004</v>
      </c>
      <c r="G337" s="64">
        <f>6.1154 * CHOOSE(CONTROL!$C$22, $C$13, 100%, $E$13)</f>
        <v>6.1154000000000002</v>
      </c>
      <c r="H337" s="64">
        <f>10.9935* CHOOSE(CONTROL!$C$22, $C$13, 100%, $E$13)</f>
        <v>10.993499999999999</v>
      </c>
      <c r="I337" s="64">
        <f>10.9937 * CHOOSE(CONTROL!$C$22, $C$13, 100%, $E$13)</f>
        <v>10.9937</v>
      </c>
      <c r="J337" s="64">
        <f>6.1153 * CHOOSE(CONTROL!$C$22, $C$13, 100%, $E$13)</f>
        <v>6.1153000000000004</v>
      </c>
      <c r="K337" s="64">
        <f>6.1154 * CHOOSE(CONTROL!$C$22, $C$13, 100%, $E$13)</f>
        <v>6.1154000000000002</v>
      </c>
    </row>
    <row r="338" spans="1:11" ht="15">
      <c r="A338" s="13">
        <v>51926</v>
      </c>
      <c r="B338" s="63">
        <f>5.369 * CHOOSE(CONTROL!$C$22, $C$13, 100%, $E$13)</f>
        <v>5.3689999999999998</v>
      </c>
      <c r="C338" s="63">
        <f>5.369 * CHOOSE(CONTROL!$C$22, $C$13, 100%, $E$13)</f>
        <v>5.3689999999999998</v>
      </c>
      <c r="D338" s="63">
        <f>5.3866 * CHOOSE(CONTROL!$C$22, $C$13, 100%, $E$13)</f>
        <v>5.3865999999999996</v>
      </c>
      <c r="E338" s="64">
        <f>6.1664 * CHOOSE(CONTROL!$C$22, $C$13, 100%, $E$13)</f>
        <v>6.1664000000000003</v>
      </c>
      <c r="F338" s="64">
        <f>6.1664 * CHOOSE(CONTROL!$C$22, $C$13, 100%, $E$13)</f>
        <v>6.1664000000000003</v>
      </c>
      <c r="G338" s="64">
        <f>6.1665 * CHOOSE(CONTROL!$C$22, $C$13, 100%, $E$13)</f>
        <v>6.1665000000000001</v>
      </c>
      <c r="H338" s="64">
        <f>11.0164* CHOOSE(CONTROL!$C$22, $C$13, 100%, $E$13)</f>
        <v>11.016400000000001</v>
      </c>
      <c r="I338" s="64">
        <f>11.0166 * CHOOSE(CONTROL!$C$22, $C$13, 100%, $E$13)</f>
        <v>11.0166</v>
      </c>
      <c r="J338" s="64">
        <f>6.1664 * CHOOSE(CONTROL!$C$22, $C$13, 100%, $E$13)</f>
        <v>6.1664000000000003</v>
      </c>
      <c r="K338" s="64">
        <f>6.1665 * CHOOSE(CONTROL!$C$22, $C$13, 100%, $E$13)</f>
        <v>6.1665000000000001</v>
      </c>
    </row>
    <row r="339" spans="1:11" ht="15">
      <c r="A339" s="13">
        <v>51957</v>
      </c>
      <c r="B339" s="63">
        <f>5.3679 * CHOOSE(CONTROL!$C$22, $C$13, 100%, $E$13)</f>
        <v>5.3678999999999997</v>
      </c>
      <c r="C339" s="63">
        <f>5.3679 * CHOOSE(CONTROL!$C$22, $C$13, 100%, $E$13)</f>
        <v>5.3678999999999997</v>
      </c>
      <c r="D339" s="63">
        <f>5.3855 * CHOOSE(CONTROL!$C$22, $C$13, 100%, $E$13)</f>
        <v>5.3855000000000004</v>
      </c>
      <c r="E339" s="64">
        <f>6.2193 * CHOOSE(CONTROL!$C$22, $C$13, 100%, $E$13)</f>
        <v>6.2192999999999996</v>
      </c>
      <c r="F339" s="64">
        <f>6.2193 * CHOOSE(CONTROL!$C$22, $C$13, 100%, $E$13)</f>
        <v>6.2192999999999996</v>
      </c>
      <c r="G339" s="64">
        <f>6.2195 * CHOOSE(CONTROL!$C$22, $C$13, 100%, $E$13)</f>
        <v>6.2195</v>
      </c>
      <c r="H339" s="64">
        <f>11.0393* CHOOSE(CONTROL!$C$22, $C$13, 100%, $E$13)</f>
        <v>11.039300000000001</v>
      </c>
      <c r="I339" s="64">
        <f>11.0395 * CHOOSE(CONTROL!$C$22, $C$13, 100%, $E$13)</f>
        <v>11.0395</v>
      </c>
      <c r="J339" s="64">
        <f>6.2193 * CHOOSE(CONTROL!$C$22, $C$13, 100%, $E$13)</f>
        <v>6.2192999999999996</v>
      </c>
      <c r="K339" s="64">
        <f>6.2195 * CHOOSE(CONTROL!$C$22, $C$13, 100%, $E$13)</f>
        <v>6.2195</v>
      </c>
    </row>
    <row r="340" spans="1:11" ht="15">
      <c r="A340" s="13">
        <v>51987</v>
      </c>
      <c r="B340" s="63">
        <f>5.3679 * CHOOSE(CONTROL!$C$22, $C$13, 100%, $E$13)</f>
        <v>5.3678999999999997</v>
      </c>
      <c r="C340" s="63">
        <f>5.3679 * CHOOSE(CONTROL!$C$22, $C$13, 100%, $E$13)</f>
        <v>5.3678999999999997</v>
      </c>
      <c r="D340" s="63">
        <f>5.4032 * CHOOSE(CONTROL!$C$22, $C$13, 100%, $E$13)</f>
        <v>5.4032</v>
      </c>
      <c r="E340" s="64">
        <f>6.2407 * CHOOSE(CONTROL!$C$22, $C$13, 100%, $E$13)</f>
        <v>6.2407000000000004</v>
      </c>
      <c r="F340" s="64">
        <f>6.2407 * CHOOSE(CONTROL!$C$22, $C$13, 100%, $E$13)</f>
        <v>6.2407000000000004</v>
      </c>
      <c r="G340" s="64">
        <f>6.2429 * CHOOSE(CONTROL!$C$22, $C$13, 100%, $E$13)</f>
        <v>6.2428999999999997</v>
      </c>
      <c r="H340" s="64">
        <f>11.0623* CHOOSE(CONTROL!$C$22, $C$13, 100%, $E$13)</f>
        <v>11.0623</v>
      </c>
      <c r="I340" s="64">
        <f>11.0645 * CHOOSE(CONTROL!$C$22, $C$13, 100%, $E$13)</f>
        <v>11.064500000000001</v>
      </c>
      <c r="J340" s="64">
        <f>6.2407 * CHOOSE(CONTROL!$C$22, $C$13, 100%, $E$13)</f>
        <v>6.2407000000000004</v>
      </c>
      <c r="K340" s="64">
        <f>6.2429 * CHOOSE(CONTROL!$C$22, $C$13, 100%, $E$13)</f>
        <v>6.2428999999999997</v>
      </c>
    </row>
    <row r="341" spans="1:11" ht="15">
      <c r="A341" s="13">
        <v>52018</v>
      </c>
      <c r="B341" s="63">
        <f>5.3739 * CHOOSE(CONTROL!$C$22, $C$13, 100%, $E$13)</f>
        <v>5.3738999999999999</v>
      </c>
      <c r="C341" s="63">
        <f>5.3739 * CHOOSE(CONTROL!$C$22, $C$13, 100%, $E$13)</f>
        <v>5.3738999999999999</v>
      </c>
      <c r="D341" s="63">
        <f>5.4093 * CHOOSE(CONTROL!$C$22, $C$13, 100%, $E$13)</f>
        <v>5.4093</v>
      </c>
      <c r="E341" s="64">
        <f>6.2235 * CHOOSE(CONTROL!$C$22, $C$13, 100%, $E$13)</f>
        <v>6.2234999999999996</v>
      </c>
      <c r="F341" s="64">
        <f>6.2235 * CHOOSE(CONTROL!$C$22, $C$13, 100%, $E$13)</f>
        <v>6.2234999999999996</v>
      </c>
      <c r="G341" s="64">
        <f>6.2257 * CHOOSE(CONTROL!$C$22, $C$13, 100%, $E$13)</f>
        <v>6.2256999999999998</v>
      </c>
      <c r="H341" s="64">
        <f>11.0854* CHOOSE(CONTROL!$C$22, $C$13, 100%, $E$13)</f>
        <v>11.0854</v>
      </c>
      <c r="I341" s="64">
        <f>11.0876 * CHOOSE(CONTROL!$C$22, $C$13, 100%, $E$13)</f>
        <v>11.0876</v>
      </c>
      <c r="J341" s="64">
        <f>6.2235 * CHOOSE(CONTROL!$C$22, $C$13, 100%, $E$13)</f>
        <v>6.2234999999999996</v>
      </c>
      <c r="K341" s="64">
        <f>6.2257 * CHOOSE(CONTROL!$C$22, $C$13, 100%, $E$13)</f>
        <v>6.2256999999999998</v>
      </c>
    </row>
    <row r="342" spans="1:11" ht="15">
      <c r="A342" s="13">
        <v>52048</v>
      </c>
      <c r="B342" s="63">
        <f>5.4644 * CHOOSE(CONTROL!$C$22, $C$13, 100%, $E$13)</f>
        <v>5.4644000000000004</v>
      </c>
      <c r="C342" s="63">
        <f>5.4644 * CHOOSE(CONTROL!$C$22, $C$13, 100%, $E$13)</f>
        <v>5.4644000000000004</v>
      </c>
      <c r="D342" s="63">
        <f>5.4997 * CHOOSE(CONTROL!$C$22, $C$13, 100%, $E$13)</f>
        <v>5.4996999999999998</v>
      </c>
      <c r="E342" s="64">
        <f>6.3483 * CHOOSE(CONTROL!$C$22, $C$13, 100%, $E$13)</f>
        <v>6.3483000000000001</v>
      </c>
      <c r="F342" s="64">
        <f>6.3483 * CHOOSE(CONTROL!$C$22, $C$13, 100%, $E$13)</f>
        <v>6.3483000000000001</v>
      </c>
      <c r="G342" s="64">
        <f>6.3505 * CHOOSE(CONTROL!$C$22, $C$13, 100%, $E$13)</f>
        <v>6.3505000000000003</v>
      </c>
      <c r="H342" s="64">
        <f>11.1085* CHOOSE(CONTROL!$C$22, $C$13, 100%, $E$13)</f>
        <v>11.108499999999999</v>
      </c>
      <c r="I342" s="64">
        <f>11.1107 * CHOOSE(CONTROL!$C$22, $C$13, 100%, $E$13)</f>
        <v>11.1107</v>
      </c>
      <c r="J342" s="64">
        <f>6.3483 * CHOOSE(CONTROL!$C$22, $C$13, 100%, $E$13)</f>
        <v>6.3483000000000001</v>
      </c>
      <c r="K342" s="64">
        <f>6.3505 * CHOOSE(CONTROL!$C$22, $C$13, 100%, $E$13)</f>
        <v>6.3505000000000003</v>
      </c>
    </row>
    <row r="343" spans="1:11" ht="15">
      <c r="A343" s="13">
        <v>52079</v>
      </c>
      <c r="B343" s="63">
        <f>5.4711 * CHOOSE(CONTROL!$C$22, $C$13, 100%, $E$13)</f>
        <v>5.4710999999999999</v>
      </c>
      <c r="C343" s="63">
        <f>5.4711 * CHOOSE(CONTROL!$C$22, $C$13, 100%, $E$13)</f>
        <v>5.4710999999999999</v>
      </c>
      <c r="D343" s="63">
        <f>5.5064 * CHOOSE(CONTROL!$C$22, $C$13, 100%, $E$13)</f>
        <v>5.5064000000000002</v>
      </c>
      <c r="E343" s="64">
        <f>6.2886 * CHOOSE(CONTROL!$C$22, $C$13, 100%, $E$13)</f>
        <v>6.2885999999999997</v>
      </c>
      <c r="F343" s="64">
        <f>6.2886 * CHOOSE(CONTROL!$C$22, $C$13, 100%, $E$13)</f>
        <v>6.2885999999999997</v>
      </c>
      <c r="G343" s="64">
        <f>6.2908 * CHOOSE(CONTROL!$C$22, $C$13, 100%, $E$13)</f>
        <v>6.2907999999999999</v>
      </c>
      <c r="H343" s="64">
        <f>11.1316* CHOOSE(CONTROL!$C$22, $C$13, 100%, $E$13)</f>
        <v>11.131600000000001</v>
      </c>
      <c r="I343" s="64">
        <f>11.1338 * CHOOSE(CONTROL!$C$22, $C$13, 100%, $E$13)</f>
        <v>11.133800000000001</v>
      </c>
      <c r="J343" s="64">
        <f>6.2886 * CHOOSE(CONTROL!$C$22, $C$13, 100%, $E$13)</f>
        <v>6.2885999999999997</v>
      </c>
      <c r="K343" s="64">
        <f>6.2908 * CHOOSE(CONTROL!$C$22, $C$13, 100%, $E$13)</f>
        <v>6.2907999999999999</v>
      </c>
    </row>
    <row r="344" spans="1:11" ht="15">
      <c r="A344" s="13">
        <v>52110</v>
      </c>
      <c r="B344" s="63">
        <f>5.468 * CHOOSE(CONTROL!$C$22, $C$13, 100%, $E$13)</f>
        <v>5.468</v>
      </c>
      <c r="C344" s="63">
        <f>5.468 * CHOOSE(CONTROL!$C$22, $C$13, 100%, $E$13)</f>
        <v>5.468</v>
      </c>
      <c r="D344" s="63">
        <f>5.5033 * CHOOSE(CONTROL!$C$22, $C$13, 100%, $E$13)</f>
        <v>5.5033000000000003</v>
      </c>
      <c r="E344" s="64">
        <f>6.2794 * CHOOSE(CONTROL!$C$22, $C$13, 100%, $E$13)</f>
        <v>6.2793999999999999</v>
      </c>
      <c r="F344" s="64">
        <f>6.2794 * CHOOSE(CONTROL!$C$22, $C$13, 100%, $E$13)</f>
        <v>6.2793999999999999</v>
      </c>
      <c r="G344" s="64">
        <f>6.2816 * CHOOSE(CONTROL!$C$22, $C$13, 100%, $E$13)</f>
        <v>6.2816000000000001</v>
      </c>
      <c r="H344" s="64">
        <f>11.1548* CHOOSE(CONTROL!$C$22, $C$13, 100%, $E$13)</f>
        <v>11.1548</v>
      </c>
      <c r="I344" s="64">
        <f>11.157 * CHOOSE(CONTROL!$C$22, $C$13, 100%, $E$13)</f>
        <v>11.157</v>
      </c>
      <c r="J344" s="64">
        <f>6.2794 * CHOOSE(CONTROL!$C$22, $C$13, 100%, $E$13)</f>
        <v>6.2793999999999999</v>
      </c>
      <c r="K344" s="64">
        <f>6.2816 * CHOOSE(CONTROL!$C$22, $C$13, 100%, $E$13)</f>
        <v>6.2816000000000001</v>
      </c>
    </row>
    <row r="345" spans="1:11" ht="15">
      <c r="A345" s="13">
        <v>52140</v>
      </c>
      <c r="B345" s="63">
        <f>5.4682 * CHOOSE(CONTROL!$C$22, $C$13, 100%, $E$13)</f>
        <v>5.4682000000000004</v>
      </c>
      <c r="C345" s="63">
        <f>5.4682 * CHOOSE(CONTROL!$C$22, $C$13, 100%, $E$13)</f>
        <v>5.4682000000000004</v>
      </c>
      <c r="D345" s="63">
        <f>5.4859 * CHOOSE(CONTROL!$C$22, $C$13, 100%, $E$13)</f>
        <v>5.4859</v>
      </c>
      <c r="E345" s="64">
        <f>6.2945 * CHOOSE(CONTROL!$C$22, $C$13, 100%, $E$13)</f>
        <v>6.2945000000000002</v>
      </c>
      <c r="F345" s="64">
        <f>6.2945 * CHOOSE(CONTROL!$C$22, $C$13, 100%, $E$13)</f>
        <v>6.2945000000000002</v>
      </c>
      <c r="G345" s="64">
        <f>6.2947 * CHOOSE(CONTROL!$C$22, $C$13, 100%, $E$13)</f>
        <v>6.2946999999999997</v>
      </c>
      <c r="H345" s="64">
        <f>11.178* CHOOSE(CONTROL!$C$22, $C$13, 100%, $E$13)</f>
        <v>11.178000000000001</v>
      </c>
      <c r="I345" s="64">
        <f>11.1782 * CHOOSE(CONTROL!$C$22, $C$13, 100%, $E$13)</f>
        <v>11.1782</v>
      </c>
      <c r="J345" s="64">
        <f>6.2945 * CHOOSE(CONTROL!$C$22, $C$13, 100%, $E$13)</f>
        <v>6.2945000000000002</v>
      </c>
      <c r="K345" s="64">
        <f>6.2947 * CHOOSE(CONTROL!$C$22, $C$13, 100%, $E$13)</f>
        <v>6.2946999999999997</v>
      </c>
    </row>
    <row r="346" spans="1:11" ht="15">
      <c r="A346" s="13">
        <v>52171</v>
      </c>
      <c r="B346" s="63">
        <f>5.4713 * CHOOSE(CONTROL!$C$22, $C$13, 100%, $E$13)</f>
        <v>5.4713000000000003</v>
      </c>
      <c r="C346" s="63">
        <f>5.4713 * CHOOSE(CONTROL!$C$22, $C$13, 100%, $E$13)</f>
        <v>5.4713000000000003</v>
      </c>
      <c r="D346" s="63">
        <f>5.4889 * CHOOSE(CONTROL!$C$22, $C$13, 100%, $E$13)</f>
        <v>5.4889000000000001</v>
      </c>
      <c r="E346" s="64">
        <f>6.311 * CHOOSE(CONTROL!$C$22, $C$13, 100%, $E$13)</f>
        <v>6.3109999999999999</v>
      </c>
      <c r="F346" s="64">
        <f>6.311 * CHOOSE(CONTROL!$C$22, $C$13, 100%, $E$13)</f>
        <v>6.3109999999999999</v>
      </c>
      <c r="G346" s="64">
        <f>6.3111 * CHOOSE(CONTROL!$C$22, $C$13, 100%, $E$13)</f>
        <v>6.3110999999999997</v>
      </c>
      <c r="H346" s="64">
        <f>11.2013* CHOOSE(CONTROL!$C$22, $C$13, 100%, $E$13)</f>
        <v>11.2013</v>
      </c>
      <c r="I346" s="64">
        <f>11.2015 * CHOOSE(CONTROL!$C$22, $C$13, 100%, $E$13)</f>
        <v>11.201499999999999</v>
      </c>
      <c r="J346" s="64">
        <f>6.311 * CHOOSE(CONTROL!$C$22, $C$13, 100%, $E$13)</f>
        <v>6.3109999999999999</v>
      </c>
      <c r="K346" s="64">
        <f>6.3111 * CHOOSE(CONTROL!$C$22, $C$13, 100%, $E$13)</f>
        <v>6.3110999999999997</v>
      </c>
    </row>
    <row r="347" spans="1:11" ht="15">
      <c r="A347" s="13">
        <v>52201</v>
      </c>
      <c r="B347" s="63">
        <f>5.4713 * CHOOSE(CONTROL!$C$22, $C$13, 100%, $E$13)</f>
        <v>5.4713000000000003</v>
      </c>
      <c r="C347" s="63">
        <f>5.4713 * CHOOSE(CONTROL!$C$22, $C$13, 100%, $E$13)</f>
        <v>5.4713000000000003</v>
      </c>
      <c r="D347" s="63">
        <f>5.4889 * CHOOSE(CONTROL!$C$22, $C$13, 100%, $E$13)</f>
        <v>5.4889000000000001</v>
      </c>
      <c r="E347" s="64">
        <f>6.2752 * CHOOSE(CONTROL!$C$22, $C$13, 100%, $E$13)</f>
        <v>6.2751999999999999</v>
      </c>
      <c r="F347" s="64">
        <f>6.2752 * CHOOSE(CONTROL!$C$22, $C$13, 100%, $E$13)</f>
        <v>6.2751999999999999</v>
      </c>
      <c r="G347" s="64">
        <f>6.2754 * CHOOSE(CONTROL!$C$22, $C$13, 100%, $E$13)</f>
        <v>6.2754000000000003</v>
      </c>
      <c r="H347" s="64">
        <f>11.2247* CHOOSE(CONTROL!$C$22, $C$13, 100%, $E$13)</f>
        <v>11.2247</v>
      </c>
      <c r="I347" s="64">
        <f>11.2248 * CHOOSE(CONTROL!$C$22, $C$13, 100%, $E$13)</f>
        <v>11.2248</v>
      </c>
      <c r="J347" s="64">
        <f>6.2752 * CHOOSE(CONTROL!$C$22, $C$13, 100%, $E$13)</f>
        <v>6.2751999999999999</v>
      </c>
      <c r="K347" s="64">
        <f>6.2754 * CHOOSE(CONTROL!$C$22, $C$13, 100%, $E$13)</f>
        <v>6.2754000000000003</v>
      </c>
    </row>
    <row r="348" spans="1:11" ht="15">
      <c r="A348" s="13">
        <v>52232</v>
      </c>
      <c r="B348" s="63">
        <f>5.5212 * CHOOSE(CONTROL!$C$22, $C$13, 100%, $E$13)</f>
        <v>5.5212000000000003</v>
      </c>
      <c r="C348" s="63">
        <f>5.5212 * CHOOSE(CONTROL!$C$22, $C$13, 100%, $E$13)</f>
        <v>5.5212000000000003</v>
      </c>
      <c r="D348" s="63">
        <f>5.5389 * CHOOSE(CONTROL!$C$22, $C$13, 100%, $E$13)</f>
        <v>5.5388999999999999</v>
      </c>
      <c r="E348" s="64">
        <f>6.358 * CHOOSE(CONTROL!$C$22, $C$13, 100%, $E$13)</f>
        <v>6.3579999999999997</v>
      </c>
      <c r="F348" s="64">
        <f>6.358 * CHOOSE(CONTROL!$C$22, $C$13, 100%, $E$13)</f>
        <v>6.3579999999999997</v>
      </c>
      <c r="G348" s="64">
        <f>6.3582 * CHOOSE(CONTROL!$C$22, $C$13, 100%, $E$13)</f>
        <v>6.3582000000000001</v>
      </c>
      <c r="H348" s="64">
        <f>11.2481* CHOOSE(CONTROL!$C$22, $C$13, 100%, $E$13)</f>
        <v>11.248100000000001</v>
      </c>
      <c r="I348" s="64">
        <f>11.2482 * CHOOSE(CONTROL!$C$22, $C$13, 100%, $E$13)</f>
        <v>11.248200000000001</v>
      </c>
      <c r="J348" s="64">
        <f>6.358 * CHOOSE(CONTROL!$C$22, $C$13, 100%, $E$13)</f>
        <v>6.3579999999999997</v>
      </c>
      <c r="K348" s="64">
        <f>6.3582 * CHOOSE(CONTROL!$C$22, $C$13, 100%, $E$13)</f>
        <v>6.3582000000000001</v>
      </c>
    </row>
    <row r="349" spans="1:11" ht="15">
      <c r="A349" s="13">
        <v>52263</v>
      </c>
      <c r="B349" s="63">
        <f>5.5182 * CHOOSE(CONTROL!$C$22, $C$13, 100%, $E$13)</f>
        <v>5.5182000000000002</v>
      </c>
      <c r="C349" s="63">
        <f>5.5182 * CHOOSE(CONTROL!$C$22, $C$13, 100%, $E$13)</f>
        <v>5.5182000000000002</v>
      </c>
      <c r="D349" s="63">
        <f>5.5358 * CHOOSE(CONTROL!$C$22, $C$13, 100%, $E$13)</f>
        <v>5.5358000000000001</v>
      </c>
      <c r="E349" s="64">
        <f>6.2865 * CHOOSE(CONTROL!$C$22, $C$13, 100%, $E$13)</f>
        <v>6.2865000000000002</v>
      </c>
      <c r="F349" s="64">
        <f>6.2865 * CHOOSE(CONTROL!$C$22, $C$13, 100%, $E$13)</f>
        <v>6.2865000000000002</v>
      </c>
      <c r="G349" s="64">
        <f>6.2867 * CHOOSE(CONTROL!$C$22, $C$13, 100%, $E$13)</f>
        <v>6.2866999999999997</v>
      </c>
      <c r="H349" s="64">
        <f>11.2715* CHOOSE(CONTROL!$C$22, $C$13, 100%, $E$13)</f>
        <v>11.2715</v>
      </c>
      <c r="I349" s="64">
        <f>11.2717 * CHOOSE(CONTROL!$C$22, $C$13, 100%, $E$13)</f>
        <v>11.271699999999999</v>
      </c>
      <c r="J349" s="64">
        <f>6.2865 * CHOOSE(CONTROL!$C$22, $C$13, 100%, $E$13)</f>
        <v>6.2865000000000002</v>
      </c>
      <c r="K349" s="64">
        <f>6.2867 * CHOOSE(CONTROL!$C$22, $C$13, 100%, $E$13)</f>
        <v>6.2866999999999997</v>
      </c>
    </row>
    <row r="350" spans="1:11" ht="15">
      <c r="A350" s="13">
        <v>52291</v>
      </c>
      <c r="B350" s="63">
        <f>5.5151 * CHOOSE(CONTROL!$C$22, $C$13, 100%, $E$13)</f>
        <v>5.5151000000000003</v>
      </c>
      <c r="C350" s="63">
        <f>5.5151 * CHOOSE(CONTROL!$C$22, $C$13, 100%, $E$13)</f>
        <v>5.5151000000000003</v>
      </c>
      <c r="D350" s="63">
        <f>5.5328 * CHOOSE(CONTROL!$C$22, $C$13, 100%, $E$13)</f>
        <v>5.5327999999999999</v>
      </c>
      <c r="E350" s="64">
        <f>6.3391 * CHOOSE(CONTROL!$C$22, $C$13, 100%, $E$13)</f>
        <v>6.3391000000000002</v>
      </c>
      <c r="F350" s="64">
        <f>6.3391 * CHOOSE(CONTROL!$C$22, $C$13, 100%, $E$13)</f>
        <v>6.3391000000000002</v>
      </c>
      <c r="G350" s="64">
        <f>6.3393 * CHOOSE(CONTROL!$C$22, $C$13, 100%, $E$13)</f>
        <v>6.3392999999999997</v>
      </c>
      <c r="H350" s="64">
        <f>11.295* CHOOSE(CONTROL!$C$22, $C$13, 100%, $E$13)</f>
        <v>11.295</v>
      </c>
      <c r="I350" s="64">
        <f>11.2951 * CHOOSE(CONTROL!$C$22, $C$13, 100%, $E$13)</f>
        <v>11.2951</v>
      </c>
      <c r="J350" s="64">
        <f>6.3391 * CHOOSE(CONTROL!$C$22, $C$13, 100%, $E$13)</f>
        <v>6.3391000000000002</v>
      </c>
      <c r="K350" s="64">
        <f>6.3393 * CHOOSE(CONTROL!$C$22, $C$13, 100%, $E$13)</f>
        <v>6.3392999999999997</v>
      </c>
    </row>
    <row r="351" spans="1:11" ht="15">
      <c r="A351" s="13">
        <v>52322</v>
      </c>
      <c r="B351" s="63">
        <f>5.5142 * CHOOSE(CONTROL!$C$22, $C$13, 100%, $E$13)</f>
        <v>5.5141999999999998</v>
      </c>
      <c r="C351" s="63">
        <f>5.5142 * CHOOSE(CONTROL!$C$22, $C$13, 100%, $E$13)</f>
        <v>5.5141999999999998</v>
      </c>
      <c r="D351" s="63">
        <f>5.5318 * CHOOSE(CONTROL!$C$22, $C$13, 100%, $E$13)</f>
        <v>5.5317999999999996</v>
      </c>
      <c r="E351" s="64">
        <f>6.3936 * CHOOSE(CONTROL!$C$22, $C$13, 100%, $E$13)</f>
        <v>6.3936000000000002</v>
      </c>
      <c r="F351" s="64">
        <f>6.3936 * CHOOSE(CONTROL!$C$22, $C$13, 100%, $E$13)</f>
        <v>6.3936000000000002</v>
      </c>
      <c r="G351" s="64">
        <f>6.3938 * CHOOSE(CONTROL!$C$22, $C$13, 100%, $E$13)</f>
        <v>6.3937999999999997</v>
      </c>
      <c r="H351" s="64">
        <f>11.3185* CHOOSE(CONTROL!$C$22, $C$13, 100%, $E$13)</f>
        <v>11.3185</v>
      </c>
      <c r="I351" s="64">
        <f>11.3187 * CHOOSE(CONTROL!$C$22, $C$13, 100%, $E$13)</f>
        <v>11.3187</v>
      </c>
      <c r="J351" s="64">
        <f>6.3936 * CHOOSE(CONTROL!$C$22, $C$13, 100%, $E$13)</f>
        <v>6.3936000000000002</v>
      </c>
      <c r="K351" s="64">
        <f>6.3938 * CHOOSE(CONTROL!$C$22, $C$13, 100%, $E$13)</f>
        <v>6.3937999999999997</v>
      </c>
    </row>
    <row r="352" spans="1:11" ht="15">
      <c r="A352" s="13">
        <v>52352</v>
      </c>
      <c r="B352" s="63">
        <f>5.5142 * CHOOSE(CONTROL!$C$22, $C$13, 100%, $E$13)</f>
        <v>5.5141999999999998</v>
      </c>
      <c r="C352" s="63">
        <f>5.5142 * CHOOSE(CONTROL!$C$22, $C$13, 100%, $E$13)</f>
        <v>5.5141999999999998</v>
      </c>
      <c r="D352" s="63">
        <f>5.5495 * CHOOSE(CONTROL!$C$22, $C$13, 100%, $E$13)</f>
        <v>5.5495000000000001</v>
      </c>
      <c r="E352" s="64">
        <f>6.4157 * CHOOSE(CONTROL!$C$22, $C$13, 100%, $E$13)</f>
        <v>6.4157000000000002</v>
      </c>
      <c r="F352" s="64">
        <f>6.4157 * CHOOSE(CONTROL!$C$22, $C$13, 100%, $E$13)</f>
        <v>6.4157000000000002</v>
      </c>
      <c r="G352" s="64">
        <f>6.4179 * CHOOSE(CONTROL!$C$22, $C$13, 100%, $E$13)</f>
        <v>6.4179000000000004</v>
      </c>
      <c r="H352" s="64">
        <f>11.3421* CHOOSE(CONTROL!$C$22, $C$13, 100%, $E$13)</f>
        <v>11.3421</v>
      </c>
      <c r="I352" s="64">
        <f>11.3443 * CHOOSE(CONTROL!$C$22, $C$13, 100%, $E$13)</f>
        <v>11.3443</v>
      </c>
      <c r="J352" s="64">
        <f>6.4157 * CHOOSE(CONTROL!$C$22, $C$13, 100%, $E$13)</f>
        <v>6.4157000000000002</v>
      </c>
      <c r="K352" s="64">
        <f>6.4179 * CHOOSE(CONTROL!$C$22, $C$13, 100%, $E$13)</f>
        <v>6.4179000000000004</v>
      </c>
    </row>
    <row r="353" spans="1:11" ht="15">
      <c r="A353" s="13">
        <v>52383</v>
      </c>
      <c r="B353" s="63">
        <f>5.5202 * CHOOSE(CONTROL!$C$22, $C$13, 100%, $E$13)</f>
        <v>5.5202</v>
      </c>
      <c r="C353" s="63">
        <f>5.5202 * CHOOSE(CONTROL!$C$22, $C$13, 100%, $E$13)</f>
        <v>5.5202</v>
      </c>
      <c r="D353" s="63">
        <f>5.5556 * CHOOSE(CONTROL!$C$22, $C$13, 100%, $E$13)</f>
        <v>5.5556000000000001</v>
      </c>
      <c r="E353" s="64">
        <f>6.3979 * CHOOSE(CONTROL!$C$22, $C$13, 100%, $E$13)</f>
        <v>6.3978999999999999</v>
      </c>
      <c r="F353" s="64">
        <f>6.3979 * CHOOSE(CONTROL!$C$22, $C$13, 100%, $E$13)</f>
        <v>6.3978999999999999</v>
      </c>
      <c r="G353" s="64">
        <f>6.4001 * CHOOSE(CONTROL!$C$22, $C$13, 100%, $E$13)</f>
        <v>6.4001000000000001</v>
      </c>
      <c r="H353" s="64">
        <f>11.3657* CHOOSE(CONTROL!$C$22, $C$13, 100%, $E$13)</f>
        <v>11.3657</v>
      </c>
      <c r="I353" s="64">
        <f>11.3679 * CHOOSE(CONTROL!$C$22, $C$13, 100%, $E$13)</f>
        <v>11.367900000000001</v>
      </c>
      <c r="J353" s="64">
        <f>6.3979 * CHOOSE(CONTROL!$C$22, $C$13, 100%, $E$13)</f>
        <v>6.3978999999999999</v>
      </c>
      <c r="K353" s="64">
        <f>6.4001 * CHOOSE(CONTROL!$C$22, $C$13, 100%, $E$13)</f>
        <v>6.4001000000000001</v>
      </c>
    </row>
    <row r="354" spans="1:11" ht="15">
      <c r="A354" s="13">
        <v>52413</v>
      </c>
      <c r="B354" s="63">
        <f>5.6132 * CHOOSE(CONTROL!$C$22, $C$13, 100%, $E$13)</f>
        <v>5.6132</v>
      </c>
      <c r="C354" s="63">
        <f>5.6132 * CHOOSE(CONTROL!$C$22, $C$13, 100%, $E$13)</f>
        <v>5.6132</v>
      </c>
      <c r="D354" s="63">
        <f>5.6485 * CHOOSE(CONTROL!$C$22, $C$13, 100%, $E$13)</f>
        <v>5.6485000000000003</v>
      </c>
      <c r="E354" s="64">
        <f>6.5257 * CHOOSE(CONTROL!$C$22, $C$13, 100%, $E$13)</f>
        <v>6.5256999999999996</v>
      </c>
      <c r="F354" s="64">
        <f>6.5257 * CHOOSE(CONTROL!$C$22, $C$13, 100%, $E$13)</f>
        <v>6.5256999999999996</v>
      </c>
      <c r="G354" s="64">
        <f>6.5279 * CHOOSE(CONTROL!$C$22, $C$13, 100%, $E$13)</f>
        <v>6.5278999999999998</v>
      </c>
      <c r="H354" s="64">
        <f>11.3894* CHOOSE(CONTROL!$C$22, $C$13, 100%, $E$13)</f>
        <v>11.3894</v>
      </c>
      <c r="I354" s="64">
        <f>11.3916 * CHOOSE(CONTROL!$C$22, $C$13, 100%, $E$13)</f>
        <v>11.3916</v>
      </c>
      <c r="J354" s="64">
        <f>6.5257 * CHOOSE(CONTROL!$C$22, $C$13, 100%, $E$13)</f>
        <v>6.5256999999999996</v>
      </c>
      <c r="K354" s="64">
        <f>6.5279 * CHOOSE(CONTROL!$C$22, $C$13, 100%, $E$13)</f>
        <v>6.5278999999999998</v>
      </c>
    </row>
    <row r="355" spans="1:11" ht="15">
      <c r="A355" s="13">
        <v>52444</v>
      </c>
      <c r="B355" s="63">
        <f>5.6199 * CHOOSE(CONTROL!$C$22, $C$13, 100%, $E$13)</f>
        <v>5.6199000000000003</v>
      </c>
      <c r="C355" s="63">
        <f>5.6199 * CHOOSE(CONTROL!$C$22, $C$13, 100%, $E$13)</f>
        <v>5.6199000000000003</v>
      </c>
      <c r="D355" s="63">
        <f>5.6552 * CHOOSE(CONTROL!$C$22, $C$13, 100%, $E$13)</f>
        <v>5.6551999999999998</v>
      </c>
      <c r="E355" s="64">
        <f>6.4643 * CHOOSE(CONTROL!$C$22, $C$13, 100%, $E$13)</f>
        <v>6.4642999999999997</v>
      </c>
      <c r="F355" s="64">
        <f>6.4643 * CHOOSE(CONTROL!$C$22, $C$13, 100%, $E$13)</f>
        <v>6.4642999999999997</v>
      </c>
      <c r="G355" s="64">
        <f>6.4664 * CHOOSE(CONTROL!$C$22, $C$13, 100%, $E$13)</f>
        <v>6.4664000000000001</v>
      </c>
      <c r="H355" s="64">
        <f>11.4131* CHOOSE(CONTROL!$C$22, $C$13, 100%, $E$13)</f>
        <v>11.4131</v>
      </c>
      <c r="I355" s="64">
        <f>11.4153 * CHOOSE(CONTROL!$C$22, $C$13, 100%, $E$13)</f>
        <v>11.4153</v>
      </c>
      <c r="J355" s="64">
        <f>6.4643 * CHOOSE(CONTROL!$C$22, $C$13, 100%, $E$13)</f>
        <v>6.4642999999999997</v>
      </c>
      <c r="K355" s="64">
        <f>6.4664 * CHOOSE(CONTROL!$C$22, $C$13, 100%, $E$13)</f>
        <v>6.4664000000000001</v>
      </c>
    </row>
    <row r="356" spans="1:11" ht="15">
      <c r="A356" s="13">
        <v>52475</v>
      </c>
      <c r="B356" s="63">
        <f>5.6168 * CHOOSE(CONTROL!$C$22, $C$13, 100%, $E$13)</f>
        <v>5.6167999999999996</v>
      </c>
      <c r="C356" s="63">
        <f>5.6168 * CHOOSE(CONTROL!$C$22, $C$13, 100%, $E$13)</f>
        <v>5.6167999999999996</v>
      </c>
      <c r="D356" s="63">
        <f>5.6521 * CHOOSE(CONTROL!$C$22, $C$13, 100%, $E$13)</f>
        <v>5.6520999999999999</v>
      </c>
      <c r="E356" s="64">
        <f>6.4548 * CHOOSE(CONTROL!$C$22, $C$13, 100%, $E$13)</f>
        <v>6.4547999999999996</v>
      </c>
      <c r="F356" s="64">
        <f>6.4548 * CHOOSE(CONTROL!$C$22, $C$13, 100%, $E$13)</f>
        <v>6.4547999999999996</v>
      </c>
      <c r="G356" s="64">
        <f>6.457 * CHOOSE(CONTROL!$C$22, $C$13, 100%, $E$13)</f>
        <v>6.4569999999999999</v>
      </c>
      <c r="H356" s="64">
        <f>11.4369* CHOOSE(CONTROL!$C$22, $C$13, 100%, $E$13)</f>
        <v>11.4369</v>
      </c>
      <c r="I356" s="64">
        <f>11.4391 * CHOOSE(CONTROL!$C$22, $C$13, 100%, $E$13)</f>
        <v>11.4391</v>
      </c>
      <c r="J356" s="64">
        <f>6.4548 * CHOOSE(CONTROL!$C$22, $C$13, 100%, $E$13)</f>
        <v>6.4547999999999996</v>
      </c>
      <c r="K356" s="64">
        <f>6.457 * CHOOSE(CONTROL!$C$22, $C$13, 100%, $E$13)</f>
        <v>6.4569999999999999</v>
      </c>
    </row>
    <row r="357" spans="1:11" ht="15">
      <c r="A357" s="13">
        <v>52505</v>
      </c>
      <c r="B357" s="63">
        <f>5.6175 * CHOOSE(CONTROL!$C$22, $C$13, 100%, $E$13)</f>
        <v>5.6174999999999997</v>
      </c>
      <c r="C357" s="63">
        <f>5.6175 * CHOOSE(CONTROL!$C$22, $C$13, 100%, $E$13)</f>
        <v>5.6174999999999997</v>
      </c>
      <c r="D357" s="63">
        <f>5.6352 * CHOOSE(CONTROL!$C$22, $C$13, 100%, $E$13)</f>
        <v>5.6352000000000002</v>
      </c>
      <c r="E357" s="64">
        <f>6.4708 * CHOOSE(CONTROL!$C$22, $C$13, 100%, $E$13)</f>
        <v>6.4707999999999997</v>
      </c>
      <c r="F357" s="64">
        <f>6.4708 * CHOOSE(CONTROL!$C$22, $C$13, 100%, $E$13)</f>
        <v>6.4707999999999997</v>
      </c>
      <c r="G357" s="64">
        <f>6.4709 * CHOOSE(CONTROL!$C$22, $C$13, 100%, $E$13)</f>
        <v>6.4709000000000003</v>
      </c>
      <c r="H357" s="64">
        <f>11.4607* CHOOSE(CONTROL!$C$22, $C$13, 100%, $E$13)</f>
        <v>11.460699999999999</v>
      </c>
      <c r="I357" s="64">
        <f>11.4609 * CHOOSE(CONTROL!$C$22, $C$13, 100%, $E$13)</f>
        <v>11.460900000000001</v>
      </c>
      <c r="J357" s="64">
        <f>6.4708 * CHOOSE(CONTROL!$C$22, $C$13, 100%, $E$13)</f>
        <v>6.4707999999999997</v>
      </c>
      <c r="K357" s="64">
        <f>6.4709 * CHOOSE(CONTROL!$C$22, $C$13, 100%, $E$13)</f>
        <v>6.4709000000000003</v>
      </c>
    </row>
    <row r="358" spans="1:11" ht="15">
      <c r="A358" s="13">
        <v>52536</v>
      </c>
      <c r="B358" s="63">
        <f>5.6206 * CHOOSE(CONTROL!$C$22, $C$13, 100%, $E$13)</f>
        <v>5.6205999999999996</v>
      </c>
      <c r="C358" s="63">
        <f>5.6206 * CHOOSE(CONTROL!$C$22, $C$13, 100%, $E$13)</f>
        <v>5.6205999999999996</v>
      </c>
      <c r="D358" s="63">
        <f>5.6382 * CHOOSE(CONTROL!$C$22, $C$13, 100%, $E$13)</f>
        <v>5.6382000000000003</v>
      </c>
      <c r="E358" s="64">
        <f>6.4876 * CHOOSE(CONTROL!$C$22, $C$13, 100%, $E$13)</f>
        <v>6.4875999999999996</v>
      </c>
      <c r="F358" s="64">
        <f>6.4876 * CHOOSE(CONTROL!$C$22, $C$13, 100%, $E$13)</f>
        <v>6.4875999999999996</v>
      </c>
      <c r="G358" s="64">
        <f>6.4877 * CHOOSE(CONTROL!$C$22, $C$13, 100%, $E$13)</f>
        <v>6.4877000000000002</v>
      </c>
      <c r="H358" s="64">
        <f>11.4846* CHOOSE(CONTROL!$C$22, $C$13, 100%, $E$13)</f>
        <v>11.4846</v>
      </c>
      <c r="I358" s="64">
        <f>11.4848 * CHOOSE(CONTROL!$C$22, $C$13, 100%, $E$13)</f>
        <v>11.4848</v>
      </c>
      <c r="J358" s="64">
        <f>6.4876 * CHOOSE(CONTROL!$C$22, $C$13, 100%, $E$13)</f>
        <v>6.4875999999999996</v>
      </c>
      <c r="K358" s="64">
        <f>6.4877 * CHOOSE(CONTROL!$C$22, $C$13, 100%, $E$13)</f>
        <v>6.4877000000000002</v>
      </c>
    </row>
    <row r="359" spans="1:11" ht="15">
      <c r="A359" s="13">
        <v>52566</v>
      </c>
      <c r="B359" s="63">
        <f>5.6206 * CHOOSE(CONTROL!$C$22, $C$13, 100%, $E$13)</f>
        <v>5.6205999999999996</v>
      </c>
      <c r="C359" s="63">
        <f>5.6206 * CHOOSE(CONTROL!$C$22, $C$13, 100%, $E$13)</f>
        <v>5.6205999999999996</v>
      </c>
      <c r="D359" s="63">
        <f>5.6382 * CHOOSE(CONTROL!$C$22, $C$13, 100%, $E$13)</f>
        <v>5.6382000000000003</v>
      </c>
      <c r="E359" s="64">
        <f>6.4508 * CHOOSE(CONTROL!$C$22, $C$13, 100%, $E$13)</f>
        <v>6.4508000000000001</v>
      </c>
      <c r="F359" s="64">
        <f>6.4508 * CHOOSE(CONTROL!$C$22, $C$13, 100%, $E$13)</f>
        <v>6.4508000000000001</v>
      </c>
      <c r="G359" s="64">
        <f>6.451 * CHOOSE(CONTROL!$C$22, $C$13, 100%, $E$13)</f>
        <v>6.4509999999999996</v>
      </c>
      <c r="H359" s="64">
        <f>11.5085* CHOOSE(CONTROL!$C$22, $C$13, 100%, $E$13)</f>
        <v>11.5085</v>
      </c>
      <c r="I359" s="64">
        <f>11.5087 * CHOOSE(CONTROL!$C$22, $C$13, 100%, $E$13)</f>
        <v>11.508699999999999</v>
      </c>
      <c r="J359" s="64">
        <f>6.4508 * CHOOSE(CONTROL!$C$22, $C$13, 100%, $E$13)</f>
        <v>6.4508000000000001</v>
      </c>
      <c r="K359" s="64">
        <f>6.451 * CHOOSE(CONTROL!$C$22, $C$13, 100%, $E$13)</f>
        <v>6.4509999999999996</v>
      </c>
    </row>
    <row r="360" spans="1:11" ht="15">
      <c r="A360" s="13">
        <v>52597</v>
      </c>
      <c r="B360" s="63">
        <f>5.6717 * CHOOSE(CONTROL!$C$22, $C$13, 100%, $E$13)</f>
        <v>5.6717000000000004</v>
      </c>
      <c r="C360" s="63">
        <f>5.6717 * CHOOSE(CONTROL!$C$22, $C$13, 100%, $E$13)</f>
        <v>5.6717000000000004</v>
      </c>
      <c r="D360" s="63">
        <f>5.6893 * CHOOSE(CONTROL!$C$22, $C$13, 100%, $E$13)</f>
        <v>5.6893000000000002</v>
      </c>
      <c r="E360" s="64">
        <f>6.5359 * CHOOSE(CONTROL!$C$22, $C$13, 100%, $E$13)</f>
        <v>6.5358999999999998</v>
      </c>
      <c r="F360" s="64">
        <f>6.5359 * CHOOSE(CONTROL!$C$22, $C$13, 100%, $E$13)</f>
        <v>6.5358999999999998</v>
      </c>
      <c r="G360" s="64">
        <f>6.5361 * CHOOSE(CONTROL!$C$22, $C$13, 100%, $E$13)</f>
        <v>6.5361000000000002</v>
      </c>
      <c r="H360" s="64">
        <f>11.5325* CHOOSE(CONTROL!$C$22, $C$13, 100%, $E$13)</f>
        <v>11.532500000000001</v>
      </c>
      <c r="I360" s="64">
        <f>11.5327 * CHOOSE(CONTROL!$C$22, $C$13, 100%, $E$13)</f>
        <v>11.5327</v>
      </c>
      <c r="J360" s="64">
        <f>6.5359 * CHOOSE(CONTROL!$C$22, $C$13, 100%, $E$13)</f>
        <v>6.5358999999999998</v>
      </c>
      <c r="K360" s="64">
        <f>6.5361 * CHOOSE(CONTROL!$C$22, $C$13, 100%, $E$13)</f>
        <v>6.5361000000000002</v>
      </c>
    </row>
    <row r="361" spans="1:11" ht="15">
      <c r="A361" s="13">
        <v>52628</v>
      </c>
      <c r="B361" s="63">
        <f>5.6686 * CHOOSE(CONTROL!$C$22, $C$13, 100%, $E$13)</f>
        <v>5.6685999999999996</v>
      </c>
      <c r="C361" s="63">
        <f>5.6686 * CHOOSE(CONTROL!$C$22, $C$13, 100%, $E$13)</f>
        <v>5.6685999999999996</v>
      </c>
      <c r="D361" s="63">
        <f>5.6863 * CHOOSE(CONTROL!$C$22, $C$13, 100%, $E$13)</f>
        <v>5.6863000000000001</v>
      </c>
      <c r="E361" s="64">
        <f>6.4624 * CHOOSE(CONTROL!$C$22, $C$13, 100%, $E$13)</f>
        <v>6.4623999999999997</v>
      </c>
      <c r="F361" s="64">
        <f>6.4624 * CHOOSE(CONTROL!$C$22, $C$13, 100%, $E$13)</f>
        <v>6.4623999999999997</v>
      </c>
      <c r="G361" s="64">
        <f>6.4626 * CHOOSE(CONTROL!$C$22, $C$13, 100%, $E$13)</f>
        <v>6.4626000000000001</v>
      </c>
      <c r="H361" s="64">
        <f>11.5565* CHOOSE(CONTROL!$C$22, $C$13, 100%, $E$13)</f>
        <v>11.5565</v>
      </c>
      <c r="I361" s="64">
        <f>11.5567 * CHOOSE(CONTROL!$C$22, $C$13, 100%, $E$13)</f>
        <v>11.556699999999999</v>
      </c>
      <c r="J361" s="64">
        <f>6.4624 * CHOOSE(CONTROL!$C$22, $C$13, 100%, $E$13)</f>
        <v>6.4623999999999997</v>
      </c>
      <c r="K361" s="64">
        <f>6.4626 * CHOOSE(CONTROL!$C$22, $C$13, 100%, $E$13)</f>
        <v>6.4626000000000001</v>
      </c>
    </row>
    <row r="362" spans="1:11" ht="15">
      <c r="A362" s="13">
        <v>52657</v>
      </c>
      <c r="B362" s="63">
        <f>5.6656 * CHOOSE(CONTROL!$C$22, $C$13, 100%, $E$13)</f>
        <v>5.6656000000000004</v>
      </c>
      <c r="C362" s="63">
        <f>5.6656 * CHOOSE(CONTROL!$C$22, $C$13, 100%, $E$13)</f>
        <v>5.6656000000000004</v>
      </c>
      <c r="D362" s="63">
        <f>5.6832 * CHOOSE(CONTROL!$C$22, $C$13, 100%, $E$13)</f>
        <v>5.6832000000000003</v>
      </c>
      <c r="E362" s="64">
        <f>6.5166 * CHOOSE(CONTROL!$C$22, $C$13, 100%, $E$13)</f>
        <v>6.5166000000000004</v>
      </c>
      <c r="F362" s="64">
        <f>6.5166 * CHOOSE(CONTROL!$C$22, $C$13, 100%, $E$13)</f>
        <v>6.5166000000000004</v>
      </c>
      <c r="G362" s="64">
        <f>6.5167 * CHOOSE(CONTROL!$C$22, $C$13, 100%, $E$13)</f>
        <v>6.5167000000000002</v>
      </c>
      <c r="H362" s="64">
        <f>11.5806* CHOOSE(CONTROL!$C$22, $C$13, 100%, $E$13)</f>
        <v>11.5806</v>
      </c>
      <c r="I362" s="64">
        <f>11.5808 * CHOOSE(CONTROL!$C$22, $C$13, 100%, $E$13)</f>
        <v>11.5808</v>
      </c>
      <c r="J362" s="64">
        <f>6.5166 * CHOOSE(CONTROL!$C$22, $C$13, 100%, $E$13)</f>
        <v>6.5166000000000004</v>
      </c>
      <c r="K362" s="64">
        <f>6.5167 * CHOOSE(CONTROL!$C$22, $C$13, 100%, $E$13)</f>
        <v>6.5167000000000002</v>
      </c>
    </row>
    <row r="363" spans="1:11" ht="15">
      <c r="A363" s="13">
        <v>52688</v>
      </c>
      <c r="B363" s="63">
        <f>5.6648 * CHOOSE(CONTROL!$C$22, $C$13, 100%, $E$13)</f>
        <v>5.6647999999999996</v>
      </c>
      <c r="C363" s="63">
        <f>5.6648 * CHOOSE(CONTROL!$C$22, $C$13, 100%, $E$13)</f>
        <v>5.6647999999999996</v>
      </c>
      <c r="D363" s="63">
        <f>5.6824 * CHOOSE(CONTROL!$C$22, $C$13, 100%, $E$13)</f>
        <v>5.6824000000000003</v>
      </c>
      <c r="E363" s="64">
        <f>6.5727 * CHOOSE(CONTROL!$C$22, $C$13, 100%, $E$13)</f>
        <v>6.5727000000000002</v>
      </c>
      <c r="F363" s="64">
        <f>6.5727 * CHOOSE(CONTROL!$C$22, $C$13, 100%, $E$13)</f>
        <v>6.5727000000000002</v>
      </c>
      <c r="G363" s="64">
        <f>6.5729 * CHOOSE(CONTROL!$C$22, $C$13, 100%, $E$13)</f>
        <v>6.5728999999999997</v>
      </c>
      <c r="H363" s="64">
        <f>11.6047* CHOOSE(CONTROL!$C$22, $C$13, 100%, $E$13)</f>
        <v>11.604699999999999</v>
      </c>
      <c r="I363" s="64">
        <f>11.6049 * CHOOSE(CONTROL!$C$22, $C$13, 100%, $E$13)</f>
        <v>11.604900000000001</v>
      </c>
      <c r="J363" s="64">
        <f>6.5727 * CHOOSE(CONTROL!$C$22, $C$13, 100%, $E$13)</f>
        <v>6.5727000000000002</v>
      </c>
      <c r="K363" s="64">
        <f>6.5729 * CHOOSE(CONTROL!$C$22, $C$13, 100%, $E$13)</f>
        <v>6.5728999999999997</v>
      </c>
    </row>
    <row r="364" spans="1:11" ht="15">
      <c r="A364" s="13">
        <v>52718</v>
      </c>
      <c r="B364" s="63">
        <f>5.6648 * CHOOSE(CONTROL!$C$22, $C$13, 100%, $E$13)</f>
        <v>5.6647999999999996</v>
      </c>
      <c r="C364" s="63">
        <f>5.6648 * CHOOSE(CONTROL!$C$22, $C$13, 100%, $E$13)</f>
        <v>5.6647999999999996</v>
      </c>
      <c r="D364" s="63">
        <f>5.7001 * CHOOSE(CONTROL!$C$22, $C$13, 100%, $E$13)</f>
        <v>5.7000999999999999</v>
      </c>
      <c r="E364" s="64">
        <f>6.5954 * CHOOSE(CONTROL!$C$22, $C$13, 100%, $E$13)</f>
        <v>6.5953999999999997</v>
      </c>
      <c r="F364" s="64">
        <f>6.5954 * CHOOSE(CONTROL!$C$22, $C$13, 100%, $E$13)</f>
        <v>6.5953999999999997</v>
      </c>
      <c r="G364" s="64">
        <f>6.5976 * CHOOSE(CONTROL!$C$22, $C$13, 100%, $E$13)</f>
        <v>6.5975999999999999</v>
      </c>
      <c r="H364" s="64">
        <f>11.6289* CHOOSE(CONTROL!$C$22, $C$13, 100%, $E$13)</f>
        <v>11.6289</v>
      </c>
      <c r="I364" s="64">
        <f>11.6311 * CHOOSE(CONTROL!$C$22, $C$13, 100%, $E$13)</f>
        <v>11.6311</v>
      </c>
      <c r="J364" s="64">
        <f>6.5954 * CHOOSE(CONTROL!$C$22, $C$13, 100%, $E$13)</f>
        <v>6.5953999999999997</v>
      </c>
      <c r="K364" s="64">
        <f>6.5976 * CHOOSE(CONTROL!$C$22, $C$13, 100%, $E$13)</f>
        <v>6.5975999999999999</v>
      </c>
    </row>
    <row r="365" spans="1:11" ht="15">
      <c r="A365" s="13">
        <v>52749</v>
      </c>
      <c r="B365" s="63">
        <f>5.6708 * CHOOSE(CONTROL!$C$22, $C$13, 100%, $E$13)</f>
        <v>5.6707999999999998</v>
      </c>
      <c r="C365" s="63">
        <f>5.6708 * CHOOSE(CONTROL!$C$22, $C$13, 100%, $E$13)</f>
        <v>5.6707999999999998</v>
      </c>
      <c r="D365" s="63">
        <f>5.7061 * CHOOSE(CONTROL!$C$22, $C$13, 100%, $E$13)</f>
        <v>5.7061000000000002</v>
      </c>
      <c r="E365" s="64">
        <f>6.577 * CHOOSE(CONTROL!$C$22, $C$13, 100%, $E$13)</f>
        <v>6.577</v>
      </c>
      <c r="F365" s="64">
        <f>6.577 * CHOOSE(CONTROL!$C$22, $C$13, 100%, $E$13)</f>
        <v>6.577</v>
      </c>
      <c r="G365" s="64">
        <f>6.5792 * CHOOSE(CONTROL!$C$22, $C$13, 100%, $E$13)</f>
        <v>6.5792000000000002</v>
      </c>
      <c r="H365" s="64">
        <f>11.6531* CHOOSE(CONTROL!$C$22, $C$13, 100%, $E$13)</f>
        <v>11.6531</v>
      </c>
      <c r="I365" s="64">
        <f>11.6553 * CHOOSE(CONTROL!$C$22, $C$13, 100%, $E$13)</f>
        <v>11.6553</v>
      </c>
      <c r="J365" s="64">
        <f>6.577 * CHOOSE(CONTROL!$C$22, $C$13, 100%, $E$13)</f>
        <v>6.577</v>
      </c>
      <c r="K365" s="64">
        <f>6.5792 * CHOOSE(CONTROL!$C$22, $C$13, 100%, $E$13)</f>
        <v>6.5792000000000002</v>
      </c>
    </row>
    <row r="366" spans="1:11" ht="15">
      <c r="A366" s="13">
        <v>52779</v>
      </c>
      <c r="B366" s="63">
        <f>5.7658 * CHOOSE(CONTROL!$C$22, $C$13, 100%, $E$13)</f>
        <v>5.7657999999999996</v>
      </c>
      <c r="C366" s="63">
        <f>5.7658 * CHOOSE(CONTROL!$C$22, $C$13, 100%, $E$13)</f>
        <v>5.7657999999999996</v>
      </c>
      <c r="D366" s="63">
        <f>5.8011 * CHOOSE(CONTROL!$C$22, $C$13, 100%, $E$13)</f>
        <v>5.8010999999999999</v>
      </c>
      <c r="E366" s="64">
        <f>6.7082 * CHOOSE(CONTROL!$C$22, $C$13, 100%, $E$13)</f>
        <v>6.7081999999999997</v>
      </c>
      <c r="F366" s="64">
        <f>6.7082 * CHOOSE(CONTROL!$C$22, $C$13, 100%, $E$13)</f>
        <v>6.7081999999999997</v>
      </c>
      <c r="G366" s="64">
        <f>6.7104 * CHOOSE(CONTROL!$C$22, $C$13, 100%, $E$13)</f>
        <v>6.7103999999999999</v>
      </c>
      <c r="H366" s="64">
        <f>11.6774* CHOOSE(CONTROL!$C$22, $C$13, 100%, $E$13)</f>
        <v>11.6774</v>
      </c>
      <c r="I366" s="64">
        <f>11.6796 * CHOOSE(CONTROL!$C$22, $C$13, 100%, $E$13)</f>
        <v>11.679600000000001</v>
      </c>
      <c r="J366" s="64">
        <f>6.7082 * CHOOSE(CONTROL!$C$22, $C$13, 100%, $E$13)</f>
        <v>6.7081999999999997</v>
      </c>
      <c r="K366" s="64">
        <f>6.7104 * CHOOSE(CONTROL!$C$22, $C$13, 100%, $E$13)</f>
        <v>6.7103999999999999</v>
      </c>
    </row>
    <row r="367" spans="1:11" ht="15">
      <c r="A367" s="13">
        <v>52810</v>
      </c>
      <c r="B367" s="63">
        <f>5.7725 * CHOOSE(CONTROL!$C$22, $C$13, 100%, $E$13)</f>
        <v>5.7725</v>
      </c>
      <c r="C367" s="63">
        <f>5.7725 * CHOOSE(CONTROL!$C$22, $C$13, 100%, $E$13)</f>
        <v>5.7725</v>
      </c>
      <c r="D367" s="63">
        <f>5.8078 * CHOOSE(CONTROL!$C$22, $C$13, 100%, $E$13)</f>
        <v>5.8078000000000003</v>
      </c>
      <c r="E367" s="64">
        <f>6.6449 * CHOOSE(CONTROL!$C$22, $C$13, 100%, $E$13)</f>
        <v>6.6448999999999998</v>
      </c>
      <c r="F367" s="64">
        <f>6.6449 * CHOOSE(CONTROL!$C$22, $C$13, 100%, $E$13)</f>
        <v>6.6448999999999998</v>
      </c>
      <c r="G367" s="64">
        <f>6.6471 * CHOOSE(CONTROL!$C$22, $C$13, 100%, $E$13)</f>
        <v>6.6471</v>
      </c>
      <c r="H367" s="64">
        <f>11.7017* CHOOSE(CONTROL!$C$22, $C$13, 100%, $E$13)</f>
        <v>11.701700000000001</v>
      </c>
      <c r="I367" s="64">
        <f>11.7039 * CHOOSE(CONTROL!$C$22, $C$13, 100%, $E$13)</f>
        <v>11.703900000000001</v>
      </c>
      <c r="J367" s="64">
        <f>6.6449 * CHOOSE(CONTROL!$C$22, $C$13, 100%, $E$13)</f>
        <v>6.6448999999999998</v>
      </c>
      <c r="K367" s="64">
        <f>6.6471 * CHOOSE(CONTROL!$C$22, $C$13, 100%, $E$13)</f>
        <v>6.6471</v>
      </c>
    </row>
    <row r="368" spans="1:11" ht="15">
      <c r="A368" s="13">
        <v>52841</v>
      </c>
      <c r="B368" s="63">
        <f>5.7695 * CHOOSE(CONTROL!$C$22, $C$13, 100%, $E$13)</f>
        <v>5.7694999999999999</v>
      </c>
      <c r="C368" s="63">
        <f>5.7695 * CHOOSE(CONTROL!$C$22, $C$13, 100%, $E$13)</f>
        <v>5.7694999999999999</v>
      </c>
      <c r="D368" s="63">
        <f>5.8048 * CHOOSE(CONTROL!$C$22, $C$13, 100%, $E$13)</f>
        <v>5.8048000000000002</v>
      </c>
      <c r="E368" s="64">
        <f>6.6352 * CHOOSE(CONTROL!$C$22, $C$13, 100%, $E$13)</f>
        <v>6.6352000000000002</v>
      </c>
      <c r="F368" s="64">
        <f>6.6352 * CHOOSE(CONTROL!$C$22, $C$13, 100%, $E$13)</f>
        <v>6.6352000000000002</v>
      </c>
      <c r="G368" s="64">
        <f>6.6374 * CHOOSE(CONTROL!$C$22, $C$13, 100%, $E$13)</f>
        <v>6.6374000000000004</v>
      </c>
      <c r="H368" s="64">
        <f>11.7261* CHOOSE(CONTROL!$C$22, $C$13, 100%, $E$13)</f>
        <v>11.726100000000001</v>
      </c>
      <c r="I368" s="64">
        <f>11.7283 * CHOOSE(CONTROL!$C$22, $C$13, 100%, $E$13)</f>
        <v>11.728300000000001</v>
      </c>
      <c r="J368" s="64">
        <f>6.6352 * CHOOSE(CONTROL!$C$22, $C$13, 100%, $E$13)</f>
        <v>6.6352000000000002</v>
      </c>
      <c r="K368" s="64">
        <f>6.6374 * CHOOSE(CONTROL!$C$22, $C$13, 100%, $E$13)</f>
        <v>6.6374000000000004</v>
      </c>
    </row>
    <row r="369" spans="1:11" ht="15">
      <c r="A369" s="13">
        <v>52871</v>
      </c>
      <c r="B369" s="63">
        <f>5.7707 * CHOOSE(CONTROL!$C$22, $C$13, 100%, $E$13)</f>
        <v>5.7706999999999997</v>
      </c>
      <c r="C369" s="63">
        <f>5.7707 * CHOOSE(CONTROL!$C$22, $C$13, 100%, $E$13)</f>
        <v>5.7706999999999997</v>
      </c>
      <c r="D369" s="63">
        <f>5.7883 * CHOOSE(CONTROL!$C$22, $C$13, 100%, $E$13)</f>
        <v>5.7882999999999996</v>
      </c>
      <c r="E369" s="64">
        <f>6.652 * CHOOSE(CONTROL!$C$22, $C$13, 100%, $E$13)</f>
        <v>6.6520000000000001</v>
      </c>
      <c r="F369" s="64">
        <f>6.652 * CHOOSE(CONTROL!$C$22, $C$13, 100%, $E$13)</f>
        <v>6.6520000000000001</v>
      </c>
      <c r="G369" s="64">
        <f>6.6522 * CHOOSE(CONTROL!$C$22, $C$13, 100%, $E$13)</f>
        <v>6.6521999999999997</v>
      </c>
      <c r="H369" s="64">
        <f>11.7505* CHOOSE(CONTROL!$C$22, $C$13, 100%, $E$13)</f>
        <v>11.750500000000001</v>
      </c>
      <c r="I369" s="64">
        <f>11.7507 * CHOOSE(CONTROL!$C$22, $C$13, 100%, $E$13)</f>
        <v>11.7507</v>
      </c>
      <c r="J369" s="64">
        <f>6.652 * CHOOSE(CONTROL!$C$22, $C$13, 100%, $E$13)</f>
        <v>6.6520000000000001</v>
      </c>
      <c r="K369" s="64">
        <f>6.6522 * CHOOSE(CONTROL!$C$22, $C$13, 100%, $E$13)</f>
        <v>6.6521999999999997</v>
      </c>
    </row>
    <row r="370" spans="1:11" ht="15">
      <c r="A370" s="13">
        <v>52902</v>
      </c>
      <c r="B370" s="63">
        <f>5.7737 * CHOOSE(CONTROL!$C$22, $C$13, 100%, $E$13)</f>
        <v>5.7736999999999998</v>
      </c>
      <c r="C370" s="63">
        <f>5.7737 * CHOOSE(CONTROL!$C$22, $C$13, 100%, $E$13)</f>
        <v>5.7736999999999998</v>
      </c>
      <c r="D370" s="63">
        <f>5.7914 * CHOOSE(CONTROL!$C$22, $C$13, 100%, $E$13)</f>
        <v>5.7914000000000003</v>
      </c>
      <c r="E370" s="64">
        <f>6.6693 * CHOOSE(CONTROL!$C$22, $C$13, 100%, $E$13)</f>
        <v>6.6692999999999998</v>
      </c>
      <c r="F370" s="64">
        <f>6.6693 * CHOOSE(CONTROL!$C$22, $C$13, 100%, $E$13)</f>
        <v>6.6692999999999998</v>
      </c>
      <c r="G370" s="64">
        <f>6.6694 * CHOOSE(CONTROL!$C$22, $C$13, 100%, $E$13)</f>
        <v>6.6694000000000004</v>
      </c>
      <c r="H370" s="64">
        <f>11.775* CHOOSE(CONTROL!$C$22, $C$13, 100%, $E$13)</f>
        <v>11.775</v>
      </c>
      <c r="I370" s="64">
        <f>11.7752 * CHOOSE(CONTROL!$C$22, $C$13, 100%, $E$13)</f>
        <v>11.7752</v>
      </c>
      <c r="J370" s="64">
        <f>6.6693 * CHOOSE(CONTROL!$C$22, $C$13, 100%, $E$13)</f>
        <v>6.6692999999999998</v>
      </c>
      <c r="K370" s="64">
        <f>6.6694 * CHOOSE(CONTROL!$C$22, $C$13, 100%, $E$13)</f>
        <v>6.6694000000000004</v>
      </c>
    </row>
    <row r="371" spans="1:11" ht="15">
      <c r="A371" s="13">
        <v>52932</v>
      </c>
      <c r="B371" s="63">
        <f>5.7737 * CHOOSE(CONTROL!$C$22, $C$13, 100%, $E$13)</f>
        <v>5.7736999999999998</v>
      </c>
      <c r="C371" s="63">
        <f>5.7737 * CHOOSE(CONTROL!$C$22, $C$13, 100%, $E$13)</f>
        <v>5.7736999999999998</v>
      </c>
      <c r="D371" s="63">
        <f>5.7914 * CHOOSE(CONTROL!$C$22, $C$13, 100%, $E$13)</f>
        <v>5.7914000000000003</v>
      </c>
      <c r="E371" s="64">
        <f>6.6315 * CHOOSE(CONTROL!$C$22, $C$13, 100%, $E$13)</f>
        <v>6.6315</v>
      </c>
      <c r="F371" s="64">
        <f>6.6315 * CHOOSE(CONTROL!$C$22, $C$13, 100%, $E$13)</f>
        <v>6.6315</v>
      </c>
      <c r="G371" s="64">
        <f>6.6317 * CHOOSE(CONTROL!$C$22, $C$13, 100%, $E$13)</f>
        <v>6.6317000000000004</v>
      </c>
      <c r="H371" s="64">
        <f>11.7996* CHOOSE(CONTROL!$C$22, $C$13, 100%, $E$13)</f>
        <v>11.7996</v>
      </c>
      <c r="I371" s="64">
        <f>11.7997 * CHOOSE(CONTROL!$C$22, $C$13, 100%, $E$13)</f>
        <v>11.7997</v>
      </c>
      <c r="J371" s="64">
        <f>6.6315 * CHOOSE(CONTROL!$C$22, $C$13, 100%, $E$13)</f>
        <v>6.6315</v>
      </c>
      <c r="K371" s="64">
        <f>6.6317 * CHOOSE(CONTROL!$C$22, $C$13, 100%, $E$13)</f>
        <v>6.6317000000000004</v>
      </c>
    </row>
    <row r="372" spans="1:11" ht="15">
      <c r="A372" s="13">
        <v>52963</v>
      </c>
      <c r="B372" s="63">
        <f>5.8261 * CHOOSE(CONTROL!$C$22, $C$13, 100%, $E$13)</f>
        <v>5.8261000000000003</v>
      </c>
      <c r="C372" s="63">
        <f>5.8261 * CHOOSE(CONTROL!$C$22, $C$13, 100%, $E$13)</f>
        <v>5.8261000000000003</v>
      </c>
      <c r="D372" s="63">
        <f>5.8438 * CHOOSE(CONTROL!$C$22, $C$13, 100%, $E$13)</f>
        <v>5.8437999999999999</v>
      </c>
      <c r="E372" s="64">
        <f>6.7188 * CHOOSE(CONTROL!$C$22, $C$13, 100%, $E$13)</f>
        <v>6.7187999999999999</v>
      </c>
      <c r="F372" s="64">
        <f>6.7188 * CHOOSE(CONTROL!$C$22, $C$13, 100%, $E$13)</f>
        <v>6.7187999999999999</v>
      </c>
      <c r="G372" s="64">
        <f>6.719 * CHOOSE(CONTROL!$C$22, $C$13, 100%, $E$13)</f>
        <v>6.7190000000000003</v>
      </c>
      <c r="H372" s="64">
        <f>11.8241* CHOOSE(CONTROL!$C$22, $C$13, 100%, $E$13)</f>
        <v>11.8241</v>
      </c>
      <c r="I372" s="64">
        <f>11.8243 * CHOOSE(CONTROL!$C$22, $C$13, 100%, $E$13)</f>
        <v>11.824299999999999</v>
      </c>
      <c r="J372" s="64">
        <f>6.7188 * CHOOSE(CONTROL!$C$22, $C$13, 100%, $E$13)</f>
        <v>6.7187999999999999</v>
      </c>
      <c r="K372" s="64">
        <f>6.719 * CHOOSE(CONTROL!$C$22, $C$13, 100%, $E$13)</f>
        <v>6.7190000000000003</v>
      </c>
    </row>
    <row r="373" spans="1:11" ht="15">
      <c r="A373" s="13">
        <v>52994</v>
      </c>
      <c r="B373" s="63">
        <f>5.8231 * CHOOSE(CONTROL!$C$22, $C$13, 100%, $E$13)</f>
        <v>5.8231000000000002</v>
      </c>
      <c r="C373" s="63">
        <f>5.8231 * CHOOSE(CONTROL!$C$22, $C$13, 100%, $E$13)</f>
        <v>5.8231000000000002</v>
      </c>
      <c r="D373" s="63">
        <f>5.8408 * CHOOSE(CONTROL!$C$22, $C$13, 100%, $E$13)</f>
        <v>5.8407999999999998</v>
      </c>
      <c r="E373" s="64">
        <f>6.6434 * CHOOSE(CONTROL!$C$22, $C$13, 100%, $E$13)</f>
        <v>6.6433999999999997</v>
      </c>
      <c r="F373" s="64">
        <f>6.6434 * CHOOSE(CONTROL!$C$22, $C$13, 100%, $E$13)</f>
        <v>6.6433999999999997</v>
      </c>
      <c r="G373" s="64">
        <f>6.6435 * CHOOSE(CONTROL!$C$22, $C$13, 100%, $E$13)</f>
        <v>6.6435000000000004</v>
      </c>
      <c r="H373" s="64">
        <f>11.8488* CHOOSE(CONTROL!$C$22, $C$13, 100%, $E$13)</f>
        <v>11.848800000000001</v>
      </c>
      <c r="I373" s="64">
        <f>11.8489 * CHOOSE(CONTROL!$C$22, $C$13, 100%, $E$13)</f>
        <v>11.8489</v>
      </c>
      <c r="J373" s="64">
        <f>6.6434 * CHOOSE(CONTROL!$C$22, $C$13, 100%, $E$13)</f>
        <v>6.6433999999999997</v>
      </c>
      <c r="K373" s="64">
        <f>6.6435 * CHOOSE(CONTROL!$C$22, $C$13, 100%, $E$13)</f>
        <v>6.6435000000000004</v>
      </c>
    </row>
    <row r="374" spans="1:11" ht="15">
      <c r="A374" s="13">
        <v>53022</v>
      </c>
      <c r="B374" s="63">
        <f>5.8201 * CHOOSE(CONTROL!$C$22, $C$13, 100%, $E$13)</f>
        <v>5.8201000000000001</v>
      </c>
      <c r="C374" s="63">
        <f>5.8201 * CHOOSE(CONTROL!$C$22, $C$13, 100%, $E$13)</f>
        <v>5.8201000000000001</v>
      </c>
      <c r="D374" s="63">
        <f>5.8377 * CHOOSE(CONTROL!$C$22, $C$13, 100%, $E$13)</f>
        <v>5.8376999999999999</v>
      </c>
      <c r="E374" s="64">
        <f>6.6991 * CHOOSE(CONTROL!$C$22, $C$13, 100%, $E$13)</f>
        <v>6.6990999999999996</v>
      </c>
      <c r="F374" s="64">
        <f>6.6991 * CHOOSE(CONTROL!$C$22, $C$13, 100%, $E$13)</f>
        <v>6.6990999999999996</v>
      </c>
      <c r="G374" s="64">
        <f>6.6992 * CHOOSE(CONTROL!$C$22, $C$13, 100%, $E$13)</f>
        <v>6.6992000000000003</v>
      </c>
      <c r="H374" s="64">
        <f>11.8735* CHOOSE(CONTROL!$C$22, $C$13, 100%, $E$13)</f>
        <v>11.8735</v>
      </c>
      <c r="I374" s="64">
        <f>11.8736 * CHOOSE(CONTROL!$C$22, $C$13, 100%, $E$13)</f>
        <v>11.8736</v>
      </c>
      <c r="J374" s="64">
        <f>6.6991 * CHOOSE(CONTROL!$C$22, $C$13, 100%, $E$13)</f>
        <v>6.6990999999999996</v>
      </c>
      <c r="K374" s="64">
        <f>6.6992 * CHOOSE(CONTROL!$C$22, $C$13, 100%, $E$13)</f>
        <v>6.6992000000000003</v>
      </c>
    </row>
    <row r="375" spans="1:11" ht="15">
      <c r="A375" s="13">
        <v>53053</v>
      </c>
      <c r="B375" s="63">
        <f>5.8194 * CHOOSE(CONTROL!$C$22, $C$13, 100%, $E$13)</f>
        <v>5.8193999999999999</v>
      </c>
      <c r="C375" s="63">
        <f>5.8194 * CHOOSE(CONTROL!$C$22, $C$13, 100%, $E$13)</f>
        <v>5.8193999999999999</v>
      </c>
      <c r="D375" s="63">
        <f>5.837 * CHOOSE(CONTROL!$C$22, $C$13, 100%, $E$13)</f>
        <v>5.8369999999999997</v>
      </c>
      <c r="E375" s="64">
        <f>6.7569 * CHOOSE(CONTROL!$C$22, $C$13, 100%, $E$13)</f>
        <v>6.7568999999999999</v>
      </c>
      <c r="F375" s="64">
        <f>6.7569 * CHOOSE(CONTROL!$C$22, $C$13, 100%, $E$13)</f>
        <v>6.7568999999999999</v>
      </c>
      <c r="G375" s="64">
        <f>6.7571 * CHOOSE(CONTROL!$C$22, $C$13, 100%, $E$13)</f>
        <v>6.7571000000000003</v>
      </c>
      <c r="H375" s="64">
        <f>11.8982* CHOOSE(CONTROL!$C$22, $C$13, 100%, $E$13)</f>
        <v>11.898199999999999</v>
      </c>
      <c r="I375" s="64">
        <f>11.8984 * CHOOSE(CONTROL!$C$22, $C$13, 100%, $E$13)</f>
        <v>11.898400000000001</v>
      </c>
      <c r="J375" s="64">
        <f>6.7569 * CHOOSE(CONTROL!$C$22, $C$13, 100%, $E$13)</f>
        <v>6.7568999999999999</v>
      </c>
      <c r="K375" s="64">
        <f>6.7571 * CHOOSE(CONTROL!$C$22, $C$13, 100%, $E$13)</f>
        <v>6.7571000000000003</v>
      </c>
    </row>
    <row r="376" spans="1:11" ht="15">
      <c r="A376" s="13">
        <v>53083</v>
      </c>
      <c r="B376" s="63">
        <f>5.8194 * CHOOSE(CONTROL!$C$22, $C$13, 100%, $E$13)</f>
        <v>5.8193999999999999</v>
      </c>
      <c r="C376" s="63">
        <f>5.8194 * CHOOSE(CONTROL!$C$22, $C$13, 100%, $E$13)</f>
        <v>5.8193999999999999</v>
      </c>
      <c r="D376" s="63">
        <f>5.8547 * CHOOSE(CONTROL!$C$22, $C$13, 100%, $E$13)</f>
        <v>5.8547000000000002</v>
      </c>
      <c r="E376" s="64">
        <f>6.7802 * CHOOSE(CONTROL!$C$22, $C$13, 100%, $E$13)</f>
        <v>6.7801999999999998</v>
      </c>
      <c r="F376" s="64">
        <f>6.7802 * CHOOSE(CONTROL!$C$22, $C$13, 100%, $E$13)</f>
        <v>6.7801999999999998</v>
      </c>
      <c r="G376" s="64">
        <f>6.7824 * CHOOSE(CONTROL!$C$22, $C$13, 100%, $E$13)</f>
        <v>6.7824</v>
      </c>
      <c r="H376" s="64">
        <f>11.923* CHOOSE(CONTROL!$C$22, $C$13, 100%, $E$13)</f>
        <v>11.923</v>
      </c>
      <c r="I376" s="64">
        <f>11.9252 * CHOOSE(CONTROL!$C$22, $C$13, 100%, $E$13)</f>
        <v>11.9252</v>
      </c>
      <c r="J376" s="64">
        <f>6.7802 * CHOOSE(CONTROL!$C$22, $C$13, 100%, $E$13)</f>
        <v>6.7801999999999998</v>
      </c>
      <c r="K376" s="64">
        <f>6.7824 * CHOOSE(CONTROL!$C$22, $C$13, 100%, $E$13)</f>
        <v>6.7824</v>
      </c>
    </row>
    <row r="377" spans="1:11" ht="15">
      <c r="A377" s="13">
        <v>53114</v>
      </c>
      <c r="B377" s="63">
        <f>5.8254 * CHOOSE(CONTROL!$C$22, $C$13, 100%, $E$13)</f>
        <v>5.8254000000000001</v>
      </c>
      <c r="C377" s="63">
        <f>5.8254 * CHOOSE(CONTROL!$C$22, $C$13, 100%, $E$13)</f>
        <v>5.8254000000000001</v>
      </c>
      <c r="D377" s="63">
        <f>5.8607 * CHOOSE(CONTROL!$C$22, $C$13, 100%, $E$13)</f>
        <v>5.8606999999999996</v>
      </c>
      <c r="E377" s="64">
        <f>6.7612 * CHOOSE(CONTROL!$C$22, $C$13, 100%, $E$13)</f>
        <v>6.7611999999999997</v>
      </c>
      <c r="F377" s="64">
        <f>6.7612 * CHOOSE(CONTROL!$C$22, $C$13, 100%, $E$13)</f>
        <v>6.7611999999999997</v>
      </c>
      <c r="G377" s="64">
        <f>6.7634 * CHOOSE(CONTROL!$C$22, $C$13, 100%, $E$13)</f>
        <v>6.7633999999999999</v>
      </c>
      <c r="H377" s="64">
        <f>11.9478* CHOOSE(CONTROL!$C$22, $C$13, 100%, $E$13)</f>
        <v>11.947800000000001</v>
      </c>
      <c r="I377" s="64">
        <f>11.95 * CHOOSE(CONTROL!$C$22, $C$13, 100%, $E$13)</f>
        <v>11.95</v>
      </c>
      <c r="J377" s="64">
        <f>6.7612 * CHOOSE(CONTROL!$C$22, $C$13, 100%, $E$13)</f>
        <v>6.7611999999999997</v>
      </c>
      <c r="K377" s="64">
        <f>6.7634 * CHOOSE(CONTROL!$C$22, $C$13, 100%, $E$13)</f>
        <v>6.7633999999999999</v>
      </c>
    </row>
    <row r="378" spans="1:11" ht="15">
      <c r="A378" s="13">
        <v>53144</v>
      </c>
      <c r="B378" s="63">
        <f>5.9228 * CHOOSE(CONTROL!$C$22, $C$13, 100%, $E$13)</f>
        <v>5.9227999999999996</v>
      </c>
      <c r="C378" s="63">
        <f>5.9228 * CHOOSE(CONTROL!$C$22, $C$13, 100%, $E$13)</f>
        <v>5.9227999999999996</v>
      </c>
      <c r="D378" s="63">
        <f>5.9581 * CHOOSE(CONTROL!$C$22, $C$13, 100%, $E$13)</f>
        <v>5.9581</v>
      </c>
      <c r="E378" s="64">
        <f>6.8958 * CHOOSE(CONTROL!$C$22, $C$13, 100%, $E$13)</f>
        <v>6.8958000000000004</v>
      </c>
      <c r="F378" s="64">
        <f>6.8958 * CHOOSE(CONTROL!$C$22, $C$13, 100%, $E$13)</f>
        <v>6.8958000000000004</v>
      </c>
      <c r="G378" s="64">
        <f>6.8979 * CHOOSE(CONTROL!$C$22, $C$13, 100%, $E$13)</f>
        <v>6.8978999999999999</v>
      </c>
      <c r="H378" s="64">
        <f>11.9727* CHOOSE(CONTROL!$C$22, $C$13, 100%, $E$13)</f>
        <v>11.9727</v>
      </c>
      <c r="I378" s="64">
        <f>11.9749 * CHOOSE(CONTROL!$C$22, $C$13, 100%, $E$13)</f>
        <v>11.9749</v>
      </c>
      <c r="J378" s="64">
        <f>6.8958 * CHOOSE(CONTROL!$C$22, $C$13, 100%, $E$13)</f>
        <v>6.8958000000000004</v>
      </c>
      <c r="K378" s="64">
        <f>6.8979 * CHOOSE(CONTROL!$C$22, $C$13, 100%, $E$13)</f>
        <v>6.8978999999999999</v>
      </c>
    </row>
    <row r="379" spans="1:11" ht="15">
      <c r="A379" s="13">
        <v>53175</v>
      </c>
      <c r="B379" s="63">
        <f>5.9295 * CHOOSE(CONTROL!$C$22, $C$13, 100%, $E$13)</f>
        <v>5.9295</v>
      </c>
      <c r="C379" s="63">
        <f>5.9295 * CHOOSE(CONTROL!$C$22, $C$13, 100%, $E$13)</f>
        <v>5.9295</v>
      </c>
      <c r="D379" s="63">
        <f>5.9648 * CHOOSE(CONTROL!$C$22, $C$13, 100%, $E$13)</f>
        <v>5.9648000000000003</v>
      </c>
      <c r="E379" s="64">
        <f>6.8306 * CHOOSE(CONTROL!$C$22, $C$13, 100%, $E$13)</f>
        <v>6.8305999999999996</v>
      </c>
      <c r="F379" s="64">
        <f>6.8306 * CHOOSE(CONTROL!$C$22, $C$13, 100%, $E$13)</f>
        <v>6.8305999999999996</v>
      </c>
      <c r="G379" s="64">
        <f>6.8327 * CHOOSE(CONTROL!$C$22, $C$13, 100%, $E$13)</f>
        <v>6.8327</v>
      </c>
      <c r="H379" s="64">
        <f>11.9977* CHOOSE(CONTROL!$C$22, $C$13, 100%, $E$13)</f>
        <v>11.9977</v>
      </c>
      <c r="I379" s="64">
        <f>11.9998 * CHOOSE(CONTROL!$C$22, $C$13, 100%, $E$13)</f>
        <v>11.9998</v>
      </c>
      <c r="J379" s="64">
        <f>6.8306 * CHOOSE(CONTROL!$C$22, $C$13, 100%, $E$13)</f>
        <v>6.8305999999999996</v>
      </c>
      <c r="K379" s="64">
        <f>6.8327 * CHOOSE(CONTROL!$C$22, $C$13, 100%, $E$13)</f>
        <v>6.8327</v>
      </c>
    </row>
    <row r="380" spans="1:11" ht="15">
      <c r="A380" s="13">
        <v>53206</v>
      </c>
      <c r="B380" s="63">
        <f>5.9264 * CHOOSE(CONTROL!$C$22, $C$13, 100%, $E$13)</f>
        <v>5.9264000000000001</v>
      </c>
      <c r="C380" s="63">
        <f>5.9264 * CHOOSE(CONTROL!$C$22, $C$13, 100%, $E$13)</f>
        <v>5.9264000000000001</v>
      </c>
      <c r="D380" s="63">
        <f>5.9618 * CHOOSE(CONTROL!$C$22, $C$13, 100%, $E$13)</f>
        <v>5.9618000000000002</v>
      </c>
      <c r="E380" s="64">
        <f>6.8207 * CHOOSE(CONTROL!$C$22, $C$13, 100%, $E$13)</f>
        <v>6.8207000000000004</v>
      </c>
      <c r="F380" s="64">
        <f>6.8207 * CHOOSE(CONTROL!$C$22, $C$13, 100%, $E$13)</f>
        <v>6.8207000000000004</v>
      </c>
      <c r="G380" s="64">
        <f>6.8229 * CHOOSE(CONTROL!$C$22, $C$13, 100%, $E$13)</f>
        <v>6.8228999999999997</v>
      </c>
      <c r="H380" s="64">
        <f>12.0226* CHOOSE(CONTROL!$C$22, $C$13, 100%, $E$13)</f>
        <v>12.022600000000001</v>
      </c>
      <c r="I380" s="64">
        <f>12.0248 * CHOOSE(CONTROL!$C$22, $C$13, 100%, $E$13)</f>
        <v>12.024800000000001</v>
      </c>
      <c r="J380" s="64">
        <f>6.8207 * CHOOSE(CONTROL!$C$22, $C$13, 100%, $E$13)</f>
        <v>6.8207000000000004</v>
      </c>
      <c r="K380" s="64">
        <f>6.8229 * CHOOSE(CONTROL!$C$22, $C$13, 100%, $E$13)</f>
        <v>6.8228999999999997</v>
      </c>
    </row>
    <row r="381" spans="1:11" ht="15">
      <c r="A381" s="13">
        <v>53236</v>
      </c>
      <c r="B381" s="63">
        <f>5.9282 * CHOOSE(CONTROL!$C$22, $C$13, 100%, $E$13)</f>
        <v>5.9282000000000004</v>
      </c>
      <c r="C381" s="63">
        <f>5.9282 * CHOOSE(CONTROL!$C$22, $C$13, 100%, $E$13)</f>
        <v>5.9282000000000004</v>
      </c>
      <c r="D381" s="63">
        <f>5.9458 * CHOOSE(CONTROL!$C$22, $C$13, 100%, $E$13)</f>
        <v>5.9458000000000002</v>
      </c>
      <c r="E381" s="64">
        <f>6.8383 * CHOOSE(CONTROL!$C$22, $C$13, 100%, $E$13)</f>
        <v>6.8383000000000003</v>
      </c>
      <c r="F381" s="64">
        <f>6.8383 * CHOOSE(CONTROL!$C$22, $C$13, 100%, $E$13)</f>
        <v>6.8383000000000003</v>
      </c>
      <c r="G381" s="64">
        <f>6.8385 * CHOOSE(CONTROL!$C$22, $C$13, 100%, $E$13)</f>
        <v>6.8384999999999998</v>
      </c>
      <c r="H381" s="64">
        <f>12.0477* CHOOSE(CONTROL!$C$22, $C$13, 100%, $E$13)</f>
        <v>12.047700000000001</v>
      </c>
      <c r="I381" s="64">
        <f>12.0479 * CHOOSE(CONTROL!$C$22, $C$13, 100%, $E$13)</f>
        <v>12.0479</v>
      </c>
      <c r="J381" s="64">
        <f>6.8383 * CHOOSE(CONTROL!$C$22, $C$13, 100%, $E$13)</f>
        <v>6.8383000000000003</v>
      </c>
      <c r="K381" s="64">
        <f>6.8385 * CHOOSE(CONTROL!$C$22, $C$13, 100%, $E$13)</f>
        <v>6.8384999999999998</v>
      </c>
    </row>
    <row r="382" spans="1:11" ht="15">
      <c r="A382" s="13">
        <v>53267</v>
      </c>
      <c r="B382" s="63">
        <f>5.9312 * CHOOSE(CONTROL!$C$22, $C$13, 100%, $E$13)</f>
        <v>5.9311999999999996</v>
      </c>
      <c r="C382" s="63">
        <f>5.9312 * CHOOSE(CONTROL!$C$22, $C$13, 100%, $E$13)</f>
        <v>5.9311999999999996</v>
      </c>
      <c r="D382" s="63">
        <f>5.9489 * CHOOSE(CONTROL!$C$22, $C$13, 100%, $E$13)</f>
        <v>5.9489000000000001</v>
      </c>
      <c r="E382" s="64">
        <f>6.856 * CHOOSE(CONTROL!$C$22, $C$13, 100%, $E$13)</f>
        <v>6.8559999999999999</v>
      </c>
      <c r="F382" s="64">
        <f>6.856 * CHOOSE(CONTROL!$C$22, $C$13, 100%, $E$13)</f>
        <v>6.8559999999999999</v>
      </c>
      <c r="G382" s="64">
        <f>6.8561 * CHOOSE(CONTROL!$C$22, $C$13, 100%, $E$13)</f>
        <v>6.8560999999999996</v>
      </c>
      <c r="H382" s="64">
        <f>12.0728* CHOOSE(CONTROL!$C$22, $C$13, 100%, $E$13)</f>
        <v>12.072800000000001</v>
      </c>
      <c r="I382" s="64">
        <f>12.073 * CHOOSE(CONTROL!$C$22, $C$13, 100%, $E$13)</f>
        <v>12.073</v>
      </c>
      <c r="J382" s="64">
        <f>6.856 * CHOOSE(CONTROL!$C$22, $C$13, 100%, $E$13)</f>
        <v>6.8559999999999999</v>
      </c>
      <c r="K382" s="64">
        <f>6.8561 * CHOOSE(CONTROL!$C$22, $C$13, 100%, $E$13)</f>
        <v>6.8560999999999996</v>
      </c>
    </row>
    <row r="383" spans="1:11" ht="15">
      <c r="A383" s="13">
        <v>53297</v>
      </c>
      <c r="B383" s="63">
        <f>5.9312 * CHOOSE(CONTROL!$C$22, $C$13, 100%, $E$13)</f>
        <v>5.9311999999999996</v>
      </c>
      <c r="C383" s="63">
        <f>5.9312 * CHOOSE(CONTROL!$C$22, $C$13, 100%, $E$13)</f>
        <v>5.9311999999999996</v>
      </c>
      <c r="D383" s="63">
        <f>5.9489 * CHOOSE(CONTROL!$C$22, $C$13, 100%, $E$13)</f>
        <v>5.9489000000000001</v>
      </c>
      <c r="E383" s="64">
        <f>6.8171 * CHOOSE(CONTROL!$C$22, $C$13, 100%, $E$13)</f>
        <v>6.8170999999999999</v>
      </c>
      <c r="F383" s="64">
        <f>6.8171 * CHOOSE(CONTROL!$C$22, $C$13, 100%, $E$13)</f>
        <v>6.8170999999999999</v>
      </c>
      <c r="G383" s="64">
        <f>6.8173 * CHOOSE(CONTROL!$C$22, $C$13, 100%, $E$13)</f>
        <v>6.8173000000000004</v>
      </c>
      <c r="H383" s="64">
        <f>12.0979* CHOOSE(CONTROL!$C$22, $C$13, 100%, $E$13)</f>
        <v>12.097899999999999</v>
      </c>
      <c r="I383" s="64">
        <f>12.0981 * CHOOSE(CONTROL!$C$22, $C$13, 100%, $E$13)</f>
        <v>12.098100000000001</v>
      </c>
      <c r="J383" s="64">
        <f>6.8171 * CHOOSE(CONTROL!$C$22, $C$13, 100%, $E$13)</f>
        <v>6.8170999999999999</v>
      </c>
      <c r="K383" s="64">
        <f>6.8173 * CHOOSE(CONTROL!$C$22, $C$13, 100%, $E$13)</f>
        <v>6.8173000000000004</v>
      </c>
    </row>
    <row r="384" spans="1:11" ht="15">
      <c r="A384" s="13">
        <v>53328</v>
      </c>
      <c r="B384" s="63">
        <f>5.9849 * CHOOSE(CONTROL!$C$22, $C$13, 100%, $E$13)</f>
        <v>5.9848999999999997</v>
      </c>
      <c r="C384" s="63">
        <f>5.9849 * CHOOSE(CONTROL!$C$22, $C$13, 100%, $E$13)</f>
        <v>5.9848999999999997</v>
      </c>
      <c r="D384" s="63">
        <f>6.0026 * CHOOSE(CONTROL!$C$22, $C$13, 100%, $E$13)</f>
        <v>6.0026000000000002</v>
      </c>
      <c r="E384" s="64">
        <f>6.9068 * CHOOSE(CONTROL!$C$22, $C$13, 100%, $E$13)</f>
        <v>6.9067999999999996</v>
      </c>
      <c r="F384" s="64">
        <f>6.9068 * CHOOSE(CONTROL!$C$22, $C$13, 100%, $E$13)</f>
        <v>6.9067999999999996</v>
      </c>
      <c r="G384" s="64">
        <f>6.907 * CHOOSE(CONTROL!$C$22, $C$13, 100%, $E$13)</f>
        <v>6.907</v>
      </c>
      <c r="H384" s="64">
        <f>12.1231* CHOOSE(CONTROL!$C$22, $C$13, 100%, $E$13)</f>
        <v>12.123100000000001</v>
      </c>
      <c r="I384" s="64">
        <f>12.1233 * CHOOSE(CONTROL!$C$22, $C$13, 100%, $E$13)</f>
        <v>12.1233</v>
      </c>
      <c r="J384" s="64">
        <f>6.9068 * CHOOSE(CONTROL!$C$22, $C$13, 100%, $E$13)</f>
        <v>6.9067999999999996</v>
      </c>
      <c r="K384" s="64">
        <f>6.907 * CHOOSE(CONTROL!$C$22, $C$13, 100%, $E$13)</f>
        <v>6.907</v>
      </c>
    </row>
    <row r="385" spans="1:11" ht="15">
      <c r="A385" s="13">
        <v>53359</v>
      </c>
      <c r="B385" s="63">
        <f>5.9819 * CHOOSE(CONTROL!$C$22, $C$13, 100%, $E$13)</f>
        <v>5.9819000000000004</v>
      </c>
      <c r="C385" s="63">
        <f>5.9819 * CHOOSE(CONTROL!$C$22, $C$13, 100%, $E$13)</f>
        <v>5.9819000000000004</v>
      </c>
      <c r="D385" s="63">
        <f>5.9995 * CHOOSE(CONTROL!$C$22, $C$13, 100%, $E$13)</f>
        <v>5.9995000000000003</v>
      </c>
      <c r="E385" s="64">
        <f>6.8293 * CHOOSE(CONTROL!$C$22, $C$13, 100%, $E$13)</f>
        <v>6.8292999999999999</v>
      </c>
      <c r="F385" s="64">
        <f>6.8293 * CHOOSE(CONTROL!$C$22, $C$13, 100%, $E$13)</f>
        <v>6.8292999999999999</v>
      </c>
      <c r="G385" s="64">
        <f>6.8295 * CHOOSE(CONTROL!$C$22, $C$13, 100%, $E$13)</f>
        <v>6.8295000000000003</v>
      </c>
      <c r="H385" s="64">
        <f>12.1484* CHOOSE(CONTROL!$C$22, $C$13, 100%, $E$13)</f>
        <v>12.148400000000001</v>
      </c>
      <c r="I385" s="64">
        <f>12.1486 * CHOOSE(CONTROL!$C$22, $C$13, 100%, $E$13)</f>
        <v>12.1486</v>
      </c>
      <c r="J385" s="64">
        <f>6.8293 * CHOOSE(CONTROL!$C$22, $C$13, 100%, $E$13)</f>
        <v>6.8292999999999999</v>
      </c>
      <c r="K385" s="64">
        <f>6.8295 * CHOOSE(CONTROL!$C$22, $C$13, 100%, $E$13)</f>
        <v>6.8295000000000003</v>
      </c>
    </row>
    <row r="386" spans="1:11" ht="15">
      <c r="A386" s="13">
        <v>53387</v>
      </c>
      <c r="B386" s="63">
        <f>5.9788 * CHOOSE(CONTROL!$C$22, $C$13, 100%, $E$13)</f>
        <v>5.9787999999999997</v>
      </c>
      <c r="C386" s="63">
        <f>5.9788 * CHOOSE(CONTROL!$C$22, $C$13, 100%, $E$13)</f>
        <v>5.9787999999999997</v>
      </c>
      <c r="D386" s="63">
        <f>5.9965 * CHOOSE(CONTROL!$C$22, $C$13, 100%, $E$13)</f>
        <v>5.9965000000000002</v>
      </c>
      <c r="E386" s="64">
        <f>6.8866 * CHOOSE(CONTROL!$C$22, $C$13, 100%, $E$13)</f>
        <v>6.8865999999999996</v>
      </c>
      <c r="F386" s="64">
        <f>6.8866 * CHOOSE(CONTROL!$C$22, $C$13, 100%, $E$13)</f>
        <v>6.8865999999999996</v>
      </c>
      <c r="G386" s="64">
        <f>6.8868 * CHOOSE(CONTROL!$C$22, $C$13, 100%, $E$13)</f>
        <v>6.8868</v>
      </c>
      <c r="H386" s="64">
        <f>12.1737* CHOOSE(CONTROL!$C$22, $C$13, 100%, $E$13)</f>
        <v>12.1737</v>
      </c>
      <c r="I386" s="64">
        <f>12.1739 * CHOOSE(CONTROL!$C$22, $C$13, 100%, $E$13)</f>
        <v>12.1739</v>
      </c>
      <c r="J386" s="64">
        <f>6.8866 * CHOOSE(CONTROL!$C$22, $C$13, 100%, $E$13)</f>
        <v>6.8865999999999996</v>
      </c>
      <c r="K386" s="64">
        <f>6.8868 * CHOOSE(CONTROL!$C$22, $C$13, 100%, $E$13)</f>
        <v>6.8868</v>
      </c>
    </row>
    <row r="387" spans="1:11" ht="15">
      <c r="A387" s="13">
        <v>53418</v>
      </c>
      <c r="B387" s="63">
        <f>5.9783 * CHOOSE(CONTROL!$C$22, $C$13, 100%, $E$13)</f>
        <v>5.9782999999999999</v>
      </c>
      <c r="C387" s="63">
        <f>5.9783 * CHOOSE(CONTROL!$C$22, $C$13, 100%, $E$13)</f>
        <v>5.9782999999999999</v>
      </c>
      <c r="D387" s="63">
        <f>5.9959 * CHOOSE(CONTROL!$C$22, $C$13, 100%, $E$13)</f>
        <v>5.9958999999999998</v>
      </c>
      <c r="E387" s="64">
        <f>6.9463 * CHOOSE(CONTROL!$C$22, $C$13, 100%, $E$13)</f>
        <v>6.9462999999999999</v>
      </c>
      <c r="F387" s="64">
        <f>6.9463 * CHOOSE(CONTROL!$C$22, $C$13, 100%, $E$13)</f>
        <v>6.9462999999999999</v>
      </c>
      <c r="G387" s="64">
        <f>6.9464 * CHOOSE(CONTROL!$C$22, $C$13, 100%, $E$13)</f>
        <v>6.9463999999999997</v>
      </c>
      <c r="H387" s="64">
        <f>12.1991* CHOOSE(CONTROL!$C$22, $C$13, 100%, $E$13)</f>
        <v>12.1991</v>
      </c>
      <c r="I387" s="64">
        <f>12.1993 * CHOOSE(CONTROL!$C$22, $C$13, 100%, $E$13)</f>
        <v>12.199299999999999</v>
      </c>
      <c r="J387" s="64">
        <f>6.9463 * CHOOSE(CONTROL!$C$22, $C$13, 100%, $E$13)</f>
        <v>6.9462999999999999</v>
      </c>
      <c r="K387" s="64">
        <f>6.9464 * CHOOSE(CONTROL!$C$22, $C$13, 100%, $E$13)</f>
        <v>6.9463999999999997</v>
      </c>
    </row>
    <row r="388" spans="1:11" ht="15">
      <c r="A388" s="13">
        <v>53448</v>
      </c>
      <c r="B388" s="63">
        <f>5.9783 * CHOOSE(CONTROL!$C$22, $C$13, 100%, $E$13)</f>
        <v>5.9782999999999999</v>
      </c>
      <c r="C388" s="63">
        <f>5.9783 * CHOOSE(CONTROL!$C$22, $C$13, 100%, $E$13)</f>
        <v>5.9782999999999999</v>
      </c>
      <c r="D388" s="63">
        <f>6.0136 * CHOOSE(CONTROL!$C$22, $C$13, 100%, $E$13)</f>
        <v>6.0136000000000003</v>
      </c>
      <c r="E388" s="64">
        <f>6.9702 * CHOOSE(CONTROL!$C$22, $C$13, 100%, $E$13)</f>
        <v>6.9702000000000002</v>
      </c>
      <c r="F388" s="64">
        <f>6.9702 * CHOOSE(CONTROL!$C$22, $C$13, 100%, $E$13)</f>
        <v>6.9702000000000002</v>
      </c>
      <c r="G388" s="64">
        <f>6.9724 * CHOOSE(CONTROL!$C$22, $C$13, 100%, $E$13)</f>
        <v>6.9724000000000004</v>
      </c>
      <c r="H388" s="64">
        <f>12.2245* CHOOSE(CONTROL!$C$22, $C$13, 100%, $E$13)</f>
        <v>12.224500000000001</v>
      </c>
      <c r="I388" s="64">
        <f>12.2267 * CHOOSE(CONTROL!$C$22, $C$13, 100%, $E$13)</f>
        <v>12.226699999999999</v>
      </c>
      <c r="J388" s="64">
        <f>6.9702 * CHOOSE(CONTROL!$C$22, $C$13, 100%, $E$13)</f>
        <v>6.9702000000000002</v>
      </c>
      <c r="K388" s="64">
        <f>6.9724 * CHOOSE(CONTROL!$C$22, $C$13, 100%, $E$13)</f>
        <v>6.9724000000000004</v>
      </c>
    </row>
    <row r="389" spans="1:11" ht="15">
      <c r="A389" s="13">
        <v>53479</v>
      </c>
      <c r="B389" s="63">
        <f>5.9843 * CHOOSE(CONTROL!$C$22, $C$13, 100%, $E$13)</f>
        <v>5.9843000000000002</v>
      </c>
      <c r="C389" s="63">
        <f>5.9843 * CHOOSE(CONTROL!$C$22, $C$13, 100%, $E$13)</f>
        <v>5.9843000000000002</v>
      </c>
      <c r="D389" s="63">
        <f>6.0197 * CHOOSE(CONTROL!$C$22, $C$13, 100%, $E$13)</f>
        <v>6.0197000000000003</v>
      </c>
      <c r="E389" s="64">
        <f>6.9505 * CHOOSE(CONTROL!$C$22, $C$13, 100%, $E$13)</f>
        <v>6.9504999999999999</v>
      </c>
      <c r="F389" s="64">
        <f>6.9505 * CHOOSE(CONTROL!$C$22, $C$13, 100%, $E$13)</f>
        <v>6.9504999999999999</v>
      </c>
      <c r="G389" s="64">
        <f>6.9527 * CHOOSE(CONTROL!$C$22, $C$13, 100%, $E$13)</f>
        <v>6.9527000000000001</v>
      </c>
      <c r="H389" s="64">
        <f>12.25* CHOOSE(CONTROL!$C$22, $C$13, 100%, $E$13)</f>
        <v>12.25</v>
      </c>
      <c r="I389" s="64">
        <f>12.2521 * CHOOSE(CONTROL!$C$22, $C$13, 100%, $E$13)</f>
        <v>12.2521</v>
      </c>
      <c r="J389" s="64">
        <f>6.9505 * CHOOSE(CONTROL!$C$22, $C$13, 100%, $E$13)</f>
        <v>6.9504999999999999</v>
      </c>
      <c r="K389" s="64">
        <f>6.9527 * CHOOSE(CONTROL!$C$22, $C$13, 100%, $E$13)</f>
        <v>6.9527000000000001</v>
      </c>
    </row>
    <row r="390" spans="1:11" ht="15">
      <c r="A390" s="13">
        <v>53509</v>
      </c>
      <c r="B390" s="63">
        <f>6.084 * CHOOSE(CONTROL!$C$22, $C$13, 100%, $E$13)</f>
        <v>6.0839999999999996</v>
      </c>
      <c r="C390" s="63">
        <f>6.084 * CHOOSE(CONTROL!$C$22, $C$13, 100%, $E$13)</f>
        <v>6.0839999999999996</v>
      </c>
      <c r="D390" s="63">
        <f>6.1193 * CHOOSE(CONTROL!$C$22, $C$13, 100%, $E$13)</f>
        <v>6.1193</v>
      </c>
      <c r="E390" s="64">
        <f>7.0886 * CHOOSE(CONTROL!$C$22, $C$13, 100%, $E$13)</f>
        <v>7.0885999999999996</v>
      </c>
      <c r="F390" s="64">
        <f>7.0886 * CHOOSE(CONTROL!$C$22, $C$13, 100%, $E$13)</f>
        <v>7.0885999999999996</v>
      </c>
      <c r="G390" s="64">
        <f>7.0908 * CHOOSE(CONTROL!$C$22, $C$13, 100%, $E$13)</f>
        <v>7.0907999999999998</v>
      </c>
      <c r="H390" s="64">
        <f>12.2755* CHOOSE(CONTROL!$C$22, $C$13, 100%, $E$13)</f>
        <v>12.275499999999999</v>
      </c>
      <c r="I390" s="64">
        <f>12.2777 * CHOOSE(CONTROL!$C$22, $C$13, 100%, $E$13)</f>
        <v>12.277699999999999</v>
      </c>
      <c r="J390" s="64">
        <f>7.0886 * CHOOSE(CONTROL!$C$22, $C$13, 100%, $E$13)</f>
        <v>7.0885999999999996</v>
      </c>
      <c r="K390" s="64">
        <f>7.0908 * CHOOSE(CONTROL!$C$22, $C$13, 100%, $E$13)</f>
        <v>7.0907999999999998</v>
      </c>
    </row>
    <row r="391" spans="1:11" ht="15">
      <c r="A391" s="13">
        <v>53540</v>
      </c>
      <c r="B391" s="63">
        <f>6.0907 * CHOOSE(CONTROL!$C$22, $C$13, 100%, $E$13)</f>
        <v>6.0907</v>
      </c>
      <c r="C391" s="63">
        <f>6.0907 * CHOOSE(CONTROL!$C$22, $C$13, 100%, $E$13)</f>
        <v>6.0907</v>
      </c>
      <c r="D391" s="63">
        <f>6.126 * CHOOSE(CONTROL!$C$22, $C$13, 100%, $E$13)</f>
        <v>6.1260000000000003</v>
      </c>
      <c r="E391" s="64">
        <f>7.0214 * CHOOSE(CONTROL!$C$22, $C$13, 100%, $E$13)</f>
        <v>7.0213999999999999</v>
      </c>
      <c r="F391" s="64">
        <f>7.0214 * CHOOSE(CONTROL!$C$22, $C$13, 100%, $E$13)</f>
        <v>7.0213999999999999</v>
      </c>
      <c r="G391" s="64">
        <f>7.0236 * CHOOSE(CONTROL!$C$22, $C$13, 100%, $E$13)</f>
        <v>7.0236000000000001</v>
      </c>
      <c r="H391" s="64">
        <f>12.3011* CHOOSE(CONTROL!$C$22, $C$13, 100%, $E$13)</f>
        <v>12.3011</v>
      </c>
      <c r="I391" s="64">
        <f>12.3032 * CHOOSE(CONTROL!$C$22, $C$13, 100%, $E$13)</f>
        <v>12.3032</v>
      </c>
      <c r="J391" s="64">
        <f>7.0214 * CHOOSE(CONTROL!$C$22, $C$13, 100%, $E$13)</f>
        <v>7.0213999999999999</v>
      </c>
      <c r="K391" s="64">
        <f>7.0236 * CHOOSE(CONTROL!$C$22, $C$13, 100%, $E$13)</f>
        <v>7.0236000000000001</v>
      </c>
    </row>
    <row r="392" spans="1:11" ht="15">
      <c r="A392" s="13">
        <v>53571</v>
      </c>
      <c r="B392" s="63">
        <f>6.0877 * CHOOSE(CONTROL!$C$22, $C$13, 100%, $E$13)</f>
        <v>6.0876999999999999</v>
      </c>
      <c r="C392" s="63">
        <f>6.0877 * CHOOSE(CONTROL!$C$22, $C$13, 100%, $E$13)</f>
        <v>6.0876999999999999</v>
      </c>
      <c r="D392" s="63">
        <f>6.123 * CHOOSE(CONTROL!$C$22, $C$13, 100%, $E$13)</f>
        <v>6.1230000000000002</v>
      </c>
      <c r="E392" s="64">
        <f>7.0113 * CHOOSE(CONTROL!$C$22, $C$13, 100%, $E$13)</f>
        <v>7.0113000000000003</v>
      </c>
      <c r="F392" s="64">
        <f>7.0113 * CHOOSE(CONTROL!$C$22, $C$13, 100%, $E$13)</f>
        <v>7.0113000000000003</v>
      </c>
      <c r="G392" s="64">
        <f>7.0135 * CHOOSE(CONTROL!$C$22, $C$13, 100%, $E$13)</f>
        <v>7.0134999999999996</v>
      </c>
      <c r="H392" s="64">
        <f>12.3267* CHOOSE(CONTROL!$C$22, $C$13, 100%, $E$13)</f>
        <v>12.326700000000001</v>
      </c>
      <c r="I392" s="64">
        <f>12.3289 * CHOOSE(CONTROL!$C$22, $C$13, 100%, $E$13)</f>
        <v>12.328900000000001</v>
      </c>
      <c r="J392" s="64">
        <f>7.0113 * CHOOSE(CONTROL!$C$22, $C$13, 100%, $E$13)</f>
        <v>7.0113000000000003</v>
      </c>
      <c r="K392" s="64">
        <f>7.0135 * CHOOSE(CONTROL!$C$22, $C$13, 100%, $E$13)</f>
        <v>7.0134999999999996</v>
      </c>
    </row>
    <row r="393" spans="1:11" ht="15">
      <c r="A393" s="13">
        <v>53601</v>
      </c>
      <c r="B393" s="63">
        <f>6.0899 * CHOOSE(CONTROL!$C$22, $C$13, 100%, $E$13)</f>
        <v>6.0899000000000001</v>
      </c>
      <c r="C393" s="63">
        <f>6.0899 * CHOOSE(CONTROL!$C$22, $C$13, 100%, $E$13)</f>
        <v>6.0899000000000001</v>
      </c>
      <c r="D393" s="63">
        <f>6.1076 * CHOOSE(CONTROL!$C$22, $C$13, 100%, $E$13)</f>
        <v>6.1075999999999997</v>
      </c>
      <c r="E393" s="64">
        <f>7.0298 * CHOOSE(CONTROL!$C$22, $C$13, 100%, $E$13)</f>
        <v>7.0297999999999998</v>
      </c>
      <c r="F393" s="64">
        <f>7.0298 * CHOOSE(CONTROL!$C$22, $C$13, 100%, $E$13)</f>
        <v>7.0297999999999998</v>
      </c>
      <c r="G393" s="64">
        <f>7.03 * CHOOSE(CONTROL!$C$22, $C$13, 100%, $E$13)</f>
        <v>7.03</v>
      </c>
      <c r="H393" s="64">
        <f>12.3524* CHOOSE(CONTROL!$C$22, $C$13, 100%, $E$13)</f>
        <v>12.352399999999999</v>
      </c>
      <c r="I393" s="64">
        <f>12.3525 * CHOOSE(CONTROL!$C$22, $C$13, 100%, $E$13)</f>
        <v>12.352499999999999</v>
      </c>
      <c r="J393" s="64">
        <f>7.0298 * CHOOSE(CONTROL!$C$22, $C$13, 100%, $E$13)</f>
        <v>7.0297999999999998</v>
      </c>
      <c r="K393" s="64">
        <f>7.03 * CHOOSE(CONTROL!$C$22, $C$13, 100%, $E$13)</f>
        <v>7.03</v>
      </c>
    </row>
    <row r="394" spans="1:11" ht="15">
      <c r="A394" s="13">
        <v>53632</v>
      </c>
      <c r="B394" s="63">
        <f>6.093 * CHOOSE(CONTROL!$C$22, $C$13, 100%, $E$13)</f>
        <v>6.093</v>
      </c>
      <c r="C394" s="63">
        <f>6.093 * CHOOSE(CONTROL!$C$22, $C$13, 100%, $E$13)</f>
        <v>6.093</v>
      </c>
      <c r="D394" s="63">
        <f>6.1106 * CHOOSE(CONTROL!$C$22, $C$13, 100%, $E$13)</f>
        <v>6.1105999999999998</v>
      </c>
      <c r="E394" s="64">
        <f>7.0479 * CHOOSE(CONTROL!$C$22, $C$13, 100%, $E$13)</f>
        <v>7.0479000000000003</v>
      </c>
      <c r="F394" s="64">
        <f>7.0479 * CHOOSE(CONTROL!$C$22, $C$13, 100%, $E$13)</f>
        <v>7.0479000000000003</v>
      </c>
      <c r="G394" s="64">
        <f>7.0481 * CHOOSE(CONTROL!$C$22, $C$13, 100%, $E$13)</f>
        <v>7.0480999999999998</v>
      </c>
      <c r="H394" s="64">
        <f>12.3781* CHOOSE(CONTROL!$C$22, $C$13, 100%, $E$13)</f>
        <v>12.3781</v>
      </c>
      <c r="I394" s="64">
        <f>12.3783 * CHOOSE(CONTROL!$C$22, $C$13, 100%, $E$13)</f>
        <v>12.378299999999999</v>
      </c>
      <c r="J394" s="64">
        <f>7.0479 * CHOOSE(CONTROL!$C$22, $C$13, 100%, $E$13)</f>
        <v>7.0479000000000003</v>
      </c>
      <c r="K394" s="64">
        <f>7.0481 * CHOOSE(CONTROL!$C$22, $C$13, 100%, $E$13)</f>
        <v>7.0480999999999998</v>
      </c>
    </row>
    <row r="395" spans="1:11" ht="15">
      <c r="A395" s="13">
        <v>53662</v>
      </c>
      <c r="B395" s="63">
        <f>6.093 * CHOOSE(CONTROL!$C$22, $C$13, 100%, $E$13)</f>
        <v>6.093</v>
      </c>
      <c r="C395" s="63">
        <f>6.093 * CHOOSE(CONTROL!$C$22, $C$13, 100%, $E$13)</f>
        <v>6.093</v>
      </c>
      <c r="D395" s="63">
        <f>6.1106 * CHOOSE(CONTROL!$C$22, $C$13, 100%, $E$13)</f>
        <v>6.1105999999999998</v>
      </c>
      <c r="E395" s="64">
        <f>7.008 * CHOOSE(CONTROL!$C$22, $C$13, 100%, $E$13)</f>
        <v>7.008</v>
      </c>
      <c r="F395" s="64">
        <f>7.008 * CHOOSE(CONTROL!$C$22, $C$13, 100%, $E$13)</f>
        <v>7.008</v>
      </c>
      <c r="G395" s="64">
        <f>7.0082 * CHOOSE(CONTROL!$C$22, $C$13, 100%, $E$13)</f>
        <v>7.0082000000000004</v>
      </c>
      <c r="H395" s="64">
        <f>12.4039* CHOOSE(CONTROL!$C$22, $C$13, 100%, $E$13)</f>
        <v>12.4039</v>
      </c>
      <c r="I395" s="64">
        <f>12.4041 * CHOOSE(CONTROL!$C$22, $C$13, 100%, $E$13)</f>
        <v>12.4041</v>
      </c>
      <c r="J395" s="64">
        <f>7.008 * CHOOSE(CONTROL!$C$22, $C$13, 100%, $E$13)</f>
        <v>7.008</v>
      </c>
      <c r="K395" s="64">
        <f>7.0082 * CHOOSE(CONTROL!$C$22, $C$13, 100%, $E$13)</f>
        <v>7.0082000000000004</v>
      </c>
    </row>
    <row r="396" spans="1:11" ht="15">
      <c r="A396" s="13">
        <v>53693</v>
      </c>
      <c r="B396" s="63">
        <f>6.148 * CHOOSE(CONTROL!$C$22, $C$13, 100%, $E$13)</f>
        <v>6.1479999999999997</v>
      </c>
      <c r="C396" s="63">
        <f>6.148 * CHOOSE(CONTROL!$C$22, $C$13, 100%, $E$13)</f>
        <v>6.1479999999999997</v>
      </c>
      <c r="D396" s="63">
        <f>6.1657 * CHOOSE(CONTROL!$C$22, $C$13, 100%, $E$13)</f>
        <v>6.1657000000000002</v>
      </c>
      <c r="E396" s="64">
        <f>7.1001 * CHOOSE(CONTROL!$C$22, $C$13, 100%, $E$13)</f>
        <v>7.1001000000000003</v>
      </c>
      <c r="F396" s="64">
        <f>7.1001 * CHOOSE(CONTROL!$C$22, $C$13, 100%, $E$13)</f>
        <v>7.1001000000000003</v>
      </c>
      <c r="G396" s="64">
        <f>7.1003 * CHOOSE(CONTROL!$C$22, $C$13, 100%, $E$13)</f>
        <v>7.1002999999999998</v>
      </c>
      <c r="H396" s="64">
        <f>12.4297* CHOOSE(CONTROL!$C$22, $C$13, 100%, $E$13)</f>
        <v>12.4297</v>
      </c>
      <c r="I396" s="64">
        <f>12.4299 * CHOOSE(CONTROL!$C$22, $C$13, 100%, $E$13)</f>
        <v>12.4299</v>
      </c>
      <c r="J396" s="64">
        <f>7.1001 * CHOOSE(CONTROL!$C$22, $C$13, 100%, $E$13)</f>
        <v>7.1001000000000003</v>
      </c>
      <c r="K396" s="64">
        <f>7.1003 * CHOOSE(CONTROL!$C$22, $C$13, 100%, $E$13)</f>
        <v>7.1002999999999998</v>
      </c>
    </row>
    <row r="397" spans="1:11" ht="15">
      <c r="A397" s="13">
        <v>53724</v>
      </c>
      <c r="B397" s="63">
        <f>6.145 * CHOOSE(CONTROL!$C$22, $C$13, 100%, $E$13)</f>
        <v>6.1449999999999996</v>
      </c>
      <c r="C397" s="63">
        <f>6.145 * CHOOSE(CONTROL!$C$22, $C$13, 100%, $E$13)</f>
        <v>6.1449999999999996</v>
      </c>
      <c r="D397" s="63">
        <f>6.1626 * CHOOSE(CONTROL!$C$22, $C$13, 100%, $E$13)</f>
        <v>6.1626000000000003</v>
      </c>
      <c r="E397" s="64">
        <f>7.0205 * CHOOSE(CONTROL!$C$22, $C$13, 100%, $E$13)</f>
        <v>7.0205000000000002</v>
      </c>
      <c r="F397" s="64">
        <f>7.0205 * CHOOSE(CONTROL!$C$22, $C$13, 100%, $E$13)</f>
        <v>7.0205000000000002</v>
      </c>
      <c r="G397" s="64">
        <f>7.0206 * CHOOSE(CONTROL!$C$22, $C$13, 100%, $E$13)</f>
        <v>7.0206</v>
      </c>
      <c r="H397" s="64">
        <f>12.4556* CHOOSE(CONTROL!$C$22, $C$13, 100%, $E$13)</f>
        <v>12.4556</v>
      </c>
      <c r="I397" s="64">
        <f>12.4558 * CHOOSE(CONTROL!$C$22, $C$13, 100%, $E$13)</f>
        <v>12.4558</v>
      </c>
      <c r="J397" s="64">
        <f>7.0205 * CHOOSE(CONTROL!$C$22, $C$13, 100%, $E$13)</f>
        <v>7.0205000000000002</v>
      </c>
      <c r="K397" s="64">
        <f>7.0206 * CHOOSE(CONTROL!$C$22, $C$13, 100%, $E$13)</f>
        <v>7.0206</v>
      </c>
    </row>
    <row r="398" spans="1:11" ht="15">
      <c r="A398" s="13">
        <v>53752</v>
      </c>
      <c r="B398" s="63">
        <f>6.1419 * CHOOSE(CONTROL!$C$22, $C$13, 100%, $E$13)</f>
        <v>6.1418999999999997</v>
      </c>
      <c r="C398" s="63">
        <f>6.1419 * CHOOSE(CONTROL!$C$22, $C$13, 100%, $E$13)</f>
        <v>6.1418999999999997</v>
      </c>
      <c r="D398" s="63">
        <f>6.1596 * CHOOSE(CONTROL!$C$22, $C$13, 100%, $E$13)</f>
        <v>6.1596000000000002</v>
      </c>
      <c r="E398" s="64">
        <f>7.0795 * CHOOSE(CONTROL!$C$22, $C$13, 100%, $E$13)</f>
        <v>7.0795000000000003</v>
      </c>
      <c r="F398" s="64">
        <f>7.0795 * CHOOSE(CONTROL!$C$22, $C$13, 100%, $E$13)</f>
        <v>7.0795000000000003</v>
      </c>
      <c r="G398" s="64">
        <f>7.0797 * CHOOSE(CONTROL!$C$22, $C$13, 100%, $E$13)</f>
        <v>7.0796999999999999</v>
      </c>
      <c r="H398" s="64">
        <f>12.4816* CHOOSE(CONTROL!$C$22, $C$13, 100%, $E$13)</f>
        <v>12.4816</v>
      </c>
      <c r="I398" s="64">
        <f>12.4817 * CHOOSE(CONTROL!$C$22, $C$13, 100%, $E$13)</f>
        <v>12.4817</v>
      </c>
      <c r="J398" s="64">
        <f>7.0795 * CHOOSE(CONTROL!$C$22, $C$13, 100%, $E$13)</f>
        <v>7.0795000000000003</v>
      </c>
      <c r="K398" s="64">
        <f>7.0797 * CHOOSE(CONTROL!$C$22, $C$13, 100%, $E$13)</f>
        <v>7.0796999999999999</v>
      </c>
    </row>
    <row r="399" spans="1:11" ht="15">
      <c r="A399" s="13">
        <v>53783</v>
      </c>
      <c r="B399" s="63">
        <f>6.1415 * CHOOSE(CONTROL!$C$22, $C$13, 100%, $E$13)</f>
        <v>6.1414999999999997</v>
      </c>
      <c r="C399" s="63">
        <f>6.1415 * CHOOSE(CONTROL!$C$22, $C$13, 100%, $E$13)</f>
        <v>6.1414999999999997</v>
      </c>
      <c r="D399" s="63">
        <f>6.1592 * CHOOSE(CONTROL!$C$22, $C$13, 100%, $E$13)</f>
        <v>6.1592000000000002</v>
      </c>
      <c r="E399" s="64">
        <f>7.1409 * CHOOSE(CONTROL!$C$22, $C$13, 100%, $E$13)</f>
        <v>7.1409000000000002</v>
      </c>
      <c r="F399" s="64">
        <f>7.1409 * CHOOSE(CONTROL!$C$22, $C$13, 100%, $E$13)</f>
        <v>7.1409000000000002</v>
      </c>
      <c r="G399" s="64">
        <f>7.1411 * CHOOSE(CONTROL!$C$22, $C$13, 100%, $E$13)</f>
        <v>7.1410999999999998</v>
      </c>
      <c r="H399" s="64">
        <f>12.5076* CHOOSE(CONTROL!$C$22, $C$13, 100%, $E$13)</f>
        <v>12.5076</v>
      </c>
      <c r="I399" s="64">
        <f>12.5078 * CHOOSE(CONTROL!$C$22, $C$13, 100%, $E$13)</f>
        <v>12.5078</v>
      </c>
      <c r="J399" s="64">
        <f>7.1409 * CHOOSE(CONTROL!$C$22, $C$13, 100%, $E$13)</f>
        <v>7.1409000000000002</v>
      </c>
      <c r="K399" s="64">
        <f>7.1411 * CHOOSE(CONTROL!$C$22, $C$13, 100%, $E$13)</f>
        <v>7.1410999999999998</v>
      </c>
    </row>
    <row r="400" spans="1:11" ht="15">
      <c r="A400" s="13">
        <v>53813</v>
      </c>
      <c r="B400" s="63">
        <f>6.1415 * CHOOSE(CONTROL!$C$22, $C$13, 100%, $E$13)</f>
        <v>6.1414999999999997</v>
      </c>
      <c r="C400" s="63">
        <f>6.1415 * CHOOSE(CONTROL!$C$22, $C$13, 100%, $E$13)</f>
        <v>6.1414999999999997</v>
      </c>
      <c r="D400" s="63">
        <f>6.1768 * CHOOSE(CONTROL!$C$22, $C$13, 100%, $E$13)</f>
        <v>6.1768000000000001</v>
      </c>
      <c r="E400" s="64">
        <f>7.1655 * CHOOSE(CONTROL!$C$22, $C$13, 100%, $E$13)</f>
        <v>7.1654999999999998</v>
      </c>
      <c r="F400" s="64">
        <f>7.1655 * CHOOSE(CONTROL!$C$22, $C$13, 100%, $E$13)</f>
        <v>7.1654999999999998</v>
      </c>
      <c r="G400" s="64">
        <f>7.1677 * CHOOSE(CONTROL!$C$22, $C$13, 100%, $E$13)</f>
        <v>7.1677</v>
      </c>
      <c r="H400" s="64">
        <f>12.5336* CHOOSE(CONTROL!$C$22, $C$13, 100%, $E$13)</f>
        <v>12.5336</v>
      </c>
      <c r="I400" s="64">
        <f>12.5358 * CHOOSE(CONTROL!$C$22, $C$13, 100%, $E$13)</f>
        <v>12.5358</v>
      </c>
      <c r="J400" s="64">
        <f>7.1655 * CHOOSE(CONTROL!$C$22, $C$13, 100%, $E$13)</f>
        <v>7.1654999999999998</v>
      </c>
      <c r="K400" s="64">
        <f>7.1677 * CHOOSE(CONTROL!$C$22, $C$13, 100%, $E$13)</f>
        <v>7.1677</v>
      </c>
    </row>
    <row r="401" spans="1:11" ht="15">
      <c r="A401" s="13">
        <v>53844</v>
      </c>
      <c r="B401" s="63">
        <f>6.1476 * CHOOSE(CONTROL!$C$22, $C$13, 100%, $E$13)</f>
        <v>6.1475999999999997</v>
      </c>
      <c r="C401" s="63">
        <f>6.1476 * CHOOSE(CONTROL!$C$22, $C$13, 100%, $E$13)</f>
        <v>6.1475999999999997</v>
      </c>
      <c r="D401" s="63">
        <f>6.1829 * CHOOSE(CONTROL!$C$22, $C$13, 100%, $E$13)</f>
        <v>6.1829000000000001</v>
      </c>
      <c r="E401" s="64">
        <f>7.1451 * CHOOSE(CONTROL!$C$22, $C$13, 100%, $E$13)</f>
        <v>7.1451000000000002</v>
      </c>
      <c r="F401" s="64">
        <f>7.1451 * CHOOSE(CONTROL!$C$22, $C$13, 100%, $E$13)</f>
        <v>7.1451000000000002</v>
      </c>
      <c r="G401" s="64">
        <f>7.1473 * CHOOSE(CONTROL!$C$22, $C$13, 100%, $E$13)</f>
        <v>7.1473000000000004</v>
      </c>
      <c r="H401" s="64">
        <f>12.5597* CHOOSE(CONTROL!$C$22, $C$13, 100%, $E$13)</f>
        <v>12.559699999999999</v>
      </c>
      <c r="I401" s="64">
        <f>12.5619 * CHOOSE(CONTROL!$C$22, $C$13, 100%, $E$13)</f>
        <v>12.5619</v>
      </c>
      <c r="J401" s="64">
        <f>7.1451 * CHOOSE(CONTROL!$C$22, $C$13, 100%, $E$13)</f>
        <v>7.1451000000000002</v>
      </c>
      <c r="K401" s="64">
        <f>7.1473 * CHOOSE(CONTROL!$C$22, $C$13, 100%, $E$13)</f>
        <v>7.1473000000000004</v>
      </c>
    </row>
    <row r="402" spans="1:11" ht="15">
      <c r="A402" s="13">
        <v>53874</v>
      </c>
      <c r="B402" s="63">
        <f>6.2497 * CHOOSE(CONTROL!$C$22, $C$13, 100%, $E$13)</f>
        <v>6.2496999999999998</v>
      </c>
      <c r="C402" s="63">
        <f>6.2497 * CHOOSE(CONTROL!$C$22, $C$13, 100%, $E$13)</f>
        <v>6.2496999999999998</v>
      </c>
      <c r="D402" s="63">
        <f>6.285 * CHOOSE(CONTROL!$C$22, $C$13, 100%, $E$13)</f>
        <v>6.2850000000000001</v>
      </c>
      <c r="E402" s="64">
        <f>7.2868 * CHOOSE(CONTROL!$C$22, $C$13, 100%, $E$13)</f>
        <v>7.2868000000000004</v>
      </c>
      <c r="F402" s="64">
        <f>7.2868 * CHOOSE(CONTROL!$C$22, $C$13, 100%, $E$13)</f>
        <v>7.2868000000000004</v>
      </c>
      <c r="G402" s="64">
        <f>7.289 * CHOOSE(CONTROL!$C$22, $C$13, 100%, $E$13)</f>
        <v>7.2889999999999997</v>
      </c>
      <c r="H402" s="64">
        <f>12.5859* CHOOSE(CONTROL!$C$22, $C$13, 100%, $E$13)</f>
        <v>12.585900000000001</v>
      </c>
      <c r="I402" s="64">
        <f>12.5881 * CHOOSE(CONTROL!$C$22, $C$13, 100%, $E$13)</f>
        <v>12.588100000000001</v>
      </c>
      <c r="J402" s="64">
        <f>7.2868 * CHOOSE(CONTROL!$C$22, $C$13, 100%, $E$13)</f>
        <v>7.2868000000000004</v>
      </c>
      <c r="K402" s="64">
        <f>7.289 * CHOOSE(CONTROL!$C$22, $C$13, 100%, $E$13)</f>
        <v>7.2889999999999997</v>
      </c>
    </row>
    <row r="403" spans="1:11" ht="15">
      <c r="A403" s="13">
        <v>53905</v>
      </c>
      <c r="B403" s="63">
        <f>6.2564 * CHOOSE(CONTROL!$C$22, $C$13, 100%, $E$13)</f>
        <v>6.2564000000000002</v>
      </c>
      <c r="C403" s="63">
        <f>6.2564 * CHOOSE(CONTROL!$C$22, $C$13, 100%, $E$13)</f>
        <v>6.2564000000000002</v>
      </c>
      <c r="D403" s="63">
        <f>6.2917 * CHOOSE(CONTROL!$C$22, $C$13, 100%, $E$13)</f>
        <v>6.2916999999999996</v>
      </c>
      <c r="E403" s="64">
        <f>7.2176 * CHOOSE(CONTROL!$C$22, $C$13, 100%, $E$13)</f>
        <v>7.2176</v>
      </c>
      <c r="F403" s="64">
        <f>7.2176 * CHOOSE(CONTROL!$C$22, $C$13, 100%, $E$13)</f>
        <v>7.2176</v>
      </c>
      <c r="G403" s="64">
        <f>7.2198 * CHOOSE(CONTROL!$C$22, $C$13, 100%, $E$13)</f>
        <v>7.2198000000000002</v>
      </c>
      <c r="H403" s="64">
        <f>12.6121* CHOOSE(CONTROL!$C$22, $C$13, 100%, $E$13)</f>
        <v>12.6121</v>
      </c>
      <c r="I403" s="64">
        <f>12.6143 * CHOOSE(CONTROL!$C$22, $C$13, 100%, $E$13)</f>
        <v>12.6143</v>
      </c>
      <c r="J403" s="64">
        <f>7.2176 * CHOOSE(CONTROL!$C$22, $C$13, 100%, $E$13)</f>
        <v>7.2176</v>
      </c>
      <c r="K403" s="64">
        <f>7.2198 * CHOOSE(CONTROL!$C$22, $C$13, 100%, $E$13)</f>
        <v>7.2198000000000002</v>
      </c>
    </row>
    <row r="404" spans="1:11" ht="15">
      <c r="A404" s="13">
        <v>53936</v>
      </c>
      <c r="B404" s="63">
        <f>6.2534 * CHOOSE(CONTROL!$C$22, $C$13, 100%, $E$13)</f>
        <v>6.2534000000000001</v>
      </c>
      <c r="C404" s="63">
        <f>6.2534 * CHOOSE(CONTROL!$C$22, $C$13, 100%, $E$13)</f>
        <v>6.2534000000000001</v>
      </c>
      <c r="D404" s="63">
        <f>6.2887 * CHOOSE(CONTROL!$C$22, $C$13, 100%, $E$13)</f>
        <v>6.2887000000000004</v>
      </c>
      <c r="E404" s="64">
        <f>7.2073 * CHOOSE(CONTROL!$C$22, $C$13, 100%, $E$13)</f>
        <v>7.2073</v>
      </c>
      <c r="F404" s="64">
        <f>7.2073 * CHOOSE(CONTROL!$C$22, $C$13, 100%, $E$13)</f>
        <v>7.2073</v>
      </c>
      <c r="G404" s="64">
        <f>7.2095 * CHOOSE(CONTROL!$C$22, $C$13, 100%, $E$13)</f>
        <v>7.2095000000000002</v>
      </c>
      <c r="H404" s="64">
        <f>12.6384* CHOOSE(CONTROL!$C$22, $C$13, 100%, $E$13)</f>
        <v>12.638400000000001</v>
      </c>
      <c r="I404" s="64">
        <f>12.6406 * CHOOSE(CONTROL!$C$22, $C$13, 100%, $E$13)</f>
        <v>12.640599999999999</v>
      </c>
      <c r="J404" s="64">
        <f>7.2073 * CHOOSE(CONTROL!$C$22, $C$13, 100%, $E$13)</f>
        <v>7.2073</v>
      </c>
      <c r="K404" s="64">
        <f>7.2095 * CHOOSE(CONTROL!$C$22, $C$13, 100%, $E$13)</f>
        <v>7.2095000000000002</v>
      </c>
    </row>
    <row r="405" spans="1:11" ht="15">
      <c r="A405" s="13">
        <v>53966</v>
      </c>
      <c r="B405" s="63">
        <f>6.2562 * CHOOSE(CONTROL!$C$22, $C$13, 100%, $E$13)</f>
        <v>6.2561999999999998</v>
      </c>
      <c r="C405" s="63">
        <f>6.2562 * CHOOSE(CONTROL!$C$22, $C$13, 100%, $E$13)</f>
        <v>6.2561999999999998</v>
      </c>
      <c r="D405" s="63">
        <f>6.2738 * CHOOSE(CONTROL!$C$22, $C$13, 100%, $E$13)</f>
        <v>6.2737999999999996</v>
      </c>
      <c r="E405" s="64">
        <f>7.2267 * CHOOSE(CONTROL!$C$22, $C$13, 100%, $E$13)</f>
        <v>7.2267000000000001</v>
      </c>
      <c r="F405" s="64">
        <f>7.2267 * CHOOSE(CONTROL!$C$22, $C$13, 100%, $E$13)</f>
        <v>7.2267000000000001</v>
      </c>
      <c r="G405" s="64">
        <f>7.2269 * CHOOSE(CONTROL!$C$22, $C$13, 100%, $E$13)</f>
        <v>7.2268999999999997</v>
      </c>
      <c r="H405" s="64">
        <f>12.6647* CHOOSE(CONTROL!$C$22, $C$13, 100%, $E$13)</f>
        <v>12.6647</v>
      </c>
      <c r="I405" s="64">
        <f>12.6649 * CHOOSE(CONTROL!$C$22, $C$13, 100%, $E$13)</f>
        <v>12.664899999999999</v>
      </c>
      <c r="J405" s="64">
        <f>7.2267 * CHOOSE(CONTROL!$C$22, $C$13, 100%, $E$13)</f>
        <v>7.2267000000000001</v>
      </c>
      <c r="K405" s="64">
        <f>7.2269 * CHOOSE(CONTROL!$C$22, $C$13, 100%, $E$13)</f>
        <v>7.2268999999999997</v>
      </c>
    </row>
    <row r="406" spans="1:11" ht="15">
      <c r="A406" s="13">
        <v>53997</v>
      </c>
      <c r="B406" s="63">
        <f>6.2592 * CHOOSE(CONTROL!$C$22, $C$13, 100%, $E$13)</f>
        <v>6.2591999999999999</v>
      </c>
      <c r="C406" s="63">
        <f>6.2592 * CHOOSE(CONTROL!$C$22, $C$13, 100%, $E$13)</f>
        <v>6.2591999999999999</v>
      </c>
      <c r="D406" s="63">
        <f>6.2769 * CHOOSE(CONTROL!$C$22, $C$13, 100%, $E$13)</f>
        <v>6.2769000000000004</v>
      </c>
      <c r="E406" s="64">
        <f>7.2452 * CHOOSE(CONTROL!$C$22, $C$13, 100%, $E$13)</f>
        <v>7.2451999999999996</v>
      </c>
      <c r="F406" s="64">
        <f>7.2452 * CHOOSE(CONTROL!$C$22, $C$13, 100%, $E$13)</f>
        <v>7.2451999999999996</v>
      </c>
      <c r="G406" s="64">
        <f>7.2454 * CHOOSE(CONTROL!$C$22, $C$13, 100%, $E$13)</f>
        <v>7.2454000000000001</v>
      </c>
      <c r="H406" s="64">
        <f>12.6911* CHOOSE(CONTROL!$C$22, $C$13, 100%, $E$13)</f>
        <v>12.6911</v>
      </c>
      <c r="I406" s="64">
        <f>12.6913 * CHOOSE(CONTROL!$C$22, $C$13, 100%, $E$13)</f>
        <v>12.6913</v>
      </c>
      <c r="J406" s="64">
        <f>7.2452 * CHOOSE(CONTROL!$C$22, $C$13, 100%, $E$13)</f>
        <v>7.2451999999999996</v>
      </c>
      <c r="K406" s="64">
        <f>7.2454 * CHOOSE(CONTROL!$C$22, $C$13, 100%, $E$13)</f>
        <v>7.2454000000000001</v>
      </c>
    </row>
    <row r="407" spans="1:11" ht="15">
      <c r="A407" s="13">
        <v>54027</v>
      </c>
      <c r="B407" s="63">
        <f>6.2592 * CHOOSE(CONTROL!$C$22, $C$13, 100%, $E$13)</f>
        <v>6.2591999999999999</v>
      </c>
      <c r="C407" s="63">
        <f>6.2592 * CHOOSE(CONTROL!$C$22, $C$13, 100%, $E$13)</f>
        <v>6.2591999999999999</v>
      </c>
      <c r="D407" s="63">
        <f>6.2769 * CHOOSE(CONTROL!$C$22, $C$13, 100%, $E$13)</f>
        <v>6.2769000000000004</v>
      </c>
      <c r="E407" s="64">
        <f>7.2042 * CHOOSE(CONTROL!$C$22, $C$13, 100%, $E$13)</f>
        <v>7.2042000000000002</v>
      </c>
      <c r="F407" s="64">
        <f>7.2042 * CHOOSE(CONTROL!$C$22, $C$13, 100%, $E$13)</f>
        <v>7.2042000000000002</v>
      </c>
      <c r="G407" s="64">
        <f>7.2044 * CHOOSE(CONTROL!$C$22, $C$13, 100%, $E$13)</f>
        <v>7.2043999999999997</v>
      </c>
      <c r="H407" s="64">
        <f>12.7176* CHOOSE(CONTROL!$C$22, $C$13, 100%, $E$13)</f>
        <v>12.717599999999999</v>
      </c>
      <c r="I407" s="64">
        <f>12.7177 * CHOOSE(CONTROL!$C$22, $C$13, 100%, $E$13)</f>
        <v>12.717700000000001</v>
      </c>
      <c r="J407" s="64">
        <f>7.2042 * CHOOSE(CONTROL!$C$22, $C$13, 100%, $E$13)</f>
        <v>7.2042000000000002</v>
      </c>
      <c r="K407" s="64">
        <f>7.2044 * CHOOSE(CONTROL!$C$22, $C$13, 100%, $E$13)</f>
        <v>7.2043999999999997</v>
      </c>
    </row>
    <row r="408" spans="1:11" ht="15">
      <c r="A408" s="13">
        <v>54058</v>
      </c>
      <c r="B408" s="63">
        <f>6.3156 * CHOOSE(CONTROL!$C$22, $C$13, 100%, $E$13)</f>
        <v>6.3155999999999999</v>
      </c>
      <c r="C408" s="63">
        <f>6.3156 * CHOOSE(CONTROL!$C$22, $C$13, 100%, $E$13)</f>
        <v>6.3155999999999999</v>
      </c>
      <c r="D408" s="63">
        <f>6.3333 * CHOOSE(CONTROL!$C$22, $C$13, 100%, $E$13)</f>
        <v>6.3333000000000004</v>
      </c>
      <c r="E408" s="64">
        <f>7.2988 * CHOOSE(CONTROL!$C$22, $C$13, 100%, $E$13)</f>
        <v>7.2988</v>
      </c>
      <c r="F408" s="64">
        <f>7.2988 * CHOOSE(CONTROL!$C$22, $C$13, 100%, $E$13)</f>
        <v>7.2988</v>
      </c>
      <c r="G408" s="64">
        <f>7.299 * CHOOSE(CONTROL!$C$22, $C$13, 100%, $E$13)</f>
        <v>7.2990000000000004</v>
      </c>
      <c r="H408" s="64">
        <f>12.7441* CHOOSE(CONTROL!$C$22, $C$13, 100%, $E$13)</f>
        <v>12.7441</v>
      </c>
      <c r="I408" s="64">
        <f>12.7442 * CHOOSE(CONTROL!$C$22, $C$13, 100%, $E$13)</f>
        <v>12.744199999999999</v>
      </c>
      <c r="J408" s="64">
        <f>7.2988 * CHOOSE(CONTROL!$C$22, $C$13, 100%, $E$13)</f>
        <v>7.2988</v>
      </c>
      <c r="K408" s="64">
        <f>7.299 * CHOOSE(CONTROL!$C$22, $C$13, 100%, $E$13)</f>
        <v>7.2990000000000004</v>
      </c>
    </row>
    <row r="409" spans="1:11" ht="15">
      <c r="A409" s="13">
        <v>54089</v>
      </c>
      <c r="B409" s="63">
        <f>6.3126 * CHOOSE(CONTROL!$C$22, $C$13, 100%, $E$13)</f>
        <v>6.3125999999999998</v>
      </c>
      <c r="C409" s="63">
        <f>6.3126 * CHOOSE(CONTROL!$C$22, $C$13, 100%, $E$13)</f>
        <v>6.3125999999999998</v>
      </c>
      <c r="D409" s="63">
        <f>6.3303 * CHOOSE(CONTROL!$C$22, $C$13, 100%, $E$13)</f>
        <v>6.3303000000000003</v>
      </c>
      <c r="E409" s="64">
        <f>7.217 * CHOOSE(CONTROL!$C$22, $C$13, 100%, $E$13)</f>
        <v>7.2169999999999996</v>
      </c>
      <c r="F409" s="64">
        <f>7.217 * CHOOSE(CONTROL!$C$22, $C$13, 100%, $E$13)</f>
        <v>7.2169999999999996</v>
      </c>
      <c r="G409" s="64">
        <f>7.2172 * CHOOSE(CONTROL!$C$22, $C$13, 100%, $E$13)</f>
        <v>7.2172000000000001</v>
      </c>
      <c r="H409" s="64">
        <f>12.7706* CHOOSE(CONTROL!$C$22, $C$13, 100%, $E$13)</f>
        <v>12.7706</v>
      </c>
      <c r="I409" s="64">
        <f>12.7708 * CHOOSE(CONTROL!$C$22, $C$13, 100%, $E$13)</f>
        <v>12.770799999999999</v>
      </c>
      <c r="J409" s="64">
        <f>7.217 * CHOOSE(CONTROL!$C$22, $C$13, 100%, $E$13)</f>
        <v>7.2169999999999996</v>
      </c>
      <c r="K409" s="64">
        <f>7.2172 * CHOOSE(CONTROL!$C$22, $C$13, 100%, $E$13)</f>
        <v>7.2172000000000001</v>
      </c>
    </row>
    <row r="410" spans="1:11" ht="15">
      <c r="A410" s="13">
        <v>54118</v>
      </c>
      <c r="B410" s="63">
        <f>6.3096 * CHOOSE(CONTROL!$C$22, $C$13, 100%, $E$13)</f>
        <v>6.3095999999999997</v>
      </c>
      <c r="C410" s="63">
        <f>6.3096 * CHOOSE(CONTROL!$C$22, $C$13, 100%, $E$13)</f>
        <v>6.3095999999999997</v>
      </c>
      <c r="D410" s="63">
        <f>6.3272 * CHOOSE(CONTROL!$C$22, $C$13, 100%, $E$13)</f>
        <v>6.3272000000000004</v>
      </c>
      <c r="E410" s="64">
        <f>7.2777 * CHOOSE(CONTROL!$C$22, $C$13, 100%, $E$13)</f>
        <v>7.2777000000000003</v>
      </c>
      <c r="F410" s="64">
        <f>7.2777 * CHOOSE(CONTROL!$C$22, $C$13, 100%, $E$13)</f>
        <v>7.2777000000000003</v>
      </c>
      <c r="G410" s="64">
        <f>7.2779 * CHOOSE(CONTROL!$C$22, $C$13, 100%, $E$13)</f>
        <v>7.2778999999999998</v>
      </c>
      <c r="H410" s="64">
        <f>12.7972* CHOOSE(CONTROL!$C$22, $C$13, 100%, $E$13)</f>
        <v>12.7972</v>
      </c>
      <c r="I410" s="64">
        <f>12.7974 * CHOOSE(CONTROL!$C$22, $C$13, 100%, $E$13)</f>
        <v>12.7974</v>
      </c>
      <c r="J410" s="64">
        <f>7.2777 * CHOOSE(CONTROL!$C$22, $C$13, 100%, $E$13)</f>
        <v>7.2777000000000003</v>
      </c>
      <c r="K410" s="64">
        <f>7.2779 * CHOOSE(CONTROL!$C$22, $C$13, 100%, $E$13)</f>
        <v>7.2778999999999998</v>
      </c>
    </row>
    <row r="411" spans="1:11" ht="15">
      <c r="A411" s="13">
        <v>54149</v>
      </c>
      <c r="B411" s="63">
        <f>6.3093 * CHOOSE(CONTROL!$C$22, $C$13, 100%, $E$13)</f>
        <v>6.3093000000000004</v>
      </c>
      <c r="C411" s="63">
        <f>6.3093 * CHOOSE(CONTROL!$C$22, $C$13, 100%, $E$13)</f>
        <v>6.3093000000000004</v>
      </c>
      <c r="D411" s="63">
        <f>6.3269 * CHOOSE(CONTROL!$C$22, $C$13, 100%, $E$13)</f>
        <v>6.3269000000000002</v>
      </c>
      <c r="E411" s="64">
        <f>7.3409 * CHOOSE(CONTROL!$C$22, $C$13, 100%, $E$13)</f>
        <v>7.3409000000000004</v>
      </c>
      <c r="F411" s="64">
        <f>7.3409 * CHOOSE(CONTROL!$C$22, $C$13, 100%, $E$13)</f>
        <v>7.3409000000000004</v>
      </c>
      <c r="G411" s="64">
        <f>7.3411 * CHOOSE(CONTROL!$C$22, $C$13, 100%, $E$13)</f>
        <v>7.3411</v>
      </c>
      <c r="H411" s="64">
        <f>12.8239* CHOOSE(CONTROL!$C$22, $C$13, 100%, $E$13)</f>
        <v>12.8239</v>
      </c>
      <c r="I411" s="64">
        <f>12.824 * CHOOSE(CONTROL!$C$22, $C$13, 100%, $E$13)</f>
        <v>12.824</v>
      </c>
      <c r="J411" s="64">
        <f>7.3409 * CHOOSE(CONTROL!$C$22, $C$13, 100%, $E$13)</f>
        <v>7.3409000000000004</v>
      </c>
      <c r="K411" s="64">
        <f>7.3411 * CHOOSE(CONTROL!$C$22, $C$13, 100%, $E$13)</f>
        <v>7.3411</v>
      </c>
    </row>
    <row r="412" spans="1:11" ht="15">
      <c r="A412" s="13">
        <v>54179</v>
      </c>
      <c r="B412" s="63">
        <f>6.3093 * CHOOSE(CONTROL!$C$22, $C$13, 100%, $E$13)</f>
        <v>6.3093000000000004</v>
      </c>
      <c r="C412" s="63">
        <f>6.3093 * CHOOSE(CONTROL!$C$22, $C$13, 100%, $E$13)</f>
        <v>6.3093000000000004</v>
      </c>
      <c r="D412" s="63">
        <f>6.3446 * CHOOSE(CONTROL!$C$22, $C$13, 100%, $E$13)</f>
        <v>6.3445999999999998</v>
      </c>
      <c r="E412" s="64">
        <f>7.3663 * CHOOSE(CONTROL!$C$22, $C$13, 100%, $E$13)</f>
        <v>7.3662999999999998</v>
      </c>
      <c r="F412" s="64">
        <f>7.3663 * CHOOSE(CONTROL!$C$22, $C$13, 100%, $E$13)</f>
        <v>7.3662999999999998</v>
      </c>
      <c r="G412" s="64">
        <f>7.3684 * CHOOSE(CONTROL!$C$22, $C$13, 100%, $E$13)</f>
        <v>7.3684000000000003</v>
      </c>
      <c r="H412" s="64">
        <f>12.8506* CHOOSE(CONTROL!$C$22, $C$13, 100%, $E$13)</f>
        <v>12.8506</v>
      </c>
      <c r="I412" s="64">
        <f>12.8528 * CHOOSE(CONTROL!$C$22, $C$13, 100%, $E$13)</f>
        <v>12.8528</v>
      </c>
      <c r="J412" s="64">
        <f>7.3663 * CHOOSE(CONTROL!$C$22, $C$13, 100%, $E$13)</f>
        <v>7.3662999999999998</v>
      </c>
      <c r="K412" s="64">
        <f>7.3684 * CHOOSE(CONTROL!$C$22, $C$13, 100%, $E$13)</f>
        <v>7.3684000000000003</v>
      </c>
    </row>
    <row r="413" spans="1:11" ht="15">
      <c r="A413" s="13">
        <v>54210</v>
      </c>
      <c r="B413" s="63">
        <f>6.3154 * CHOOSE(CONTROL!$C$22, $C$13, 100%, $E$13)</f>
        <v>6.3154000000000003</v>
      </c>
      <c r="C413" s="63">
        <f>6.3154 * CHOOSE(CONTROL!$C$22, $C$13, 100%, $E$13)</f>
        <v>6.3154000000000003</v>
      </c>
      <c r="D413" s="63">
        <f>6.3507 * CHOOSE(CONTROL!$C$22, $C$13, 100%, $E$13)</f>
        <v>6.3506999999999998</v>
      </c>
      <c r="E413" s="64">
        <f>7.3452 * CHOOSE(CONTROL!$C$22, $C$13, 100%, $E$13)</f>
        <v>7.3452000000000002</v>
      </c>
      <c r="F413" s="64">
        <f>7.3452 * CHOOSE(CONTROL!$C$22, $C$13, 100%, $E$13)</f>
        <v>7.3452000000000002</v>
      </c>
      <c r="G413" s="64">
        <f>7.3474 * CHOOSE(CONTROL!$C$22, $C$13, 100%, $E$13)</f>
        <v>7.3474000000000004</v>
      </c>
      <c r="H413" s="64">
        <f>12.8774* CHOOSE(CONTROL!$C$22, $C$13, 100%, $E$13)</f>
        <v>12.8774</v>
      </c>
      <c r="I413" s="64">
        <f>12.8795 * CHOOSE(CONTROL!$C$22, $C$13, 100%, $E$13)</f>
        <v>12.8795</v>
      </c>
      <c r="J413" s="64">
        <f>7.3452 * CHOOSE(CONTROL!$C$22, $C$13, 100%, $E$13)</f>
        <v>7.3452000000000002</v>
      </c>
      <c r="K413" s="64">
        <f>7.3474 * CHOOSE(CONTROL!$C$22, $C$13, 100%, $E$13)</f>
        <v>7.3474000000000004</v>
      </c>
    </row>
    <row r="414" spans="1:11" ht="15">
      <c r="A414" s="13">
        <v>54240</v>
      </c>
      <c r="B414" s="63">
        <f>6.42 * CHOOSE(CONTROL!$C$22, $C$13, 100%, $E$13)</f>
        <v>6.42</v>
      </c>
      <c r="C414" s="63">
        <f>6.42 * CHOOSE(CONTROL!$C$22, $C$13, 100%, $E$13)</f>
        <v>6.42</v>
      </c>
      <c r="D414" s="63">
        <f>6.4553 * CHOOSE(CONTROL!$C$22, $C$13, 100%, $E$13)</f>
        <v>6.4553000000000003</v>
      </c>
      <c r="E414" s="64">
        <f>7.4906 * CHOOSE(CONTROL!$C$22, $C$13, 100%, $E$13)</f>
        <v>7.4905999999999997</v>
      </c>
      <c r="F414" s="64">
        <f>7.4906 * CHOOSE(CONTROL!$C$22, $C$13, 100%, $E$13)</f>
        <v>7.4905999999999997</v>
      </c>
      <c r="G414" s="64">
        <f>7.4928 * CHOOSE(CONTROL!$C$22, $C$13, 100%, $E$13)</f>
        <v>7.4927999999999999</v>
      </c>
      <c r="H414" s="64">
        <f>12.9042* CHOOSE(CONTROL!$C$22, $C$13, 100%, $E$13)</f>
        <v>12.904199999999999</v>
      </c>
      <c r="I414" s="64">
        <f>12.9064 * CHOOSE(CONTROL!$C$22, $C$13, 100%, $E$13)</f>
        <v>12.9064</v>
      </c>
      <c r="J414" s="64">
        <f>7.4906 * CHOOSE(CONTROL!$C$22, $C$13, 100%, $E$13)</f>
        <v>7.4905999999999997</v>
      </c>
      <c r="K414" s="64">
        <f>7.4928 * CHOOSE(CONTROL!$C$22, $C$13, 100%, $E$13)</f>
        <v>7.4927999999999999</v>
      </c>
    </row>
    <row r="415" spans="1:11" ht="15">
      <c r="A415" s="13">
        <v>54271</v>
      </c>
      <c r="B415" s="63">
        <f>6.4266 * CHOOSE(CONTROL!$C$22, $C$13, 100%, $E$13)</f>
        <v>6.4265999999999996</v>
      </c>
      <c r="C415" s="63">
        <f>6.4266 * CHOOSE(CONTROL!$C$22, $C$13, 100%, $E$13)</f>
        <v>6.4265999999999996</v>
      </c>
      <c r="D415" s="63">
        <f>6.462 * CHOOSE(CONTROL!$C$22, $C$13, 100%, $E$13)</f>
        <v>6.4619999999999997</v>
      </c>
      <c r="E415" s="64">
        <f>7.4193 * CHOOSE(CONTROL!$C$22, $C$13, 100%, $E$13)</f>
        <v>7.4192999999999998</v>
      </c>
      <c r="F415" s="64">
        <f>7.4193 * CHOOSE(CONTROL!$C$22, $C$13, 100%, $E$13)</f>
        <v>7.4192999999999998</v>
      </c>
      <c r="G415" s="64">
        <f>7.4215 * CHOOSE(CONTROL!$C$22, $C$13, 100%, $E$13)</f>
        <v>7.4215</v>
      </c>
      <c r="H415" s="64">
        <f>12.9311* CHOOSE(CONTROL!$C$22, $C$13, 100%, $E$13)</f>
        <v>12.931100000000001</v>
      </c>
      <c r="I415" s="64">
        <f>12.9333 * CHOOSE(CONTROL!$C$22, $C$13, 100%, $E$13)</f>
        <v>12.933299999999999</v>
      </c>
      <c r="J415" s="64">
        <f>7.4193 * CHOOSE(CONTROL!$C$22, $C$13, 100%, $E$13)</f>
        <v>7.4192999999999998</v>
      </c>
      <c r="K415" s="64">
        <f>7.4215 * CHOOSE(CONTROL!$C$22, $C$13, 100%, $E$13)</f>
        <v>7.4215</v>
      </c>
    </row>
    <row r="416" spans="1:11" ht="15">
      <c r="A416" s="13">
        <v>54302</v>
      </c>
      <c r="B416" s="63">
        <f>6.4236 * CHOOSE(CONTROL!$C$22, $C$13, 100%, $E$13)</f>
        <v>6.4236000000000004</v>
      </c>
      <c r="C416" s="63">
        <f>6.4236 * CHOOSE(CONTROL!$C$22, $C$13, 100%, $E$13)</f>
        <v>6.4236000000000004</v>
      </c>
      <c r="D416" s="63">
        <f>6.4589 * CHOOSE(CONTROL!$C$22, $C$13, 100%, $E$13)</f>
        <v>6.4588999999999999</v>
      </c>
      <c r="E416" s="64">
        <f>7.4088 * CHOOSE(CONTROL!$C$22, $C$13, 100%, $E$13)</f>
        <v>7.4088000000000003</v>
      </c>
      <c r="F416" s="64">
        <f>7.4088 * CHOOSE(CONTROL!$C$22, $C$13, 100%, $E$13)</f>
        <v>7.4088000000000003</v>
      </c>
      <c r="G416" s="64">
        <f>7.4109 * CHOOSE(CONTROL!$C$22, $C$13, 100%, $E$13)</f>
        <v>7.4108999999999998</v>
      </c>
      <c r="H416" s="64">
        <f>12.958* CHOOSE(CONTROL!$C$22, $C$13, 100%, $E$13)</f>
        <v>12.958</v>
      </c>
      <c r="I416" s="64">
        <f>12.9602 * CHOOSE(CONTROL!$C$22, $C$13, 100%, $E$13)</f>
        <v>12.9602</v>
      </c>
      <c r="J416" s="64">
        <f>7.4088 * CHOOSE(CONTROL!$C$22, $C$13, 100%, $E$13)</f>
        <v>7.4088000000000003</v>
      </c>
      <c r="K416" s="64">
        <f>7.4109 * CHOOSE(CONTROL!$C$22, $C$13, 100%, $E$13)</f>
        <v>7.4108999999999998</v>
      </c>
    </row>
    <row r="417" spans="1:11" ht="15">
      <c r="A417" s="13">
        <v>54332</v>
      </c>
      <c r="B417" s="63">
        <f>6.427 * CHOOSE(CONTROL!$C$22, $C$13, 100%, $E$13)</f>
        <v>6.4269999999999996</v>
      </c>
      <c r="C417" s="63">
        <f>6.427 * CHOOSE(CONTROL!$C$22, $C$13, 100%, $E$13)</f>
        <v>6.4269999999999996</v>
      </c>
      <c r="D417" s="63">
        <f>6.4447 * CHOOSE(CONTROL!$C$22, $C$13, 100%, $E$13)</f>
        <v>6.4447000000000001</v>
      </c>
      <c r="E417" s="64">
        <f>7.4291 * CHOOSE(CONTROL!$C$22, $C$13, 100%, $E$13)</f>
        <v>7.4291</v>
      </c>
      <c r="F417" s="64">
        <f>7.4291 * CHOOSE(CONTROL!$C$22, $C$13, 100%, $E$13)</f>
        <v>7.4291</v>
      </c>
      <c r="G417" s="64">
        <f>7.4293 * CHOOSE(CONTROL!$C$22, $C$13, 100%, $E$13)</f>
        <v>7.4292999999999996</v>
      </c>
      <c r="H417" s="64">
        <f>12.985* CHOOSE(CONTROL!$C$22, $C$13, 100%, $E$13)</f>
        <v>12.984999999999999</v>
      </c>
      <c r="I417" s="64">
        <f>12.9852 * CHOOSE(CONTROL!$C$22, $C$13, 100%, $E$13)</f>
        <v>12.985200000000001</v>
      </c>
      <c r="J417" s="64">
        <f>7.4291 * CHOOSE(CONTROL!$C$22, $C$13, 100%, $E$13)</f>
        <v>7.4291</v>
      </c>
      <c r="K417" s="64">
        <f>7.4293 * CHOOSE(CONTROL!$C$22, $C$13, 100%, $E$13)</f>
        <v>7.4292999999999996</v>
      </c>
    </row>
    <row r="418" spans="1:11" ht="15">
      <c r="A418" s="13">
        <v>54363</v>
      </c>
      <c r="B418" s="63">
        <f>6.43 * CHOOSE(CONTROL!$C$22, $C$13, 100%, $E$13)</f>
        <v>6.43</v>
      </c>
      <c r="C418" s="63">
        <f>6.43 * CHOOSE(CONTROL!$C$22, $C$13, 100%, $E$13)</f>
        <v>6.43</v>
      </c>
      <c r="D418" s="63">
        <f>6.4477 * CHOOSE(CONTROL!$C$22, $C$13, 100%, $E$13)</f>
        <v>6.4477000000000002</v>
      </c>
      <c r="E418" s="64">
        <f>7.4481 * CHOOSE(CONTROL!$C$22, $C$13, 100%, $E$13)</f>
        <v>7.4481000000000002</v>
      </c>
      <c r="F418" s="64">
        <f>7.4481 * CHOOSE(CONTROL!$C$22, $C$13, 100%, $E$13)</f>
        <v>7.4481000000000002</v>
      </c>
      <c r="G418" s="64">
        <f>7.4483 * CHOOSE(CONTROL!$C$22, $C$13, 100%, $E$13)</f>
        <v>7.4482999999999997</v>
      </c>
      <c r="H418" s="64">
        <f>13.0121* CHOOSE(CONTROL!$C$22, $C$13, 100%, $E$13)</f>
        <v>13.0121</v>
      </c>
      <c r="I418" s="64">
        <f>13.0122 * CHOOSE(CONTROL!$C$22, $C$13, 100%, $E$13)</f>
        <v>13.0122</v>
      </c>
      <c r="J418" s="64">
        <f>7.4481 * CHOOSE(CONTROL!$C$22, $C$13, 100%, $E$13)</f>
        <v>7.4481000000000002</v>
      </c>
      <c r="K418" s="64">
        <f>7.4483 * CHOOSE(CONTROL!$C$22, $C$13, 100%, $E$13)</f>
        <v>7.4482999999999997</v>
      </c>
    </row>
    <row r="419" spans="1:11" ht="15">
      <c r="A419" s="13">
        <v>54393</v>
      </c>
      <c r="B419" s="63">
        <f>6.43 * CHOOSE(CONTROL!$C$22, $C$13, 100%, $E$13)</f>
        <v>6.43</v>
      </c>
      <c r="C419" s="63">
        <f>6.43 * CHOOSE(CONTROL!$C$22, $C$13, 100%, $E$13)</f>
        <v>6.43</v>
      </c>
      <c r="D419" s="63">
        <f>6.4477 * CHOOSE(CONTROL!$C$22, $C$13, 100%, $E$13)</f>
        <v>6.4477000000000002</v>
      </c>
      <c r="E419" s="64">
        <f>7.4059 * CHOOSE(CONTROL!$C$22, $C$13, 100%, $E$13)</f>
        <v>7.4058999999999999</v>
      </c>
      <c r="F419" s="64">
        <f>7.4059 * CHOOSE(CONTROL!$C$22, $C$13, 100%, $E$13)</f>
        <v>7.4058999999999999</v>
      </c>
      <c r="G419" s="64">
        <f>7.4061 * CHOOSE(CONTROL!$C$22, $C$13, 100%, $E$13)</f>
        <v>7.4061000000000003</v>
      </c>
      <c r="H419" s="64">
        <f>13.0392* CHOOSE(CONTROL!$C$22, $C$13, 100%, $E$13)</f>
        <v>13.039199999999999</v>
      </c>
      <c r="I419" s="64">
        <f>13.0393 * CHOOSE(CONTROL!$C$22, $C$13, 100%, $E$13)</f>
        <v>13.039300000000001</v>
      </c>
      <c r="J419" s="64">
        <f>7.4059 * CHOOSE(CONTROL!$C$22, $C$13, 100%, $E$13)</f>
        <v>7.4058999999999999</v>
      </c>
      <c r="K419" s="64">
        <f>7.4061 * CHOOSE(CONTROL!$C$22, $C$13, 100%, $E$13)</f>
        <v>7.4061000000000003</v>
      </c>
    </row>
    <row r="420" spans="1:11" ht="15">
      <c r="A420" s="13">
        <v>54424</v>
      </c>
      <c r="B420" s="63">
        <f>6.4879 * CHOOSE(CONTROL!$C$22, $C$13, 100%, $E$13)</f>
        <v>6.4878999999999998</v>
      </c>
      <c r="C420" s="63">
        <f>6.4879 * CHOOSE(CONTROL!$C$22, $C$13, 100%, $E$13)</f>
        <v>6.4878999999999998</v>
      </c>
      <c r="D420" s="63">
        <f>6.5055 * CHOOSE(CONTROL!$C$22, $C$13, 100%, $E$13)</f>
        <v>6.5054999999999996</v>
      </c>
      <c r="E420" s="64">
        <f>7.5031 * CHOOSE(CONTROL!$C$22, $C$13, 100%, $E$13)</f>
        <v>7.5030999999999999</v>
      </c>
      <c r="F420" s="64">
        <f>7.5031 * CHOOSE(CONTROL!$C$22, $C$13, 100%, $E$13)</f>
        <v>7.5030999999999999</v>
      </c>
      <c r="G420" s="64">
        <f>7.5032 * CHOOSE(CONTROL!$C$22, $C$13, 100%, $E$13)</f>
        <v>7.5031999999999996</v>
      </c>
      <c r="H420" s="64">
        <f>13.0663* CHOOSE(CONTROL!$C$22, $C$13, 100%, $E$13)</f>
        <v>13.0663</v>
      </c>
      <c r="I420" s="64">
        <f>13.0665 * CHOOSE(CONTROL!$C$22, $C$13, 100%, $E$13)</f>
        <v>13.0665</v>
      </c>
      <c r="J420" s="64">
        <f>7.5031 * CHOOSE(CONTROL!$C$22, $C$13, 100%, $E$13)</f>
        <v>7.5030999999999999</v>
      </c>
      <c r="K420" s="64">
        <f>7.5032 * CHOOSE(CONTROL!$C$22, $C$13, 100%, $E$13)</f>
        <v>7.5031999999999996</v>
      </c>
    </row>
    <row r="421" spans="1:11" ht="15">
      <c r="A421" s="13">
        <v>54455</v>
      </c>
      <c r="B421" s="63">
        <f>6.4848 * CHOOSE(CONTROL!$C$22, $C$13, 100%, $E$13)</f>
        <v>6.4847999999999999</v>
      </c>
      <c r="C421" s="63">
        <f>6.4848 * CHOOSE(CONTROL!$C$22, $C$13, 100%, $E$13)</f>
        <v>6.4847999999999999</v>
      </c>
      <c r="D421" s="63">
        <f>6.5025 * CHOOSE(CONTROL!$C$22, $C$13, 100%, $E$13)</f>
        <v>6.5025000000000004</v>
      </c>
      <c r="E421" s="64">
        <f>7.419 * CHOOSE(CONTROL!$C$22, $C$13, 100%, $E$13)</f>
        <v>7.4189999999999996</v>
      </c>
      <c r="F421" s="64">
        <f>7.419 * CHOOSE(CONTROL!$C$22, $C$13, 100%, $E$13)</f>
        <v>7.4189999999999996</v>
      </c>
      <c r="G421" s="64">
        <f>7.4192 * CHOOSE(CONTROL!$C$22, $C$13, 100%, $E$13)</f>
        <v>7.4192</v>
      </c>
      <c r="H421" s="64">
        <f>13.0936* CHOOSE(CONTROL!$C$22, $C$13, 100%, $E$13)</f>
        <v>13.0936</v>
      </c>
      <c r="I421" s="64">
        <f>13.0937 * CHOOSE(CONTROL!$C$22, $C$13, 100%, $E$13)</f>
        <v>13.0937</v>
      </c>
      <c r="J421" s="64">
        <f>7.419 * CHOOSE(CONTROL!$C$22, $C$13, 100%, $E$13)</f>
        <v>7.4189999999999996</v>
      </c>
      <c r="K421" s="64">
        <f>7.4192 * CHOOSE(CONTROL!$C$22, $C$13, 100%, $E$13)</f>
        <v>7.4192</v>
      </c>
    </row>
    <row r="422" spans="1:11" ht="15">
      <c r="A422" s="13">
        <v>54483</v>
      </c>
      <c r="B422" s="63">
        <f>6.4818 * CHOOSE(CONTROL!$C$22, $C$13, 100%, $E$13)</f>
        <v>6.4817999999999998</v>
      </c>
      <c r="C422" s="63">
        <f>6.4818 * CHOOSE(CONTROL!$C$22, $C$13, 100%, $E$13)</f>
        <v>6.4817999999999998</v>
      </c>
      <c r="D422" s="63">
        <f>6.4995 * CHOOSE(CONTROL!$C$22, $C$13, 100%, $E$13)</f>
        <v>6.4995000000000003</v>
      </c>
      <c r="E422" s="64">
        <f>7.4815 * CHOOSE(CONTROL!$C$22, $C$13, 100%, $E$13)</f>
        <v>7.4814999999999996</v>
      </c>
      <c r="F422" s="64">
        <f>7.4815 * CHOOSE(CONTROL!$C$22, $C$13, 100%, $E$13)</f>
        <v>7.4814999999999996</v>
      </c>
      <c r="G422" s="64">
        <f>7.4817 * CHOOSE(CONTROL!$C$22, $C$13, 100%, $E$13)</f>
        <v>7.4817</v>
      </c>
      <c r="H422" s="64">
        <f>13.1208* CHOOSE(CONTROL!$C$22, $C$13, 100%, $E$13)</f>
        <v>13.120799999999999</v>
      </c>
      <c r="I422" s="64">
        <f>13.121 * CHOOSE(CONTROL!$C$22, $C$13, 100%, $E$13)</f>
        <v>13.121</v>
      </c>
      <c r="J422" s="64">
        <f>7.4815 * CHOOSE(CONTROL!$C$22, $C$13, 100%, $E$13)</f>
        <v>7.4814999999999996</v>
      </c>
      <c r="K422" s="64">
        <f>7.4817 * CHOOSE(CONTROL!$C$22, $C$13, 100%, $E$13)</f>
        <v>7.4817</v>
      </c>
    </row>
    <row r="423" spans="1:11" ht="15">
      <c r="A423" s="13">
        <v>54514</v>
      </c>
      <c r="B423" s="63">
        <f>6.4817 * CHOOSE(CONTROL!$C$22, $C$13, 100%, $E$13)</f>
        <v>6.4817</v>
      </c>
      <c r="C423" s="63">
        <f>6.4817 * CHOOSE(CONTROL!$C$22, $C$13, 100%, $E$13)</f>
        <v>6.4817</v>
      </c>
      <c r="D423" s="63">
        <f>6.4993 * CHOOSE(CONTROL!$C$22, $C$13, 100%, $E$13)</f>
        <v>6.4992999999999999</v>
      </c>
      <c r="E423" s="64">
        <f>7.5466 * CHOOSE(CONTROL!$C$22, $C$13, 100%, $E$13)</f>
        <v>7.5465999999999998</v>
      </c>
      <c r="F423" s="64">
        <f>7.5466 * CHOOSE(CONTROL!$C$22, $C$13, 100%, $E$13)</f>
        <v>7.5465999999999998</v>
      </c>
      <c r="G423" s="64">
        <f>7.5468 * CHOOSE(CONTROL!$C$22, $C$13, 100%, $E$13)</f>
        <v>7.5468000000000002</v>
      </c>
      <c r="H423" s="64">
        <f>13.1482* CHOOSE(CONTROL!$C$22, $C$13, 100%, $E$13)</f>
        <v>13.148199999999999</v>
      </c>
      <c r="I423" s="64">
        <f>13.1483 * CHOOSE(CONTROL!$C$22, $C$13, 100%, $E$13)</f>
        <v>13.148300000000001</v>
      </c>
      <c r="J423" s="64">
        <f>7.5466 * CHOOSE(CONTROL!$C$22, $C$13, 100%, $E$13)</f>
        <v>7.5465999999999998</v>
      </c>
      <c r="K423" s="64">
        <f>7.5468 * CHOOSE(CONTROL!$C$22, $C$13, 100%, $E$13)</f>
        <v>7.5468000000000002</v>
      </c>
    </row>
    <row r="424" spans="1:11" ht="15">
      <c r="A424" s="13">
        <v>54544</v>
      </c>
      <c r="B424" s="63">
        <f>6.4817 * CHOOSE(CONTROL!$C$22, $C$13, 100%, $E$13)</f>
        <v>6.4817</v>
      </c>
      <c r="C424" s="63">
        <f>6.4817 * CHOOSE(CONTROL!$C$22, $C$13, 100%, $E$13)</f>
        <v>6.4817</v>
      </c>
      <c r="D424" s="63">
        <f>6.517 * CHOOSE(CONTROL!$C$22, $C$13, 100%, $E$13)</f>
        <v>6.5170000000000003</v>
      </c>
      <c r="E424" s="64">
        <f>7.5726 * CHOOSE(CONTROL!$C$22, $C$13, 100%, $E$13)</f>
        <v>7.5726000000000004</v>
      </c>
      <c r="F424" s="64">
        <f>7.5726 * CHOOSE(CONTROL!$C$22, $C$13, 100%, $E$13)</f>
        <v>7.5726000000000004</v>
      </c>
      <c r="G424" s="64">
        <f>7.5748 * CHOOSE(CONTROL!$C$22, $C$13, 100%, $E$13)</f>
        <v>7.5747999999999998</v>
      </c>
      <c r="H424" s="64">
        <f>13.1756* CHOOSE(CONTROL!$C$22, $C$13, 100%, $E$13)</f>
        <v>13.175599999999999</v>
      </c>
      <c r="I424" s="64">
        <f>13.1777 * CHOOSE(CONTROL!$C$22, $C$13, 100%, $E$13)</f>
        <v>13.1777</v>
      </c>
      <c r="J424" s="64">
        <f>7.5726 * CHOOSE(CONTROL!$C$22, $C$13, 100%, $E$13)</f>
        <v>7.5726000000000004</v>
      </c>
      <c r="K424" s="64">
        <f>7.5748 * CHOOSE(CONTROL!$C$22, $C$13, 100%, $E$13)</f>
        <v>7.5747999999999998</v>
      </c>
    </row>
    <row r="425" spans="1:11" ht="15">
      <c r="A425" s="13">
        <v>54575</v>
      </c>
      <c r="B425" s="63">
        <f>6.4877 * CHOOSE(CONTROL!$C$22, $C$13, 100%, $E$13)</f>
        <v>6.4877000000000002</v>
      </c>
      <c r="C425" s="63">
        <f>6.4877 * CHOOSE(CONTROL!$C$22, $C$13, 100%, $E$13)</f>
        <v>6.4877000000000002</v>
      </c>
      <c r="D425" s="63">
        <f>6.5231 * CHOOSE(CONTROL!$C$22, $C$13, 100%, $E$13)</f>
        <v>6.5231000000000003</v>
      </c>
      <c r="E425" s="64">
        <f>7.5509 * CHOOSE(CONTROL!$C$22, $C$13, 100%, $E$13)</f>
        <v>7.5509000000000004</v>
      </c>
      <c r="F425" s="64">
        <f>7.5509 * CHOOSE(CONTROL!$C$22, $C$13, 100%, $E$13)</f>
        <v>7.5509000000000004</v>
      </c>
      <c r="G425" s="64">
        <f>7.553 * CHOOSE(CONTROL!$C$22, $C$13, 100%, $E$13)</f>
        <v>7.5529999999999999</v>
      </c>
      <c r="H425" s="64">
        <f>13.203* CHOOSE(CONTROL!$C$22, $C$13, 100%, $E$13)</f>
        <v>13.202999999999999</v>
      </c>
      <c r="I425" s="64">
        <f>13.2052 * CHOOSE(CONTROL!$C$22, $C$13, 100%, $E$13)</f>
        <v>13.2052</v>
      </c>
      <c r="J425" s="64">
        <f>7.5509 * CHOOSE(CONTROL!$C$22, $C$13, 100%, $E$13)</f>
        <v>7.5509000000000004</v>
      </c>
      <c r="K425" s="64">
        <f>7.553 * CHOOSE(CONTROL!$C$22, $C$13, 100%, $E$13)</f>
        <v>7.5529999999999999</v>
      </c>
    </row>
    <row r="426" spans="1:11" ht="15">
      <c r="A426" s="13">
        <v>54605</v>
      </c>
      <c r="B426" s="63">
        <f>6.5949 * CHOOSE(CONTROL!$C$22, $C$13, 100%, $E$13)</f>
        <v>6.5949</v>
      </c>
      <c r="C426" s="63">
        <f>6.5949 * CHOOSE(CONTROL!$C$22, $C$13, 100%, $E$13)</f>
        <v>6.5949</v>
      </c>
      <c r="D426" s="63">
        <f>6.6302 * CHOOSE(CONTROL!$C$22, $C$13, 100%, $E$13)</f>
        <v>6.6302000000000003</v>
      </c>
      <c r="E426" s="64">
        <f>7.7 * CHOOSE(CONTROL!$C$22, $C$13, 100%, $E$13)</f>
        <v>7.7</v>
      </c>
      <c r="F426" s="64">
        <f>7.7 * CHOOSE(CONTROL!$C$22, $C$13, 100%, $E$13)</f>
        <v>7.7</v>
      </c>
      <c r="G426" s="64">
        <f>7.7022 * CHOOSE(CONTROL!$C$22, $C$13, 100%, $E$13)</f>
        <v>7.7022000000000004</v>
      </c>
      <c r="H426" s="64">
        <f>13.2305* CHOOSE(CONTROL!$C$22, $C$13, 100%, $E$13)</f>
        <v>13.230499999999999</v>
      </c>
      <c r="I426" s="64">
        <f>13.2327 * CHOOSE(CONTROL!$C$22, $C$13, 100%, $E$13)</f>
        <v>13.232699999999999</v>
      </c>
      <c r="J426" s="64">
        <f>7.7 * CHOOSE(CONTROL!$C$22, $C$13, 100%, $E$13)</f>
        <v>7.7</v>
      </c>
      <c r="K426" s="64">
        <f>7.7022 * CHOOSE(CONTROL!$C$22, $C$13, 100%, $E$13)</f>
        <v>7.7022000000000004</v>
      </c>
    </row>
    <row r="427" spans="1:11" ht="15">
      <c r="A427" s="13">
        <v>54636</v>
      </c>
      <c r="B427" s="63">
        <f>6.6016 * CHOOSE(CONTROL!$C$22, $C$13, 100%, $E$13)</f>
        <v>6.6016000000000004</v>
      </c>
      <c r="C427" s="63">
        <f>6.6016 * CHOOSE(CONTROL!$C$22, $C$13, 100%, $E$13)</f>
        <v>6.6016000000000004</v>
      </c>
      <c r="D427" s="63">
        <f>6.6369 * CHOOSE(CONTROL!$C$22, $C$13, 100%, $E$13)</f>
        <v>6.6368999999999998</v>
      </c>
      <c r="E427" s="64">
        <f>7.6266 * CHOOSE(CONTROL!$C$22, $C$13, 100%, $E$13)</f>
        <v>7.6265999999999998</v>
      </c>
      <c r="F427" s="64">
        <f>7.6266 * CHOOSE(CONTROL!$C$22, $C$13, 100%, $E$13)</f>
        <v>7.6265999999999998</v>
      </c>
      <c r="G427" s="64">
        <f>7.6288 * CHOOSE(CONTROL!$C$22, $C$13, 100%, $E$13)</f>
        <v>7.6288</v>
      </c>
      <c r="H427" s="64">
        <f>13.2581* CHOOSE(CONTROL!$C$22, $C$13, 100%, $E$13)</f>
        <v>13.258100000000001</v>
      </c>
      <c r="I427" s="64">
        <f>13.2603 * CHOOSE(CONTROL!$C$22, $C$13, 100%, $E$13)</f>
        <v>13.260300000000001</v>
      </c>
      <c r="J427" s="64">
        <f>7.6266 * CHOOSE(CONTROL!$C$22, $C$13, 100%, $E$13)</f>
        <v>7.6265999999999998</v>
      </c>
      <c r="K427" s="64">
        <f>7.6288 * CHOOSE(CONTROL!$C$22, $C$13, 100%, $E$13)</f>
        <v>7.6288</v>
      </c>
    </row>
    <row r="428" spans="1:11" ht="15">
      <c r="A428" s="13">
        <v>54667</v>
      </c>
      <c r="B428" s="63">
        <f>6.5985 * CHOOSE(CONTROL!$C$22, $C$13, 100%, $E$13)</f>
        <v>6.5984999999999996</v>
      </c>
      <c r="C428" s="63">
        <f>6.5985 * CHOOSE(CONTROL!$C$22, $C$13, 100%, $E$13)</f>
        <v>6.5984999999999996</v>
      </c>
      <c r="D428" s="63">
        <f>6.6339 * CHOOSE(CONTROL!$C$22, $C$13, 100%, $E$13)</f>
        <v>6.6338999999999997</v>
      </c>
      <c r="E428" s="64">
        <f>7.6159 * CHOOSE(CONTROL!$C$22, $C$13, 100%, $E$13)</f>
        <v>7.6158999999999999</v>
      </c>
      <c r="F428" s="64">
        <f>7.6159 * CHOOSE(CONTROL!$C$22, $C$13, 100%, $E$13)</f>
        <v>7.6158999999999999</v>
      </c>
      <c r="G428" s="64">
        <f>7.618 * CHOOSE(CONTROL!$C$22, $C$13, 100%, $E$13)</f>
        <v>7.6180000000000003</v>
      </c>
      <c r="H428" s="64">
        <f>13.2857* CHOOSE(CONTROL!$C$22, $C$13, 100%, $E$13)</f>
        <v>13.2857</v>
      </c>
      <c r="I428" s="64">
        <f>13.2879 * CHOOSE(CONTROL!$C$22, $C$13, 100%, $E$13)</f>
        <v>13.2879</v>
      </c>
      <c r="J428" s="64">
        <f>7.6159 * CHOOSE(CONTROL!$C$22, $C$13, 100%, $E$13)</f>
        <v>7.6158999999999999</v>
      </c>
      <c r="K428" s="64">
        <f>7.618 * CHOOSE(CONTROL!$C$22, $C$13, 100%, $E$13)</f>
        <v>7.6180000000000003</v>
      </c>
    </row>
    <row r="429" spans="1:11" ht="15">
      <c r="A429" s="13">
        <v>54697</v>
      </c>
      <c r="B429" s="63">
        <f>6.6025 * CHOOSE(CONTROL!$C$22, $C$13, 100%, $E$13)</f>
        <v>6.6025</v>
      </c>
      <c r="C429" s="63">
        <f>6.6025 * CHOOSE(CONTROL!$C$22, $C$13, 100%, $E$13)</f>
        <v>6.6025</v>
      </c>
      <c r="D429" s="63">
        <f>6.6202 * CHOOSE(CONTROL!$C$22, $C$13, 100%, $E$13)</f>
        <v>6.6201999999999996</v>
      </c>
      <c r="E429" s="64">
        <f>7.6371 * CHOOSE(CONTROL!$C$22, $C$13, 100%, $E$13)</f>
        <v>7.6371000000000002</v>
      </c>
      <c r="F429" s="64">
        <f>7.6371 * CHOOSE(CONTROL!$C$22, $C$13, 100%, $E$13)</f>
        <v>7.6371000000000002</v>
      </c>
      <c r="G429" s="64">
        <f>7.6373 * CHOOSE(CONTROL!$C$22, $C$13, 100%, $E$13)</f>
        <v>7.6372999999999998</v>
      </c>
      <c r="H429" s="64">
        <f>13.3134* CHOOSE(CONTROL!$C$22, $C$13, 100%, $E$13)</f>
        <v>13.3134</v>
      </c>
      <c r="I429" s="64">
        <f>13.3136 * CHOOSE(CONTROL!$C$22, $C$13, 100%, $E$13)</f>
        <v>13.313599999999999</v>
      </c>
      <c r="J429" s="64">
        <f>7.6371 * CHOOSE(CONTROL!$C$22, $C$13, 100%, $E$13)</f>
        <v>7.6371000000000002</v>
      </c>
      <c r="K429" s="64">
        <f>7.6373 * CHOOSE(CONTROL!$C$22, $C$13, 100%, $E$13)</f>
        <v>7.6372999999999998</v>
      </c>
    </row>
    <row r="430" spans="1:11" ht="15">
      <c r="A430" s="13">
        <v>54728</v>
      </c>
      <c r="B430" s="63">
        <f>6.6056 * CHOOSE(CONTROL!$C$22, $C$13, 100%, $E$13)</f>
        <v>6.6055999999999999</v>
      </c>
      <c r="C430" s="63">
        <f>6.6056 * CHOOSE(CONTROL!$C$22, $C$13, 100%, $E$13)</f>
        <v>6.6055999999999999</v>
      </c>
      <c r="D430" s="63">
        <f>6.6232 * CHOOSE(CONTROL!$C$22, $C$13, 100%, $E$13)</f>
        <v>6.6231999999999998</v>
      </c>
      <c r="E430" s="64">
        <f>7.6566 * CHOOSE(CONTROL!$C$22, $C$13, 100%, $E$13)</f>
        <v>7.6566000000000001</v>
      </c>
      <c r="F430" s="64">
        <f>7.6566 * CHOOSE(CONTROL!$C$22, $C$13, 100%, $E$13)</f>
        <v>7.6566000000000001</v>
      </c>
      <c r="G430" s="64">
        <f>7.6568 * CHOOSE(CONTROL!$C$22, $C$13, 100%, $E$13)</f>
        <v>7.6567999999999996</v>
      </c>
      <c r="H430" s="64">
        <f>13.3411* CHOOSE(CONTROL!$C$22, $C$13, 100%, $E$13)</f>
        <v>13.341100000000001</v>
      </c>
      <c r="I430" s="64">
        <f>13.3413 * CHOOSE(CONTROL!$C$22, $C$13, 100%, $E$13)</f>
        <v>13.3413</v>
      </c>
      <c r="J430" s="64">
        <f>7.6566 * CHOOSE(CONTROL!$C$22, $C$13, 100%, $E$13)</f>
        <v>7.6566000000000001</v>
      </c>
      <c r="K430" s="64">
        <f>7.6568 * CHOOSE(CONTROL!$C$22, $C$13, 100%, $E$13)</f>
        <v>7.6567999999999996</v>
      </c>
    </row>
    <row r="431" spans="1:11" ht="15">
      <c r="A431" s="13">
        <v>54758</v>
      </c>
      <c r="B431" s="63">
        <f>6.6056 * CHOOSE(CONTROL!$C$22, $C$13, 100%, $E$13)</f>
        <v>6.6055999999999999</v>
      </c>
      <c r="C431" s="63">
        <f>6.6056 * CHOOSE(CONTROL!$C$22, $C$13, 100%, $E$13)</f>
        <v>6.6055999999999999</v>
      </c>
      <c r="D431" s="63">
        <f>6.6232 * CHOOSE(CONTROL!$C$22, $C$13, 100%, $E$13)</f>
        <v>6.6231999999999998</v>
      </c>
      <c r="E431" s="64">
        <f>7.6132 * CHOOSE(CONTROL!$C$22, $C$13, 100%, $E$13)</f>
        <v>7.6132</v>
      </c>
      <c r="F431" s="64">
        <f>7.6132 * CHOOSE(CONTROL!$C$22, $C$13, 100%, $E$13)</f>
        <v>7.6132</v>
      </c>
      <c r="G431" s="64">
        <f>7.6134 * CHOOSE(CONTROL!$C$22, $C$13, 100%, $E$13)</f>
        <v>7.6134000000000004</v>
      </c>
      <c r="H431" s="64">
        <f>13.3689* CHOOSE(CONTROL!$C$22, $C$13, 100%, $E$13)</f>
        <v>13.3689</v>
      </c>
      <c r="I431" s="64">
        <f>13.3691 * CHOOSE(CONTROL!$C$22, $C$13, 100%, $E$13)</f>
        <v>13.3691</v>
      </c>
      <c r="J431" s="64">
        <f>7.6132 * CHOOSE(CONTROL!$C$22, $C$13, 100%, $E$13)</f>
        <v>7.6132</v>
      </c>
      <c r="K431" s="64">
        <f>7.6134 * CHOOSE(CONTROL!$C$22, $C$13, 100%, $E$13)</f>
        <v>7.6134000000000004</v>
      </c>
    </row>
    <row r="432" spans="1:11" ht="15">
      <c r="A432" s="13">
        <v>54789</v>
      </c>
      <c r="B432" s="63">
        <f>6.6648 * CHOOSE(CONTROL!$C$22, $C$13, 100%, $E$13)</f>
        <v>6.6647999999999996</v>
      </c>
      <c r="C432" s="63">
        <f>6.6648 * CHOOSE(CONTROL!$C$22, $C$13, 100%, $E$13)</f>
        <v>6.6647999999999996</v>
      </c>
      <c r="D432" s="63">
        <f>6.6825 * CHOOSE(CONTROL!$C$22, $C$13, 100%, $E$13)</f>
        <v>6.6825000000000001</v>
      </c>
      <c r="E432" s="64">
        <f>7.713 * CHOOSE(CONTROL!$C$22, $C$13, 100%, $E$13)</f>
        <v>7.7130000000000001</v>
      </c>
      <c r="F432" s="64">
        <f>7.713 * CHOOSE(CONTROL!$C$22, $C$13, 100%, $E$13)</f>
        <v>7.7130000000000001</v>
      </c>
      <c r="G432" s="64">
        <f>7.7132 * CHOOSE(CONTROL!$C$22, $C$13, 100%, $E$13)</f>
        <v>7.7131999999999996</v>
      </c>
      <c r="H432" s="64">
        <f>13.3968* CHOOSE(CONTROL!$C$22, $C$13, 100%, $E$13)</f>
        <v>13.396800000000001</v>
      </c>
      <c r="I432" s="64">
        <f>13.3969 * CHOOSE(CONTROL!$C$22, $C$13, 100%, $E$13)</f>
        <v>13.3969</v>
      </c>
      <c r="J432" s="64">
        <f>7.713 * CHOOSE(CONTROL!$C$22, $C$13, 100%, $E$13)</f>
        <v>7.7130000000000001</v>
      </c>
      <c r="K432" s="64">
        <f>7.7132 * CHOOSE(CONTROL!$C$22, $C$13, 100%, $E$13)</f>
        <v>7.7131999999999996</v>
      </c>
    </row>
    <row r="433" spans="1:11" ht="15">
      <c r="A433" s="13">
        <v>54820</v>
      </c>
      <c r="B433" s="63">
        <f>6.6618 * CHOOSE(CONTROL!$C$22, $C$13, 100%, $E$13)</f>
        <v>6.6618000000000004</v>
      </c>
      <c r="C433" s="63">
        <f>6.6618 * CHOOSE(CONTROL!$C$22, $C$13, 100%, $E$13)</f>
        <v>6.6618000000000004</v>
      </c>
      <c r="D433" s="63">
        <f>6.6795 * CHOOSE(CONTROL!$C$22, $C$13, 100%, $E$13)</f>
        <v>6.6795</v>
      </c>
      <c r="E433" s="64">
        <f>7.6267 * CHOOSE(CONTROL!$C$22, $C$13, 100%, $E$13)</f>
        <v>7.6266999999999996</v>
      </c>
      <c r="F433" s="64">
        <f>7.6267 * CHOOSE(CONTROL!$C$22, $C$13, 100%, $E$13)</f>
        <v>7.6266999999999996</v>
      </c>
      <c r="G433" s="64">
        <f>7.6268 * CHOOSE(CONTROL!$C$22, $C$13, 100%, $E$13)</f>
        <v>7.6268000000000002</v>
      </c>
      <c r="H433" s="64">
        <f>13.4247* CHOOSE(CONTROL!$C$22, $C$13, 100%, $E$13)</f>
        <v>13.4247</v>
      </c>
      <c r="I433" s="64">
        <f>13.4248 * CHOOSE(CONTROL!$C$22, $C$13, 100%, $E$13)</f>
        <v>13.424799999999999</v>
      </c>
      <c r="J433" s="64">
        <f>7.6267 * CHOOSE(CONTROL!$C$22, $C$13, 100%, $E$13)</f>
        <v>7.6266999999999996</v>
      </c>
      <c r="K433" s="64">
        <f>7.6268 * CHOOSE(CONTROL!$C$22, $C$13, 100%, $E$13)</f>
        <v>7.6268000000000002</v>
      </c>
    </row>
    <row r="434" spans="1:11" ht="15">
      <c r="A434" s="13">
        <v>54848</v>
      </c>
      <c r="B434" s="63">
        <f>6.6588 * CHOOSE(CONTROL!$C$22, $C$13, 100%, $E$13)</f>
        <v>6.6588000000000003</v>
      </c>
      <c r="C434" s="63">
        <f>6.6588 * CHOOSE(CONTROL!$C$22, $C$13, 100%, $E$13)</f>
        <v>6.6588000000000003</v>
      </c>
      <c r="D434" s="63">
        <f>6.6764 * CHOOSE(CONTROL!$C$22, $C$13, 100%, $E$13)</f>
        <v>6.6764000000000001</v>
      </c>
      <c r="E434" s="64">
        <f>7.691 * CHOOSE(CONTROL!$C$22, $C$13, 100%, $E$13)</f>
        <v>7.6909999999999998</v>
      </c>
      <c r="F434" s="64">
        <f>7.691 * CHOOSE(CONTROL!$C$22, $C$13, 100%, $E$13)</f>
        <v>7.6909999999999998</v>
      </c>
      <c r="G434" s="64">
        <f>7.6911 * CHOOSE(CONTROL!$C$22, $C$13, 100%, $E$13)</f>
        <v>7.6910999999999996</v>
      </c>
      <c r="H434" s="64">
        <f>13.4526* CHOOSE(CONTROL!$C$22, $C$13, 100%, $E$13)</f>
        <v>13.4526</v>
      </c>
      <c r="I434" s="64">
        <f>13.4528 * CHOOSE(CONTROL!$C$22, $C$13, 100%, $E$13)</f>
        <v>13.4528</v>
      </c>
      <c r="J434" s="64">
        <f>7.691 * CHOOSE(CONTROL!$C$22, $C$13, 100%, $E$13)</f>
        <v>7.6909999999999998</v>
      </c>
      <c r="K434" s="64">
        <f>7.6911 * CHOOSE(CONTROL!$C$22, $C$13, 100%, $E$13)</f>
        <v>7.6910999999999996</v>
      </c>
    </row>
    <row r="435" spans="1:11" ht="15">
      <c r="A435" s="13">
        <v>54879</v>
      </c>
      <c r="B435" s="63">
        <f>6.6588 * CHOOSE(CONTROL!$C$22, $C$13, 100%, $E$13)</f>
        <v>6.6588000000000003</v>
      </c>
      <c r="C435" s="63">
        <f>6.6588 * CHOOSE(CONTROL!$C$22, $C$13, 100%, $E$13)</f>
        <v>6.6588000000000003</v>
      </c>
      <c r="D435" s="63">
        <f>6.6764 * CHOOSE(CONTROL!$C$22, $C$13, 100%, $E$13)</f>
        <v>6.6764000000000001</v>
      </c>
      <c r="E435" s="64">
        <f>7.758 * CHOOSE(CONTROL!$C$22, $C$13, 100%, $E$13)</f>
        <v>7.758</v>
      </c>
      <c r="F435" s="64">
        <f>7.758 * CHOOSE(CONTROL!$C$22, $C$13, 100%, $E$13)</f>
        <v>7.758</v>
      </c>
      <c r="G435" s="64">
        <f>7.7582 * CHOOSE(CONTROL!$C$22, $C$13, 100%, $E$13)</f>
        <v>7.7582000000000004</v>
      </c>
      <c r="H435" s="64">
        <f>13.4807* CHOOSE(CONTROL!$C$22, $C$13, 100%, $E$13)</f>
        <v>13.480700000000001</v>
      </c>
      <c r="I435" s="64">
        <f>13.4808 * CHOOSE(CONTROL!$C$22, $C$13, 100%, $E$13)</f>
        <v>13.4808</v>
      </c>
      <c r="J435" s="64">
        <f>7.758 * CHOOSE(CONTROL!$C$22, $C$13, 100%, $E$13)</f>
        <v>7.758</v>
      </c>
      <c r="K435" s="64">
        <f>7.7582 * CHOOSE(CONTROL!$C$22, $C$13, 100%, $E$13)</f>
        <v>7.7582000000000004</v>
      </c>
    </row>
    <row r="436" spans="1:11" ht="15">
      <c r="A436" s="13">
        <v>54909</v>
      </c>
      <c r="B436" s="63">
        <f>6.6588 * CHOOSE(CONTROL!$C$22, $C$13, 100%, $E$13)</f>
        <v>6.6588000000000003</v>
      </c>
      <c r="C436" s="63">
        <f>6.6588 * CHOOSE(CONTROL!$C$22, $C$13, 100%, $E$13)</f>
        <v>6.6588000000000003</v>
      </c>
      <c r="D436" s="63">
        <f>6.6941 * CHOOSE(CONTROL!$C$22, $C$13, 100%, $E$13)</f>
        <v>6.6940999999999997</v>
      </c>
      <c r="E436" s="64">
        <f>7.7848 * CHOOSE(CONTROL!$C$22, $C$13, 100%, $E$13)</f>
        <v>7.7847999999999997</v>
      </c>
      <c r="F436" s="64">
        <f>7.7848 * CHOOSE(CONTROL!$C$22, $C$13, 100%, $E$13)</f>
        <v>7.7847999999999997</v>
      </c>
      <c r="G436" s="64">
        <f>7.787 * CHOOSE(CONTROL!$C$22, $C$13, 100%, $E$13)</f>
        <v>7.7869999999999999</v>
      </c>
      <c r="H436" s="64">
        <f>13.5087* CHOOSE(CONTROL!$C$22, $C$13, 100%, $E$13)</f>
        <v>13.508699999999999</v>
      </c>
      <c r="I436" s="64">
        <f>13.5109 * CHOOSE(CONTROL!$C$22, $C$13, 100%, $E$13)</f>
        <v>13.510899999999999</v>
      </c>
      <c r="J436" s="64">
        <f>7.7848 * CHOOSE(CONTROL!$C$22, $C$13, 100%, $E$13)</f>
        <v>7.7847999999999997</v>
      </c>
      <c r="K436" s="64">
        <f>7.787 * CHOOSE(CONTROL!$C$22, $C$13, 100%, $E$13)</f>
        <v>7.7869999999999999</v>
      </c>
    </row>
    <row r="437" spans="1:11" ht="15">
      <c r="A437" s="13">
        <v>54940</v>
      </c>
      <c r="B437" s="63">
        <f>6.6649 * CHOOSE(CONTROL!$C$22, $C$13, 100%, $E$13)</f>
        <v>6.6649000000000003</v>
      </c>
      <c r="C437" s="63">
        <f>6.6649 * CHOOSE(CONTROL!$C$22, $C$13, 100%, $E$13)</f>
        <v>6.6649000000000003</v>
      </c>
      <c r="D437" s="63">
        <f>6.7002 * CHOOSE(CONTROL!$C$22, $C$13, 100%, $E$13)</f>
        <v>6.7001999999999997</v>
      </c>
      <c r="E437" s="64">
        <f>7.7623 * CHOOSE(CONTROL!$C$22, $C$13, 100%, $E$13)</f>
        <v>7.7622999999999998</v>
      </c>
      <c r="F437" s="64">
        <f>7.7623 * CHOOSE(CONTROL!$C$22, $C$13, 100%, $E$13)</f>
        <v>7.7622999999999998</v>
      </c>
      <c r="G437" s="64">
        <f>7.7645 * CHOOSE(CONTROL!$C$22, $C$13, 100%, $E$13)</f>
        <v>7.7645</v>
      </c>
      <c r="H437" s="64">
        <f>13.5369* CHOOSE(CONTROL!$C$22, $C$13, 100%, $E$13)</f>
        <v>13.536899999999999</v>
      </c>
      <c r="I437" s="64">
        <f>13.5391 * CHOOSE(CONTROL!$C$22, $C$13, 100%, $E$13)</f>
        <v>13.539099999999999</v>
      </c>
      <c r="J437" s="64">
        <f>7.7623 * CHOOSE(CONTROL!$C$22, $C$13, 100%, $E$13)</f>
        <v>7.7622999999999998</v>
      </c>
      <c r="K437" s="64">
        <f>7.7645 * CHOOSE(CONTROL!$C$22, $C$13, 100%, $E$13)</f>
        <v>7.7645</v>
      </c>
    </row>
    <row r="438" spans="1:11" ht="15">
      <c r="A438" s="13">
        <v>54970</v>
      </c>
      <c r="B438" s="63">
        <f>6.7747 * CHOOSE(CONTROL!$C$22, $C$13, 100%, $E$13)</f>
        <v>6.7747000000000002</v>
      </c>
      <c r="C438" s="63">
        <f>6.7747 * CHOOSE(CONTROL!$C$22, $C$13, 100%, $E$13)</f>
        <v>6.7747000000000002</v>
      </c>
      <c r="D438" s="63">
        <f>6.81 * CHOOSE(CONTROL!$C$22, $C$13, 100%, $E$13)</f>
        <v>6.81</v>
      </c>
      <c r="E438" s="64">
        <f>7.9154 * CHOOSE(CONTROL!$C$22, $C$13, 100%, $E$13)</f>
        <v>7.9154</v>
      </c>
      <c r="F438" s="64">
        <f>7.9154 * CHOOSE(CONTROL!$C$22, $C$13, 100%, $E$13)</f>
        <v>7.9154</v>
      </c>
      <c r="G438" s="64">
        <f>7.9176 * CHOOSE(CONTROL!$C$22, $C$13, 100%, $E$13)</f>
        <v>7.9176000000000002</v>
      </c>
      <c r="H438" s="64">
        <f>13.5651* CHOOSE(CONTROL!$C$22, $C$13, 100%, $E$13)</f>
        <v>13.565099999999999</v>
      </c>
      <c r="I438" s="64">
        <f>13.5673 * CHOOSE(CONTROL!$C$22, $C$13, 100%, $E$13)</f>
        <v>13.567299999999999</v>
      </c>
      <c r="J438" s="64">
        <f>7.9154 * CHOOSE(CONTROL!$C$22, $C$13, 100%, $E$13)</f>
        <v>7.9154</v>
      </c>
      <c r="K438" s="64">
        <f>7.9176 * CHOOSE(CONTROL!$C$22, $C$13, 100%, $E$13)</f>
        <v>7.9176000000000002</v>
      </c>
    </row>
    <row r="439" spans="1:11" ht="15">
      <c r="A439" s="13">
        <v>55001</v>
      </c>
      <c r="B439" s="63">
        <f>6.7813 * CHOOSE(CONTROL!$C$22, $C$13, 100%, $E$13)</f>
        <v>6.7812999999999999</v>
      </c>
      <c r="C439" s="63">
        <f>6.7813 * CHOOSE(CONTROL!$C$22, $C$13, 100%, $E$13)</f>
        <v>6.7812999999999999</v>
      </c>
      <c r="D439" s="63">
        <f>6.8167 * CHOOSE(CONTROL!$C$22, $C$13, 100%, $E$13)</f>
        <v>6.8167</v>
      </c>
      <c r="E439" s="64">
        <f>7.8398 * CHOOSE(CONTROL!$C$22, $C$13, 100%, $E$13)</f>
        <v>7.8398000000000003</v>
      </c>
      <c r="F439" s="64">
        <f>7.8398 * CHOOSE(CONTROL!$C$22, $C$13, 100%, $E$13)</f>
        <v>7.8398000000000003</v>
      </c>
      <c r="G439" s="64">
        <f>7.842 * CHOOSE(CONTROL!$C$22, $C$13, 100%, $E$13)</f>
        <v>7.8419999999999996</v>
      </c>
      <c r="H439" s="64">
        <f>13.5934* CHOOSE(CONTROL!$C$22, $C$13, 100%, $E$13)</f>
        <v>13.593400000000001</v>
      </c>
      <c r="I439" s="64">
        <f>13.5955 * CHOOSE(CONTROL!$C$22, $C$13, 100%, $E$13)</f>
        <v>13.595499999999999</v>
      </c>
      <c r="J439" s="64">
        <f>7.8398 * CHOOSE(CONTROL!$C$22, $C$13, 100%, $E$13)</f>
        <v>7.8398000000000003</v>
      </c>
      <c r="K439" s="64">
        <f>7.842 * CHOOSE(CONTROL!$C$22, $C$13, 100%, $E$13)</f>
        <v>7.8419999999999996</v>
      </c>
    </row>
    <row r="440" spans="1:11" ht="15">
      <c r="A440" s="13">
        <v>55032</v>
      </c>
      <c r="B440" s="63">
        <f>6.7783 * CHOOSE(CONTROL!$C$22, $C$13, 100%, $E$13)</f>
        <v>6.7782999999999998</v>
      </c>
      <c r="C440" s="63">
        <f>6.7783 * CHOOSE(CONTROL!$C$22, $C$13, 100%, $E$13)</f>
        <v>6.7782999999999998</v>
      </c>
      <c r="D440" s="63">
        <f>6.8136 * CHOOSE(CONTROL!$C$22, $C$13, 100%, $E$13)</f>
        <v>6.8136000000000001</v>
      </c>
      <c r="E440" s="64">
        <f>7.8288 * CHOOSE(CONTROL!$C$22, $C$13, 100%, $E$13)</f>
        <v>7.8288000000000002</v>
      </c>
      <c r="F440" s="64">
        <f>7.8288 * CHOOSE(CONTROL!$C$22, $C$13, 100%, $E$13)</f>
        <v>7.8288000000000002</v>
      </c>
      <c r="G440" s="64">
        <f>7.8309 * CHOOSE(CONTROL!$C$22, $C$13, 100%, $E$13)</f>
        <v>7.8308999999999997</v>
      </c>
      <c r="H440" s="64">
        <f>13.6217* CHOOSE(CONTROL!$C$22, $C$13, 100%, $E$13)</f>
        <v>13.621700000000001</v>
      </c>
      <c r="I440" s="64">
        <f>13.6239 * CHOOSE(CONTROL!$C$22, $C$13, 100%, $E$13)</f>
        <v>13.623900000000001</v>
      </c>
      <c r="J440" s="64">
        <f>7.8288 * CHOOSE(CONTROL!$C$22, $C$13, 100%, $E$13)</f>
        <v>7.8288000000000002</v>
      </c>
      <c r="K440" s="64">
        <f>7.8309 * CHOOSE(CONTROL!$C$22, $C$13, 100%, $E$13)</f>
        <v>7.8308999999999997</v>
      </c>
    </row>
    <row r="441" spans="1:11" ht="15">
      <c r="A441" s="13">
        <v>55062</v>
      </c>
      <c r="B441" s="63">
        <f>6.7829 * CHOOSE(CONTROL!$C$22, $C$13, 100%, $E$13)</f>
        <v>6.7828999999999997</v>
      </c>
      <c r="C441" s="63">
        <f>6.7829 * CHOOSE(CONTROL!$C$22, $C$13, 100%, $E$13)</f>
        <v>6.7828999999999997</v>
      </c>
      <c r="D441" s="63">
        <f>6.8005 * CHOOSE(CONTROL!$C$22, $C$13, 100%, $E$13)</f>
        <v>6.8005000000000004</v>
      </c>
      <c r="E441" s="64">
        <f>7.851 * CHOOSE(CONTROL!$C$22, $C$13, 100%, $E$13)</f>
        <v>7.851</v>
      </c>
      <c r="F441" s="64">
        <f>7.851 * CHOOSE(CONTROL!$C$22, $C$13, 100%, $E$13)</f>
        <v>7.851</v>
      </c>
      <c r="G441" s="64">
        <f>7.8512 * CHOOSE(CONTROL!$C$22, $C$13, 100%, $E$13)</f>
        <v>7.8512000000000004</v>
      </c>
      <c r="H441" s="64">
        <f>13.6501* CHOOSE(CONTROL!$C$22, $C$13, 100%, $E$13)</f>
        <v>13.6501</v>
      </c>
      <c r="I441" s="64">
        <f>13.6502 * CHOOSE(CONTROL!$C$22, $C$13, 100%, $E$13)</f>
        <v>13.6502</v>
      </c>
      <c r="J441" s="64">
        <f>7.851 * CHOOSE(CONTROL!$C$22, $C$13, 100%, $E$13)</f>
        <v>7.851</v>
      </c>
      <c r="K441" s="64">
        <f>7.8512 * CHOOSE(CONTROL!$C$22, $C$13, 100%, $E$13)</f>
        <v>7.8512000000000004</v>
      </c>
    </row>
    <row r="442" spans="1:11" ht="15">
      <c r="A442" s="13">
        <v>55093</v>
      </c>
      <c r="B442" s="63">
        <f>6.7859 * CHOOSE(CONTROL!$C$22, $C$13, 100%, $E$13)</f>
        <v>6.7858999999999998</v>
      </c>
      <c r="C442" s="63">
        <f>6.7859 * CHOOSE(CONTROL!$C$22, $C$13, 100%, $E$13)</f>
        <v>6.7858999999999998</v>
      </c>
      <c r="D442" s="63">
        <f>6.8036 * CHOOSE(CONTROL!$C$22, $C$13, 100%, $E$13)</f>
        <v>6.8036000000000003</v>
      </c>
      <c r="E442" s="64">
        <f>7.8709 * CHOOSE(CONTROL!$C$22, $C$13, 100%, $E$13)</f>
        <v>7.8708999999999998</v>
      </c>
      <c r="F442" s="64">
        <f>7.8709 * CHOOSE(CONTROL!$C$22, $C$13, 100%, $E$13)</f>
        <v>7.8708999999999998</v>
      </c>
      <c r="G442" s="64">
        <f>7.8711 * CHOOSE(CONTROL!$C$22, $C$13, 100%, $E$13)</f>
        <v>7.8711000000000002</v>
      </c>
      <c r="H442" s="64">
        <f>13.6785* CHOOSE(CONTROL!$C$22, $C$13, 100%, $E$13)</f>
        <v>13.6785</v>
      </c>
      <c r="I442" s="64">
        <f>13.6787 * CHOOSE(CONTROL!$C$22, $C$13, 100%, $E$13)</f>
        <v>13.678699999999999</v>
      </c>
      <c r="J442" s="64">
        <f>7.8709 * CHOOSE(CONTROL!$C$22, $C$13, 100%, $E$13)</f>
        <v>7.8708999999999998</v>
      </c>
      <c r="K442" s="64">
        <f>7.8711 * CHOOSE(CONTROL!$C$22, $C$13, 100%, $E$13)</f>
        <v>7.8711000000000002</v>
      </c>
    </row>
    <row r="443" spans="1:11" ht="15">
      <c r="A443" s="13">
        <v>55123</v>
      </c>
      <c r="B443" s="63">
        <f>6.7859 * CHOOSE(CONTROL!$C$22, $C$13, 100%, $E$13)</f>
        <v>6.7858999999999998</v>
      </c>
      <c r="C443" s="63">
        <f>6.7859 * CHOOSE(CONTROL!$C$22, $C$13, 100%, $E$13)</f>
        <v>6.7858999999999998</v>
      </c>
      <c r="D443" s="63">
        <f>6.8036 * CHOOSE(CONTROL!$C$22, $C$13, 100%, $E$13)</f>
        <v>6.8036000000000003</v>
      </c>
      <c r="E443" s="64">
        <f>7.8264 * CHOOSE(CONTROL!$C$22, $C$13, 100%, $E$13)</f>
        <v>7.8263999999999996</v>
      </c>
      <c r="F443" s="64">
        <f>7.8264 * CHOOSE(CONTROL!$C$22, $C$13, 100%, $E$13)</f>
        <v>7.8263999999999996</v>
      </c>
      <c r="G443" s="64">
        <f>7.8265 * CHOOSE(CONTROL!$C$22, $C$13, 100%, $E$13)</f>
        <v>7.8265000000000002</v>
      </c>
      <c r="H443" s="64">
        <f>13.707* CHOOSE(CONTROL!$C$22, $C$13, 100%, $E$13)</f>
        <v>13.707000000000001</v>
      </c>
      <c r="I443" s="64">
        <f>13.7072 * CHOOSE(CONTROL!$C$22, $C$13, 100%, $E$13)</f>
        <v>13.7072</v>
      </c>
      <c r="J443" s="64">
        <f>7.8264 * CHOOSE(CONTROL!$C$22, $C$13, 100%, $E$13)</f>
        <v>7.8263999999999996</v>
      </c>
      <c r="K443" s="64">
        <f>7.8265 * CHOOSE(CONTROL!$C$22, $C$13, 100%, $E$13)</f>
        <v>7.8265000000000002</v>
      </c>
    </row>
    <row r="444" spans="1:11" ht="15">
      <c r="A444" s="13">
        <v>55154</v>
      </c>
      <c r="B444" s="63">
        <f>6.8467 * CHOOSE(CONTROL!$C$22, $C$13, 100%, $E$13)</f>
        <v>6.8467000000000002</v>
      </c>
      <c r="C444" s="63">
        <f>6.8467 * CHOOSE(CONTROL!$C$22, $C$13, 100%, $E$13)</f>
        <v>6.8467000000000002</v>
      </c>
      <c r="D444" s="63">
        <f>6.8644 * CHOOSE(CONTROL!$C$22, $C$13, 100%, $E$13)</f>
        <v>6.8643999999999998</v>
      </c>
      <c r="E444" s="64">
        <f>7.9289 * CHOOSE(CONTROL!$C$22, $C$13, 100%, $E$13)</f>
        <v>7.9288999999999996</v>
      </c>
      <c r="F444" s="64">
        <f>7.9289 * CHOOSE(CONTROL!$C$22, $C$13, 100%, $E$13)</f>
        <v>7.9288999999999996</v>
      </c>
      <c r="G444" s="64">
        <f>7.929 * CHOOSE(CONTROL!$C$22, $C$13, 100%, $E$13)</f>
        <v>7.9290000000000003</v>
      </c>
      <c r="H444" s="64">
        <f>13.7355* CHOOSE(CONTROL!$C$22, $C$13, 100%, $E$13)</f>
        <v>13.7355</v>
      </c>
      <c r="I444" s="64">
        <f>13.7357 * CHOOSE(CONTROL!$C$22, $C$13, 100%, $E$13)</f>
        <v>13.7357</v>
      </c>
      <c r="J444" s="64">
        <f>7.9289 * CHOOSE(CONTROL!$C$22, $C$13, 100%, $E$13)</f>
        <v>7.9288999999999996</v>
      </c>
      <c r="K444" s="64">
        <f>7.929 * CHOOSE(CONTROL!$C$22, $C$13, 100%, $E$13)</f>
        <v>7.9290000000000003</v>
      </c>
    </row>
    <row r="445" spans="1:11" ht="15">
      <c r="A445" s="13">
        <v>55185</v>
      </c>
      <c r="B445" s="63">
        <f>6.8437 * CHOOSE(CONTROL!$C$22, $C$13, 100%, $E$13)</f>
        <v>6.8437000000000001</v>
      </c>
      <c r="C445" s="63">
        <f>6.8437 * CHOOSE(CONTROL!$C$22, $C$13, 100%, $E$13)</f>
        <v>6.8437000000000001</v>
      </c>
      <c r="D445" s="63">
        <f>6.8613 * CHOOSE(CONTROL!$C$22, $C$13, 100%, $E$13)</f>
        <v>6.8613</v>
      </c>
      <c r="E445" s="64">
        <f>7.8401 * CHOOSE(CONTROL!$C$22, $C$13, 100%, $E$13)</f>
        <v>7.8400999999999996</v>
      </c>
      <c r="F445" s="64">
        <f>7.8401 * CHOOSE(CONTROL!$C$22, $C$13, 100%, $E$13)</f>
        <v>7.8400999999999996</v>
      </c>
      <c r="G445" s="64">
        <f>7.8403 * CHOOSE(CONTROL!$C$22, $C$13, 100%, $E$13)</f>
        <v>7.8403</v>
      </c>
      <c r="H445" s="64">
        <f>13.7642* CHOOSE(CONTROL!$C$22, $C$13, 100%, $E$13)</f>
        <v>13.764200000000001</v>
      </c>
      <c r="I445" s="64">
        <f>13.7643 * CHOOSE(CONTROL!$C$22, $C$13, 100%, $E$13)</f>
        <v>13.7643</v>
      </c>
      <c r="J445" s="64">
        <f>7.8401 * CHOOSE(CONTROL!$C$22, $C$13, 100%, $E$13)</f>
        <v>7.8400999999999996</v>
      </c>
      <c r="K445" s="64">
        <f>7.8403 * CHOOSE(CONTROL!$C$22, $C$13, 100%, $E$13)</f>
        <v>7.8403</v>
      </c>
    </row>
    <row r="446" spans="1:11" ht="15">
      <c r="A446" s="13">
        <v>55213</v>
      </c>
      <c r="B446" s="63">
        <f>6.8406 * CHOOSE(CONTROL!$C$22, $C$13, 100%, $E$13)</f>
        <v>6.8406000000000002</v>
      </c>
      <c r="C446" s="63">
        <f>6.8406 * CHOOSE(CONTROL!$C$22, $C$13, 100%, $E$13)</f>
        <v>6.8406000000000002</v>
      </c>
      <c r="D446" s="63">
        <f>6.8583 * CHOOSE(CONTROL!$C$22, $C$13, 100%, $E$13)</f>
        <v>6.8582999999999998</v>
      </c>
      <c r="E446" s="64">
        <f>7.9063 * CHOOSE(CONTROL!$C$22, $C$13, 100%, $E$13)</f>
        <v>7.9062999999999999</v>
      </c>
      <c r="F446" s="64">
        <f>7.9063 * CHOOSE(CONTROL!$C$22, $C$13, 100%, $E$13)</f>
        <v>7.9062999999999999</v>
      </c>
      <c r="G446" s="64">
        <f>7.9065 * CHOOSE(CONTROL!$C$22, $C$13, 100%, $E$13)</f>
        <v>7.9065000000000003</v>
      </c>
      <c r="H446" s="64">
        <f>13.7928* CHOOSE(CONTROL!$C$22, $C$13, 100%, $E$13)</f>
        <v>13.7928</v>
      </c>
      <c r="I446" s="64">
        <f>13.793 * CHOOSE(CONTROL!$C$22, $C$13, 100%, $E$13)</f>
        <v>13.792999999999999</v>
      </c>
      <c r="J446" s="64">
        <f>7.9063 * CHOOSE(CONTROL!$C$22, $C$13, 100%, $E$13)</f>
        <v>7.9062999999999999</v>
      </c>
      <c r="K446" s="64">
        <f>7.9065 * CHOOSE(CONTROL!$C$22, $C$13, 100%, $E$13)</f>
        <v>7.9065000000000003</v>
      </c>
    </row>
    <row r="447" spans="1:11" ht="15">
      <c r="A447" s="13">
        <v>55244</v>
      </c>
      <c r="B447" s="63">
        <f>6.8408 * CHOOSE(CONTROL!$C$22, $C$13, 100%, $E$13)</f>
        <v>6.8407999999999998</v>
      </c>
      <c r="C447" s="63">
        <f>6.8408 * CHOOSE(CONTROL!$C$22, $C$13, 100%, $E$13)</f>
        <v>6.8407999999999998</v>
      </c>
      <c r="D447" s="63">
        <f>6.8585 * CHOOSE(CONTROL!$C$22, $C$13, 100%, $E$13)</f>
        <v>6.8585000000000003</v>
      </c>
      <c r="E447" s="64">
        <f>7.9754 * CHOOSE(CONTROL!$C$22, $C$13, 100%, $E$13)</f>
        <v>7.9753999999999996</v>
      </c>
      <c r="F447" s="64">
        <f>7.9754 * CHOOSE(CONTROL!$C$22, $C$13, 100%, $E$13)</f>
        <v>7.9753999999999996</v>
      </c>
      <c r="G447" s="64">
        <f>7.9756 * CHOOSE(CONTROL!$C$22, $C$13, 100%, $E$13)</f>
        <v>7.9756</v>
      </c>
      <c r="H447" s="64">
        <f>13.8216* CHOOSE(CONTROL!$C$22, $C$13, 100%, $E$13)</f>
        <v>13.8216</v>
      </c>
      <c r="I447" s="64">
        <f>13.8217 * CHOOSE(CONTROL!$C$22, $C$13, 100%, $E$13)</f>
        <v>13.8217</v>
      </c>
      <c r="J447" s="64">
        <f>7.9754 * CHOOSE(CONTROL!$C$22, $C$13, 100%, $E$13)</f>
        <v>7.9753999999999996</v>
      </c>
      <c r="K447" s="64">
        <f>7.9756 * CHOOSE(CONTROL!$C$22, $C$13, 100%, $E$13)</f>
        <v>7.9756</v>
      </c>
    </row>
    <row r="448" spans="1:11" ht="15">
      <c r="A448" s="13">
        <v>55274</v>
      </c>
      <c r="B448" s="63">
        <f>6.8408 * CHOOSE(CONTROL!$C$22, $C$13, 100%, $E$13)</f>
        <v>6.8407999999999998</v>
      </c>
      <c r="C448" s="63">
        <f>6.8408 * CHOOSE(CONTROL!$C$22, $C$13, 100%, $E$13)</f>
        <v>6.8407999999999998</v>
      </c>
      <c r="D448" s="63">
        <f>6.8761 * CHOOSE(CONTROL!$C$22, $C$13, 100%, $E$13)</f>
        <v>6.8761000000000001</v>
      </c>
      <c r="E448" s="64">
        <f>8.0029 * CHOOSE(CONTROL!$C$22, $C$13, 100%, $E$13)</f>
        <v>8.0029000000000003</v>
      </c>
      <c r="F448" s="64">
        <f>8.0029 * CHOOSE(CONTROL!$C$22, $C$13, 100%, $E$13)</f>
        <v>8.0029000000000003</v>
      </c>
      <c r="G448" s="64">
        <f>8.0051 * CHOOSE(CONTROL!$C$22, $C$13, 100%, $E$13)</f>
        <v>8.0051000000000005</v>
      </c>
      <c r="H448" s="64">
        <f>13.8504* CHOOSE(CONTROL!$C$22, $C$13, 100%, $E$13)</f>
        <v>13.8504</v>
      </c>
      <c r="I448" s="64">
        <f>13.8525 * CHOOSE(CONTROL!$C$22, $C$13, 100%, $E$13)</f>
        <v>13.852499999999999</v>
      </c>
      <c r="J448" s="64">
        <f>8.0029 * CHOOSE(CONTROL!$C$22, $C$13, 100%, $E$13)</f>
        <v>8.0029000000000003</v>
      </c>
      <c r="K448" s="64">
        <f>8.0051 * CHOOSE(CONTROL!$C$22, $C$13, 100%, $E$13)</f>
        <v>8.0051000000000005</v>
      </c>
    </row>
    <row r="449" spans="1:11" ht="15">
      <c r="A449" s="13">
        <v>55305</v>
      </c>
      <c r="B449" s="63">
        <f>6.8469 * CHOOSE(CONTROL!$C$22, $C$13, 100%, $E$13)</f>
        <v>6.8468999999999998</v>
      </c>
      <c r="C449" s="63">
        <f>6.8469 * CHOOSE(CONTROL!$C$22, $C$13, 100%, $E$13)</f>
        <v>6.8468999999999998</v>
      </c>
      <c r="D449" s="63">
        <f>6.8822 * CHOOSE(CONTROL!$C$22, $C$13, 100%, $E$13)</f>
        <v>6.8822000000000001</v>
      </c>
      <c r="E449" s="64">
        <f>7.9796 * CHOOSE(CONTROL!$C$22, $C$13, 100%, $E$13)</f>
        <v>7.9795999999999996</v>
      </c>
      <c r="F449" s="64">
        <f>7.9796 * CHOOSE(CONTROL!$C$22, $C$13, 100%, $E$13)</f>
        <v>7.9795999999999996</v>
      </c>
      <c r="G449" s="64">
        <f>7.9818 * CHOOSE(CONTROL!$C$22, $C$13, 100%, $E$13)</f>
        <v>7.9817999999999998</v>
      </c>
      <c r="H449" s="64">
        <f>13.8792* CHOOSE(CONTROL!$C$22, $C$13, 100%, $E$13)</f>
        <v>13.879200000000001</v>
      </c>
      <c r="I449" s="64">
        <f>13.8814 * CHOOSE(CONTROL!$C$22, $C$13, 100%, $E$13)</f>
        <v>13.881399999999999</v>
      </c>
      <c r="J449" s="64">
        <f>7.9796 * CHOOSE(CONTROL!$C$22, $C$13, 100%, $E$13)</f>
        <v>7.9795999999999996</v>
      </c>
      <c r="K449" s="64">
        <f>7.9818 * CHOOSE(CONTROL!$C$22, $C$13, 100%, $E$13)</f>
        <v>7.9817999999999998</v>
      </c>
    </row>
    <row r="450" spans="1:11" ht="15">
      <c r="A450" s="13">
        <v>55335</v>
      </c>
      <c r="B450" s="63">
        <f>6.9594 * CHOOSE(CONTROL!$C$22, $C$13, 100%, $E$13)</f>
        <v>6.9593999999999996</v>
      </c>
      <c r="C450" s="63">
        <f>6.9594 * CHOOSE(CONTROL!$C$22, $C$13, 100%, $E$13)</f>
        <v>6.9593999999999996</v>
      </c>
      <c r="D450" s="63">
        <f>6.9947 * CHOOSE(CONTROL!$C$22, $C$13, 100%, $E$13)</f>
        <v>6.9946999999999999</v>
      </c>
      <c r="E450" s="64">
        <f>8.1367 * CHOOSE(CONTROL!$C$22, $C$13, 100%, $E$13)</f>
        <v>8.1366999999999994</v>
      </c>
      <c r="F450" s="64">
        <f>8.1367 * CHOOSE(CONTROL!$C$22, $C$13, 100%, $E$13)</f>
        <v>8.1366999999999994</v>
      </c>
      <c r="G450" s="64">
        <f>8.1389 * CHOOSE(CONTROL!$C$22, $C$13, 100%, $E$13)</f>
        <v>8.1388999999999996</v>
      </c>
      <c r="H450" s="64">
        <f>13.9081* CHOOSE(CONTROL!$C$22, $C$13, 100%, $E$13)</f>
        <v>13.908099999999999</v>
      </c>
      <c r="I450" s="64">
        <f>13.9103 * CHOOSE(CONTROL!$C$22, $C$13, 100%, $E$13)</f>
        <v>13.910299999999999</v>
      </c>
      <c r="J450" s="64">
        <f>8.1367 * CHOOSE(CONTROL!$C$22, $C$13, 100%, $E$13)</f>
        <v>8.1366999999999994</v>
      </c>
      <c r="K450" s="64">
        <f>8.1389 * CHOOSE(CONTROL!$C$22, $C$13, 100%, $E$13)</f>
        <v>8.1388999999999996</v>
      </c>
    </row>
    <row r="451" spans="1:11" ht="15">
      <c r="A451" s="13">
        <v>55366</v>
      </c>
      <c r="B451" s="63">
        <f>6.9661 * CHOOSE(CONTROL!$C$22, $C$13, 100%, $E$13)</f>
        <v>6.9661</v>
      </c>
      <c r="C451" s="63">
        <f>6.9661 * CHOOSE(CONTROL!$C$22, $C$13, 100%, $E$13)</f>
        <v>6.9661</v>
      </c>
      <c r="D451" s="63">
        <f>7.0014 * CHOOSE(CONTROL!$C$22, $C$13, 100%, $E$13)</f>
        <v>7.0014000000000003</v>
      </c>
      <c r="E451" s="64">
        <f>8.0589 * CHOOSE(CONTROL!$C$22, $C$13, 100%, $E$13)</f>
        <v>8.0588999999999995</v>
      </c>
      <c r="F451" s="64">
        <f>8.0589 * CHOOSE(CONTROL!$C$22, $C$13, 100%, $E$13)</f>
        <v>8.0588999999999995</v>
      </c>
      <c r="G451" s="64">
        <f>8.0611 * CHOOSE(CONTROL!$C$22, $C$13, 100%, $E$13)</f>
        <v>8.0610999999999997</v>
      </c>
      <c r="H451" s="64">
        <f>13.9371* CHOOSE(CONTROL!$C$22, $C$13, 100%, $E$13)</f>
        <v>13.937099999999999</v>
      </c>
      <c r="I451" s="64">
        <f>13.9393 * CHOOSE(CONTROL!$C$22, $C$13, 100%, $E$13)</f>
        <v>13.939299999999999</v>
      </c>
      <c r="J451" s="64">
        <f>8.0589 * CHOOSE(CONTROL!$C$22, $C$13, 100%, $E$13)</f>
        <v>8.0588999999999995</v>
      </c>
      <c r="K451" s="64">
        <f>8.0611 * CHOOSE(CONTROL!$C$22, $C$13, 100%, $E$13)</f>
        <v>8.0610999999999997</v>
      </c>
    </row>
    <row r="452" spans="1:11" ht="15">
      <c r="A452" s="13">
        <v>55397</v>
      </c>
      <c r="B452" s="63">
        <f>6.963 * CHOOSE(CONTROL!$C$22, $C$13, 100%, $E$13)</f>
        <v>6.9630000000000001</v>
      </c>
      <c r="C452" s="63">
        <f>6.963 * CHOOSE(CONTROL!$C$22, $C$13, 100%, $E$13)</f>
        <v>6.9630000000000001</v>
      </c>
      <c r="D452" s="63">
        <f>6.9983 * CHOOSE(CONTROL!$C$22, $C$13, 100%, $E$13)</f>
        <v>6.9983000000000004</v>
      </c>
      <c r="E452" s="64">
        <f>8.0476 * CHOOSE(CONTROL!$C$22, $C$13, 100%, $E$13)</f>
        <v>8.0475999999999992</v>
      </c>
      <c r="F452" s="64">
        <f>8.0476 * CHOOSE(CONTROL!$C$22, $C$13, 100%, $E$13)</f>
        <v>8.0475999999999992</v>
      </c>
      <c r="G452" s="64">
        <f>8.0498 * CHOOSE(CONTROL!$C$22, $C$13, 100%, $E$13)</f>
        <v>8.0497999999999994</v>
      </c>
      <c r="H452" s="64">
        <f>13.9661* CHOOSE(CONTROL!$C$22, $C$13, 100%, $E$13)</f>
        <v>13.966100000000001</v>
      </c>
      <c r="I452" s="64">
        <f>13.9683 * CHOOSE(CONTROL!$C$22, $C$13, 100%, $E$13)</f>
        <v>13.968299999999999</v>
      </c>
      <c r="J452" s="64">
        <f>8.0476 * CHOOSE(CONTROL!$C$22, $C$13, 100%, $E$13)</f>
        <v>8.0475999999999992</v>
      </c>
      <c r="K452" s="64">
        <f>8.0498 * CHOOSE(CONTROL!$C$22, $C$13, 100%, $E$13)</f>
        <v>8.0497999999999994</v>
      </c>
    </row>
    <row r="453" spans="1:11" ht="15">
      <c r="A453" s="13">
        <v>55427</v>
      </c>
      <c r="B453" s="63">
        <f>6.9682 * CHOOSE(CONTROL!$C$22, $C$13, 100%, $E$13)</f>
        <v>6.9682000000000004</v>
      </c>
      <c r="C453" s="63">
        <f>6.9682 * CHOOSE(CONTROL!$C$22, $C$13, 100%, $E$13)</f>
        <v>6.9682000000000004</v>
      </c>
      <c r="D453" s="63">
        <f>6.9858 * CHOOSE(CONTROL!$C$22, $C$13, 100%, $E$13)</f>
        <v>6.9858000000000002</v>
      </c>
      <c r="E453" s="64">
        <f>8.0709 * CHOOSE(CONTROL!$C$22, $C$13, 100%, $E$13)</f>
        <v>8.0709</v>
      </c>
      <c r="F453" s="64">
        <f>8.0709 * CHOOSE(CONTROL!$C$22, $C$13, 100%, $E$13)</f>
        <v>8.0709</v>
      </c>
      <c r="G453" s="64">
        <f>8.071 * CHOOSE(CONTROL!$C$22, $C$13, 100%, $E$13)</f>
        <v>8.0709999999999997</v>
      </c>
      <c r="H453" s="64">
        <f>13.9952* CHOOSE(CONTROL!$C$22, $C$13, 100%, $E$13)</f>
        <v>13.995200000000001</v>
      </c>
      <c r="I453" s="64">
        <f>13.9954 * CHOOSE(CONTROL!$C$22, $C$13, 100%, $E$13)</f>
        <v>13.9954</v>
      </c>
      <c r="J453" s="64">
        <f>8.0709 * CHOOSE(CONTROL!$C$22, $C$13, 100%, $E$13)</f>
        <v>8.0709</v>
      </c>
      <c r="K453" s="64">
        <f>8.071 * CHOOSE(CONTROL!$C$22, $C$13, 100%, $E$13)</f>
        <v>8.0709999999999997</v>
      </c>
    </row>
    <row r="454" spans="1:11" ht="15">
      <c r="A454" s="13">
        <v>55458</v>
      </c>
      <c r="B454" s="63">
        <f>6.9712 * CHOOSE(CONTROL!$C$22, $C$13, 100%, $E$13)</f>
        <v>6.9711999999999996</v>
      </c>
      <c r="C454" s="63">
        <f>6.9712 * CHOOSE(CONTROL!$C$22, $C$13, 100%, $E$13)</f>
        <v>6.9711999999999996</v>
      </c>
      <c r="D454" s="63">
        <f>6.9889 * CHOOSE(CONTROL!$C$22, $C$13, 100%, $E$13)</f>
        <v>6.9889000000000001</v>
      </c>
      <c r="E454" s="64">
        <f>8.0913 * CHOOSE(CONTROL!$C$22, $C$13, 100%, $E$13)</f>
        <v>8.0913000000000004</v>
      </c>
      <c r="F454" s="64">
        <f>8.0913 * CHOOSE(CONTROL!$C$22, $C$13, 100%, $E$13)</f>
        <v>8.0913000000000004</v>
      </c>
      <c r="G454" s="64">
        <f>8.0915 * CHOOSE(CONTROL!$C$22, $C$13, 100%, $E$13)</f>
        <v>8.0914999999999999</v>
      </c>
      <c r="H454" s="64">
        <f>14.0244* CHOOSE(CONTROL!$C$22, $C$13, 100%, $E$13)</f>
        <v>14.0244</v>
      </c>
      <c r="I454" s="64">
        <f>14.0246 * CHOOSE(CONTROL!$C$22, $C$13, 100%, $E$13)</f>
        <v>14.0246</v>
      </c>
      <c r="J454" s="64">
        <f>8.0913 * CHOOSE(CONTROL!$C$22, $C$13, 100%, $E$13)</f>
        <v>8.0913000000000004</v>
      </c>
      <c r="K454" s="64">
        <f>8.0915 * CHOOSE(CONTROL!$C$22, $C$13, 100%, $E$13)</f>
        <v>8.0914999999999999</v>
      </c>
    </row>
    <row r="455" spans="1:11" ht="15">
      <c r="A455" s="13">
        <v>55488</v>
      </c>
      <c r="B455" s="63">
        <f>6.9712 * CHOOSE(CONTROL!$C$22, $C$13, 100%, $E$13)</f>
        <v>6.9711999999999996</v>
      </c>
      <c r="C455" s="63">
        <f>6.9712 * CHOOSE(CONTROL!$C$22, $C$13, 100%, $E$13)</f>
        <v>6.9711999999999996</v>
      </c>
      <c r="D455" s="63">
        <f>6.9889 * CHOOSE(CONTROL!$C$22, $C$13, 100%, $E$13)</f>
        <v>6.9889000000000001</v>
      </c>
      <c r="E455" s="64">
        <f>8.0455 * CHOOSE(CONTROL!$C$22, $C$13, 100%, $E$13)</f>
        <v>8.0455000000000005</v>
      </c>
      <c r="F455" s="64">
        <f>8.0455 * CHOOSE(CONTROL!$C$22, $C$13, 100%, $E$13)</f>
        <v>8.0455000000000005</v>
      </c>
      <c r="G455" s="64">
        <f>8.0456 * CHOOSE(CONTROL!$C$22, $C$13, 100%, $E$13)</f>
        <v>8.0456000000000003</v>
      </c>
      <c r="H455" s="64">
        <f>14.0536* CHOOSE(CONTROL!$C$22, $C$13, 100%, $E$13)</f>
        <v>14.053599999999999</v>
      </c>
      <c r="I455" s="64">
        <f>14.0538 * CHOOSE(CONTROL!$C$22, $C$13, 100%, $E$13)</f>
        <v>14.053800000000001</v>
      </c>
      <c r="J455" s="64">
        <f>8.0455 * CHOOSE(CONTROL!$C$22, $C$13, 100%, $E$13)</f>
        <v>8.0455000000000005</v>
      </c>
      <c r="K455" s="64">
        <f>8.0456 * CHOOSE(CONTROL!$C$22, $C$13, 100%, $E$13)</f>
        <v>8.0456000000000003</v>
      </c>
    </row>
    <row r="456" spans="1:11" ht="15">
      <c r="A456" s="13">
        <v>55519</v>
      </c>
      <c r="B456" s="63">
        <f>7.0336 * CHOOSE(CONTROL!$C$22, $C$13, 100%, $E$13)</f>
        <v>7.0335999999999999</v>
      </c>
      <c r="C456" s="63">
        <f>7.0336 * CHOOSE(CONTROL!$C$22, $C$13, 100%, $E$13)</f>
        <v>7.0335999999999999</v>
      </c>
      <c r="D456" s="63">
        <f>7.0512 * CHOOSE(CONTROL!$C$22, $C$13, 100%, $E$13)</f>
        <v>7.0511999999999997</v>
      </c>
      <c r="E456" s="64">
        <f>8.1507 * CHOOSE(CONTROL!$C$22, $C$13, 100%, $E$13)</f>
        <v>8.1507000000000005</v>
      </c>
      <c r="F456" s="64">
        <f>8.1507 * CHOOSE(CONTROL!$C$22, $C$13, 100%, $E$13)</f>
        <v>8.1507000000000005</v>
      </c>
      <c r="G456" s="64">
        <f>8.1509 * CHOOSE(CONTROL!$C$22, $C$13, 100%, $E$13)</f>
        <v>8.1509</v>
      </c>
      <c r="H456" s="64">
        <f>14.0829* CHOOSE(CONTROL!$C$22, $C$13, 100%, $E$13)</f>
        <v>14.0829</v>
      </c>
      <c r="I456" s="64">
        <f>14.0831 * CHOOSE(CONTROL!$C$22, $C$13, 100%, $E$13)</f>
        <v>14.0831</v>
      </c>
      <c r="J456" s="64">
        <f>8.1507 * CHOOSE(CONTROL!$C$22, $C$13, 100%, $E$13)</f>
        <v>8.1507000000000005</v>
      </c>
      <c r="K456" s="64">
        <f>8.1509 * CHOOSE(CONTROL!$C$22, $C$13, 100%, $E$13)</f>
        <v>8.1509</v>
      </c>
    </row>
    <row r="457" spans="1:11" ht="15">
      <c r="A457" s="13">
        <v>55550</v>
      </c>
      <c r="B457" s="63">
        <f>7.0305 * CHOOSE(CONTROL!$C$22, $C$13, 100%, $E$13)</f>
        <v>7.0305</v>
      </c>
      <c r="C457" s="63">
        <f>7.0305 * CHOOSE(CONTROL!$C$22, $C$13, 100%, $E$13)</f>
        <v>7.0305</v>
      </c>
      <c r="D457" s="63">
        <f>7.0482 * CHOOSE(CONTROL!$C$22, $C$13, 100%, $E$13)</f>
        <v>7.0481999999999996</v>
      </c>
      <c r="E457" s="64">
        <f>8.0596 * CHOOSE(CONTROL!$C$22, $C$13, 100%, $E$13)</f>
        <v>8.0595999999999997</v>
      </c>
      <c r="F457" s="64">
        <f>8.0596 * CHOOSE(CONTROL!$C$22, $C$13, 100%, $E$13)</f>
        <v>8.0595999999999997</v>
      </c>
      <c r="G457" s="64">
        <f>8.0598 * CHOOSE(CONTROL!$C$22, $C$13, 100%, $E$13)</f>
        <v>8.0597999999999992</v>
      </c>
      <c r="H457" s="64">
        <f>14.1122* CHOOSE(CONTROL!$C$22, $C$13, 100%, $E$13)</f>
        <v>14.1122</v>
      </c>
      <c r="I457" s="64">
        <f>14.1124 * CHOOSE(CONTROL!$C$22, $C$13, 100%, $E$13)</f>
        <v>14.112399999999999</v>
      </c>
      <c r="J457" s="64">
        <f>8.0596 * CHOOSE(CONTROL!$C$22, $C$13, 100%, $E$13)</f>
        <v>8.0595999999999997</v>
      </c>
      <c r="K457" s="64">
        <f>8.0598 * CHOOSE(CONTROL!$C$22, $C$13, 100%, $E$13)</f>
        <v>8.0597999999999992</v>
      </c>
    </row>
    <row r="458" spans="1:11" ht="15">
      <c r="A458" s="13">
        <v>55579</v>
      </c>
      <c r="B458" s="63">
        <f>7.0275 * CHOOSE(CONTROL!$C$22, $C$13, 100%, $E$13)</f>
        <v>7.0274999999999999</v>
      </c>
      <c r="C458" s="63">
        <f>7.0275 * CHOOSE(CONTROL!$C$22, $C$13, 100%, $E$13)</f>
        <v>7.0274999999999999</v>
      </c>
      <c r="D458" s="63">
        <f>7.0451 * CHOOSE(CONTROL!$C$22, $C$13, 100%, $E$13)</f>
        <v>7.0450999999999997</v>
      </c>
      <c r="E458" s="64">
        <f>8.1277 * CHOOSE(CONTROL!$C$22, $C$13, 100%, $E$13)</f>
        <v>8.1277000000000008</v>
      </c>
      <c r="F458" s="64">
        <f>8.1277 * CHOOSE(CONTROL!$C$22, $C$13, 100%, $E$13)</f>
        <v>8.1277000000000008</v>
      </c>
      <c r="G458" s="64">
        <f>8.1278 * CHOOSE(CONTROL!$C$22, $C$13, 100%, $E$13)</f>
        <v>8.1278000000000006</v>
      </c>
      <c r="H458" s="64">
        <f>14.1416* CHOOSE(CONTROL!$C$22, $C$13, 100%, $E$13)</f>
        <v>14.1416</v>
      </c>
      <c r="I458" s="64">
        <f>14.1418 * CHOOSE(CONTROL!$C$22, $C$13, 100%, $E$13)</f>
        <v>14.1418</v>
      </c>
      <c r="J458" s="64">
        <f>8.1277 * CHOOSE(CONTROL!$C$22, $C$13, 100%, $E$13)</f>
        <v>8.1277000000000008</v>
      </c>
      <c r="K458" s="64">
        <f>8.1278 * CHOOSE(CONTROL!$C$22, $C$13, 100%, $E$13)</f>
        <v>8.1278000000000006</v>
      </c>
    </row>
    <row r="459" spans="1:11" ht="15">
      <c r="A459" s="13">
        <v>55610</v>
      </c>
      <c r="B459" s="63">
        <f>7.0278 * CHOOSE(CONTROL!$C$22, $C$13, 100%, $E$13)</f>
        <v>7.0278</v>
      </c>
      <c r="C459" s="63">
        <f>7.0278 * CHOOSE(CONTROL!$C$22, $C$13, 100%, $E$13)</f>
        <v>7.0278</v>
      </c>
      <c r="D459" s="63">
        <f>7.0455 * CHOOSE(CONTROL!$C$22, $C$13, 100%, $E$13)</f>
        <v>7.0454999999999997</v>
      </c>
      <c r="E459" s="64">
        <f>8.1988 * CHOOSE(CONTROL!$C$22, $C$13, 100%, $E$13)</f>
        <v>8.1988000000000003</v>
      </c>
      <c r="F459" s="64">
        <f>8.1988 * CHOOSE(CONTROL!$C$22, $C$13, 100%, $E$13)</f>
        <v>8.1988000000000003</v>
      </c>
      <c r="G459" s="64">
        <f>8.199 * CHOOSE(CONTROL!$C$22, $C$13, 100%, $E$13)</f>
        <v>8.1989999999999998</v>
      </c>
      <c r="H459" s="64">
        <f>14.1711* CHOOSE(CONTROL!$C$22, $C$13, 100%, $E$13)</f>
        <v>14.171099999999999</v>
      </c>
      <c r="I459" s="64">
        <f>14.1713 * CHOOSE(CONTROL!$C$22, $C$13, 100%, $E$13)</f>
        <v>14.1713</v>
      </c>
      <c r="J459" s="64">
        <f>8.1988 * CHOOSE(CONTROL!$C$22, $C$13, 100%, $E$13)</f>
        <v>8.1988000000000003</v>
      </c>
      <c r="K459" s="64">
        <f>8.199 * CHOOSE(CONTROL!$C$22, $C$13, 100%, $E$13)</f>
        <v>8.1989999999999998</v>
      </c>
    </row>
    <row r="460" spans="1:11" ht="15">
      <c r="A460" s="13">
        <v>55640</v>
      </c>
      <c r="B460" s="63">
        <f>7.0278 * CHOOSE(CONTROL!$C$22, $C$13, 100%, $E$13)</f>
        <v>7.0278</v>
      </c>
      <c r="C460" s="63">
        <f>7.0278 * CHOOSE(CONTROL!$C$22, $C$13, 100%, $E$13)</f>
        <v>7.0278</v>
      </c>
      <c r="D460" s="63">
        <f>7.0631 * CHOOSE(CONTROL!$C$22, $C$13, 100%, $E$13)</f>
        <v>7.0631000000000004</v>
      </c>
      <c r="E460" s="64">
        <f>8.2271 * CHOOSE(CONTROL!$C$22, $C$13, 100%, $E$13)</f>
        <v>8.2271000000000001</v>
      </c>
      <c r="F460" s="64">
        <f>8.2271 * CHOOSE(CONTROL!$C$22, $C$13, 100%, $E$13)</f>
        <v>8.2271000000000001</v>
      </c>
      <c r="G460" s="64">
        <f>8.2293 * CHOOSE(CONTROL!$C$22, $C$13, 100%, $E$13)</f>
        <v>8.2293000000000003</v>
      </c>
      <c r="H460" s="64">
        <f>14.2006* CHOOSE(CONTROL!$C$22, $C$13, 100%, $E$13)</f>
        <v>14.2006</v>
      </c>
      <c r="I460" s="64">
        <f>14.2028 * CHOOSE(CONTROL!$C$22, $C$13, 100%, $E$13)</f>
        <v>14.2028</v>
      </c>
      <c r="J460" s="64">
        <f>8.2271 * CHOOSE(CONTROL!$C$22, $C$13, 100%, $E$13)</f>
        <v>8.2271000000000001</v>
      </c>
      <c r="K460" s="64">
        <f>8.2293 * CHOOSE(CONTROL!$C$22, $C$13, 100%, $E$13)</f>
        <v>8.2293000000000003</v>
      </c>
    </row>
    <row r="461" spans="1:11" ht="15">
      <c r="A461" s="13">
        <v>55671</v>
      </c>
      <c r="B461" s="63">
        <f>7.0339 * CHOOSE(CONTROL!$C$22, $C$13, 100%, $E$13)</f>
        <v>7.0339</v>
      </c>
      <c r="C461" s="63">
        <f>7.0339 * CHOOSE(CONTROL!$C$22, $C$13, 100%, $E$13)</f>
        <v>7.0339</v>
      </c>
      <c r="D461" s="63">
        <f>7.0692 * CHOOSE(CONTROL!$C$22, $C$13, 100%, $E$13)</f>
        <v>7.0692000000000004</v>
      </c>
      <c r="E461" s="64">
        <f>8.203 * CHOOSE(CONTROL!$C$22, $C$13, 100%, $E$13)</f>
        <v>8.2029999999999994</v>
      </c>
      <c r="F461" s="64">
        <f>8.203 * CHOOSE(CONTROL!$C$22, $C$13, 100%, $E$13)</f>
        <v>8.2029999999999994</v>
      </c>
      <c r="G461" s="64">
        <f>8.2052 * CHOOSE(CONTROL!$C$22, $C$13, 100%, $E$13)</f>
        <v>8.2051999999999996</v>
      </c>
      <c r="H461" s="64">
        <f>14.2302* CHOOSE(CONTROL!$C$22, $C$13, 100%, $E$13)</f>
        <v>14.2302</v>
      </c>
      <c r="I461" s="64">
        <f>14.2324 * CHOOSE(CONTROL!$C$22, $C$13, 100%, $E$13)</f>
        <v>14.2324</v>
      </c>
      <c r="J461" s="64">
        <f>8.203 * CHOOSE(CONTROL!$C$22, $C$13, 100%, $E$13)</f>
        <v>8.2029999999999994</v>
      </c>
      <c r="K461" s="64">
        <f>8.2052 * CHOOSE(CONTROL!$C$22, $C$13, 100%, $E$13)</f>
        <v>8.2051999999999996</v>
      </c>
    </row>
    <row r="462" spans="1:11" ht="15">
      <c r="A462" s="13">
        <v>55701</v>
      </c>
      <c r="B462" s="63">
        <f>7.1492 * CHOOSE(CONTROL!$C$22, $C$13, 100%, $E$13)</f>
        <v>7.1492000000000004</v>
      </c>
      <c r="C462" s="63">
        <f>7.1492 * CHOOSE(CONTROL!$C$22, $C$13, 100%, $E$13)</f>
        <v>7.1492000000000004</v>
      </c>
      <c r="D462" s="63">
        <f>7.1845 * CHOOSE(CONTROL!$C$22, $C$13, 100%, $E$13)</f>
        <v>7.1844999999999999</v>
      </c>
      <c r="E462" s="64">
        <f>8.3643 * CHOOSE(CONTROL!$C$22, $C$13, 100%, $E$13)</f>
        <v>8.3643000000000001</v>
      </c>
      <c r="F462" s="64">
        <f>8.3643 * CHOOSE(CONTROL!$C$22, $C$13, 100%, $E$13)</f>
        <v>8.3643000000000001</v>
      </c>
      <c r="G462" s="64">
        <f>8.3665 * CHOOSE(CONTROL!$C$22, $C$13, 100%, $E$13)</f>
        <v>8.3665000000000003</v>
      </c>
      <c r="H462" s="64">
        <f>14.2598* CHOOSE(CONTROL!$C$22, $C$13, 100%, $E$13)</f>
        <v>14.2598</v>
      </c>
      <c r="I462" s="64">
        <f>14.262 * CHOOSE(CONTROL!$C$22, $C$13, 100%, $E$13)</f>
        <v>14.262</v>
      </c>
      <c r="J462" s="64">
        <f>8.3643 * CHOOSE(CONTROL!$C$22, $C$13, 100%, $E$13)</f>
        <v>8.3643000000000001</v>
      </c>
      <c r="K462" s="64">
        <f>8.3665 * CHOOSE(CONTROL!$C$22, $C$13, 100%, $E$13)</f>
        <v>8.3665000000000003</v>
      </c>
    </row>
    <row r="463" spans="1:11" ht="15">
      <c r="A463" s="13">
        <v>55732</v>
      </c>
      <c r="B463" s="63">
        <f>7.1559 * CHOOSE(CONTROL!$C$22, $C$13, 100%, $E$13)</f>
        <v>7.1558999999999999</v>
      </c>
      <c r="C463" s="63">
        <f>7.1559 * CHOOSE(CONTROL!$C$22, $C$13, 100%, $E$13)</f>
        <v>7.1558999999999999</v>
      </c>
      <c r="D463" s="63">
        <f>7.1912 * CHOOSE(CONTROL!$C$22, $C$13, 100%, $E$13)</f>
        <v>7.1912000000000003</v>
      </c>
      <c r="E463" s="64">
        <f>8.2841 * CHOOSE(CONTROL!$C$22, $C$13, 100%, $E$13)</f>
        <v>8.2841000000000005</v>
      </c>
      <c r="F463" s="64">
        <f>8.2841 * CHOOSE(CONTROL!$C$22, $C$13, 100%, $E$13)</f>
        <v>8.2841000000000005</v>
      </c>
      <c r="G463" s="64">
        <f>8.2863 * CHOOSE(CONTROL!$C$22, $C$13, 100%, $E$13)</f>
        <v>8.2863000000000007</v>
      </c>
      <c r="H463" s="64">
        <f>14.2896* CHOOSE(CONTROL!$C$22, $C$13, 100%, $E$13)</f>
        <v>14.2896</v>
      </c>
      <c r="I463" s="64">
        <f>14.2917 * CHOOSE(CONTROL!$C$22, $C$13, 100%, $E$13)</f>
        <v>14.291700000000001</v>
      </c>
      <c r="J463" s="64">
        <f>8.2841 * CHOOSE(CONTROL!$C$22, $C$13, 100%, $E$13)</f>
        <v>8.2841000000000005</v>
      </c>
      <c r="K463" s="64">
        <f>8.2863 * CHOOSE(CONTROL!$C$22, $C$13, 100%, $E$13)</f>
        <v>8.2863000000000007</v>
      </c>
    </row>
    <row r="464" spans="1:11" ht="15">
      <c r="A464" s="13">
        <v>55763</v>
      </c>
      <c r="B464" s="63">
        <f>7.1528 * CHOOSE(CONTROL!$C$22, $C$13, 100%, $E$13)</f>
        <v>7.1528</v>
      </c>
      <c r="C464" s="63">
        <f>7.1528 * CHOOSE(CONTROL!$C$22, $C$13, 100%, $E$13)</f>
        <v>7.1528</v>
      </c>
      <c r="D464" s="63">
        <f>7.1881 * CHOOSE(CONTROL!$C$22, $C$13, 100%, $E$13)</f>
        <v>7.1881000000000004</v>
      </c>
      <c r="E464" s="64">
        <f>8.2726 * CHOOSE(CONTROL!$C$22, $C$13, 100%, $E$13)</f>
        <v>8.2726000000000006</v>
      </c>
      <c r="F464" s="64">
        <f>8.2726 * CHOOSE(CONTROL!$C$22, $C$13, 100%, $E$13)</f>
        <v>8.2726000000000006</v>
      </c>
      <c r="G464" s="64">
        <f>8.2748 * CHOOSE(CONTROL!$C$22, $C$13, 100%, $E$13)</f>
        <v>8.2748000000000008</v>
      </c>
      <c r="H464" s="64">
        <f>14.3193* CHOOSE(CONTROL!$C$22, $C$13, 100%, $E$13)</f>
        <v>14.3193</v>
      </c>
      <c r="I464" s="64">
        <f>14.3215 * CHOOSE(CONTROL!$C$22, $C$13, 100%, $E$13)</f>
        <v>14.3215</v>
      </c>
      <c r="J464" s="64">
        <f>8.2726 * CHOOSE(CONTROL!$C$22, $C$13, 100%, $E$13)</f>
        <v>8.2726000000000006</v>
      </c>
      <c r="K464" s="64">
        <f>8.2748 * CHOOSE(CONTROL!$C$22, $C$13, 100%, $E$13)</f>
        <v>8.2748000000000008</v>
      </c>
    </row>
    <row r="465" spans="1:11" ht="15">
      <c r="A465" s="13">
        <v>55793</v>
      </c>
      <c r="B465" s="63">
        <f>7.1586 * CHOOSE(CONTROL!$C$22, $C$13, 100%, $E$13)</f>
        <v>7.1585999999999999</v>
      </c>
      <c r="C465" s="63">
        <f>7.1586 * CHOOSE(CONTROL!$C$22, $C$13, 100%, $E$13)</f>
        <v>7.1585999999999999</v>
      </c>
      <c r="D465" s="63">
        <f>7.1763 * CHOOSE(CONTROL!$C$22, $C$13, 100%, $E$13)</f>
        <v>7.1763000000000003</v>
      </c>
      <c r="E465" s="64">
        <f>8.2969 * CHOOSE(CONTROL!$C$22, $C$13, 100%, $E$13)</f>
        <v>8.2969000000000008</v>
      </c>
      <c r="F465" s="64">
        <f>8.2969 * CHOOSE(CONTROL!$C$22, $C$13, 100%, $E$13)</f>
        <v>8.2969000000000008</v>
      </c>
      <c r="G465" s="64">
        <f>8.297 * CHOOSE(CONTROL!$C$22, $C$13, 100%, $E$13)</f>
        <v>8.2970000000000006</v>
      </c>
      <c r="H465" s="64">
        <f>14.3492* CHOOSE(CONTROL!$C$22, $C$13, 100%, $E$13)</f>
        <v>14.3492</v>
      </c>
      <c r="I465" s="64">
        <f>14.3493 * CHOOSE(CONTROL!$C$22, $C$13, 100%, $E$13)</f>
        <v>14.349299999999999</v>
      </c>
      <c r="J465" s="64">
        <f>8.2969 * CHOOSE(CONTROL!$C$22, $C$13, 100%, $E$13)</f>
        <v>8.2969000000000008</v>
      </c>
      <c r="K465" s="64">
        <f>8.297 * CHOOSE(CONTROL!$C$22, $C$13, 100%, $E$13)</f>
        <v>8.2970000000000006</v>
      </c>
    </row>
    <row r="466" spans="1:11" ht="15">
      <c r="A466" s="13">
        <v>55824</v>
      </c>
      <c r="B466" s="63">
        <f>7.1616 * CHOOSE(CONTROL!$C$22, $C$13, 100%, $E$13)</f>
        <v>7.1616</v>
      </c>
      <c r="C466" s="63">
        <f>7.1616 * CHOOSE(CONTROL!$C$22, $C$13, 100%, $E$13)</f>
        <v>7.1616</v>
      </c>
      <c r="D466" s="63">
        <f>7.1793 * CHOOSE(CONTROL!$C$22, $C$13, 100%, $E$13)</f>
        <v>7.1792999999999996</v>
      </c>
      <c r="E466" s="64">
        <f>8.3178 * CHOOSE(CONTROL!$C$22, $C$13, 100%, $E$13)</f>
        <v>8.3178000000000001</v>
      </c>
      <c r="F466" s="64">
        <f>8.3178 * CHOOSE(CONTROL!$C$22, $C$13, 100%, $E$13)</f>
        <v>8.3178000000000001</v>
      </c>
      <c r="G466" s="64">
        <f>8.318 * CHOOSE(CONTROL!$C$22, $C$13, 100%, $E$13)</f>
        <v>8.3179999999999996</v>
      </c>
      <c r="H466" s="64">
        <f>14.3791* CHOOSE(CONTROL!$C$22, $C$13, 100%, $E$13)</f>
        <v>14.379099999999999</v>
      </c>
      <c r="I466" s="64">
        <f>14.3792 * CHOOSE(CONTROL!$C$22, $C$13, 100%, $E$13)</f>
        <v>14.379200000000001</v>
      </c>
      <c r="J466" s="64">
        <f>8.3178 * CHOOSE(CONTROL!$C$22, $C$13, 100%, $E$13)</f>
        <v>8.3178000000000001</v>
      </c>
      <c r="K466" s="64">
        <f>8.318 * CHOOSE(CONTROL!$C$22, $C$13, 100%, $E$13)</f>
        <v>8.3179999999999996</v>
      </c>
    </row>
    <row r="467" spans="1:11" ht="15">
      <c r="A467" s="13">
        <v>55854</v>
      </c>
      <c r="B467" s="63">
        <f>7.1616 * CHOOSE(CONTROL!$C$22, $C$13, 100%, $E$13)</f>
        <v>7.1616</v>
      </c>
      <c r="C467" s="63">
        <f>7.1616 * CHOOSE(CONTROL!$C$22, $C$13, 100%, $E$13)</f>
        <v>7.1616</v>
      </c>
      <c r="D467" s="63">
        <f>7.1793 * CHOOSE(CONTROL!$C$22, $C$13, 100%, $E$13)</f>
        <v>7.1792999999999996</v>
      </c>
      <c r="E467" s="64">
        <f>8.2707 * CHOOSE(CONTROL!$C$22, $C$13, 100%, $E$13)</f>
        <v>8.2706999999999997</v>
      </c>
      <c r="F467" s="64">
        <f>8.2707 * CHOOSE(CONTROL!$C$22, $C$13, 100%, $E$13)</f>
        <v>8.2706999999999997</v>
      </c>
      <c r="G467" s="64">
        <f>8.2709 * CHOOSE(CONTROL!$C$22, $C$13, 100%, $E$13)</f>
        <v>8.2708999999999993</v>
      </c>
      <c r="H467" s="64">
        <f>14.409* CHOOSE(CONTROL!$C$22, $C$13, 100%, $E$13)</f>
        <v>14.409000000000001</v>
      </c>
      <c r="I467" s="64">
        <f>14.4092 * CHOOSE(CONTROL!$C$22, $C$13, 100%, $E$13)</f>
        <v>14.4092</v>
      </c>
      <c r="J467" s="64">
        <f>8.2707 * CHOOSE(CONTROL!$C$22, $C$13, 100%, $E$13)</f>
        <v>8.2706999999999997</v>
      </c>
      <c r="K467" s="64">
        <f>8.2709 * CHOOSE(CONTROL!$C$22, $C$13, 100%, $E$13)</f>
        <v>8.2708999999999993</v>
      </c>
    </row>
    <row r="468" spans="1:11" ht="15">
      <c r="A468" s="13">
        <v>55885</v>
      </c>
      <c r="B468" s="63">
        <f>7.2256 * CHOOSE(CONTROL!$C$22, $C$13, 100%, $E$13)</f>
        <v>7.2256</v>
      </c>
      <c r="C468" s="63">
        <f>7.2256 * CHOOSE(CONTROL!$C$22, $C$13, 100%, $E$13)</f>
        <v>7.2256</v>
      </c>
      <c r="D468" s="63">
        <f>7.2432 * CHOOSE(CONTROL!$C$22, $C$13, 100%, $E$13)</f>
        <v>7.2431999999999999</v>
      </c>
      <c r="E468" s="64">
        <f>8.3788 * CHOOSE(CONTROL!$C$22, $C$13, 100%, $E$13)</f>
        <v>8.3788</v>
      </c>
      <c r="F468" s="64">
        <f>8.3788 * CHOOSE(CONTROL!$C$22, $C$13, 100%, $E$13)</f>
        <v>8.3788</v>
      </c>
      <c r="G468" s="64">
        <f>8.379 * CHOOSE(CONTROL!$C$22, $C$13, 100%, $E$13)</f>
        <v>8.3789999999999996</v>
      </c>
      <c r="H468" s="64">
        <f>14.439* CHOOSE(CONTROL!$C$22, $C$13, 100%, $E$13)</f>
        <v>14.439</v>
      </c>
      <c r="I468" s="64">
        <f>14.4392 * CHOOSE(CONTROL!$C$22, $C$13, 100%, $E$13)</f>
        <v>14.4392</v>
      </c>
      <c r="J468" s="64">
        <f>8.3788 * CHOOSE(CONTROL!$C$22, $C$13, 100%, $E$13)</f>
        <v>8.3788</v>
      </c>
      <c r="K468" s="64">
        <f>8.379 * CHOOSE(CONTROL!$C$22, $C$13, 100%, $E$13)</f>
        <v>8.3789999999999996</v>
      </c>
    </row>
    <row r="469" spans="1:11" ht="15">
      <c r="A469" s="13">
        <v>55916</v>
      </c>
      <c r="B469" s="63">
        <f>7.2225 * CHOOSE(CONTROL!$C$22, $C$13, 100%, $E$13)</f>
        <v>7.2225000000000001</v>
      </c>
      <c r="C469" s="63">
        <f>7.2225 * CHOOSE(CONTROL!$C$22, $C$13, 100%, $E$13)</f>
        <v>7.2225000000000001</v>
      </c>
      <c r="D469" s="63">
        <f>7.2402 * CHOOSE(CONTROL!$C$22, $C$13, 100%, $E$13)</f>
        <v>7.2401999999999997</v>
      </c>
      <c r="E469" s="64">
        <f>8.2852 * CHOOSE(CONTROL!$C$22, $C$13, 100%, $E$13)</f>
        <v>8.2851999999999997</v>
      </c>
      <c r="F469" s="64">
        <f>8.2852 * CHOOSE(CONTROL!$C$22, $C$13, 100%, $E$13)</f>
        <v>8.2851999999999997</v>
      </c>
      <c r="G469" s="64">
        <f>8.2854 * CHOOSE(CONTROL!$C$22, $C$13, 100%, $E$13)</f>
        <v>8.2853999999999992</v>
      </c>
      <c r="H469" s="64">
        <f>14.4691* CHOOSE(CONTROL!$C$22, $C$13, 100%, $E$13)</f>
        <v>14.469099999999999</v>
      </c>
      <c r="I469" s="64">
        <f>14.4693 * CHOOSE(CONTROL!$C$22, $C$13, 100%, $E$13)</f>
        <v>14.4693</v>
      </c>
      <c r="J469" s="64">
        <f>8.2852 * CHOOSE(CONTROL!$C$22, $C$13, 100%, $E$13)</f>
        <v>8.2851999999999997</v>
      </c>
      <c r="K469" s="64">
        <f>8.2854 * CHOOSE(CONTROL!$C$22, $C$13, 100%, $E$13)</f>
        <v>8.2853999999999992</v>
      </c>
    </row>
    <row r="470" spans="1:11" ht="15">
      <c r="A470" s="13">
        <v>55944</v>
      </c>
      <c r="B470" s="63">
        <f>7.2195 * CHOOSE(CONTROL!$C$22, $C$13, 100%, $E$13)</f>
        <v>7.2195</v>
      </c>
      <c r="C470" s="63">
        <f>7.2195 * CHOOSE(CONTROL!$C$22, $C$13, 100%, $E$13)</f>
        <v>7.2195</v>
      </c>
      <c r="D470" s="63">
        <f>7.2371 * CHOOSE(CONTROL!$C$22, $C$13, 100%, $E$13)</f>
        <v>7.2370999999999999</v>
      </c>
      <c r="E470" s="64">
        <f>8.3552 * CHOOSE(CONTROL!$C$22, $C$13, 100%, $E$13)</f>
        <v>8.3552</v>
      </c>
      <c r="F470" s="64">
        <f>8.3552 * CHOOSE(CONTROL!$C$22, $C$13, 100%, $E$13)</f>
        <v>8.3552</v>
      </c>
      <c r="G470" s="64">
        <f>8.3554 * CHOOSE(CONTROL!$C$22, $C$13, 100%, $E$13)</f>
        <v>8.3553999999999995</v>
      </c>
      <c r="H470" s="64">
        <f>14.4993* CHOOSE(CONTROL!$C$22, $C$13, 100%, $E$13)</f>
        <v>14.4993</v>
      </c>
      <c r="I470" s="64">
        <f>14.4994 * CHOOSE(CONTROL!$C$22, $C$13, 100%, $E$13)</f>
        <v>14.4994</v>
      </c>
      <c r="J470" s="64">
        <f>8.3552 * CHOOSE(CONTROL!$C$22, $C$13, 100%, $E$13)</f>
        <v>8.3552</v>
      </c>
      <c r="K470" s="64">
        <f>8.3554 * CHOOSE(CONTROL!$C$22, $C$13, 100%, $E$13)</f>
        <v>8.3553999999999995</v>
      </c>
    </row>
    <row r="471" spans="1:11" ht="15">
      <c r="A471" s="13">
        <v>55975</v>
      </c>
      <c r="B471" s="63">
        <f>7.22 * CHOOSE(CONTROL!$C$22, $C$13, 100%, $E$13)</f>
        <v>7.22</v>
      </c>
      <c r="C471" s="63">
        <f>7.22 * CHOOSE(CONTROL!$C$22, $C$13, 100%, $E$13)</f>
        <v>7.22</v>
      </c>
      <c r="D471" s="63">
        <f>7.2376 * CHOOSE(CONTROL!$C$22, $C$13, 100%, $E$13)</f>
        <v>7.2375999999999996</v>
      </c>
      <c r="E471" s="64">
        <f>8.4285 * CHOOSE(CONTROL!$C$22, $C$13, 100%, $E$13)</f>
        <v>8.4284999999999997</v>
      </c>
      <c r="F471" s="64">
        <f>8.4285 * CHOOSE(CONTROL!$C$22, $C$13, 100%, $E$13)</f>
        <v>8.4284999999999997</v>
      </c>
      <c r="G471" s="64">
        <f>8.4287 * CHOOSE(CONTROL!$C$22, $C$13, 100%, $E$13)</f>
        <v>8.4286999999999992</v>
      </c>
      <c r="H471" s="64">
        <f>14.5295* CHOOSE(CONTROL!$C$22, $C$13, 100%, $E$13)</f>
        <v>14.529500000000001</v>
      </c>
      <c r="I471" s="64">
        <f>14.5296 * CHOOSE(CONTROL!$C$22, $C$13, 100%, $E$13)</f>
        <v>14.5296</v>
      </c>
      <c r="J471" s="64">
        <f>8.4285 * CHOOSE(CONTROL!$C$22, $C$13, 100%, $E$13)</f>
        <v>8.4284999999999997</v>
      </c>
      <c r="K471" s="64">
        <f>8.4287 * CHOOSE(CONTROL!$C$22, $C$13, 100%, $E$13)</f>
        <v>8.4286999999999992</v>
      </c>
    </row>
    <row r="472" spans="1:11" ht="15">
      <c r="A472" s="13">
        <v>56005</v>
      </c>
      <c r="B472" s="63">
        <f>7.22 * CHOOSE(CONTROL!$C$22, $C$13, 100%, $E$13)</f>
        <v>7.22</v>
      </c>
      <c r="C472" s="63">
        <f>7.22 * CHOOSE(CONTROL!$C$22, $C$13, 100%, $E$13)</f>
        <v>7.22</v>
      </c>
      <c r="D472" s="63">
        <f>7.2553 * CHOOSE(CONTROL!$C$22, $C$13, 100%, $E$13)</f>
        <v>7.2553000000000001</v>
      </c>
      <c r="E472" s="64">
        <f>8.4576 * CHOOSE(CONTROL!$C$22, $C$13, 100%, $E$13)</f>
        <v>8.4575999999999993</v>
      </c>
      <c r="F472" s="64">
        <f>8.4576 * CHOOSE(CONTROL!$C$22, $C$13, 100%, $E$13)</f>
        <v>8.4575999999999993</v>
      </c>
      <c r="G472" s="64">
        <f>8.4597 * CHOOSE(CONTROL!$C$22, $C$13, 100%, $E$13)</f>
        <v>8.4596999999999998</v>
      </c>
      <c r="H472" s="64">
        <f>14.5597* CHOOSE(CONTROL!$C$22, $C$13, 100%, $E$13)</f>
        <v>14.559699999999999</v>
      </c>
      <c r="I472" s="64">
        <f>14.5619 * CHOOSE(CONTROL!$C$22, $C$13, 100%, $E$13)</f>
        <v>14.5619</v>
      </c>
      <c r="J472" s="64">
        <f>8.4576 * CHOOSE(CONTROL!$C$22, $C$13, 100%, $E$13)</f>
        <v>8.4575999999999993</v>
      </c>
      <c r="K472" s="64">
        <f>8.4597 * CHOOSE(CONTROL!$C$22, $C$13, 100%, $E$13)</f>
        <v>8.4596999999999998</v>
      </c>
    </row>
    <row r="473" spans="1:11" ht="15">
      <c r="A473" s="13">
        <v>56036</v>
      </c>
      <c r="B473" s="63">
        <f>7.2261 * CHOOSE(CONTROL!$C$22, $C$13, 100%, $E$13)</f>
        <v>7.2260999999999997</v>
      </c>
      <c r="C473" s="63">
        <f>7.2261 * CHOOSE(CONTROL!$C$22, $C$13, 100%, $E$13)</f>
        <v>7.2260999999999997</v>
      </c>
      <c r="D473" s="63">
        <f>7.2614 * CHOOSE(CONTROL!$C$22, $C$13, 100%, $E$13)</f>
        <v>7.2614000000000001</v>
      </c>
      <c r="E473" s="64">
        <f>8.4327 * CHOOSE(CONTROL!$C$22, $C$13, 100%, $E$13)</f>
        <v>8.4327000000000005</v>
      </c>
      <c r="F473" s="64">
        <f>8.4327 * CHOOSE(CONTROL!$C$22, $C$13, 100%, $E$13)</f>
        <v>8.4327000000000005</v>
      </c>
      <c r="G473" s="64">
        <f>8.4349 * CHOOSE(CONTROL!$C$22, $C$13, 100%, $E$13)</f>
        <v>8.4349000000000007</v>
      </c>
      <c r="H473" s="64">
        <f>14.5901* CHOOSE(CONTROL!$C$22, $C$13, 100%, $E$13)</f>
        <v>14.5901</v>
      </c>
      <c r="I473" s="64">
        <f>14.5922 * CHOOSE(CONTROL!$C$22, $C$13, 100%, $E$13)</f>
        <v>14.5922</v>
      </c>
      <c r="J473" s="64">
        <f>8.4327 * CHOOSE(CONTROL!$C$22, $C$13, 100%, $E$13)</f>
        <v>8.4327000000000005</v>
      </c>
      <c r="K473" s="64">
        <f>8.4349 * CHOOSE(CONTROL!$C$22, $C$13, 100%, $E$13)</f>
        <v>8.4349000000000007</v>
      </c>
    </row>
    <row r="474" spans="1:11" ht="15">
      <c r="A474" s="13">
        <v>56066</v>
      </c>
      <c r="B474" s="63">
        <f>7.3442 * CHOOSE(CONTROL!$C$22, $C$13, 100%, $E$13)</f>
        <v>7.3441999999999998</v>
      </c>
      <c r="C474" s="63">
        <f>7.3442 * CHOOSE(CONTROL!$C$22, $C$13, 100%, $E$13)</f>
        <v>7.3441999999999998</v>
      </c>
      <c r="D474" s="63">
        <f>7.3795 * CHOOSE(CONTROL!$C$22, $C$13, 100%, $E$13)</f>
        <v>7.3795000000000002</v>
      </c>
      <c r="E474" s="64">
        <f>8.5982 * CHOOSE(CONTROL!$C$22, $C$13, 100%, $E$13)</f>
        <v>8.5982000000000003</v>
      </c>
      <c r="F474" s="64">
        <f>8.5982 * CHOOSE(CONTROL!$C$22, $C$13, 100%, $E$13)</f>
        <v>8.5982000000000003</v>
      </c>
      <c r="G474" s="64">
        <f>8.6004 * CHOOSE(CONTROL!$C$22, $C$13, 100%, $E$13)</f>
        <v>8.6004000000000005</v>
      </c>
      <c r="H474" s="64">
        <f>14.6205* CHOOSE(CONTROL!$C$22, $C$13, 100%, $E$13)</f>
        <v>14.6205</v>
      </c>
      <c r="I474" s="64">
        <f>14.6226 * CHOOSE(CONTROL!$C$22, $C$13, 100%, $E$13)</f>
        <v>14.6226</v>
      </c>
      <c r="J474" s="64">
        <f>8.5982 * CHOOSE(CONTROL!$C$22, $C$13, 100%, $E$13)</f>
        <v>8.5982000000000003</v>
      </c>
      <c r="K474" s="64">
        <f>8.6004 * CHOOSE(CONTROL!$C$22, $C$13, 100%, $E$13)</f>
        <v>8.6004000000000005</v>
      </c>
    </row>
    <row r="475" spans="1:11" ht="15">
      <c r="A475" s="13">
        <v>56097</v>
      </c>
      <c r="B475" s="63">
        <f>7.3509 * CHOOSE(CONTROL!$C$22, $C$13, 100%, $E$13)</f>
        <v>7.3509000000000002</v>
      </c>
      <c r="C475" s="63">
        <f>7.3509 * CHOOSE(CONTROL!$C$22, $C$13, 100%, $E$13)</f>
        <v>7.3509000000000002</v>
      </c>
      <c r="D475" s="63">
        <f>7.3862 * CHOOSE(CONTROL!$C$22, $C$13, 100%, $E$13)</f>
        <v>7.3861999999999997</v>
      </c>
      <c r="E475" s="64">
        <f>8.5157 * CHOOSE(CONTROL!$C$22, $C$13, 100%, $E$13)</f>
        <v>8.5157000000000007</v>
      </c>
      <c r="F475" s="64">
        <f>8.5157 * CHOOSE(CONTROL!$C$22, $C$13, 100%, $E$13)</f>
        <v>8.5157000000000007</v>
      </c>
      <c r="G475" s="64">
        <f>8.5178 * CHOOSE(CONTROL!$C$22, $C$13, 100%, $E$13)</f>
        <v>8.5177999999999994</v>
      </c>
      <c r="H475" s="64">
        <f>14.6509* CHOOSE(CONTROL!$C$22, $C$13, 100%, $E$13)</f>
        <v>14.6509</v>
      </c>
      <c r="I475" s="64">
        <f>14.6531 * CHOOSE(CONTROL!$C$22, $C$13, 100%, $E$13)</f>
        <v>14.6531</v>
      </c>
      <c r="J475" s="64">
        <f>8.5157 * CHOOSE(CONTROL!$C$22, $C$13, 100%, $E$13)</f>
        <v>8.5157000000000007</v>
      </c>
      <c r="K475" s="64">
        <f>8.5178 * CHOOSE(CONTROL!$C$22, $C$13, 100%, $E$13)</f>
        <v>8.5177999999999994</v>
      </c>
    </row>
    <row r="476" spans="1:11" ht="15">
      <c r="A476" s="13">
        <v>56128</v>
      </c>
      <c r="B476" s="63">
        <f>7.3479 * CHOOSE(CONTROL!$C$22, $C$13, 100%, $E$13)</f>
        <v>7.3479000000000001</v>
      </c>
      <c r="C476" s="63">
        <f>7.3479 * CHOOSE(CONTROL!$C$22, $C$13, 100%, $E$13)</f>
        <v>7.3479000000000001</v>
      </c>
      <c r="D476" s="63">
        <f>7.3832 * CHOOSE(CONTROL!$C$22, $C$13, 100%, $E$13)</f>
        <v>7.3832000000000004</v>
      </c>
      <c r="E476" s="64">
        <f>8.5039 * CHOOSE(CONTROL!$C$22, $C$13, 100%, $E$13)</f>
        <v>8.5038999999999998</v>
      </c>
      <c r="F476" s="64">
        <f>8.5039 * CHOOSE(CONTROL!$C$22, $C$13, 100%, $E$13)</f>
        <v>8.5038999999999998</v>
      </c>
      <c r="G476" s="64">
        <f>8.506 * CHOOSE(CONTROL!$C$22, $C$13, 100%, $E$13)</f>
        <v>8.5060000000000002</v>
      </c>
      <c r="H476" s="64">
        <f>14.6814* CHOOSE(CONTROL!$C$22, $C$13, 100%, $E$13)</f>
        <v>14.6814</v>
      </c>
      <c r="I476" s="64">
        <f>14.6836 * CHOOSE(CONTROL!$C$22, $C$13, 100%, $E$13)</f>
        <v>14.6836</v>
      </c>
      <c r="J476" s="64">
        <f>8.5039 * CHOOSE(CONTROL!$C$22, $C$13, 100%, $E$13)</f>
        <v>8.5038999999999998</v>
      </c>
      <c r="K476" s="64">
        <f>8.506 * CHOOSE(CONTROL!$C$22, $C$13, 100%, $E$13)</f>
        <v>8.5060000000000002</v>
      </c>
    </row>
    <row r="477" spans="1:11" ht="15">
      <c r="A477" s="13">
        <v>56158</v>
      </c>
      <c r="B477" s="63">
        <f>7.3543 * CHOOSE(CONTROL!$C$22, $C$13, 100%, $E$13)</f>
        <v>7.3543000000000003</v>
      </c>
      <c r="C477" s="63">
        <f>7.3543 * CHOOSE(CONTROL!$C$22, $C$13, 100%, $E$13)</f>
        <v>7.3543000000000003</v>
      </c>
      <c r="D477" s="63">
        <f>7.3719 * CHOOSE(CONTROL!$C$22, $C$13, 100%, $E$13)</f>
        <v>7.3719000000000001</v>
      </c>
      <c r="E477" s="64">
        <f>8.5292 * CHOOSE(CONTROL!$C$22, $C$13, 100%, $E$13)</f>
        <v>8.5291999999999994</v>
      </c>
      <c r="F477" s="64">
        <f>8.5292 * CHOOSE(CONTROL!$C$22, $C$13, 100%, $E$13)</f>
        <v>8.5291999999999994</v>
      </c>
      <c r="G477" s="64">
        <f>8.5294 * CHOOSE(CONTROL!$C$22, $C$13, 100%, $E$13)</f>
        <v>8.5294000000000008</v>
      </c>
      <c r="H477" s="64">
        <f>14.712* CHOOSE(CONTROL!$C$22, $C$13, 100%, $E$13)</f>
        <v>14.712</v>
      </c>
      <c r="I477" s="64">
        <f>14.7122 * CHOOSE(CONTROL!$C$22, $C$13, 100%, $E$13)</f>
        <v>14.712199999999999</v>
      </c>
      <c r="J477" s="64">
        <f>8.5292 * CHOOSE(CONTROL!$C$22, $C$13, 100%, $E$13)</f>
        <v>8.5291999999999994</v>
      </c>
      <c r="K477" s="64">
        <f>8.5294 * CHOOSE(CONTROL!$C$22, $C$13, 100%, $E$13)</f>
        <v>8.5294000000000008</v>
      </c>
    </row>
    <row r="478" spans="1:11" ht="15">
      <c r="A478" s="13">
        <v>56189</v>
      </c>
      <c r="B478" s="63">
        <f>7.3573 * CHOOSE(CONTROL!$C$22, $C$13, 100%, $E$13)</f>
        <v>7.3573000000000004</v>
      </c>
      <c r="C478" s="63">
        <f>7.3573 * CHOOSE(CONTROL!$C$22, $C$13, 100%, $E$13)</f>
        <v>7.3573000000000004</v>
      </c>
      <c r="D478" s="63">
        <f>7.375 * CHOOSE(CONTROL!$C$22, $C$13, 100%, $E$13)</f>
        <v>7.375</v>
      </c>
      <c r="E478" s="64">
        <f>8.5507 * CHOOSE(CONTROL!$C$22, $C$13, 100%, $E$13)</f>
        <v>8.5507000000000009</v>
      </c>
      <c r="F478" s="64">
        <f>8.5507 * CHOOSE(CONTROL!$C$22, $C$13, 100%, $E$13)</f>
        <v>8.5507000000000009</v>
      </c>
      <c r="G478" s="64">
        <f>8.5509 * CHOOSE(CONTROL!$C$22, $C$13, 100%, $E$13)</f>
        <v>8.5509000000000004</v>
      </c>
      <c r="H478" s="64">
        <f>14.7427* CHOOSE(CONTROL!$C$22, $C$13, 100%, $E$13)</f>
        <v>14.742699999999999</v>
      </c>
      <c r="I478" s="64">
        <f>14.7429 * CHOOSE(CONTROL!$C$22, $C$13, 100%, $E$13)</f>
        <v>14.742900000000001</v>
      </c>
      <c r="J478" s="64">
        <f>8.5507 * CHOOSE(CONTROL!$C$22, $C$13, 100%, $E$13)</f>
        <v>8.5507000000000009</v>
      </c>
      <c r="K478" s="64">
        <f>8.5509 * CHOOSE(CONTROL!$C$22, $C$13, 100%, $E$13)</f>
        <v>8.5509000000000004</v>
      </c>
    </row>
    <row r="479" spans="1:11" ht="15">
      <c r="A479" s="13">
        <v>56219</v>
      </c>
      <c r="B479" s="63">
        <f>7.3573 * CHOOSE(CONTROL!$C$22, $C$13, 100%, $E$13)</f>
        <v>7.3573000000000004</v>
      </c>
      <c r="C479" s="63">
        <f>7.3573 * CHOOSE(CONTROL!$C$22, $C$13, 100%, $E$13)</f>
        <v>7.3573000000000004</v>
      </c>
      <c r="D479" s="63">
        <f>7.375 * CHOOSE(CONTROL!$C$22, $C$13, 100%, $E$13)</f>
        <v>7.375</v>
      </c>
      <c r="E479" s="64">
        <f>8.5022 * CHOOSE(CONTROL!$C$22, $C$13, 100%, $E$13)</f>
        <v>8.5022000000000002</v>
      </c>
      <c r="F479" s="64">
        <f>8.5022 * CHOOSE(CONTROL!$C$22, $C$13, 100%, $E$13)</f>
        <v>8.5022000000000002</v>
      </c>
      <c r="G479" s="64">
        <f>8.5024 * CHOOSE(CONTROL!$C$22, $C$13, 100%, $E$13)</f>
        <v>8.5023999999999997</v>
      </c>
      <c r="H479" s="64">
        <f>14.7734* CHOOSE(CONTROL!$C$22, $C$13, 100%, $E$13)</f>
        <v>14.773400000000001</v>
      </c>
      <c r="I479" s="64">
        <f>14.7736 * CHOOSE(CONTROL!$C$22, $C$13, 100%, $E$13)</f>
        <v>14.7736</v>
      </c>
      <c r="J479" s="64">
        <f>8.5022 * CHOOSE(CONTROL!$C$22, $C$13, 100%, $E$13)</f>
        <v>8.5022000000000002</v>
      </c>
      <c r="K479" s="64">
        <f>8.5024 * CHOOSE(CONTROL!$C$22, $C$13, 100%, $E$13)</f>
        <v>8.5023999999999997</v>
      </c>
    </row>
    <row r="480" spans="1:11" ht="15">
      <c r="A480" s="13">
        <v>56250</v>
      </c>
      <c r="B480" s="63">
        <f>7.4229 * CHOOSE(CONTROL!$C$22, $C$13, 100%, $E$13)</f>
        <v>7.4229000000000003</v>
      </c>
      <c r="C480" s="63">
        <f>7.4229 * CHOOSE(CONTROL!$C$22, $C$13, 100%, $E$13)</f>
        <v>7.4229000000000003</v>
      </c>
      <c r="D480" s="63">
        <f>7.4405 * CHOOSE(CONTROL!$C$22, $C$13, 100%, $E$13)</f>
        <v>7.4405000000000001</v>
      </c>
      <c r="E480" s="64">
        <f>8.6133 * CHOOSE(CONTROL!$C$22, $C$13, 100%, $E$13)</f>
        <v>8.6133000000000006</v>
      </c>
      <c r="F480" s="64">
        <f>8.6133 * CHOOSE(CONTROL!$C$22, $C$13, 100%, $E$13)</f>
        <v>8.6133000000000006</v>
      </c>
      <c r="G480" s="64">
        <f>8.6135 * CHOOSE(CONTROL!$C$22, $C$13, 100%, $E$13)</f>
        <v>8.6135000000000002</v>
      </c>
      <c r="H480" s="64">
        <f>14.8042* CHOOSE(CONTROL!$C$22, $C$13, 100%, $E$13)</f>
        <v>14.8042</v>
      </c>
      <c r="I480" s="64">
        <f>14.8043 * CHOOSE(CONTROL!$C$22, $C$13, 100%, $E$13)</f>
        <v>14.8043</v>
      </c>
      <c r="J480" s="64">
        <f>8.6133 * CHOOSE(CONTROL!$C$22, $C$13, 100%, $E$13)</f>
        <v>8.6133000000000006</v>
      </c>
      <c r="K480" s="64">
        <f>8.6135 * CHOOSE(CONTROL!$C$22, $C$13, 100%, $E$13)</f>
        <v>8.6135000000000002</v>
      </c>
    </row>
    <row r="481" spans="1:11" ht="15">
      <c r="A481" s="13">
        <v>56281</v>
      </c>
      <c r="B481" s="63">
        <f>7.4198 * CHOOSE(CONTROL!$C$22, $C$13, 100%, $E$13)</f>
        <v>7.4198000000000004</v>
      </c>
      <c r="C481" s="63">
        <f>7.4198 * CHOOSE(CONTROL!$C$22, $C$13, 100%, $E$13)</f>
        <v>7.4198000000000004</v>
      </c>
      <c r="D481" s="63">
        <f>7.4375 * CHOOSE(CONTROL!$C$22, $C$13, 100%, $E$13)</f>
        <v>7.4375</v>
      </c>
      <c r="E481" s="64">
        <f>8.5171 * CHOOSE(CONTROL!$C$22, $C$13, 100%, $E$13)</f>
        <v>8.5170999999999992</v>
      </c>
      <c r="F481" s="64">
        <f>8.5171 * CHOOSE(CONTROL!$C$22, $C$13, 100%, $E$13)</f>
        <v>8.5170999999999992</v>
      </c>
      <c r="G481" s="64">
        <f>8.5173 * CHOOSE(CONTROL!$C$22, $C$13, 100%, $E$13)</f>
        <v>8.5173000000000005</v>
      </c>
      <c r="H481" s="64">
        <f>14.835* CHOOSE(CONTROL!$C$22, $C$13, 100%, $E$13)</f>
        <v>14.835000000000001</v>
      </c>
      <c r="I481" s="64">
        <f>14.8352 * CHOOSE(CONTROL!$C$22, $C$13, 100%, $E$13)</f>
        <v>14.8352</v>
      </c>
      <c r="J481" s="64">
        <f>8.5171 * CHOOSE(CONTROL!$C$22, $C$13, 100%, $E$13)</f>
        <v>8.5170999999999992</v>
      </c>
      <c r="K481" s="64">
        <f>8.5173 * CHOOSE(CONTROL!$C$22, $C$13, 100%, $E$13)</f>
        <v>8.5173000000000005</v>
      </c>
    </row>
    <row r="482" spans="1:11" ht="15">
      <c r="A482" s="13">
        <v>56309</v>
      </c>
      <c r="B482" s="63">
        <f>7.4168 * CHOOSE(CONTROL!$C$22, $C$13, 100%, $E$13)</f>
        <v>7.4168000000000003</v>
      </c>
      <c r="C482" s="63">
        <f>7.4168 * CHOOSE(CONTROL!$C$22, $C$13, 100%, $E$13)</f>
        <v>7.4168000000000003</v>
      </c>
      <c r="D482" s="63">
        <f>7.4344 * CHOOSE(CONTROL!$C$22, $C$13, 100%, $E$13)</f>
        <v>7.4344000000000001</v>
      </c>
      <c r="E482" s="64">
        <f>8.5892 * CHOOSE(CONTROL!$C$22, $C$13, 100%, $E$13)</f>
        <v>8.5891999999999999</v>
      </c>
      <c r="F482" s="64">
        <f>8.5892 * CHOOSE(CONTROL!$C$22, $C$13, 100%, $E$13)</f>
        <v>8.5891999999999999</v>
      </c>
      <c r="G482" s="64">
        <f>8.5893 * CHOOSE(CONTROL!$C$22, $C$13, 100%, $E$13)</f>
        <v>8.5892999999999997</v>
      </c>
      <c r="H482" s="64">
        <f>14.8659* CHOOSE(CONTROL!$C$22, $C$13, 100%, $E$13)</f>
        <v>14.8659</v>
      </c>
      <c r="I482" s="64">
        <f>14.8661 * CHOOSE(CONTROL!$C$22, $C$13, 100%, $E$13)</f>
        <v>14.866099999999999</v>
      </c>
      <c r="J482" s="64">
        <f>8.5892 * CHOOSE(CONTROL!$C$22, $C$13, 100%, $E$13)</f>
        <v>8.5891999999999999</v>
      </c>
      <c r="K482" s="64">
        <f>8.5893 * CHOOSE(CONTROL!$C$22, $C$13, 100%, $E$13)</f>
        <v>8.5892999999999997</v>
      </c>
    </row>
    <row r="483" spans="1:11" ht="15">
      <c r="A483" s="13">
        <v>56340</v>
      </c>
      <c r="B483" s="63">
        <f>7.4175 * CHOOSE(CONTROL!$C$22, $C$13, 100%, $E$13)</f>
        <v>7.4175000000000004</v>
      </c>
      <c r="C483" s="63">
        <f>7.4175 * CHOOSE(CONTROL!$C$22, $C$13, 100%, $E$13)</f>
        <v>7.4175000000000004</v>
      </c>
      <c r="D483" s="63">
        <f>7.4351 * CHOOSE(CONTROL!$C$22, $C$13, 100%, $E$13)</f>
        <v>7.4351000000000003</v>
      </c>
      <c r="E483" s="64">
        <f>8.6646 * CHOOSE(CONTROL!$C$22, $C$13, 100%, $E$13)</f>
        <v>8.6646000000000001</v>
      </c>
      <c r="F483" s="64">
        <f>8.6646 * CHOOSE(CONTROL!$C$22, $C$13, 100%, $E$13)</f>
        <v>8.6646000000000001</v>
      </c>
      <c r="G483" s="64">
        <f>8.6648 * CHOOSE(CONTROL!$C$22, $C$13, 100%, $E$13)</f>
        <v>8.6647999999999996</v>
      </c>
      <c r="H483" s="64">
        <f>14.8969* CHOOSE(CONTROL!$C$22, $C$13, 100%, $E$13)</f>
        <v>14.8969</v>
      </c>
      <c r="I483" s="64">
        <f>14.8971 * CHOOSE(CONTROL!$C$22, $C$13, 100%, $E$13)</f>
        <v>14.8971</v>
      </c>
      <c r="J483" s="64">
        <f>8.6646 * CHOOSE(CONTROL!$C$22, $C$13, 100%, $E$13)</f>
        <v>8.6646000000000001</v>
      </c>
      <c r="K483" s="64">
        <f>8.6648 * CHOOSE(CONTROL!$C$22, $C$13, 100%, $E$13)</f>
        <v>8.6647999999999996</v>
      </c>
    </row>
    <row r="484" spans="1:11" ht="15">
      <c r="A484" s="13">
        <v>56370</v>
      </c>
      <c r="B484" s="63">
        <f>7.4175 * CHOOSE(CONTROL!$C$22, $C$13, 100%, $E$13)</f>
        <v>7.4175000000000004</v>
      </c>
      <c r="C484" s="63">
        <f>7.4175 * CHOOSE(CONTROL!$C$22, $C$13, 100%, $E$13)</f>
        <v>7.4175000000000004</v>
      </c>
      <c r="D484" s="63">
        <f>7.4528 * CHOOSE(CONTROL!$C$22, $C$13, 100%, $E$13)</f>
        <v>7.4527999999999999</v>
      </c>
      <c r="E484" s="64">
        <f>8.6945 * CHOOSE(CONTROL!$C$22, $C$13, 100%, $E$13)</f>
        <v>8.6944999999999997</v>
      </c>
      <c r="F484" s="64">
        <f>8.6945 * CHOOSE(CONTROL!$C$22, $C$13, 100%, $E$13)</f>
        <v>8.6944999999999997</v>
      </c>
      <c r="G484" s="64">
        <f>8.6967 * CHOOSE(CONTROL!$C$22, $C$13, 100%, $E$13)</f>
        <v>8.6966999999999999</v>
      </c>
      <c r="H484" s="64">
        <f>14.9279* CHOOSE(CONTROL!$C$22, $C$13, 100%, $E$13)</f>
        <v>14.927899999999999</v>
      </c>
      <c r="I484" s="64">
        <f>14.9301 * CHOOSE(CONTROL!$C$22, $C$13, 100%, $E$13)</f>
        <v>14.930099999999999</v>
      </c>
      <c r="J484" s="64">
        <f>8.6945 * CHOOSE(CONTROL!$C$22, $C$13, 100%, $E$13)</f>
        <v>8.6944999999999997</v>
      </c>
      <c r="K484" s="64">
        <f>8.6967 * CHOOSE(CONTROL!$C$22, $C$13, 100%, $E$13)</f>
        <v>8.6966999999999999</v>
      </c>
    </row>
    <row r="485" spans="1:11" ht="15">
      <c r="A485" s="13">
        <v>56401</v>
      </c>
      <c r="B485" s="63">
        <f>7.4235 * CHOOSE(CONTROL!$C$22, $C$13, 100%, $E$13)</f>
        <v>7.4234999999999998</v>
      </c>
      <c r="C485" s="63">
        <f>7.4235 * CHOOSE(CONTROL!$C$22, $C$13, 100%, $E$13)</f>
        <v>7.4234999999999998</v>
      </c>
      <c r="D485" s="63">
        <f>7.4588 * CHOOSE(CONTROL!$C$22, $C$13, 100%, $E$13)</f>
        <v>7.4588000000000001</v>
      </c>
      <c r="E485" s="64">
        <f>8.6688 * CHOOSE(CONTROL!$C$22, $C$13, 100%, $E$13)</f>
        <v>8.6687999999999992</v>
      </c>
      <c r="F485" s="64">
        <f>8.6688 * CHOOSE(CONTROL!$C$22, $C$13, 100%, $E$13)</f>
        <v>8.6687999999999992</v>
      </c>
      <c r="G485" s="64">
        <f>8.671 * CHOOSE(CONTROL!$C$22, $C$13, 100%, $E$13)</f>
        <v>8.6709999999999994</v>
      </c>
      <c r="H485" s="64">
        <f>14.959* CHOOSE(CONTROL!$C$22, $C$13, 100%, $E$13)</f>
        <v>14.959</v>
      </c>
      <c r="I485" s="64">
        <f>14.9612 * CHOOSE(CONTROL!$C$22, $C$13, 100%, $E$13)</f>
        <v>14.9612</v>
      </c>
      <c r="J485" s="64">
        <f>8.6688 * CHOOSE(CONTROL!$C$22, $C$13, 100%, $E$13)</f>
        <v>8.6687999999999992</v>
      </c>
      <c r="K485" s="64">
        <f>8.671 * CHOOSE(CONTROL!$C$22, $C$13, 100%, $E$13)</f>
        <v>8.6709999999999994</v>
      </c>
    </row>
    <row r="486" spans="1:11" ht="15">
      <c r="A486" s="13">
        <v>56431</v>
      </c>
      <c r="B486" s="63">
        <f>7.5446 * CHOOSE(CONTROL!$C$22, $C$13, 100%, $E$13)</f>
        <v>7.5446</v>
      </c>
      <c r="C486" s="63">
        <f>7.5446 * CHOOSE(CONTROL!$C$22, $C$13, 100%, $E$13)</f>
        <v>7.5446</v>
      </c>
      <c r="D486" s="63">
        <f>7.5799 * CHOOSE(CONTROL!$C$22, $C$13, 100%, $E$13)</f>
        <v>7.5799000000000003</v>
      </c>
      <c r="E486" s="64">
        <f>8.8387 * CHOOSE(CONTROL!$C$22, $C$13, 100%, $E$13)</f>
        <v>8.8386999999999993</v>
      </c>
      <c r="F486" s="64">
        <f>8.8387 * CHOOSE(CONTROL!$C$22, $C$13, 100%, $E$13)</f>
        <v>8.8386999999999993</v>
      </c>
      <c r="G486" s="64">
        <f>8.8408 * CHOOSE(CONTROL!$C$22, $C$13, 100%, $E$13)</f>
        <v>8.8407999999999998</v>
      </c>
      <c r="H486" s="64">
        <f>14.9902* CHOOSE(CONTROL!$C$22, $C$13, 100%, $E$13)</f>
        <v>14.9902</v>
      </c>
      <c r="I486" s="64">
        <f>14.9924 * CHOOSE(CONTROL!$C$22, $C$13, 100%, $E$13)</f>
        <v>14.9924</v>
      </c>
      <c r="J486" s="64">
        <f>8.8387 * CHOOSE(CONTROL!$C$22, $C$13, 100%, $E$13)</f>
        <v>8.8386999999999993</v>
      </c>
      <c r="K486" s="64">
        <f>8.8408 * CHOOSE(CONTROL!$C$22, $C$13, 100%, $E$13)</f>
        <v>8.8407999999999998</v>
      </c>
    </row>
    <row r="487" spans="1:11" ht="15">
      <c r="A487" s="13">
        <v>56462</v>
      </c>
      <c r="B487" s="63">
        <f>7.5513 * CHOOSE(CONTROL!$C$22, $C$13, 100%, $E$13)</f>
        <v>7.5513000000000003</v>
      </c>
      <c r="C487" s="63">
        <f>7.5513 * CHOOSE(CONTROL!$C$22, $C$13, 100%, $E$13)</f>
        <v>7.5513000000000003</v>
      </c>
      <c r="D487" s="63">
        <f>7.5866 * CHOOSE(CONTROL!$C$22, $C$13, 100%, $E$13)</f>
        <v>7.5865999999999998</v>
      </c>
      <c r="E487" s="64">
        <f>8.7537 * CHOOSE(CONTROL!$C$22, $C$13, 100%, $E$13)</f>
        <v>8.7537000000000003</v>
      </c>
      <c r="F487" s="64">
        <f>8.7537 * CHOOSE(CONTROL!$C$22, $C$13, 100%, $E$13)</f>
        <v>8.7537000000000003</v>
      </c>
      <c r="G487" s="64">
        <f>8.7559 * CHOOSE(CONTROL!$C$22, $C$13, 100%, $E$13)</f>
        <v>8.7559000000000005</v>
      </c>
      <c r="H487" s="64">
        <f>15.0214* CHOOSE(CONTROL!$C$22, $C$13, 100%, $E$13)</f>
        <v>15.0214</v>
      </c>
      <c r="I487" s="64">
        <f>15.0236 * CHOOSE(CONTROL!$C$22, $C$13, 100%, $E$13)</f>
        <v>15.0236</v>
      </c>
      <c r="J487" s="64">
        <f>8.7537 * CHOOSE(CONTROL!$C$22, $C$13, 100%, $E$13)</f>
        <v>8.7537000000000003</v>
      </c>
      <c r="K487" s="64">
        <f>8.7559 * CHOOSE(CONTROL!$C$22, $C$13, 100%, $E$13)</f>
        <v>8.7559000000000005</v>
      </c>
    </row>
    <row r="488" spans="1:11" ht="15">
      <c r="A488" s="13">
        <v>56493</v>
      </c>
      <c r="B488" s="63">
        <f>7.5483 * CHOOSE(CONTROL!$C$22, $C$13, 100%, $E$13)</f>
        <v>7.5483000000000002</v>
      </c>
      <c r="C488" s="63">
        <f>7.5483 * CHOOSE(CONTROL!$C$22, $C$13, 100%, $E$13)</f>
        <v>7.5483000000000002</v>
      </c>
      <c r="D488" s="63">
        <f>7.5836 * CHOOSE(CONTROL!$C$22, $C$13, 100%, $E$13)</f>
        <v>7.5835999999999997</v>
      </c>
      <c r="E488" s="64">
        <f>8.7416 * CHOOSE(CONTROL!$C$22, $C$13, 100%, $E$13)</f>
        <v>8.7416</v>
      </c>
      <c r="F488" s="64">
        <f>8.7416 * CHOOSE(CONTROL!$C$22, $C$13, 100%, $E$13)</f>
        <v>8.7416</v>
      </c>
      <c r="G488" s="64">
        <f>8.7438 * CHOOSE(CONTROL!$C$22, $C$13, 100%, $E$13)</f>
        <v>8.7438000000000002</v>
      </c>
      <c r="H488" s="64">
        <f>15.0527* CHOOSE(CONTROL!$C$22, $C$13, 100%, $E$13)</f>
        <v>15.0527</v>
      </c>
      <c r="I488" s="64">
        <f>15.0549 * CHOOSE(CONTROL!$C$22, $C$13, 100%, $E$13)</f>
        <v>15.0549</v>
      </c>
      <c r="J488" s="64">
        <f>8.7416 * CHOOSE(CONTROL!$C$22, $C$13, 100%, $E$13)</f>
        <v>8.7416</v>
      </c>
      <c r="K488" s="64">
        <f>8.7438 * CHOOSE(CONTROL!$C$22, $C$13, 100%, $E$13)</f>
        <v>8.7438000000000002</v>
      </c>
    </row>
    <row r="489" spans="1:11" ht="15">
      <c r="A489" s="13">
        <v>56523</v>
      </c>
      <c r="B489" s="63">
        <f>7.5554 * CHOOSE(CONTROL!$C$22, $C$13, 100%, $E$13)</f>
        <v>7.5553999999999997</v>
      </c>
      <c r="C489" s="63">
        <f>7.5554 * CHOOSE(CONTROL!$C$22, $C$13, 100%, $E$13)</f>
        <v>7.5553999999999997</v>
      </c>
      <c r="D489" s="63">
        <f>7.573 * CHOOSE(CONTROL!$C$22, $C$13, 100%, $E$13)</f>
        <v>7.5730000000000004</v>
      </c>
      <c r="E489" s="64">
        <f>8.768 * CHOOSE(CONTROL!$C$22, $C$13, 100%, $E$13)</f>
        <v>8.7680000000000007</v>
      </c>
      <c r="F489" s="64">
        <f>8.768 * CHOOSE(CONTROL!$C$22, $C$13, 100%, $E$13)</f>
        <v>8.7680000000000007</v>
      </c>
      <c r="G489" s="64">
        <f>8.7682 * CHOOSE(CONTROL!$C$22, $C$13, 100%, $E$13)</f>
        <v>8.7682000000000002</v>
      </c>
      <c r="H489" s="64">
        <f>15.0841* CHOOSE(CONTROL!$C$22, $C$13, 100%, $E$13)</f>
        <v>15.084099999999999</v>
      </c>
      <c r="I489" s="64">
        <f>15.0842 * CHOOSE(CONTROL!$C$22, $C$13, 100%, $E$13)</f>
        <v>15.084199999999999</v>
      </c>
      <c r="J489" s="64">
        <f>8.768 * CHOOSE(CONTROL!$C$22, $C$13, 100%, $E$13)</f>
        <v>8.7680000000000007</v>
      </c>
      <c r="K489" s="64">
        <f>8.7682 * CHOOSE(CONTROL!$C$22, $C$13, 100%, $E$13)</f>
        <v>8.7682000000000002</v>
      </c>
    </row>
    <row r="490" spans="1:11" ht="15">
      <c r="A490" s="13">
        <v>56554</v>
      </c>
      <c r="B490" s="63">
        <f>7.5584 * CHOOSE(CONTROL!$C$22, $C$13, 100%, $E$13)</f>
        <v>7.5583999999999998</v>
      </c>
      <c r="C490" s="63">
        <f>7.5584 * CHOOSE(CONTROL!$C$22, $C$13, 100%, $E$13)</f>
        <v>7.5583999999999998</v>
      </c>
      <c r="D490" s="63">
        <f>7.5761 * CHOOSE(CONTROL!$C$22, $C$13, 100%, $E$13)</f>
        <v>7.5761000000000003</v>
      </c>
      <c r="E490" s="64">
        <f>8.7901 * CHOOSE(CONTROL!$C$22, $C$13, 100%, $E$13)</f>
        <v>8.7901000000000007</v>
      </c>
      <c r="F490" s="64">
        <f>8.7901 * CHOOSE(CONTROL!$C$22, $C$13, 100%, $E$13)</f>
        <v>8.7901000000000007</v>
      </c>
      <c r="G490" s="64">
        <f>8.7902 * CHOOSE(CONTROL!$C$22, $C$13, 100%, $E$13)</f>
        <v>8.7902000000000005</v>
      </c>
      <c r="H490" s="64">
        <f>15.1155* CHOOSE(CONTROL!$C$22, $C$13, 100%, $E$13)</f>
        <v>15.115500000000001</v>
      </c>
      <c r="I490" s="64">
        <f>15.1157 * CHOOSE(CONTROL!$C$22, $C$13, 100%, $E$13)</f>
        <v>15.1157</v>
      </c>
      <c r="J490" s="64">
        <f>8.7901 * CHOOSE(CONTROL!$C$22, $C$13, 100%, $E$13)</f>
        <v>8.7901000000000007</v>
      </c>
      <c r="K490" s="64">
        <f>8.7902 * CHOOSE(CONTROL!$C$22, $C$13, 100%, $E$13)</f>
        <v>8.7902000000000005</v>
      </c>
    </row>
    <row r="491" spans="1:11" ht="15">
      <c r="A491" s="13">
        <v>56584</v>
      </c>
      <c r="B491" s="63">
        <f>7.5584 * CHOOSE(CONTROL!$C$22, $C$13, 100%, $E$13)</f>
        <v>7.5583999999999998</v>
      </c>
      <c r="C491" s="63">
        <f>7.5584 * CHOOSE(CONTROL!$C$22, $C$13, 100%, $E$13)</f>
        <v>7.5583999999999998</v>
      </c>
      <c r="D491" s="63">
        <f>7.5761 * CHOOSE(CONTROL!$C$22, $C$13, 100%, $E$13)</f>
        <v>7.5761000000000003</v>
      </c>
      <c r="E491" s="64">
        <f>8.7403 * CHOOSE(CONTROL!$C$22, $C$13, 100%, $E$13)</f>
        <v>8.7402999999999995</v>
      </c>
      <c r="F491" s="64">
        <f>8.7403 * CHOOSE(CONTROL!$C$22, $C$13, 100%, $E$13)</f>
        <v>8.7402999999999995</v>
      </c>
      <c r="G491" s="64">
        <f>8.7404 * CHOOSE(CONTROL!$C$22, $C$13, 100%, $E$13)</f>
        <v>8.7403999999999993</v>
      </c>
      <c r="H491" s="64">
        <f>15.147* CHOOSE(CONTROL!$C$22, $C$13, 100%, $E$13)</f>
        <v>15.147</v>
      </c>
      <c r="I491" s="64">
        <f>15.1472 * CHOOSE(CONTROL!$C$22, $C$13, 100%, $E$13)</f>
        <v>15.1472</v>
      </c>
      <c r="J491" s="64">
        <f>8.7403 * CHOOSE(CONTROL!$C$22, $C$13, 100%, $E$13)</f>
        <v>8.7402999999999995</v>
      </c>
      <c r="K491" s="64">
        <f>8.7404 * CHOOSE(CONTROL!$C$22, $C$13, 100%, $E$13)</f>
        <v>8.7403999999999993</v>
      </c>
    </row>
    <row r="492" spans="1:11" ht="15">
      <c r="A492" s="13">
        <v>56615</v>
      </c>
      <c r="B492" s="63">
        <f>7.6256 * CHOOSE(CONTROL!$C$22, $C$13, 100%, $E$13)</f>
        <v>7.6256000000000004</v>
      </c>
      <c r="C492" s="63">
        <f>7.6256 * CHOOSE(CONTROL!$C$22, $C$13, 100%, $E$13)</f>
        <v>7.6256000000000004</v>
      </c>
      <c r="D492" s="63">
        <f>7.6433 * CHOOSE(CONTROL!$C$22, $C$13, 100%, $E$13)</f>
        <v>7.6433</v>
      </c>
      <c r="E492" s="64">
        <f>8.8543 * CHOOSE(CONTROL!$C$22, $C$13, 100%, $E$13)</f>
        <v>8.8543000000000003</v>
      </c>
      <c r="F492" s="64">
        <f>8.8543 * CHOOSE(CONTROL!$C$22, $C$13, 100%, $E$13)</f>
        <v>8.8543000000000003</v>
      </c>
      <c r="G492" s="64">
        <f>8.8545 * CHOOSE(CONTROL!$C$22, $C$13, 100%, $E$13)</f>
        <v>8.8544999999999998</v>
      </c>
      <c r="H492" s="64">
        <f>15.1785* CHOOSE(CONTROL!$C$22, $C$13, 100%, $E$13)</f>
        <v>15.1785</v>
      </c>
      <c r="I492" s="64">
        <f>15.1787 * CHOOSE(CONTROL!$C$22, $C$13, 100%, $E$13)</f>
        <v>15.178699999999999</v>
      </c>
      <c r="J492" s="64">
        <f>8.8543 * CHOOSE(CONTROL!$C$22, $C$13, 100%, $E$13)</f>
        <v>8.8543000000000003</v>
      </c>
      <c r="K492" s="64">
        <f>8.8545 * CHOOSE(CONTROL!$C$22, $C$13, 100%, $E$13)</f>
        <v>8.8544999999999998</v>
      </c>
    </row>
    <row r="493" spans="1:11" ht="15">
      <c r="A493" s="13">
        <v>56646</v>
      </c>
      <c r="B493" s="63">
        <f>7.6226 * CHOOSE(CONTROL!$C$22, $C$13, 100%, $E$13)</f>
        <v>7.6226000000000003</v>
      </c>
      <c r="C493" s="63">
        <f>7.6226 * CHOOSE(CONTROL!$C$22, $C$13, 100%, $E$13)</f>
        <v>7.6226000000000003</v>
      </c>
      <c r="D493" s="63">
        <f>7.6402 * CHOOSE(CONTROL!$C$22, $C$13, 100%, $E$13)</f>
        <v>7.6402000000000001</v>
      </c>
      <c r="E493" s="64">
        <f>8.7555 * CHOOSE(CONTROL!$C$22, $C$13, 100%, $E$13)</f>
        <v>8.7554999999999996</v>
      </c>
      <c r="F493" s="64">
        <f>8.7555 * CHOOSE(CONTROL!$C$22, $C$13, 100%, $E$13)</f>
        <v>8.7554999999999996</v>
      </c>
      <c r="G493" s="64">
        <f>8.7557 * CHOOSE(CONTROL!$C$22, $C$13, 100%, $E$13)</f>
        <v>8.7556999999999992</v>
      </c>
      <c r="H493" s="64">
        <f>15.2102* CHOOSE(CONTROL!$C$22, $C$13, 100%, $E$13)</f>
        <v>15.2102</v>
      </c>
      <c r="I493" s="64">
        <f>15.2103 * CHOOSE(CONTROL!$C$22, $C$13, 100%, $E$13)</f>
        <v>15.2103</v>
      </c>
      <c r="J493" s="64">
        <f>8.7555 * CHOOSE(CONTROL!$C$22, $C$13, 100%, $E$13)</f>
        <v>8.7554999999999996</v>
      </c>
      <c r="K493" s="64">
        <f>8.7557 * CHOOSE(CONTROL!$C$22, $C$13, 100%, $E$13)</f>
        <v>8.7556999999999992</v>
      </c>
    </row>
    <row r="494" spans="1:11" ht="15">
      <c r="A494" s="13">
        <v>56674</v>
      </c>
      <c r="B494" s="63">
        <f>7.6195 * CHOOSE(CONTROL!$C$22, $C$13, 100%, $E$13)</f>
        <v>7.6195000000000004</v>
      </c>
      <c r="C494" s="63">
        <f>7.6195 * CHOOSE(CONTROL!$C$22, $C$13, 100%, $E$13)</f>
        <v>7.6195000000000004</v>
      </c>
      <c r="D494" s="63">
        <f>7.6372 * CHOOSE(CONTROL!$C$22, $C$13, 100%, $E$13)</f>
        <v>7.6372</v>
      </c>
      <c r="E494" s="64">
        <f>8.8296 * CHOOSE(CONTROL!$C$22, $C$13, 100%, $E$13)</f>
        <v>8.8295999999999992</v>
      </c>
      <c r="F494" s="64">
        <f>8.8296 * CHOOSE(CONTROL!$C$22, $C$13, 100%, $E$13)</f>
        <v>8.8295999999999992</v>
      </c>
      <c r="G494" s="64">
        <f>8.8298 * CHOOSE(CONTROL!$C$22, $C$13, 100%, $E$13)</f>
        <v>8.8298000000000005</v>
      </c>
      <c r="H494" s="64">
        <f>15.2419* CHOOSE(CONTROL!$C$22, $C$13, 100%, $E$13)</f>
        <v>15.241899999999999</v>
      </c>
      <c r="I494" s="64">
        <f>15.242 * CHOOSE(CONTROL!$C$22, $C$13, 100%, $E$13)</f>
        <v>15.242000000000001</v>
      </c>
      <c r="J494" s="64">
        <f>8.8296 * CHOOSE(CONTROL!$C$22, $C$13, 100%, $E$13)</f>
        <v>8.8295999999999992</v>
      </c>
      <c r="K494" s="64">
        <f>8.8298 * CHOOSE(CONTROL!$C$22, $C$13, 100%, $E$13)</f>
        <v>8.8298000000000005</v>
      </c>
    </row>
    <row r="495" spans="1:11" ht="15">
      <c r="A495" s="13">
        <v>56705</v>
      </c>
      <c r="B495" s="63">
        <f>7.6204 * CHOOSE(CONTROL!$C$22, $C$13, 100%, $E$13)</f>
        <v>7.6204000000000001</v>
      </c>
      <c r="C495" s="63">
        <f>7.6204 * CHOOSE(CONTROL!$C$22, $C$13, 100%, $E$13)</f>
        <v>7.6204000000000001</v>
      </c>
      <c r="D495" s="63">
        <f>7.638 * CHOOSE(CONTROL!$C$22, $C$13, 100%, $E$13)</f>
        <v>7.6379999999999999</v>
      </c>
      <c r="E495" s="64">
        <f>8.9073 * CHOOSE(CONTROL!$C$22, $C$13, 100%, $E$13)</f>
        <v>8.9072999999999993</v>
      </c>
      <c r="F495" s="64">
        <f>8.9073 * CHOOSE(CONTROL!$C$22, $C$13, 100%, $E$13)</f>
        <v>8.9072999999999993</v>
      </c>
      <c r="G495" s="64">
        <f>8.9075 * CHOOSE(CONTROL!$C$22, $C$13, 100%, $E$13)</f>
        <v>8.9075000000000006</v>
      </c>
      <c r="H495" s="64">
        <f>15.2736* CHOOSE(CONTROL!$C$22, $C$13, 100%, $E$13)</f>
        <v>15.2736</v>
      </c>
      <c r="I495" s="64">
        <f>15.2738 * CHOOSE(CONTROL!$C$22, $C$13, 100%, $E$13)</f>
        <v>15.2738</v>
      </c>
      <c r="J495" s="64">
        <f>8.9073 * CHOOSE(CONTROL!$C$22, $C$13, 100%, $E$13)</f>
        <v>8.9072999999999993</v>
      </c>
      <c r="K495" s="64">
        <f>8.9075 * CHOOSE(CONTROL!$C$22, $C$13, 100%, $E$13)</f>
        <v>8.9075000000000006</v>
      </c>
    </row>
    <row r="496" spans="1:11" ht="15">
      <c r="A496" s="13">
        <v>56735</v>
      </c>
      <c r="B496" s="63">
        <f>7.6204 * CHOOSE(CONTROL!$C$22, $C$13, 100%, $E$13)</f>
        <v>7.6204000000000001</v>
      </c>
      <c r="C496" s="63">
        <f>7.6204 * CHOOSE(CONTROL!$C$22, $C$13, 100%, $E$13)</f>
        <v>7.6204000000000001</v>
      </c>
      <c r="D496" s="63">
        <f>7.6557 * CHOOSE(CONTROL!$C$22, $C$13, 100%, $E$13)</f>
        <v>7.6557000000000004</v>
      </c>
      <c r="E496" s="64">
        <f>8.938 * CHOOSE(CONTROL!$C$22, $C$13, 100%, $E$13)</f>
        <v>8.9380000000000006</v>
      </c>
      <c r="F496" s="64">
        <f>8.938 * CHOOSE(CONTROL!$C$22, $C$13, 100%, $E$13)</f>
        <v>8.9380000000000006</v>
      </c>
      <c r="G496" s="64">
        <f>8.9402 * CHOOSE(CONTROL!$C$22, $C$13, 100%, $E$13)</f>
        <v>8.9402000000000008</v>
      </c>
      <c r="H496" s="64">
        <f>15.3054* CHOOSE(CONTROL!$C$22, $C$13, 100%, $E$13)</f>
        <v>15.305400000000001</v>
      </c>
      <c r="I496" s="64">
        <f>15.3076 * CHOOSE(CONTROL!$C$22, $C$13, 100%, $E$13)</f>
        <v>15.307600000000001</v>
      </c>
      <c r="J496" s="64">
        <f>8.938 * CHOOSE(CONTROL!$C$22, $C$13, 100%, $E$13)</f>
        <v>8.9380000000000006</v>
      </c>
      <c r="K496" s="64">
        <f>8.9402 * CHOOSE(CONTROL!$C$22, $C$13, 100%, $E$13)</f>
        <v>8.9402000000000008</v>
      </c>
    </row>
    <row r="497" spans="1:11" ht="15">
      <c r="A497" s="13">
        <v>56766</v>
      </c>
      <c r="B497" s="63">
        <f>7.6264 * CHOOSE(CONTROL!$C$22, $C$13, 100%, $E$13)</f>
        <v>7.6264000000000003</v>
      </c>
      <c r="C497" s="63">
        <f>7.6264 * CHOOSE(CONTROL!$C$22, $C$13, 100%, $E$13)</f>
        <v>7.6264000000000003</v>
      </c>
      <c r="D497" s="63">
        <f>7.6618 * CHOOSE(CONTROL!$C$22, $C$13, 100%, $E$13)</f>
        <v>7.6618000000000004</v>
      </c>
      <c r="E497" s="64">
        <f>8.9115 * CHOOSE(CONTROL!$C$22, $C$13, 100%, $E$13)</f>
        <v>8.9115000000000002</v>
      </c>
      <c r="F497" s="64">
        <f>8.9115 * CHOOSE(CONTROL!$C$22, $C$13, 100%, $E$13)</f>
        <v>8.9115000000000002</v>
      </c>
      <c r="G497" s="64">
        <f>8.9137 * CHOOSE(CONTROL!$C$22, $C$13, 100%, $E$13)</f>
        <v>8.9137000000000004</v>
      </c>
      <c r="H497" s="64">
        <f>15.3373* CHOOSE(CONTROL!$C$22, $C$13, 100%, $E$13)</f>
        <v>15.337300000000001</v>
      </c>
      <c r="I497" s="64">
        <f>15.3395 * CHOOSE(CONTROL!$C$22, $C$13, 100%, $E$13)</f>
        <v>15.339499999999999</v>
      </c>
      <c r="J497" s="64">
        <f>8.9115 * CHOOSE(CONTROL!$C$22, $C$13, 100%, $E$13)</f>
        <v>8.9115000000000002</v>
      </c>
      <c r="K497" s="64">
        <f>8.9137 * CHOOSE(CONTROL!$C$22, $C$13, 100%, $E$13)</f>
        <v>8.9137000000000004</v>
      </c>
    </row>
    <row r="498" spans="1:11" ht="15">
      <c r="A498" s="13">
        <v>56796</v>
      </c>
      <c r="B498" s="63">
        <f>7.7506 * CHOOSE(CONTROL!$C$22, $C$13, 100%, $E$13)</f>
        <v>7.7506000000000004</v>
      </c>
      <c r="C498" s="63">
        <f>7.7506 * CHOOSE(CONTROL!$C$22, $C$13, 100%, $E$13)</f>
        <v>7.7506000000000004</v>
      </c>
      <c r="D498" s="63">
        <f>7.7859 * CHOOSE(CONTROL!$C$22, $C$13, 100%, $E$13)</f>
        <v>7.7858999999999998</v>
      </c>
      <c r="E498" s="64">
        <f>9.0859 * CHOOSE(CONTROL!$C$22, $C$13, 100%, $E$13)</f>
        <v>9.0859000000000005</v>
      </c>
      <c r="F498" s="64">
        <f>9.0859 * CHOOSE(CONTROL!$C$22, $C$13, 100%, $E$13)</f>
        <v>9.0859000000000005</v>
      </c>
      <c r="G498" s="64">
        <f>9.088 * CHOOSE(CONTROL!$C$22, $C$13, 100%, $E$13)</f>
        <v>9.0879999999999992</v>
      </c>
      <c r="H498" s="64">
        <f>15.3693* CHOOSE(CONTROL!$C$22, $C$13, 100%, $E$13)</f>
        <v>15.369300000000001</v>
      </c>
      <c r="I498" s="64">
        <f>15.3714 * CHOOSE(CONTROL!$C$22, $C$13, 100%, $E$13)</f>
        <v>15.3714</v>
      </c>
      <c r="J498" s="64">
        <f>9.0859 * CHOOSE(CONTROL!$C$22, $C$13, 100%, $E$13)</f>
        <v>9.0859000000000005</v>
      </c>
      <c r="K498" s="64">
        <f>9.088 * CHOOSE(CONTROL!$C$22, $C$13, 100%, $E$13)</f>
        <v>9.0879999999999992</v>
      </c>
    </row>
    <row r="499" spans="1:11" ht="15">
      <c r="A499" s="13">
        <v>56827</v>
      </c>
      <c r="B499" s="63">
        <f>7.7573 * CHOOSE(CONTROL!$C$22, $C$13, 100%, $E$13)</f>
        <v>7.7572999999999999</v>
      </c>
      <c r="C499" s="63">
        <f>7.7573 * CHOOSE(CONTROL!$C$22, $C$13, 100%, $E$13)</f>
        <v>7.7572999999999999</v>
      </c>
      <c r="D499" s="63">
        <f>7.7926 * CHOOSE(CONTROL!$C$22, $C$13, 100%, $E$13)</f>
        <v>7.7926000000000002</v>
      </c>
      <c r="E499" s="64">
        <f>8.9984 * CHOOSE(CONTROL!$C$22, $C$13, 100%, $E$13)</f>
        <v>8.9984000000000002</v>
      </c>
      <c r="F499" s="64">
        <f>8.9984 * CHOOSE(CONTROL!$C$22, $C$13, 100%, $E$13)</f>
        <v>8.9984000000000002</v>
      </c>
      <c r="G499" s="64">
        <f>9.0005 * CHOOSE(CONTROL!$C$22, $C$13, 100%, $E$13)</f>
        <v>9.0005000000000006</v>
      </c>
      <c r="H499" s="64">
        <f>15.4013* CHOOSE(CONTROL!$C$22, $C$13, 100%, $E$13)</f>
        <v>15.401300000000001</v>
      </c>
      <c r="I499" s="64">
        <f>15.4035 * CHOOSE(CONTROL!$C$22, $C$13, 100%, $E$13)</f>
        <v>15.403499999999999</v>
      </c>
      <c r="J499" s="64">
        <f>8.9984 * CHOOSE(CONTROL!$C$22, $C$13, 100%, $E$13)</f>
        <v>8.9984000000000002</v>
      </c>
      <c r="K499" s="64">
        <f>9.0005 * CHOOSE(CONTROL!$C$22, $C$13, 100%, $E$13)</f>
        <v>9.0005000000000006</v>
      </c>
    </row>
    <row r="500" spans="1:11" ht="15">
      <c r="A500" s="13">
        <v>56858</v>
      </c>
      <c r="B500" s="63">
        <f>7.7542 * CHOOSE(CONTROL!$C$22, $C$13, 100%, $E$13)</f>
        <v>7.7542</v>
      </c>
      <c r="C500" s="63">
        <f>7.7542 * CHOOSE(CONTROL!$C$22, $C$13, 100%, $E$13)</f>
        <v>7.7542</v>
      </c>
      <c r="D500" s="63">
        <f>7.7895 * CHOOSE(CONTROL!$C$22, $C$13, 100%, $E$13)</f>
        <v>7.7895000000000003</v>
      </c>
      <c r="E500" s="64">
        <f>8.986 * CHOOSE(CONTROL!$C$22, $C$13, 100%, $E$13)</f>
        <v>8.9860000000000007</v>
      </c>
      <c r="F500" s="64">
        <f>8.986 * CHOOSE(CONTROL!$C$22, $C$13, 100%, $E$13)</f>
        <v>8.9860000000000007</v>
      </c>
      <c r="G500" s="64">
        <f>8.9882 * CHOOSE(CONTROL!$C$22, $C$13, 100%, $E$13)</f>
        <v>8.9882000000000009</v>
      </c>
      <c r="H500" s="64">
        <f>15.4334* CHOOSE(CONTROL!$C$22, $C$13, 100%, $E$13)</f>
        <v>15.433400000000001</v>
      </c>
      <c r="I500" s="64">
        <f>15.4356 * CHOOSE(CONTROL!$C$22, $C$13, 100%, $E$13)</f>
        <v>15.435600000000001</v>
      </c>
      <c r="J500" s="64">
        <f>8.986 * CHOOSE(CONTROL!$C$22, $C$13, 100%, $E$13)</f>
        <v>8.9860000000000007</v>
      </c>
      <c r="K500" s="64">
        <f>8.9882 * CHOOSE(CONTROL!$C$22, $C$13, 100%, $E$13)</f>
        <v>8.9882000000000009</v>
      </c>
    </row>
    <row r="501" spans="1:11" ht="15">
      <c r="A501" s="13">
        <v>56888</v>
      </c>
      <c r="B501" s="63">
        <f>7.762 * CHOOSE(CONTROL!$C$22, $C$13, 100%, $E$13)</f>
        <v>7.7619999999999996</v>
      </c>
      <c r="C501" s="63">
        <f>7.762 * CHOOSE(CONTROL!$C$22, $C$13, 100%, $E$13)</f>
        <v>7.7619999999999996</v>
      </c>
      <c r="D501" s="63">
        <f>7.7796 * CHOOSE(CONTROL!$C$22, $C$13, 100%, $E$13)</f>
        <v>7.7796000000000003</v>
      </c>
      <c r="E501" s="64">
        <f>9.0135 * CHOOSE(CONTROL!$C$22, $C$13, 100%, $E$13)</f>
        <v>9.0135000000000005</v>
      </c>
      <c r="F501" s="64">
        <f>9.0135 * CHOOSE(CONTROL!$C$22, $C$13, 100%, $E$13)</f>
        <v>9.0135000000000005</v>
      </c>
      <c r="G501" s="64">
        <f>9.0137 * CHOOSE(CONTROL!$C$22, $C$13, 100%, $E$13)</f>
        <v>9.0137</v>
      </c>
      <c r="H501" s="64">
        <f>15.4655* CHOOSE(CONTROL!$C$22, $C$13, 100%, $E$13)</f>
        <v>15.4655</v>
      </c>
      <c r="I501" s="64">
        <f>15.4657 * CHOOSE(CONTROL!$C$22, $C$13, 100%, $E$13)</f>
        <v>15.4657</v>
      </c>
      <c r="J501" s="64">
        <f>9.0135 * CHOOSE(CONTROL!$C$22, $C$13, 100%, $E$13)</f>
        <v>9.0135000000000005</v>
      </c>
      <c r="K501" s="64">
        <f>9.0137 * CHOOSE(CONTROL!$C$22, $C$13, 100%, $E$13)</f>
        <v>9.0137</v>
      </c>
    </row>
    <row r="502" spans="1:11" ht="15">
      <c r="A502" s="13">
        <v>56919</v>
      </c>
      <c r="B502" s="63">
        <f>7.765 * CHOOSE(CONTROL!$C$22, $C$13, 100%, $E$13)</f>
        <v>7.7649999999999997</v>
      </c>
      <c r="C502" s="63">
        <f>7.765 * CHOOSE(CONTROL!$C$22, $C$13, 100%, $E$13)</f>
        <v>7.7649999999999997</v>
      </c>
      <c r="D502" s="63">
        <f>7.7827 * CHOOSE(CONTROL!$C$22, $C$13, 100%, $E$13)</f>
        <v>7.7827000000000002</v>
      </c>
      <c r="E502" s="64">
        <f>9.0361 * CHOOSE(CONTROL!$C$22, $C$13, 100%, $E$13)</f>
        <v>9.0360999999999994</v>
      </c>
      <c r="F502" s="64">
        <f>9.0361 * CHOOSE(CONTROL!$C$22, $C$13, 100%, $E$13)</f>
        <v>9.0360999999999994</v>
      </c>
      <c r="G502" s="64">
        <f>9.0363 * CHOOSE(CONTROL!$C$22, $C$13, 100%, $E$13)</f>
        <v>9.0363000000000007</v>
      </c>
      <c r="H502" s="64">
        <f>15.4977* CHOOSE(CONTROL!$C$22, $C$13, 100%, $E$13)</f>
        <v>15.4977</v>
      </c>
      <c r="I502" s="64">
        <f>15.4979 * CHOOSE(CONTROL!$C$22, $C$13, 100%, $E$13)</f>
        <v>15.4979</v>
      </c>
      <c r="J502" s="64">
        <f>9.0361 * CHOOSE(CONTROL!$C$22, $C$13, 100%, $E$13)</f>
        <v>9.0360999999999994</v>
      </c>
      <c r="K502" s="64">
        <f>9.0363 * CHOOSE(CONTROL!$C$22, $C$13, 100%, $E$13)</f>
        <v>9.0363000000000007</v>
      </c>
    </row>
    <row r="503" spans="1:11" ht="15">
      <c r="A503" s="13">
        <v>56949</v>
      </c>
      <c r="B503" s="63">
        <f>7.765 * CHOOSE(CONTROL!$C$22, $C$13, 100%, $E$13)</f>
        <v>7.7649999999999997</v>
      </c>
      <c r="C503" s="63">
        <f>7.765 * CHOOSE(CONTROL!$C$22, $C$13, 100%, $E$13)</f>
        <v>7.7649999999999997</v>
      </c>
      <c r="D503" s="63">
        <f>7.7827 * CHOOSE(CONTROL!$C$22, $C$13, 100%, $E$13)</f>
        <v>7.7827000000000002</v>
      </c>
      <c r="E503" s="64">
        <f>8.9849 * CHOOSE(CONTROL!$C$22, $C$13, 100%, $E$13)</f>
        <v>8.9848999999999997</v>
      </c>
      <c r="F503" s="64">
        <f>8.9849 * CHOOSE(CONTROL!$C$22, $C$13, 100%, $E$13)</f>
        <v>8.9848999999999997</v>
      </c>
      <c r="G503" s="64">
        <f>8.9851 * CHOOSE(CONTROL!$C$22, $C$13, 100%, $E$13)</f>
        <v>8.9850999999999992</v>
      </c>
      <c r="H503" s="64">
        <f>15.53* CHOOSE(CONTROL!$C$22, $C$13, 100%, $E$13)</f>
        <v>15.53</v>
      </c>
      <c r="I503" s="64">
        <f>15.5302 * CHOOSE(CONTROL!$C$22, $C$13, 100%, $E$13)</f>
        <v>15.530200000000001</v>
      </c>
      <c r="J503" s="64">
        <f>8.9849 * CHOOSE(CONTROL!$C$22, $C$13, 100%, $E$13)</f>
        <v>8.9848999999999997</v>
      </c>
      <c r="K503" s="64">
        <f>8.9851 * CHOOSE(CONTROL!$C$22, $C$13, 100%, $E$13)</f>
        <v>8.9850999999999992</v>
      </c>
    </row>
    <row r="504" spans="1:11" ht="15">
      <c r="A504" s="13">
        <v>56980</v>
      </c>
      <c r="B504" s="63">
        <f>7.8339 * CHOOSE(CONTROL!$C$22, $C$13, 100%, $E$13)</f>
        <v>7.8338999999999999</v>
      </c>
      <c r="C504" s="63">
        <f>7.8339 * CHOOSE(CONTROL!$C$22, $C$13, 100%, $E$13)</f>
        <v>7.8338999999999999</v>
      </c>
      <c r="D504" s="63">
        <f>7.8516 * CHOOSE(CONTROL!$C$22, $C$13, 100%, $E$13)</f>
        <v>7.8516000000000004</v>
      </c>
      <c r="E504" s="64">
        <f>9.1021 * CHOOSE(CONTROL!$C$22, $C$13, 100%, $E$13)</f>
        <v>9.1021000000000001</v>
      </c>
      <c r="F504" s="64">
        <f>9.1021 * CHOOSE(CONTROL!$C$22, $C$13, 100%, $E$13)</f>
        <v>9.1021000000000001</v>
      </c>
      <c r="G504" s="64">
        <f>9.1023 * CHOOSE(CONTROL!$C$22, $C$13, 100%, $E$13)</f>
        <v>9.1022999999999996</v>
      </c>
      <c r="H504" s="64">
        <f>15.5624* CHOOSE(CONTROL!$C$22, $C$13, 100%, $E$13)</f>
        <v>15.5624</v>
      </c>
      <c r="I504" s="64">
        <f>15.5626 * CHOOSE(CONTROL!$C$22, $C$13, 100%, $E$13)</f>
        <v>15.5626</v>
      </c>
      <c r="J504" s="64">
        <f>9.1021 * CHOOSE(CONTROL!$C$22, $C$13, 100%, $E$13)</f>
        <v>9.1021000000000001</v>
      </c>
      <c r="K504" s="64">
        <f>9.1023 * CHOOSE(CONTROL!$C$22, $C$13, 100%, $E$13)</f>
        <v>9.1022999999999996</v>
      </c>
    </row>
    <row r="505" spans="1:11" ht="15">
      <c r="A505" s="13">
        <v>57011</v>
      </c>
      <c r="B505" s="63">
        <f>7.8309 * CHOOSE(CONTROL!$C$22, $C$13, 100%, $E$13)</f>
        <v>7.8308999999999997</v>
      </c>
      <c r="C505" s="63">
        <f>7.8309 * CHOOSE(CONTROL!$C$22, $C$13, 100%, $E$13)</f>
        <v>7.8308999999999997</v>
      </c>
      <c r="D505" s="63">
        <f>7.8486 * CHOOSE(CONTROL!$C$22, $C$13, 100%, $E$13)</f>
        <v>7.8486000000000002</v>
      </c>
      <c r="E505" s="64">
        <f>9.0005 * CHOOSE(CONTROL!$C$22, $C$13, 100%, $E$13)</f>
        <v>9.0005000000000006</v>
      </c>
      <c r="F505" s="64">
        <f>9.0005 * CHOOSE(CONTROL!$C$22, $C$13, 100%, $E$13)</f>
        <v>9.0005000000000006</v>
      </c>
      <c r="G505" s="64">
        <f>9.0007 * CHOOSE(CONTROL!$C$22, $C$13, 100%, $E$13)</f>
        <v>9.0007000000000001</v>
      </c>
      <c r="H505" s="64">
        <f>15.5948* CHOOSE(CONTROL!$C$22, $C$13, 100%, $E$13)</f>
        <v>15.594799999999999</v>
      </c>
      <c r="I505" s="64">
        <f>15.595 * CHOOSE(CONTROL!$C$22, $C$13, 100%, $E$13)</f>
        <v>15.595000000000001</v>
      </c>
      <c r="J505" s="64">
        <f>9.0005 * CHOOSE(CONTROL!$C$22, $C$13, 100%, $E$13)</f>
        <v>9.0005000000000006</v>
      </c>
      <c r="K505" s="64">
        <f>9.0007 * CHOOSE(CONTROL!$C$22, $C$13, 100%, $E$13)</f>
        <v>9.0007000000000001</v>
      </c>
    </row>
    <row r="506" spans="1:11" ht="15">
      <c r="A506" s="13">
        <v>57040</v>
      </c>
      <c r="B506" s="63">
        <f>7.8279 * CHOOSE(CONTROL!$C$22, $C$13, 100%, $E$13)</f>
        <v>7.8278999999999996</v>
      </c>
      <c r="C506" s="63">
        <f>7.8279 * CHOOSE(CONTROL!$C$22, $C$13, 100%, $E$13)</f>
        <v>7.8278999999999996</v>
      </c>
      <c r="D506" s="63">
        <f>7.8455 * CHOOSE(CONTROL!$C$22, $C$13, 100%, $E$13)</f>
        <v>7.8455000000000004</v>
      </c>
      <c r="E506" s="64">
        <f>9.0768 * CHOOSE(CONTROL!$C$22, $C$13, 100%, $E$13)</f>
        <v>9.0768000000000004</v>
      </c>
      <c r="F506" s="64">
        <f>9.0768 * CHOOSE(CONTROL!$C$22, $C$13, 100%, $E$13)</f>
        <v>9.0768000000000004</v>
      </c>
      <c r="G506" s="64">
        <f>9.077 * CHOOSE(CONTROL!$C$22, $C$13, 100%, $E$13)</f>
        <v>9.077</v>
      </c>
      <c r="H506" s="64">
        <f>15.6273* CHOOSE(CONTROL!$C$22, $C$13, 100%, $E$13)</f>
        <v>15.6273</v>
      </c>
      <c r="I506" s="64">
        <f>15.6275 * CHOOSE(CONTROL!$C$22, $C$13, 100%, $E$13)</f>
        <v>15.6275</v>
      </c>
      <c r="J506" s="64">
        <f>9.0768 * CHOOSE(CONTROL!$C$22, $C$13, 100%, $E$13)</f>
        <v>9.0768000000000004</v>
      </c>
      <c r="K506" s="64">
        <f>9.077 * CHOOSE(CONTROL!$C$22, $C$13, 100%, $E$13)</f>
        <v>9.077</v>
      </c>
    </row>
    <row r="507" spans="1:11" ht="15">
      <c r="A507" s="13">
        <v>57071</v>
      </c>
      <c r="B507" s="63">
        <f>7.8289 * CHOOSE(CONTROL!$C$22, $C$13, 100%, $E$13)</f>
        <v>7.8289</v>
      </c>
      <c r="C507" s="63">
        <f>7.8289 * CHOOSE(CONTROL!$C$22, $C$13, 100%, $E$13)</f>
        <v>7.8289</v>
      </c>
      <c r="D507" s="63">
        <f>7.8465 * CHOOSE(CONTROL!$C$22, $C$13, 100%, $E$13)</f>
        <v>7.8464999999999998</v>
      </c>
      <c r="E507" s="64">
        <f>9.1568 * CHOOSE(CONTROL!$C$22, $C$13, 100%, $E$13)</f>
        <v>9.1568000000000005</v>
      </c>
      <c r="F507" s="64">
        <f>9.1568 * CHOOSE(CONTROL!$C$22, $C$13, 100%, $E$13)</f>
        <v>9.1568000000000005</v>
      </c>
      <c r="G507" s="64">
        <f>9.157 * CHOOSE(CONTROL!$C$22, $C$13, 100%, $E$13)</f>
        <v>9.157</v>
      </c>
      <c r="H507" s="64">
        <f>15.6599* CHOOSE(CONTROL!$C$22, $C$13, 100%, $E$13)</f>
        <v>15.6599</v>
      </c>
      <c r="I507" s="64">
        <f>15.66 * CHOOSE(CONTROL!$C$22, $C$13, 100%, $E$13)</f>
        <v>15.66</v>
      </c>
      <c r="J507" s="64">
        <f>9.1568 * CHOOSE(CONTROL!$C$22, $C$13, 100%, $E$13)</f>
        <v>9.1568000000000005</v>
      </c>
      <c r="K507" s="64">
        <f>9.157 * CHOOSE(CONTROL!$C$22, $C$13, 100%, $E$13)</f>
        <v>9.157</v>
      </c>
    </row>
    <row r="508" spans="1:11" ht="15">
      <c r="A508" s="13">
        <v>57101</v>
      </c>
      <c r="B508" s="63">
        <f>7.8289 * CHOOSE(CONTROL!$C$22, $C$13, 100%, $E$13)</f>
        <v>7.8289</v>
      </c>
      <c r="C508" s="63">
        <f>7.8289 * CHOOSE(CONTROL!$C$22, $C$13, 100%, $E$13)</f>
        <v>7.8289</v>
      </c>
      <c r="D508" s="63">
        <f>7.8642 * CHOOSE(CONTROL!$C$22, $C$13, 100%, $E$13)</f>
        <v>7.8642000000000003</v>
      </c>
      <c r="E508" s="64">
        <f>9.1884 * CHOOSE(CONTROL!$C$22, $C$13, 100%, $E$13)</f>
        <v>9.1883999999999997</v>
      </c>
      <c r="F508" s="64">
        <f>9.1884 * CHOOSE(CONTROL!$C$22, $C$13, 100%, $E$13)</f>
        <v>9.1883999999999997</v>
      </c>
      <c r="G508" s="64">
        <f>9.1906 * CHOOSE(CONTROL!$C$22, $C$13, 100%, $E$13)</f>
        <v>9.1905999999999999</v>
      </c>
      <c r="H508" s="64">
        <f>15.6925* CHOOSE(CONTROL!$C$22, $C$13, 100%, $E$13)</f>
        <v>15.692500000000001</v>
      </c>
      <c r="I508" s="64">
        <f>15.6947 * CHOOSE(CONTROL!$C$22, $C$13, 100%, $E$13)</f>
        <v>15.694699999999999</v>
      </c>
      <c r="J508" s="64">
        <f>9.1884 * CHOOSE(CONTROL!$C$22, $C$13, 100%, $E$13)</f>
        <v>9.1883999999999997</v>
      </c>
      <c r="K508" s="64">
        <f>9.1906 * CHOOSE(CONTROL!$C$22, $C$13, 100%, $E$13)</f>
        <v>9.1905999999999999</v>
      </c>
    </row>
    <row r="509" spans="1:11" ht="15">
      <c r="A509" s="13">
        <v>57132</v>
      </c>
      <c r="B509" s="63">
        <f>7.835 * CHOOSE(CONTROL!$C$22, $C$13, 100%, $E$13)</f>
        <v>7.835</v>
      </c>
      <c r="C509" s="63">
        <f>7.835 * CHOOSE(CONTROL!$C$22, $C$13, 100%, $E$13)</f>
        <v>7.835</v>
      </c>
      <c r="D509" s="63">
        <f>7.8703 * CHOOSE(CONTROL!$C$22, $C$13, 100%, $E$13)</f>
        <v>7.8703000000000003</v>
      </c>
      <c r="E509" s="64">
        <f>9.1611 * CHOOSE(CONTROL!$C$22, $C$13, 100%, $E$13)</f>
        <v>9.1610999999999994</v>
      </c>
      <c r="F509" s="64">
        <f>9.1611 * CHOOSE(CONTROL!$C$22, $C$13, 100%, $E$13)</f>
        <v>9.1610999999999994</v>
      </c>
      <c r="G509" s="64">
        <f>9.1632 * CHOOSE(CONTROL!$C$22, $C$13, 100%, $E$13)</f>
        <v>9.1631999999999998</v>
      </c>
      <c r="H509" s="64">
        <f>15.7252* CHOOSE(CONTROL!$C$22, $C$13, 100%, $E$13)</f>
        <v>15.725199999999999</v>
      </c>
      <c r="I509" s="64">
        <f>15.7274 * CHOOSE(CONTROL!$C$22, $C$13, 100%, $E$13)</f>
        <v>15.727399999999999</v>
      </c>
      <c r="J509" s="64">
        <f>9.1611 * CHOOSE(CONTROL!$C$22, $C$13, 100%, $E$13)</f>
        <v>9.1610999999999994</v>
      </c>
      <c r="K509" s="64">
        <f>9.1632 * CHOOSE(CONTROL!$C$22, $C$13, 100%, $E$13)</f>
        <v>9.1631999999999998</v>
      </c>
    </row>
    <row r="510" spans="1:11" ht="15">
      <c r="A510" s="13">
        <v>57162</v>
      </c>
      <c r="B510" s="63">
        <f>7.9622 * CHOOSE(CONTROL!$C$22, $C$13, 100%, $E$13)</f>
        <v>7.9622000000000002</v>
      </c>
      <c r="C510" s="63">
        <f>7.9622 * CHOOSE(CONTROL!$C$22, $C$13, 100%, $E$13)</f>
        <v>7.9622000000000002</v>
      </c>
      <c r="D510" s="63">
        <f>7.9975 * CHOOSE(CONTROL!$C$22, $C$13, 100%, $E$13)</f>
        <v>7.9974999999999996</v>
      </c>
      <c r="E510" s="64">
        <f>9.34 * CHOOSE(CONTROL!$C$22, $C$13, 100%, $E$13)</f>
        <v>9.34</v>
      </c>
      <c r="F510" s="64">
        <f>9.34 * CHOOSE(CONTROL!$C$22, $C$13, 100%, $E$13)</f>
        <v>9.34</v>
      </c>
      <c r="G510" s="64">
        <f>9.3421 * CHOOSE(CONTROL!$C$22, $C$13, 100%, $E$13)</f>
        <v>9.3421000000000003</v>
      </c>
      <c r="H510" s="64">
        <f>15.7579* CHOOSE(CONTROL!$C$22, $C$13, 100%, $E$13)</f>
        <v>15.757899999999999</v>
      </c>
      <c r="I510" s="64">
        <f>15.7601 * CHOOSE(CONTROL!$C$22, $C$13, 100%, $E$13)</f>
        <v>15.7601</v>
      </c>
      <c r="J510" s="64">
        <f>9.34 * CHOOSE(CONTROL!$C$22, $C$13, 100%, $E$13)</f>
        <v>9.34</v>
      </c>
      <c r="K510" s="64">
        <f>9.3421 * CHOOSE(CONTROL!$C$22, $C$13, 100%, $E$13)</f>
        <v>9.3421000000000003</v>
      </c>
    </row>
    <row r="511" spans="1:11" ht="15">
      <c r="A511" s="13">
        <v>57193</v>
      </c>
      <c r="B511" s="63">
        <f>7.9689 * CHOOSE(CONTROL!$C$22, $C$13, 100%, $E$13)</f>
        <v>7.9688999999999997</v>
      </c>
      <c r="C511" s="63">
        <f>7.9689 * CHOOSE(CONTROL!$C$22, $C$13, 100%, $E$13)</f>
        <v>7.9688999999999997</v>
      </c>
      <c r="D511" s="63">
        <f>8.0042 * CHOOSE(CONTROL!$C$22, $C$13, 100%, $E$13)</f>
        <v>8.0042000000000009</v>
      </c>
      <c r="E511" s="64">
        <f>9.2499 * CHOOSE(CONTROL!$C$22, $C$13, 100%, $E$13)</f>
        <v>9.2499000000000002</v>
      </c>
      <c r="F511" s="64">
        <f>9.2499 * CHOOSE(CONTROL!$C$22, $C$13, 100%, $E$13)</f>
        <v>9.2499000000000002</v>
      </c>
      <c r="G511" s="64">
        <f>9.2521 * CHOOSE(CONTROL!$C$22, $C$13, 100%, $E$13)</f>
        <v>9.2521000000000004</v>
      </c>
      <c r="H511" s="64">
        <f>15.7908* CHOOSE(CONTROL!$C$22, $C$13, 100%, $E$13)</f>
        <v>15.790800000000001</v>
      </c>
      <c r="I511" s="64">
        <f>15.7929 * CHOOSE(CONTROL!$C$22, $C$13, 100%, $E$13)</f>
        <v>15.792899999999999</v>
      </c>
      <c r="J511" s="64">
        <f>9.2499 * CHOOSE(CONTROL!$C$22, $C$13, 100%, $E$13)</f>
        <v>9.2499000000000002</v>
      </c>
      <c r="K511" s="64">
        <f>9.2521 * CHOOSE(CONTROL!$C$22, $C$13, 100%, $E$13)</f>
        <v>9.2521000000000004</v>
      </c>
    </row>
    <row r="512" spans="1:11" ht="15">
      <c r="A512" s="13">
        <v>57224</v>
      </c>
      <c r="B512" s="63">
        <f>7.9658 * CHOOSE(CONTROL!$C$22, $C$13, 100%, $E$13)</f>
        <v>7.9657999999999998</v>
      </c>
      <c r="C512" s="63">
        <f>7.9658 * CHOOSE(CONTROL!$C$22, $C$13, 100%, $E$13)</f>
        <v>7.9657999999999998</v>
      </c>
      <c r="D512" s="63">
        <f>8.0012 * CHOOSE(CONTROL!$C$22, $C$13, 100%, $E$13)</f>
        <v>8.0012000000000008</v>
      </c>
      <c r="E512" s="64">
        <f>9.2372 * CHOOSE(CONTROL!$C$22, $C$13, 100%, $E$13)</f>
        <v>9.2371999999999996</v>
      </c>
      <c r="F512" s="64">
        <f>9.2372 * CHOOSE(CONTROL!$C$22, $C$13, 100%, $E$13)</f>
        <v>9.2371999999999996</v>
      </c>
      <c r="G512" s="64">
        <f>9.2394 * CHOOSE(CONTROL!$C$22, $C$13, 100%, $E$13)</f>
        <v>9.2393999999999998</v>
      </c>
      <c r="H512" s="64">
        <f>15.8237* CHOOSE(CONTROL!$C$22, $C$13, 100%, $E$13)</f>
        <v>15.823700000000001</v>
      </c>
      <c r="I512" s="64">
        <f>15.8258 * CHOOSE(CONTROL!$C$22, $C$13, 100%, $E$13)</f>
        <v>15.825799999999999</v>
      </c>
      <c r="J512" s="64">
        <f>9.2372 * CHOOSE(CONTROL!$C$22, $C$13, 100%, $E$13)</f>
        <v>9.2371999999999996</v>
      </c>
      <c r="K512" s="64">
        <f>9.2394 * CHOOSE(CONTROL!$C$22, $C$13, 100%, $E$13)</f>
        <v>9.2393999999999998</v>
      </c>
    </row>
    <row r="513" spans="1:11" ht="15">
      <c r="A513" s="13">
        <v>57254</v>
      </c>
      <c r="B513" s="63">
        <f>7.9743 * CHOOSE(CONTROL!$C$22, $C$13, 100%, $E$13)</f>
        <v>7.9743000000000004</v>
      </c>
      <c r="C513" s="63">
        <f>7.9743 * CHOOSE(CONTROL!$C$22, $C$13, 100%, $E$13)</f>
        <v>7.9743000000000004</v>
      </c>
      <c r="D513" s="63">
        <f>7.9919 * CHOOSE(CONTROL!$C$22, $C$13, 100%, $E$13)</f>
        <v>7.9919000000000002</v>
      </c>
      <c r="E513" s="64">
        <f>9.2659 * CHOOSE(CONTROL!$C$22, $C$13, 100%, $E$13)</f>
        <v>9.2659000000000002</v>
      </c>
      <c r="F513" s="64">
        <f>9.2659 * CHOOSE(CONTROL!$C$22, $C$13, 100%, $E$13)</f>
        <v>9.2659000000000002</v>
      </c>
      <c r="G513" s="64">
        <f>9.2661 * CHOOSE(CONTROL!$C$22, $C$13, 100%, $E$13)</f>
        <v>9.2660999999999998</v>
      </c>
      <c r="H513" s="64">
        <f>15.8566* CHOOSE(CONTROL!$C$22, $C$13, 100%, $E$13)</f>
        <v>15.8566</v>
      </c>
      <c r="I513" s="64">
        <f>15.8568 * CHOOSE(CONTROL!$C$22, $C$13, 100%, $E$13)</f>
        <v>15.8568</v>
      </c>
      <c r="J513" s="64">
        <f>9.2659 * CHOOSE(CONTROL!$C$22, $C$13, 100%, $E$13)</f>
        <v>9.2659000000000002</v>
      </c>
      <c r="K513" s="64">
        <f>9.2661 * CHOOSE(CONTROL!$C$22, $C$13, 100%, $E$13)</f>
        <v>9.2660999999999998</v>
      </c>
    </row>
    <row r="514" spans="1:11" ht="15">
      <c r="A514" s="13">
        <v>57285</v>
      </c>
      <c r="B514" s="63">
        <f>7.9773 * CHOOSE(CONTROL!$C$22, $C$13, 100%, $E$13)</f>
        <v>7.9772999999999996</v>
      </c>
      <c r="C514" s="63">
        <f>7.9773 * CHOOSE(CONTROL!$C$22, $C$13, 100%, $E$13)</f>
        <v>7.9772999999999996</v>
      </c>
      <c r="D514" s="63">
        <f>7.995 * CHOOSE(CONTROL!$C$22, $C$13, 100%, $E$13)</f>
        <v>7.9950000000000001</v>
      </c>
      <c r="E514" s="64">
        <f>9.2891 * CHOOSE(CONTROL!$C$22, $C$13, 100%, $E$13)</f>
        <v>9.2890999999999995</v>
      </c>
      <c r="F514" s="64">
        <f>9.2891 * CHOOSE(CONTROL!$C$22, $C$13, 100%, $E$13)</f>
        <v>9.2890999999999995</v>
      </c>
      <c r="G514" s="64">
        <f>9.2893 * CHOOSE(CONTROL!$C$22, $C$13, 100%, $E$13)</f>
        <v>9.2893000000000008</v>
      </c>
      <c r="H514" s="64">
        <f>15.8897* CHOOSE(CONTROL!$C$22, $C$13, 100%, $E$13)</f>
        <v>15.889699999999999</v>
      </c>
      <c r="I514" s="64">
        <f>15.8898 * CHOOSE(CONTROL!$C$22, $C$13, 100%, $E$13)</f>
        <v>15.889799999999999</v>
      </c>
      <c r="J514" s="64">
        <f>9.2891 * CHOOSE(CONTROL!$C$22, $C$13, 100%, $E$13)</f>
        <v>9.2890999999999995</v>
      </c>
      <c r="K514" s="64">
        <f>9.2893 * CHOOSE(CONTROL!$C$22, $C$13, 100%, $E$13)</f>
        <v>9.2893000000000008</v>
      </c>
    </row>
    <row r="515" spans="1:11" ht="15">
      <c r="A515" s="13">
        <v>57315</v>
      </c>
      <c r="B515" s="63">
        <f>7.9773 * CHOOSE(CONTROL!$C$22, $C$13, 100%, $E$13)</f>
        <v>7.9772999999999996</v>
      </c>
      <c r="C515" s="63">
        <f>7.9773 * CHOOSE(CONTROL!$C$22, $C$13, 100%, $E$13)</f>
        <v>7.9772999999999996</v>
      </c>
      <c r="D515" s="63">
        <f>7.995 * CHOOSE(CONTROL!$C$22, $C$13, 100%, $E$13)</f>
        <v>7.9950000000000001</v>
      </c>
      <c r="E515" s="64">
        <f>9.2365 * CHOOSE(CONTROL!$C$22, $C$13, 100%, $E$13)</f>
        <v>9.2364999999999995</v>
      </c>
      <c r="F515" s="64">
        <f>9.2365 * CHOOSE(CONTROL!$C$22, $C$13, 100%, $E$13)</f>
        <v>9.2364999999999995</v>
      </c>
      <c r="G515" s="64">
        <f>9.2366 * CHOOSE(CONTROL!$C$22, $C$13, 100%, $E$13)</f>
        <v>9.2365999999999993</v>
      </c>
      <c r="H515" s="64">
        <f>15.9228* CHOOSE(CONTROL!$C$22, $C$13, 100%, $E$13)</f>
        <v>15.922800000000001</v>
      </c>
      <c r="I515" s="64">
        <f>15.9229 * CHOOSE(CONTROL!$C$22, $C$13, 100%, $E$13)</f>
        <v>15.9229</v>
      </c>
      <c r="J515" s="64">
        <f>9.2365 * CHOOSE(CONTROL!$C$22, $C$13, 100%, $E$13)</f>
        <v>9.2364999999999995</v>
      </c>
      <c r="K515" s="64">
        <f>9.2366 * CHOOSE(CONTROL!$C$22, $C$13, 100%, $E$13)</f>
        <v>9.2365999999999993</v>
      </c>
    </row>
    <row r="516" spans="1:11" ht="15">
      <c r="A516" s="13">
        <v>57346</v>
      </c>
      <c r="B516" s="63">
        <f>8.048 * CHOOSE(CONTROL!$C$22, $C$13, 100%, $E$13)</f>
        <v>8.048</v>
      </c>
      <c r="C516" s="63">
        <f>8.048 * CHOOSE(CONTROL!$C$22, $C$13, 100%, $E$13)</f>
        <v>8.048</v>
      </c>
      <c r="D516" s="63">
        <f>8.0657 * CHOOSE(CONTROL!$C$22, $C$13, 100%, $E$13)</f>
        <v>8.0656999999999996</v>
      </c>
      <c r="E516" s="64">
        <f>9.3568 * CHOOSE(CONTROL!$C$22, $C$13, 100%, $E$13)</f>
        <v>9.3567999999999998</v>
      </c>
      <c r="F516" s="64">
        <f>9.3568 * CHOOSE(CONTROL!$C$22, $C$13, 100%, $E$13)</f>
        <v>9.3567999999999998</v>
      </c>
      <c r="G516" s="64">
        <f>9.357 * CHOOSE(CONTROL!$C$22, $C$13, 100%, $E$13)</f>
        <v>9.3569999999999993</v>
      </c>
      <c r="H516" s="64">
        <f>15.9559* CHOOSE(CONTROL!$C$22, $C$13, 100%, $E$13)</f>
        <v>15.9559</v>
      </c>
      <c r="I516" s="64">
        <f>15.9561 * CHOOSE(CONTROL!$C$22, $C$13, 100%, $E$13)</f>
        <v>15.956099999999999</v>
      </c>
      <c r="J516" s="64">
        <f>9.3568 * CHOOSE(CONTROL!$C$22, $C$13, 100%, $E$13)</f>
        <v>9.3567999999999998</v>
      </c>
      <c r="K516" s="64">
        <f>9.357 * CHOOSE(CONTROL!$C$22, $C$13, 100%, $E$13)</f>
        <v>9.3569999999999993</v>
      </c>
    </row>
    <row r="517" spans="1:11" ht="15">
      <c r="A517" s="13">
        <v>57377</v>
      </c>
      <c r="B517" s="63">
        <f>8.045 * CHOOSE(CONTROL!$C$22, $C$13, 100%, $E$13)</f>
        <v>8.0449999999999999</v>
      </c>
      <c r="C517" s="63">
        <f>8.045 * CHOOSE(CONTROL!$C$22, $C$13, 100%, $E$13)</f>
        <v>8.0449999999999999</v>
      </c>
      <c r="D517" s="63">
        <f>8.0626 * CHOOSE(CONTROL!$C$22, $C$13, 100%, $E$13)</f>
        <v>8.0625999999999998</v>
      </c>
      <c r="E517" s="64">
        <f>9.2525 * CHOOSE(CONTROL!$C$22, $C$13, 100%, $E$13)</f>
        <v>9.2524999999999995</v>
      </c>
      <c r="F517" s="64">
        <f>9.2525 * CHOOSE(CONTROL!$C$22, $C$13, 100%, $E$13)</f>
        <v>9.2524999999999995</v>
      </c>
      <c r="G517" s="64">
        <f>9.2526 * CHOOSE(CONTROL!$C$22, $C$13, 100%, $E$13)</f>
        <v>9.2525999999999993</v>
      </c>
      <c r="H517" s="64">
        <f>15.9892* CHOOSE(CONTROL!$C$22, $C$13, 100%, $E$13)</f>
        <v>15.9892</v>
      </c>
      <c r="I517" s="64">
        <f>15.9894 * CHOOSE(CONTROL!$C$22, $C$13, 100%, $E$13)</f>
        <v>15.9894</v>
      </c>
      <c r="J517" s="64">
        <f>9.2525 * CHOOSE(CONTROL!$C$22, $C$13, 100%, $E$13)</f>
        <v>9.2524999999999995</v>
      </c>
      <c r="K517" s="64">
        <f>9.2526 * CHOOSE(CONTROL!$C$22, $C$13, 100%, $E$13)</f>
        <v>9.2525999999999993</v>
      </c>
    </row>
    <row r="518" spans="1:11" ht="15">
      <c r="A518" s="13">
        <v>57405</v>
      </c>
      <c r="B518" s="63">
        <f>8.0419 * CHOOSE(CONTROL!$C$22, $C$13, 100%, $E$13)</f>
        <v>8.0419</v>
      </c>
      <c r="C518" s="63">
        <f>8.0419 * CHOOSE(CONTROL!$C$22, $C$13, 100%, $E$13)</f>
        <v>8.0419</v>
      </c>
      <c r="D518" s="63">
        <f>8.0596 * CHOOSE(CONTROL!$C$22, $C$13, 100%, $E$13)</f>
        <v>8.0595999999999997</v>
      </c>
      <c r="E518" s="64">
        <f>9.331 * CHOOSE(CONTROL!$C$22, $C$13, 100%, $E$13)</f>
        <v>9.3309999999999995</v>
      </c>
      <c r="F518" s="64">
        <f>9.331 * CHOOSE(CONTROL!$C$22, $C$13, 100%, $E$13)</f>
        <v>9.3309999999999995</v>
      </c>
      <c r="G518" s="64">
        <f>9.3311 * CHOOSE(CONTROL!$C$22, $C$13, 100%, $E$13)</f>
        <v>9.3310999999999993</v>
      </c>
      <c r="H518" s="64">
        <f>16.0225* CHOOSE(CONTROL!$C$22, $C$13, 100%, $E$13)</f>
        <v>16.022500000000001</v>
      </c>
      <c r="I518" s="64">
        <f>16.0227 * CHOOSE(CONTROL!$C$22, $C$13, 100%, $E$13)</f>
        <v>16.0227</v>
      </c>
      <c r="J518" s="64">
        <f>9.331 * CHOOSE(CONTROL!$C$22, $C$13, 100%, $E$13)</f>
        <v>9.3309999999999995</v>
      </c>
      <c r="K518" s="64">
        <f>9.3311 * CHOOSE(CONTROL!$C$22, $C$13, 100%, $E$13)</f>
        <v>9.3310999999999993</v>
      </c>
    </row>
    <row r="519" spans="1:11" ht="15">
      <c r="A519" s="13">
        <v>57436</v>
      </c>
      <c r="B519" s="63">
        <f>8.0431 * CHOOSE(CONTROL!$C$22, $C$13, 100%, $E$13)</f>
        <v>8.0431000000000008</v>
      </c>
      <c r="C519" s="63">
        <f>8.0431 * CHOOSE(CONTROL!$C$22, $C$13, 100%, $E$13)</f>
        <v>8.0431000000000008</v>
      </c>
      <c r="D519" s="63">
        <f>8.0608 * CHOOSE(CONTROL!$C$22, $C$13, 100%, $E$13)</f>
        <v>8.0608000000000004</v>
      </c>
      <c r="E519" s="64">
        <f>9.4133 * CHOOSE(CONTROL!$C$22, $C$13, 100%, $E$13)</f>
        <v>9.4132999999999996</v>
      </c>
      <c r="F519" s="64">
        <f>9.4133 * CHOOSE(CONTROL!$C$22, $C$13, 100%, $E$13)</f>
        <v>9.4132999999999996</v>
      </c>
      <c r="G519" s="64">
        <f>9.4135 * CHOOSE(CONTROL!$C$22, $C$13, 100%, $E$13)</f>
        <v>9.4135000000000009</v>
      </c>
      <c r="H519" s="64">
        <f>16.0559* CHOOSE(CONTROL!$C$22, $C$13, 100%, $E$13)</f>
        <v>16.055900000000001</v>
      </c>
      <c r="I519" s="64">
        <f>16.056 * CHOOSE(CONTROL!$C$22, $C$13, 100%, $E$13)</f>
        <v>16.056000000000001</v>
      </c>
      <c r="J519" s="64">
        <f>9.4133 * CHOOSE(CONTROL!$C$22, $C$13, 100%, $E$13)</f>
        <v>9.4132999999999996</v>
      </c>
      <c r="K519" s="64">
        <f>9.4135 * CHOOSE(CONTROL!$C$22, $C$13, 100%, $E$13)</f>
        <v>9.4135000000000009</v>
      </c>
    </row>
    <row r="520" spans="1:11" ht="15">
      <c r="A520" s="13">
        <v>57466</v>
      </c>
      <c r="B520" s="63">
        <f>8.0431 * CHOOSE(CONTROL!$C$22, $C$13, 100%, $E$13)</f>
        <v>8.0431000000000008</v>
      </c>
      <c r="C520" s="63">
        <f>8.0431 * CHOOSE(CONTROL!$C$22, $C$13, 100%, $E$13)</f>
        <v>8.0431000000000008</v>
      </c>
      <c r="D520" s="63">
        <f>8.0785 * CHOOSE(CONTROL!$C$22, $C$13, 100%, $E$13)</f>
        <v>8.0785</v>
      </c>
      <c r="E520" s="64">
        <f>9.4458 * CHOOSE(CONTROL!$C$22, $C$13, 100%, $E$13)</f>
        <v>9.4458000000000002</v>
      </c>
      <c r="F520" s="64">
        <f>9.4458 * CHOOSE(CONTROL!$C$22, $C$13, 100%, $E$13)</f>
        <v>9.4458000000000002</v>
      </c>
      <c r="G520" s="64">
        <f>9.448 * CHOOSE(CONTROL!$C$22, $C$13, 100%, $E$13)</f>
        <v>9.4480000000000004</v>
      </c>
      <c r="H520" s="64">
        <f>16.0893* CHOOSE(CONTROL!$C$22, $C$13, 100%, $E$13)</f>
        <v>16.089300000000001</v>
      </c>
      <c r="I520" s="64">
        <f>16.0915 * CHOOSE(CONTROL!$C$22, $C$13, 100%, $E$13)</f>
        <v>16.0915</v>
      </c>
      <c r="J520" s="64">
        <f>9.4458 * CHOOSE(CONTROL!$C$22, $C$13, 100%, $E$13)</f>
        <v>9.4458000000000002</v>
      </c>
      <c r="K520" s="64">
        <f>9.448 * CHOOSE(CONTROL!$C$22, $C$13, 100%, $E$13)</f>
        <v>9.4480000000000004</v>
      </c>
    </row>
    <row r="521" spans="1:11" ht="15">
      <c r="A521" s="13">
        <v>57497</v>
      </c>
      <c r="B521" s="63">
        <f>8.0492 * CHOOSE(CONTROL!$C$22, $C$13, 100%, $E$13)</f>
        <v>8.0492000000000008</v>
      </c>
      <c r="C521" s="63">
        <f>8.0492 * CHOOSE(CONTROL!$C$22, $C$13, 100%, $E$13)</f>
        <v>8.0492000000000008</v>
      </c>
      <c r="D521" s="63">
        <f>8.0845 * CHOOSE(CONTROL!$C$22, $C$13, 100%, $E$13)</f>
        <v>8.0845000000000002</v>
      </c>
      <c r="E521" s="64">
        <f>9.4175 * CHOOSE(CONTROL!$C$22, $C$13, 100%, $E$13)</f>
        <v>9.4175000000000004</v>
      </c>
      <c r="F521" s="64">
        <f>9.4175 * CHOOSE(CONTROL!$C$22, $C$13, 100%, $E$13)</f>
        <v>9.4175000000000004</v>
      </c>
      <c r="G521" s="64">
        <f>9.4197 * CHOOSE(CONTROL!$C$22, $C$13, 100%, $E$13)</f>
        <v>9.4197000000000006</v>
      </c>
      <c r="H521" s="64">
        <f>16.1228* CHOOSE(CONTROL!$C$22, $C$13, 100%, $E$13)</f>
        <v>16.122800000000002</v>
      </c>
      <c r="I521" s="64">
        <f>16.125 * CHOOSE(CONTROL!$C$22, $C$13, 100%, $E$13)</f>
        <v>16.125</v>
      </c>
      <c r="J521" s="64">
        <f>9.4175 * CHOOSE(CONTROL!$C$22, $C$13, 100%, $E$13)</f>
        <v>9.4175000000000004</v>
      </c>
      <c r="K521" s="64">
        <f>9.4197 * CHOOSE(CONTROL!$C$22, $C$13, 100%, $E$13)</f>
        <v>9.4197000000000006</v>
      </c>
    </row>
    <row r="522" spans="1:11" ht="15">
      <c r="A522" s="13">
        <v>57527</v>
      </c>
      <c r="B522" s="63">
        <f>8.1797 * CHOOSE(CONTROL!$C$22, $C$13, 100%, $E$13)</f>
        <v>8.1797000000000004</v>
      </c>
      <c r="C522" s="63">
        <f>8.1797 * CHOOSE(CONTROL!$C$22, $C$13, 100%, $E$13)</f>
        <v>8.1797000000000004</v>
      </c>
      <c r="D522" s="63">
        <f>8.215 * CHOOSE(CONTROL!$C$22, $C$13, 100%, $E$13)</f>
        <v>8.2149999999999999</v>
      </c>
      <c r="E522" s="64">
        <f>9.6012 * CHOOSE(CONTROL!$C$22, $C$13, 100%, $E$13)</f>
        <v>9.6012000000000004</v>
      </c>
      <c r="F522" s="64">
        <f>9.6012 * CHOOSE(CONTROL!$C$22, $C$13, 100%, $E$13)</f>
        <v>9.6012000000000004</v>
      </c>
      <c r="G522" s="64">
        <f>9.6034 * CHOOSE(CONTROL!$C$22, $C$13, 100%, $E$13)</f>
        <v>9.6034000000000006</v>
      </c>
      <c r="H522" s="64">
        <f>16.1564* CHOOSE(CONTROL!$C$22, $C$13, 100%, $E$13)</f>
        <v>16.156400000000001</v>
      </c>
      <c r="I522" s="64">
        <f>16.1586 * CHOOSE(CONTROL!$C$22, $C$13, 100%, $E$13)</f>
        <v>16.1586</v>
      </c>
      <c r="J522" s="64">
        <f>9.6012 * CHOOSE(CONTROL!$C$22, $C$13, 100%, $E$13)</f>
        <v>9.6012000000000004</v>
      </c>
      <c r="K522" s="64">
        <f>9.6034 * CHOOSE(CONTROL!$C$22, $C$13, 100%, $E$13)</f>
        <v>9.6034000000000006</v>
      </c>
    </row>
    <row r="523" spans="1:11" ht="15">
      <c r="A523" s="13">
        <v>57558</v>
      </c>
      <c r="B523" s="63">
        <f>8.1863 * CHOOSE(CONTROL!$C$22, $C$13, 100%, $E$13)</f>
        <v>8.1862999999999992</v>
      </c>
      <c r="C523" s="63">
        <f>8.1863 * CHOOSE(CONTROL!$C$22, $C$13, 100%, $E$13)</f>
        <v>8.1862999999999992</v>
      </c>
      <c r="D523" s="63">
        <f>8.2217 * CHOOSE(CONTROL!$C$22, $C$13, 100%, $E$13)</f>
        <v>8.2217000000000002</v>
      </c>
      <c r="E523" s="64">
        <f>9.5085 * CHOOSE(CONTROL!$C$22, $C$13, 100%, $E$13)</f>
        <v>9.5084999999999997</v>
      </c>
      <c r="F523" s="64">
        <f>9.5085 * CHOOSE(CONTROL!$C$22, $C$13, 100%, $E$13)</f>
        <v>9.5084999999999997</v>
      </c>
      <c r="G523" s="64">
        <f>9.5106 * CHOOSE(CONTROL!$C$22, $C$13, 100%, $E$13)</f>
        <v>9.5106000000000002</v>
      </c>
      <c r="H523" s="64">
        <f>16.1901* CHOOSE(CONTROL!$C$22, $C$13, 100%, $E$13)</f>
        <v>16.190100000000001</v>
      </c>
      <c r="I523" s="64">
        <f>16.1923 * CHOOSE(CONTROL!$C$22, $C$13, 100%, $E$13)</f>
        <v>16.192299999999999</v>
      </c>
      <c r="J523" s="64">
        <f>9.5085 * CHOOSE(CONTROL!$C$22, $C$13, 100%, $E$13)</f>
        <v>9.5084999999999997</v>
      </c>
      <c r="K523" s="64">
        <f>9.5106 * CHOOSE(CONTROL!$C$22, $C$13, 100%, $E$13)</f>
        <v>9.5106000000000002</v>
      </c>
    </row>
    <row r="524" spans="1:11" ht="15">
      <c r="A524" s="13">
        <v>57589</v>
      </c>
      <c r="B524" s="63">
        <f>8.1833 * CHOOSE(CONTROL!$C$22, $C$13, 100%, $E$13)</f>
        <v>8.1832999999999991</v>
      </c>
      <c r="C524" s="63">
        <f>8.1833 * CHOOSE(CONTROL!$C$22, $C$13, 100%, $E$13)</f>
        <v>8.1832999999999991</v>
      </c>
      <c r="D524" s="63">
        <f>8.2186 * CHOOSE(CONTROL!$C$22, $C$13, 100%, $E$13)</f>
        <v>8.2186000000000003</v>
      </c>
      <c r="E524" s="64">
        <f>9.4955 * CHOOSE(CONTROL!$C$22, $C$13, 100%, $E$13)</f>
        <v>9.4954999999999998</v>
      </c>
      <c r="F524" s="64">
        <f>9.4955 * CHOOSE(CONTROL!$C$22, $C$13, 100%, $E$13)</f>
        <v>9.4954999999999998</v>
      </c>
      <c r="G524" s="64">
        <f>9.4977 * CHOOSE(CONTROL!$C$22, $C$13, 100%, $E$13)</f>
        <v>9.4977</v>
      </c>
      <c r="H524" s="64">
        <f>16.2238* CHOOSE(CONTROL!$C$22, $C$13, 100%, $E$13)</f>
        <v>16.223800000000001</v>
      </c>
      <c r="I524" s="64">
        <f>16.226 * CHOOSE(CONTROL!$C$22, $C$13, 100%, $E$13)</f>
        <v>16.225999999999999</v>
      </c>
      <c r="J524" s="64">
        <f>9.4955 * CHOOSE(CONTROL!$C$22, $C$13, 100%, $E$13)</f>
        <v>9.4954999999999998</v>
      </c>
      <c r="K524" s="64">
        <f>9.4977 * CHOOSE(CONTROL!$C$22, $C$13, 100%, $E$13)</f>
        <v>9.4977</v>
      </c>
    </row>
    <row r="525" spans="1:11" ht="15">
      <c r="A525" s="13">
        <v>57619</v>
      </c>
      <c r="B525" s="63">
        <f>8.1925 * CHOOSE(CONTROL!$C$22, $C$13, 100%, $E$13)</f>
        <v>8.1925000000000008</v>
      </c>
      <c r="C525" s="63">
        <f>8.1925 * CHOOSE(CONTROL!$C$22, $C$13, 100%, $E$13)</f>
        <v>8.1925000000000008</v>
      </c>
      <c r="D525" s="63">
        <f>8.2101 * CHOOSE(CONTROL!$C$22, $C$13, 100%, $E$13)</f>
        <v>8.2101000000000006</v>
      </c>
      <c r="E525" s="64">
        <f>9.5254 * CHOOSE(CONTROL!$C$22, $C$13, 100%, $E$13)</f>
        <v>9.5253999999999994</v>
      </c>
      <c r="F525" s="64">
        <f>9.5254 * CHOOSE(CONTROL!$C$22, $C$13, 100%, $E$13)</f>
        <v>9.5253999999999994</v>
      </c>
      <c r="G525" s="64">
        <f>9.5256 * CHOOSE(CONTROL!$C$22, $C$13, 100%, $E$13)</f>
        <v>9.5256000000000007</v>
      </c>
      <c r="H525" s="64">
        <f>16.2576* CHOOSE(CONTROL!$C$22, $C$13, 100%, $E$13)</f>
        <v>16.2576</v>
      </c>
      <c r="I525" s="64">
        <f>16.2578 * CHOOSE(CONTROL!$C$22, $C$13, 100%, $E$13)</f>
        <v>16.2578</v>
      </c>
      <c r="J525" s="64">
        <f>9.5254 * CHOOSE(CONTROL!$C$22, $C$13, 100%, $E$13)</f>
        <v>9.5253999999999994</v>
      </c>
      <c r="K525" s="64">
        <f>9.5256 * CHOOSE(CONTROL!$C$22, $C$13, 100%, $E$13)</f>
        <v>9.5256000000000007</v>
      </c>
    </row>
    <row r="526" spans="1:11" ht="15">
      <c r="A526" s="13">
        <v>57650</v>
      </c>
      <c r="B526" s="63">
        <f>8.1955 * CHOOSE(CONTROL!$C$22, $C$13, 100%, $E$13)</f>
        <v>8.1954999999999991</v>
      </c>
      <c r="C526" s="63">
        <f>8.1955 * CHOOSE(CONTROL!$C$22, $C$13, 100%, $E$13)</f>
        <v>8.1954999999999991</v>
      </c>
      <c r="D526" s="63">
        <f>8.2132 * CHOOSE(CONTROL!$C$22, $C$13, 100%, $E$13)</f>
        <v>8.2132000000000005</v>
      </c>
      <c r="E526" s="64">
        <f>9.5491 * CHOOSE(CONTROL!$C$22, $C$13, 100%, $E$13)</f>
        <v>9.5490999999999993</v>
      </c>
      <c r="F526" s="64">
        <f>9.5491 * CHOOSE(CONTROL!$C$22, $C$13, 100%, $E$13)</f>
        <v>9.5490999999999993</v>
      </c>
      <c r="G526" s="64">
        <f>9.5493 * CHOOSE(CONTROL!$C$22, $C$13, 100%, $E$13)</f>
        <v>9.5493000000000006</v>
      </c>
      <c r="H526" s="64">
        <f>16.2915* CHOOSE(CONTROL!$C$22, $C$13, 100%, $E$13)</f>
        <v>16.291499999999999</v>
      </c>
      <c r="I526" s="64">
        <f>16.2917 * CHOOSE(CONTROL!$C$22, $C$13, 100%, $E$13)</f>
        <v>16.291699999999999</v>
      </c>
      <c r="J526" s="64">
        <f>9.5491 * CHOOSE(CONTROL!$C$22, $C$13, 100%, $E$13)</f>
        <v>9.5490999999999993</v>
      </c>
      <c r="K526" s="64">
        <f>9.5493 * CHOOSE(CONTROL!$C$22, $C$13, 100%, $E$13)</f>
        <v>9.5493000000000006</v>
      </c>
    </row>
    <row r="527" spans="1:11" ht="15">
      <c r="A527" s="13">
        <v>57680</v>
      </c>
      <c r="B527" s="63">
        <f>8.1955 * CHOOSE(CONTROL!$C$22, $C$13, 100%, $E$13)</f>
        <v>8.1954999999999991</v>
      </c>
      <c r="C527" s="63">
        <f>8.1955 * CHOOSE(CONTROL!$C$22, $C$13, 100%, $E$13)</f>
        <v>8.1954999999999991</v>
      </c>
      <c r="D527" s="63">
        <f>8.2132 * CHOOSE(CONTROL!$C$22, $C$13, 100%, $E$13)</f>
        <v>8.2132000000000005</v>
      </c>
      <c r="E527" s="64">
        <f>9.495 * CHOOSE(CONTROL!$C$22, $C$13, 100%, $E$13)</f>
        <v>9.4949999999999992</v>
      </c>
      <c r="F527" s="64">
        <f>9.495 * CHOOSE(CONTROL!$C$22, $C$13, 100%, $E$13)</f>
        <v>9.4949999999999992</v>
      </c>
      <c r="G527" s="64">
        <f>9.4952 * CHOOSE(CONTROL!$C$22, $C$13, 100%, $E$13)</f>
        <v>9.4952000000000005</v>
      </c>
      <c r="H527" s="64">
        <f>16.3254* CHOOSE(CONTROL!$C$22, $C$13, 100%, $E$13)</f>
        <v>16.325399999999998</v>
      </c>
      <c r="I527" s="64">
        <f>16.3256 * CHOOSE(CONTROL!$C$22, $C$13, 100%, $E$13)</f>
        <v>16.325600000000001</v>
      </c>
      <c r="J527" s="64">
        <f>9.495 * CHOOSE(CONTROL!$C$22, $C$13, 100%, $E$13)</f>
        <v>9.4949999999999992</v>
      </c>
      <c r="K527" s="64">
        <f>9.4952 * CHOOSE(CONTROL!$C$22, $C$13, 100%, $E$13)</f>
        <v>9.4952000000000005</v>
      </c>
    </row>
    <row r="528" spans="1:11" ht="15">
      <c r="A528" s="13">
        <v>57711</v>
      </c>
      <c r="B528" s="63">
        <f>8.268 * CHOOSE(CONTROL!$C$22, $C$13, 100%, $E$13)</f>
        <v>8.2680000000000007</v>
      </c>
      <c r="C528" s="63">
        <f>8.268 * CHOOSE(CONTROL!$C$22, $C$13, 100%, $E$13)</f>
        <v>8.2680000000000007</v>
      </c>
      <c r="D528" s="63">
        <f>8.2857 * CHOOSE(CONTROL!$C$22, $C$13, 100%, $E$13)</f>
        <v>8.2857000000000003</v>
      </c>
      <c r="E528" s="64">
        <f>9.6187 * CHOOSE(CONTROL!$C$22, $C$13, 100%, $E$13)</f>
        <v>9.6187000000000005</v>
      </c>
      <c r="F528" s="64">
        <f>9.6187 * CHOOSE(CONTROL!$C$22, $C$13, 100%, $E$13)</f>
        <v>9.6187000000000005</v>
      </c>
      <c r="G528" s="64">
        <f>9.6189 * CHOOSE(CONTROL!$C$22, $C$13, 100%, $E$13)</f>
        <v>9.6189</v>
      </c>
      <c r="H528" s="64">
        <f>16.3594* CHOOSE(CONTROL!$C$22, $C$13, 100%, $E$13)</f>
        <v>16.359400000000001</v>
      </c>
      <c r="I528" s="64">
        <f>16.3596 * CHOOSE(CONTROL!$C$22, $C$13, 100%, $E$13)</f>
        <v>16.3596</v>
      </c>
      <c r="J528" s="64">
        <f>9.6187 * CHOOSE(CONTROL!$C$22, $C$13, 100%, $E$13)</f>
        <v>9.6187000000000005</v>
      </c>
      <c r="K528" s="64">
        <f>9.6189 * CHOOSE(CONTROL!$C$22, $C$13, 100%, $E$13)</f>
        <v>9.6189</v>
      </c>
    </row>
    <row r="529" spans="1:11" ht="15">
      <c r="A529" s="13">
        <v>57742</v>
      </c>
      <c r="B529" s="63">
        <f>8.265 * CHOOSE(CONTROL!$C$22, $C$13, 100%, $E$13)</f>
        <v>8.2650000000000006</v>
      </c>
      <c r="C529" s="63">
        <f>8.265 * CHOOSE(CONTROL!$C$22, $C$13, 100%, $E$13)</f>
        <v>8.2650000000000006</v>
      </c>
      <c r="D529" s="63">
        <f>8.2826 * CHOOSE(CONTROL!$C$22, $C$13, 100%, $E$13)</f>
        <v>8.2826000000000004</v>
      </c>
      <c r="E529" s="64">
        <f>9.5114 * CHOOSE(CONTROL!$C$22, $C$13, 100%, $E$13)</f>
        <v>9.5114000000000001</v>
      </c>
      <c r="F529" s="64">
        <f>9.5114 * CHOOSE(CONTROL!$C$22, $C$13, 100%, $E$13)</f>
        <v>9.5114000000000001</v>
      </c>
      <c r="G529" s="64">
        <f>9.5116 * CHOOSE(CONTROL!$C$22, $C$13, 100%, $E$13)</f>
        <v>9.5115999999999996</v>
      </c>
      <c r="H529" s="64">
        <f>16.3935* CHOOSE(CONTROL!$C$22, $C$13, 100%, $E$13)</f>
        <v>16.3935</v>
      </c>
      <c r="I529" s="64">
        <f>16.3937 * CHOOSE(CONTROL!$C$22, $C$13, 100%, $E$13)</f>
        <v>16.393699999999999</v>
      </c>
      <c r="J529" s="64">
        <f>9.5114 * CHOOSE(CONTROL!$C$22, $C$13, 100%, $E$13)</f>
        <v>9.5114000000000001</v>
      </c>
      <c r="K529" s="64">
        <f>9.5116 * CHOOSE(CONTROL!$C$22, $C$13, 100%, $E$13)</f>
        <v>9.5115999999999996</v>
      </c>
    </row>
    <row r="530" spans="1:11" ht="15">
      <c r="A530" s="13">
        <v>57770</v>
      </c>
      <c r="B530" s="63">
        <f>8.2619 * CHOOSE(CONTROL!$C$22, $C$13, 100%, $E$13)</f>
        <v>8.2619000000000007</v>
      </c>
      <c r="C530" s="63">
        <f>8.2619 * CHOOSE(CONTROL!$C$22, $C$13, 100%, $E$13)</f>
        <v>8.2619000000000007</v>
      </c>
      <c r="D530" s="63">
        <f>8.2796 * CHOOSE(CONTROL!$C$22, $C$13, 100%, $E$13)</f>
        <v>8.2796000000000003</v>
      </c>
      <c r="E530" s="64">
        <f>9.5922 * CHOOSE(CONTROL!$C$22, $C$13, 100%, $E$13)</f>
        <v>9.5922000000000001</v>
      </c>
      <c r="F530" s="64">
        <f>9.5922 * CHOOSE(CONTROL!$C$22, $C$13, 100%, $E$13)</f>
        <v>9.5922000000000001</v>
      </c>
      <c r="G530" s="64">
        <f>9.5924 * CHOOSE(CONTROL!$C$22, $C$13, 100%, $E$13)</f>
        <v>9.5923999999999996</v>
      </c>
      <c r="H530" s="64">
        <f>16.4277* CHOOSE(CONTROL!$C$22, $C$13, 100%, $E$13)</f>
        <v>16.427700000000002</v>
      </c>
      <c r="I530" s="64">
        <f>16.4278 * CHOOSE(CONTROL!$C$22, $C$13, 100%, $E$13)</f>
        <v>16.427800000000001</v>
      </c>
      <c r="J530" s="64">
        <f>9.5922 * CHOOSE(CONTROL!$C$22, $C$13, 100%, $E$13)</f>
        <v>9.5922000000000001</v>
      </c>
      <c r="K530" s="64">
        <f>9.5924 * CHOOSE(CONTROL!$C$22, $C$13, 100%, $E$13)</f>
        <v>9.5923999999999996</v>
      </c>
    </row>
    <row r="531" spans="1:11" ht="15">
      <c r="A531" s="13">
        <v>57801</v>
      </c>
      <c r="B531" s="63">
        <f>8.2633 * CHOOSE(CONTROL!$C$22, $C$13, 100%, $E$13)</f>
        <v>8.2632999999999992</v>
      </c>
      <c r="C531" s="63">
        <f>8.2633 * CHOOSE(CONTROL!$C$22, $C$13, 100%, $E$13)</f>
        <v>8.2632999999999992</v>
      </c>
      <c r="D531" s="63">
        <f>8.281 * CHOOSE(CONTROL!$C$22, $C$13, 100%, $E$13)</f>
        <v>8.2810000000000006</v>
      </c>
      <c r="E531" s="64">
        <f>9.677 * CHOOSE(CONTROL!$C$22, $C$13, 100%, $E$13)</f>
        <v>9.6769999999999996</v>
      </c>
      <c r="F531" s="64">
        <f>9.677 * CHOOSE(CONTROL!$C$22, $C$13, 100%, $E$13)</f>
        <v>9.6769999999999996</v>
      </c>
      <c r="G531" s="64">
        <f>9.6771 * CHOOSE(CONTROL!$C$22, $C$13, 100%, $E$13)</f>
        <v>9.6770999999999994</v>
      </c>
      <c r="H531" s="64">
        <f>16.4619* CHOOSE(CONTROL!$C$22, $C$13, 100%, $E$13)</f>
        <v>16.4619</v>
      </c>
      <c r="I531" s="64">
        <f>16.4621 * CHOOSE(CONTROL!$C$22, $C$13, 100%, $E$13)</f>
        <v>16.4621</v>
      </c>
      <c r="J531" s="64">
        <f>9.677 * CHOOSE(CONTROL!$C$22, $C$13, 100%, $E$13)</f>
        <v>9.6769999999999996</v>
      </c>
      <c r="K531" s="64">
        <f>9.6771 * CHOOSE(CONTROL!$C$22, $C$13, 100%, $E$13)</f>
        <v>9.6770999999999994</v>
      </c>
    </row>
    <row r="532" spans="1:11" ht="15">
      <c r="A532" s="13">
        <v>57831</v>
      </c>
      <c r="B532" s="63">
        <f>8.2633 * CHOOSE(CONTROL!$C$22, $C$13, 100%, $E$13)</f>
        <v>8.2632999999999992</v>
      </c>
      <c r="C532" s="63">
        <f>8.2633 * CHOOSE(CONTROL!$C$22, $C$13, 100%, $E$13)</f>
        <v>8.2632999999999992</v>
      </c>
      <c r="D532" s="63">
        <f>8.2986 * CHOOSE(CONTROL!$C$22, $C$13, 100%, $E$13)</f>
        <v>8.2986000000000004</v>
      </c>
      <c r="E532" s="64">
        <f>9.7103 * CHOOSE(CONTROL!$C$22, $C$13, 100%, $E$13)</f>
        <v>9.7103000000000002</v>
      </c>
      <c r="F532" s="64">
        <f>9.7103 * CHOOSE(CONTROL!$C$22, $C$13, 100%, $E$13)</f>
        <v>9.7103000000000002</v>
      </c>
      <c r="G532" s="64">
        <f>9.7125 * CHOOSE(CONTROL!$C$22, $C$13, 100%, $E$13)</f>
        <v>9.7125000000000004</v>
      </c>
      <c r="H532" s="64">
        <f>16.4962* CHOOSE(CONTROL!$C$22, $C$13, 100%, $E$13)</f>
        <v>16.496200000000002</v>
      </c>
      <c r="I532" s="64">
        <f>16.4984 * CHOOSE(CONTROL!$C$22, $C$13, 100%, $E$13)</f>
        <v>16.4984</v>
      </c>
      <c r="J532" s="64">
        <f>9.7103 * CHOOSE(CONTROL!$C$22, $C$13, 100%, $E$13)</f>
        <v>9.7103000000000002</v>
      </c>
      <c r="K532" s="64">
        <f>9.7125 * CHOOSE(CONTROL!$C$22, $C$13, 100%, $E$13)</f>
        <v>9.7125000000000004</v>
      </c>
    </row>
    <row r="533" spans="1:11" ht="15">
      <c r="A533" s="13">
        <v>57862</v>
      </c>
      <c r="B533" s="63">
        <f>8.2694 * CHOOSE(CONTROL!$C$22, $C$13, 100%, $E$13)</f>
        <v>8.2693999999999992</v>
      </c>
      <c r="C533" s="63">
        <f>8.2694 * CHOOSE(CONTROL!$C$22, $C$13, 100%, $E$13)</f>
        <v>8.2693999999999992</v>
      </c>
      <c r="D533" s="63">
        <f>8.3047 * CHOOSE(CONTROL!$C$22, $C$13, 100%, $E$13)</f>
        <v>8.3047000000000004</v>
      </c>
      <c r="E533" s="64">
        <f>9.6812 * CHOOSE(CONTROL!$C$22, $C$13, 100%, $E$13)</f>
        <v>9.6812000000000005</v>
      </c>
      <c r="F533" s="64">
        <f>9.6812 * CHOOSE(CONTROL!$C$22, $C$13, 100%, $E$13)</f>
        <v>9.6812000000000005</v>
      </c>
      <c r="G533" s="64">
        <f>9.6834 * CHOOSE(CONTROL!$C$22, $C$13, 100%, $E$13)</f>
        <v>9.6834000000000007</v>
      </c>
      <c r="H533" s="64">
        <f>16.5306* CHOOSE(CONTROL!$C$22, $C$13, 100%, $E$13)</f>
        <v>16.5306</v>
      </c>
      <c r="I533" s="64">
        <f>16.5327 * CHOOSE(CONTROL!$C$22, $C$13, 100%, $E$13)</f>
        <v>16.532699999999998</v>
      </c>
      <c r="J533" s="64">
        <f>9.6812 * CHOOSE(CONTROL!$C$22, $C$13, 100%, $E$13)</f>
        <v>9.6812000000000005</v>
      </c>
      <c r="K533" s="64">
        <f>9.6834 * CHOOSE(CONTROL!$C$22, $C$13, 100%, $E$13)</f>
        <v>9.6834000000000007</v>
      </c>
    </row>
    <row r="534" spans="1:11" ht="15">
      <c r="A534" s="13">
        <v>57892</v>
      </c>
      <c r="B534" s="63">
        <f>8.4031 * CHOOSE(CONTROL!$C$22, $C$13, 100%, $E$13)</f>
        <v>8.4031000000000002</v>
      </c>
      <c r="C534" s="63">
        <f>8.4031 * CHOOSE(CONTROL!$C$22, $C$13, 100%, $E$13)</f>
        <v>8.4031000000000002</v>
      </c>
      <c r="D534" s="63">
        <f>8.4384 * CHOOSE(CONTROL!$C$22, $C$13, 100%, $E$13)</f>
        <v>8.4383999999999997</v>
      </c>
      <c r="E534" s="64">
        <f>9.8697 * CHOOSE(CONTROL!$C$22, $C$13, 100%, $E$13)</f>
        <v>9.8696999999999999</v>
      </c>
      <c r="F534" s="64">
        <f>9.8697 * CHOOSE(CONTROL!$C$22, $C$13, 100%, $E$13)</f>
        <v>9.8696999999999999</v>
      </c>
      <c r="G534" s="64">
        <f>9.8719 * CHOOSE(CONTROL!$C$22, $C$13, 100%, $E$13)</f>
        <v>9.8719000000000001</v>
      </c>
      <c r="H534" s="64">
        <f>16.565* CHOOSE(CONTROL!$C$22, $C$13, 100%, $E$13)</f>
        <v>16.565000000000001</v>
      </c>
      <c r="I534" s="64">
        <f>16.5672 * CHOOSE(CONTROL!$C$22, $C$13, 100%, $E$13)</f>
        <v>16.5672</v>
      </c>
      <c r="J534" s="64">
        <f>9.8697 * CHOOSE(CONTROL!$C$22, $C$13, 100%, $E$13)</f>
        <v>9.8696999999999999</v>
      </c>
      <c r="K534" s="64">
        <f>9.8719 * CHOOSE(CONTROL!$C$22, $C$13, 100%, $E$13)</f>
        <v>9.8719000000000001</v>
      </c>
    </row>
    <row r="535" spans="1:11" ht="15">
      <c r="A535" s="13">
        <v>57923</v>
      </c>
      <c r="B535" s="63">
        <f>8.4098 * CHOOSE(CONTROL!$C$22, $C$13, 100%, $E$13)</f>
        <v>8.4098000000000006</v>
      </c>
      <c r="C535" s="63">
        <f>8.4098 * CHOOSE(CONTROL!$C$22, $C$13, 100%, $E$13)</f>
        <v>8.4098000000000006</v>
      </c>
      <c r="D535" s="63">
        <f>8.4451 * CHOOSE(CONTROL!$C$22, $C$13, 100%, $E$13)</f>
        <v>8.4451000000000001</v>
      </c>
      <c r="E535" s="64">
        <f>9.7743 * CHOOSE(CONTROL!$C$22, $C$13, 100%, $E$13)</f>
        <v>9.7743000000000002</v>
      </c>
      <c r="F535" s="64">
        <f>9.7743 * CHOOSE(CONTROL!$C$22, $C$13, 100%, $E$13)</f>
        <v>9.7743000000000002</v>
      </c>
      <c r="G535" s="64">
        <f>9.7764 * CHOOSE(CONTROL!$C$22, $C$13, 100%, $E$13)</f>
        <v>9.7764000000000006</v>
      </c>
      <c r="H535" s="64">
        <f>16.5995* CHOOSE(CONTROL!$C$22, $C$13, 100%, $E$13)</f>
        <v>16.599499999999999</v>
      </c>
      <c r="I535" s="64">
        <f>16.6017 * CHOOSE(CONTROL!$C$22, $C$13, 100%, $E$13)</f>
        <v>16.601700000000001</v>
      </c>
      <c r="J535" s="64">
        <f>9.7743 * CHOOSE(CONTROL!$C$22, $C$13, 100%, $E$13)</f>
        <v>9.7743000000000002</v>
      </c>
      <c r="K535" s="64">
        <f>9.7764 * CHOOSE(CONTROL!$C$22, $C$13, 100%, $E$13)</f>
        <v>9.7764000000000006</v>
      </c>
    </row>
    <row r="536" spans="1:11" ht="15">
      <c r="A536" s="13">
        <v>57954</v>
      </c>
      <c r="B536" s="63">
        <f>8.4068 * CHOOSE(CONTROL!$C$22, $C$13, 100%, $E$13)</f>
        <v>8.4068000000000005</v>
      </c>
      <c r="C536" s="63">
        <f>8.4068 * CHOOSE(CONTROL!$C$22, $C$13, 100%, $E$13)</f>
        <v>8.4068000000000005</v>
      </c>
      <c r="D536" s="63">
        <f>8.4421 * CHOOSE(CONTROL!$C$22, $C$13, 100%, $E$13)</f>
        <v>8.4420999999999999</v>
      </c>
      <c r="E536" s="64">
        <f>9.761 * CHOOSE(CONTROL!$C$22, $C$13, 100%, $E$13)</f>
        <v>9.7609999999999992</v>
      </c>
      <c r="F536" s="64">
        <f>9.761 * CHOOSE(CONTROL!$C$22, $C$13, 100%, $E$13)</f>
        <v>9.7609999999999992</v>
      </c>
      <c r="G536" s="64">
        <f>9.7632 * CHOOSE(CONTROL!$C$22, $C$13, 100%, $E$13)</f>
        <v>9.7631999999999994</v>
      </c>
      <c r="H536" s="64">
        <f>16.6341* CHOOSE(CONTROL!$C$22, $C$13, 100%, $E$13)</f>
        <v>16.6341</v>
      </c>
      <c r="I536" s="64">
        <f>16.6363 * CHOOSE(CONTROL!$C$22, $C$13, 100%, $E$13)</f>
        <v>16.636299999999999</v>
      </c>
      <c r="J536" s="64">
        <f>9.761 * CHOOSE(CONTROL!$C$22, $C$13, 100%, $E$13)</f>
        <v>9.7609999999999992</v>
      </c>
      <c r="K536" s="64">
        <f>9.7632 * CHOOSE(CONTROL!$C$22, $C$13, 100%, $E$13)</f>
        <v>9.7631999999999994</v>
      </c>
    </row>
    <row r="537" spans="1:11" ht="15">
      <c r="A537" s="13">
        <v>57984</v>
      </c>
      <c r="B537" s="63">
        <f>8.4167 * CHOOSE(CONTROL!$C$22, $C$13, 100%, $E$13)</f>
        <v>8.4167000000000005</v>
      </c>
      <c r="C537" s="63">
        <f>8.4167 * CHOOSE(CONTROL!$C$22, $C$13, 100%, $E$13)</f>
        <v>8.4167000000000005</v>
      </c>
      <c r="D537" s="63">
        <f>8.4343 * CHOOSE(CONTROL!$C$22, $C$13, 100%, $E$13)</f>
        <v>8.4343000000000004</v>
      </c>
      <c r="E537" s="64">
        <f>9.7921 * CHOOSE(CONTROL!$C$22, $C$13, 100%, $E$13)</f>
        <v>9.7920999999999996</v>
      </c>
      <c r="F537" s="64">
        <f>9.7921 * CHOOSE(CONTROL!$C$22, $C$13, 100%, $E$13)</f>
        <v>9.7920999999999996</v>
      </c>
      <c r="G537" s="64">
        <f>9.7923 * CHOOSE(CONTROL!$C$22, $C$13, 100%, $E$13)</f>
        <v>9.7922999999999991</v>
      </c>
      <c r="H537" s="64">
        <f>16.6687* CHOOSE(CONTROL!$C$22, $C$13, 100%, $E$13)</f>
        <v>16.668700000000001</v>
      </c>
      <c r="I537" s="64">
        <f>16.6689 * CHOOSE(CONTROL!$C$22, $C$13, 100%, $E$13)</f>
        <v>16.668900000000001</v>
      </c>
      <c r="J537" s="64">
        <f>9.7921 * CHOOSE(CONTROL!$C$22, $C$13, 100%, $E$13)</f>
        <v>9.7920999999999996</v>
      </c>
      <c r="K537" s="64">
        <f>9.7923 * CHOOSE(CONTROL!$C$22, $C$13, 100%, $E$13)</f>
        <v>9.7922999999999991</v>
      </c>
    </row>
    <row r="538" spans="1:11" ht="15">
      <c r="A538" s="13">
        <v>58015</v>
      </c>
      <c r="B538" s="63">
        <f>8.4197 * CHOOSE(CONTROL!$C$22, $C$13, 100%, $E$13)</f>
        <v>8.4197000000000006</v>
      </c>
      <c r="C538" s="63">
        <f>8.4197 * CHOOSE(CONTROL!$C$22, $C$13, 100%, $E$13)</f>
        <v>8.4197000000000006</v>
      </c>
      <c r="D538" s="63">
        <f>8.4374 * CHOOSE(CONTROL!$C$22, $C$13, 100%, $E$13)</f>
        <v>8.4374000000000002</v>
      </c>
      <c r="E538" s="64">
        <f>9.8165 * CHOOSE(CONTROL!$C$22, $C$13, 100%, $E$13)</f>
        <v>9.8164999999999996</v>
      </c>
      <c r="F538" s="64">
        <f>9.8165 * CHOOSE(CONTROL!$C$22, $C$13, 100%, $E$13)</f>
        <v>9.8164999999999996</v>
      </c>
      <c r="G538" s="64">
        <f>9.8166 * CHOOSE(CONTROL!$C$22, $C$13, 100%, $E$13)</f>
        <v>9.8165999999999993</v>
      </c>
      <c r="H538" s="64">
        <f>16.7035* CHOOSE(CONTROL!$C$22, $C$13, 100%, $E$13)</f>
        <v>16.703499999999998</v>
      </c>
      <c r="I538" s="64">
        <f>16.7036 * CHOOSE(CONTROL!$C$22, $C$13, 100%, $E$13)</f>
        <v>16.703600000000002</v>
      </c>
      <c r="J538" s="64">
        <f>9.8165 * CHOOSE(CONTROL!$C$22, $C$13, 100%, $E$13)</f>
        <v>9.8164999999999996</v>
      </c>
      <c r="K538" s="64">
        <f>9.8166 * CHOOSE(CONTROL!$C$22, $C$13, 100%, $E$13)</f>
        <v>9.8165999999999993</v>
      </c>
    </row>
    <row r="539" spans="1:11" ht="15">
      <c r="A539" s="13">
        <v>58045</v>
      </c>
      <c r="B539" s="63">
        <f>8.4197 * CHOOSE(CONTROL!$C$22, $C$13, 100%, $E$13)</f>
        <v>8.4197000000000006</v>
      </c>
      <c r="C539" s="63">
        <f>8.4197 * CHOOSE(CONTROL!$C$22, $C$13, 100%, $E$13)</f>
        <v>8.4197000000000006</v>
      </c>
      <c r="D539" s="63">
        <f>8.4374 * CHOOSE(CONTROL!$C$22, $C$13, 100%, $E$13)</f>
        <v>8.4374000000000002</v>
      </c>
      <c r="E539" s="64">
        <f>9.7608 * CHOOSE(CONTROL!$C$22, $C$13, 100%, $E$13)</f>
        <v>9.7607999999999997</v>
      </c>
      <c r="F539" s="64">
        <f>9.7608 * CHOOSE(CONTROL!$C$22, $C$13, 100%, $E$13)</f>
        <v>9.7607999999999997</v>
      </c>
      <c r="G539" s="64">
        <f>9.761 * CHOOSE(CONTROL!$C$22, $C$13, 100%, $E$13)</f>
        <v>9.7609999999999992</v>
      </c>
      <c r="H539" s="64">
        <f>16.7383* CHOOSE(CONTROL!$C$22, $C$13, 100%, $E$13)</f>
        <v>16.738299999999999</v>
      </c>
      <c r="I539" s="64">
        <f>16.7384 * CHOOSE(CONTROL!$C$22, $C$13, 100%, $E$13)</f>
        <v>16.738399999999999</v>
      </c>
      <c r="J539" s="64">
        <f>9.7608 * CHOOSE(CONTROL!$C$22, $C$13, 100%, $E$13)</f>
        <v>9.7607999999999997</v>
      </c>
      <c r="K539" s="64">
        <f>9.761 * CHOOSE(CONTROL!$C$22, $C$13, 100%, $E$13)</f>
        <v>9.7609999999999992</v>
      </c>
    </row>
    <row r="540" spans="1:11" ht="15">
      <c r="A540" s="13">
        <v>58076</v>
      </c>
      <c r="B540" s="63">
        <f>8.4941 * CHOOSE(CONTROL!$C$22, $C$13, 100%, $E$13)</f>
        <v>8.4940999999999995</v>
      </c>
      <c r="C540" s="63">
        <f>8.4941 * CHOOSE(CONTROL!$C$22, $C$13, 100%, $E$13)</f>
        <v>8.4940999999999995</v>
      </c>
      <c r="D540" s="63">
        <f>8.5117 * CHOOSE(CONTROL!$C$22, $C$13, 100%, $E$13)</f>
        <v>8.5116999999999994</v>
      </c>
      <c r="E540" s="64">
        <f>9.8879 * CHOOSE(CONTROL!$C$22, $C$13, 100%, $E$13)</f>
        <v>9.8879000000000001</v>
      </c>
      <c r="F540" s="64">
        <f>9.8879 * CHOOSE(CONTROL!$C$22, $C$13, 100%, $E$13)</f>
        <v>9.8879000000000001</v>
      </c>
      <c r="G540" s="64">
        <f>9.888 * CHOOSE(CONTROL!$C$22, $C$13, 100%, $E$13)</f>
        <v>9.8879999999999999</v>
      </c>
      <c r="H540" s="64">
        <f>16.7731* CHOOSE(CONTROL!$C$22, $C$13, 100%, $E$13)</f>
        <v>16.773099999999999</v>
      </c>
      <c r="I540" s="64">
        <f>16.7733 * CHOOSE(CONTROL!$C$22, $C$13, 100%, $E$13)</f>
        <v>16.773299999999999</v>
      </c>
      <c r="J540" s="64">
        <f>9.8879 * CHOOSE(CONTROL!$C$22, $C$13, 100%, $E$13)</f>
        <v>9.8879000000000001</v>
      </c>
      <c r="K540" s="64">
        <f>9.888 * CHOOSE(CONTROL!$C$22, $C$13, 100%, $E$13)</f>
        <v>9.8879999999999999</v>
      </c>
    </row>
    <row r="541" spans="1:11" ht="15">
      <c r="A541" s="13">
        <v>58107</v>
      </c>
      <c r="B541" s="63">
        <f>8.491 * CHOOSE(CONTROL!$C$22, $C$13, 100%, $E$13)</f>
        <v>8.4909999999999997</v>
      </c>
      <c r="C541" s="63">
        <f>8.491 * CHOOSE(CONTROL!$C$22, $C$13, 100%, $E$13)</f>
        <v>8.4909999999999997</v>
      </c>
      <c r="D541" s="63">
        <f>8.5087 * CHOOSE(CONTROL!$C$22, $C$13, 100%, $E$13)</f>
        <v>8.5086999999999993</v>
      </c>
      <c r="E541" s="64">
        <f>9.7777 * CHOOSE(CONTROL!$C$22, $C$13, 100%, $E$13)</f>
        <v>9.7776999999999994</v>
      </c>
      <c r="F541" s="64">
        <f>9.7777 * CHOOSE(CONTROL!$C$22, $C$13, 100%, $E$13)</f>
        <v>9.7776999999999994</v>
      </c>
      <c r="G541" s="64">
        <f>9.7778 * CHOOSE(CONTROL!$C$22, $C$13, 100%, $E$13)</f>
        <v>9.7777999999999992</v>
      </c>
      <c r="H541" s="64">
        <f>16.8081* CHOOSE(CONTROL!$C$22, $C$13, 100%, $E$13)</f>
        <v>16.8081</v>
      </c>
      <c r="I541" s="64">
        <f>16.8083 * CHOOSE(CONTROL!$C$22, $C$13, 100%, $E$13)</f>
        <v>16.808299999999999</v>
      </c>
      <c r="J541" s="64">
        <f>9.7777 * CHOOSE(CONTROL!$C$22, $C$13, 100%, $E$13)</f>
        <v>9.7776999999999994</v>
      </c>
      <c r="K541" s="64">
        <f>9.7778 * CHOOSE(CONTROL!$C$22, $C$13, 100%, $E$13)</f>
        <v>9.7777999999999992</v>
      </c>
    </row>
    <row r="542" spans="1:11" ht="15">
      <c r="A542" s="13">
        <v>58135</v>
      </c>
      <c r="B542" s="63">
        <f>8.488 * CHOOSE(CONTROL!$C$22, $C$13, 100%, $E$13)</f>
        <v>8.4879999999999995</v>
      </c>
      <c r="C542" s="63">
        <f>8.488 * CHOOSE(CONTROL!$C$22, $C$13, 100%, $E$13)</f>
        <v>8.4879999999999995</v>
      </c>
      <c r="D542" s="63">
        <f>8.5057 * CHOOSE(CONTROL!$C$22, $C$13, 100%, $E$13)</f>
        <v>8.5056999999999992</v>
      </c>
      <c r="E542" s="64">
        <f>9.8608 * CHOOSE(CONTROL!$C$22, $C$13, 100%, $E$13)</f>
        <v>9.8607999999999993</v>
      </c>
      <c r="F542" s="64">
        <f>9.8608 * CHOOSE(CONTROL!$C$22, $C$13, 100%, $E$13)</f>
        <v>9.8607999999999993</v>
      </c>
      <c r="G542" s="64">
        <f>9.8609 * CHOOSE(CONTROL!$C$22, $C$13, 100%, $E$13)</f>
        <v>9.8609000000000009</v>
      </c>
      <c r="H542" s="64">
        <f>16.8431* CHOOSE(CONTROL!$C$22, $C$13, 100%, $E$13)</f>
        <v>16.8431</v>
      </c>
      <c r="I542" s="64">
        <f>16.8433 * CHOOSE(CONTROL!$C$22, $C$13, 100%, $E$13)</f>
        <v>16.843299999999999</v>
      </c>
      <c r="J542" s="64">
        <f>9.8608 * CHOOSE(CONTROL!$C$22, $C$13, 100%, $E$13)</f>
        <v>9.8607999999999993</v>
      </c>
      <c r="K542" s="64">
        <f>9.8609 * CHOOSE(CONTROL!$C$22, $C$13, 100%, $E$13)</f>
        <v>9.8609000000000009</v>
      </c>
    </row>
    <row r="543" spans="1:11" ht="15">
      <c r="A543" s="13">
        <v>58166</v>
      </c>
      <c r="B543" s="63">
        <f>8.4896 * CHOOSE(CONTROL!$C$22, $C$13, 100%, $E$13)</f>
        <v>8.4895999999999994</v>
      </c>
      <c r="C543" s="63">
        <f>8.4896 * CHOOSE(CONTROL!$C$22, $C$13, 100%, $E$13)</f>
        <v>8.4895999999999994</v>
      </c>
      <c r="D543" s="63">
        <f>8.5072 * CHOOSE(CONTROL!$C$22, $C$13, 100%, $E$13)</f>
        <v>8.5071999999999992</v>
      </c>
      <c r="E543" s="64">
        <f>9.948 * CHOOSE(CONTROL!$C$22, $C$13, 100%, $E$13)</f>
        <v>9.9480000000000004</v>
      </c>
      <c r="F543" s="64">
        <f>9.948 * CHOOSE(CONTROL!$C$22, $C$13, 100%, $E$13)</f>
        <v>9.9480000000000004</v>
      </c>
      <c r="G543" s="64">
        <f>9.9482 * CHOOSE(CONTROL!$C$22, $C$13, 100%, $E$13)</f>
        <v>9.9481999999999999</v>
      </c>
      <c r="H543" s="64">
        <f>16.8782* CHOOSE(CONTROL!$C$22, $C$13, 100%, $E$13)</f>
        <v>16.8782</v>
      </c>
      <c r="I543" s="64">
        <f>16.8784 * CHOOSE(CONTROL!$C$22, $C$13, 100%, $E$13)</f>
        <v>16.878399999999999</v>
      </c>
      <c r="J543" s="64">
        <f>9.948 * CHOOSE(CONTROL!$C$22, $C$13, 100%, $E$13)</f>
        <v>9.9480000000000004</v>
      </c>
      <c r="K543" s="64">
        <f>9.9482 * CHOOSE(CONTROL!$C$22, $C$13, 100%, $E$13)</f>
        <v>9.9481999999999999</v>
      </c>
    </row>
    <row r="544" spans="1:11" ht="15">
      <c r="A544" s="13">
        <v>58196</v>
      </c>
      <c r="B544" s="63">
        <f>8.4896 * CHOOSE(CONTROL!$C$22, $C$13, 100%, $E$13)</f>
        <v>8.4895999999999994</v>
      </c>
      <c r="C544" s="63">
        <f>8.4896 * CHOOSE(CONTROL!$C$22, $C$13, 100%, $E$13)</f>
        <v>8.4895999999999994</v>
      </c>
      <c r="D544" s="63">
        <f>8.5249 * CHOOSE(CONTROL!$C$22, $C$13, 100%, $E$13)</f>
        <v>8.5249000000000006</v>
      </c>
      <c r="E544" s="64">
        <f>9.9823 * CHOOSE(CONTROL!$C$22, $C$13, 100%, $E$13)</f>
        <v>9.9823000000000004</v>
      </c>
      <c r="F544" s="64">
        <f>9.9823 * CHOOSE(CONTROL!$C$22, $C$13, 100%, $E$13)</f>
        <v>9.9823000000000004</v>
      </c>
      <c r="G544" s="64">
        <f>9.9845 * CHOOSE(CONTROL!$C$22, $C$13, 100%, $E$13)</f>
        <v>9.9845000000000006</v>
      </c>
      <c r="H544" s="64">
        <f>16.9134* CHOOSE(CONTROL!$C$22, $C$13, 100%, $E$13)</f>
        <v>16.913399999999999</v>
      </c>
      <c r="I544" s="64">
        <f>16.9155 * CHOOSE(CONTROL!$C$22, $C$13, 100%, $E$13)</f>
        <v>16.915500000000002</v>
      </c>
      <c r="J544" s="64">
        <f>9.9823 * CHOOSE(CONTROL!$C$22, $C$13, 100%, $E$13)</f>
        <v>9.9823000000000004</v>
      </c>
      <c r="K544" s="64">
        <f>9.9845 * CHOOSE(CONTROL!$C$22, $C$13, 100%, $E$13)</f>
        <v>9.9845000000000006</v>
      </c>
    </row>
    <row r="545" spans="1:11" ht="15">
      <c r="A545" s="13">
        <v>58227</v>
      </c>
      <c r="B545" s="63">
        <f>8.4957 * CHOOSE(CONTROL!$C$22, $C$13, 100%, $E$13)</f>
        <v>8.4956999999999994</v>
      </c>
      <c r="C545" s="63">
        <f>8.4957 * CHOOSE(CONTROL!$C$22, $C$13, 100%, $E$13)</f>
        <v>8.4956999999999994</v>
      </c>
      <c r="D545" s="63">
        <f>8.531 * CHOOSE(CONTROL!$C$22, $C$13, 100%, $E$13)</f>
        <v>8.5310000000000006</v>
      </c>
      <c r="E545" s="64">
        <f>9.9523 * CHOOSE(CONTROL!$C$22, $C$13, 100%, $E$13)</f>
        <v>9.9522999999999993</v>
      </c>
      <c r="F545" s="64">
        <f>9.9523 * CHOOSE(CONTROL!$C$22, $C$13, 100%, $E$13)</f>
        <v>9.9522999999999993</v>
      </c>
      <c r="G545" s="64">
        <f>9.9544 * CHOOSE(CONTROL!$C$22, $C$13, 100%, $E$13)</f>
        <v>9.9543999999999997</v>
      </c>
      <c r="H545" s="64">
        <f>16.9486* CHOOSE(CONTROL!$C$22, $C$13, 100%, $E$13)</f>
        <v>16.948599999999999</v>
      </c>
      <c r="I545" s="64">
        <f>16.9508 * CHOOSE(CONTROL!$C$22, $C$13, 100%, $E$13)</f>
        <v>16.950800000000001</v>
      </c>
      <c r="J545" s="64">
        <f>9.9523 * CHOOSE(CONTROL!$C$22, $C$13, 100%, $E$13)</f>
        <v>9.9522999999999993</v>
      </c>
      <c r="K545" s="64">
        <f>9.9544 * CHOOSE(CONTROL!$C$22, $C$13, 100%, $E$13)</f>
        <v>9.9543999999999997</v>
      </c>
    </row>
    <row r="546" spans="1:11" ht="15">
      <c r="A546" s="13">
        <v>58257</v>
      </c>
      <c r="B546" s="63">
        <f>8.6328 * CHOOSE(CONTROL!$C$22, $C$13, 100%, $E$13)</f>
        <v>8.6327999999999996</v>
      </c>
      <c r="C546" s="63">
        <f>8.6328 * CHOOSE(CONTROL!$C$22, $C$13, 100%, $E$13)</f>
        <v>8.6327999999999996</v>
      </c>
      <c r="D546" s="63">
        <f>8.6681 * CHOOSE(CONTROL!$C$22, $C$13, 100%, $E$13)</f>
        <v>8.6681000000000008</v>
      </c>
      <c r="E546" s="64">
        <f>10.1458 * CHOOSE(CONTROL!$C$22, $C$13, 100%, $E$13)</f>
        <v>10.145799999999999</v>
      </c>
      <c r="F546" s="64">
        <f>10.1458 * CHOOSE(CONTROL!$C$22, $C$13, 100%, $E$13)</f>
        <v>10.145799999999999</v>
      </c>
      <c r="G546" s="64">
        <f>10.148 * CHOOSE(CONTROL!$C$22, $C$13, 100%, $E$13)</f>
        <v>10.148</v>
      </c>
      <c r="H546" s="64">
        <f>16.9839* CHOOSE(CONTROL!$C$22, $C$13, 100%, $E$13)</f>
        <v>16.983899999999998</v>
      </c>
      <c r="I546" s="64">
        <f>16.9861 * CHOOSE(CONTROL!$C$22, $C$13, 100%, $E$13)</f>
        <v>16.9861</v>
      </c>
      <c r="J546" s="64">
        <f>10.1458 * CHOOSE(CONTROL!$C$22, $C$13, 100%, $E$13)</f>
        <v>10.145799999999999</v>
      </c>
      <c r="K546" s="64">
        <f>10.148 * CHOOSE(CONTROL!$C$22, $C$13, 100%, $E$13)</f>
        <v>10.148</v>
      </c>
    </row>
    <row r="547" spans="1:11" ht="15">
      <c r="A547" s="13">
        <v>58288</v>
      </c>
      <c r="B547" s="63">
        <f>8.6395 * CHOOSE(CONTROL!$C$22, $C$13, 100%, $E$13)</f>
        <v>8.6395</v>
      </c>
      <c r="C547" s="63">
        <f>8.6395 * CHOOSE(CONTROL!$C$22, $C$13, 100%, $E$13)</f>
        <v>8.6395</v>
      </c>
      <c r="D547" s="63">
        <f>8.6748 * CHOOSE(CONTROL!$C$22, $C$13, 100%, $E$13)</f>
        <v>8.6747999999999994</v>
      </c>
      <c r="E547" s="64">
        <f>10.0475 * CHOOSE(CONTROL!$C$22, $C$13, 100%, $E$13)</f>
        <v>10.047499999999999</v>
      </c>
      <c r="F547" s="64">
        <f>10.0475 * CHOOSE(CONTROL!$C$22, $C$13, 100%, $E$13)</f>
        <v>10.047499999999999</v>
      </c>
      <c r="G547" s="64">
        <f>10.0497 * CHOOSE(CONTROL!$C$22, $C$13, 100%, $E$13)</f>
        <v>10.0497</v>
      </c>
      <c r="H547" s="64">
        <f>17.0193* CHOOSE(CONTROL!$C$22, $C$13, 100%, $E$13)</f>
        <v>17.019300000000001</v>
      </c>
      <c r="I547" s="64">
        <f>17.0215 * CHOOSE(CONTROL!$C$22, $C$13, 100%, $E$13)</f>
        <v>17.0215</v>
      </c>
      <c r="J547" s="64">
        <f>10.0475 * CHOOSE(CONTROL!$C$22, $C$13, 100%, $E$13)</f>
        <v>10.047499999999999</v>
      </c>
      <c r="K547" s="64">
        <f>10.0497 * CHOOSE(CONTROL!$C$22, $C$13, 100%, $E$13)</f>
        <v>10.0497</v>
      </c>
    </row>
    <row r="548" spans="1:11" ht="15">
      <c r="A548" s="13">
        <v>58319</v>
      </c>
      <c r="B548" s="63">
        <f>8.6364 * CHOOSE(CONTROL!$C$22, $C$13, 100%, $E$13)</f>
        <v>8.6364000000000001</v>
      </c>
      <c r="C548" s="63">
        <f>8.6364 * CHOOSE(CONTROL!$C$22, $C$13, 100%, $E$13)</f>
        <v>8.6364000000000001</v>
      </c>
      <c r="D548" s="63">
        <f>8.6717 * CHOOSE(CONTROL!$C$22, $C$13, 100%, $E$13)</f>
        <v>8.6716999999999995</v>
      </c>
      <c r="E548" s="64">
        <f>10.0339 * CHOOSE(CONTROL!$C$22, $C$13, 100%, $E$13)</f>
        <v>10.033899999999999</v>
      </c>
      <c r="F548" s="64">
        <f>10.0339 * CHOOSE(CONTROL!$C$22, $C$13, 100%, $E$13)</f>
        <v>10.033899999999999</v>
      </c>
      <c r="G548" s="64">
        <f>10.0361 * CHOOSE(CONTROL!$C$22, $C$13, 100%, $E$13)</f>
        <v>10.036099999999999</v>
      </c>
      <c r="H548" s="64">
        <f>17.0547* CHOOSE(CONTROL!$C$22, $C$13, 100%, $E$13)</f>
        <v>17.0547</v>
      </c>
      <c r="I548" s="64">
        <f>17.0569 * CHOOSE(CONTROL!$C$22, $C$13, 100%, $E$13)</f>
        <v>17.056899999999999</v>
      </c>
      <c r="J548" s="64">
        <f>10.0339 * CHOOSE(CONTROL!$C$22, $C$13, 100%, $E$13)</f>
        <v>10.033899999999999</v>
      </c>
      <c r="K548" s="64">
        <f>10.0361 * CHOOSE(CONTROL!$C$22, $C$13, 100%, $E$13)</f>
        <v>10.036099999999999</v>
      </c>
    </row>
    <row r="549" spans="1:11" ht="15">
      <c r="A549" s="13">
        <v>58349</v>
      </c>
      <c r="B549" s="63">
        <f>8.6471 * CHOOSE(CONTROL!$C$22, $C$13, 100%, $E$13)</f>
        <v>8.6471</v>
      </c>
      <c r="C549" s="63">
        <f>8.6471 * CHOOSE(CONTROL!$C$22, $C$13, 100%, $E$13)</f>
        <v>8.6471</v>
      </c>
      <c r="D549" s="63">
        <f>8.6647 * CHOOSE(CONTROL!$C$22, $C$13, 100%, $E$13)</f>
        <v>8.6646999999999998</v>
      </c>
      <c r="E549" s="64">
        <f>10.0663 * CHOOSE(CONTROL!$C$22, $C$13, 100%, $E$13)</f>
        <v>10.0663</v>
      </c>
      <c r="F549" s="64">
        <f>10.0663 * CHOOSE(CONTROL!$C$22, $C$13, 100%, $E$13)</f>
        <v>10.0663</v>
      </c>
      <c r="G549" s="64">
        <f>10.0665 * CHOOSE(CONTROL!$C$22, $C$13, 100%, $E$13)</f>
        <v>10.0665</v>
      </c>
      <c r="H549" s="64">
        <f>17.0903* CHOOSE(CONTROL!$C$22, $C$13, 100%, $E$13)</f>
        <v>17.090299999999999</v>
      </c>
      <c r="I549" s="64">
        <f>17.0904 * CHOOSE(CONTROL!$C$22, $C$13, 100%, $E$13)</f>
        <v>17.090399999999999</v>
      </c>
      <c r="J549" s="64">
        <f>10.0663 * CHOOSE(CONTROL!$C$22, $C$13, 100%, $E$13)</f>
        <v>10.0663</v>
      </c>
      <c r="K549" s="64">
        <f>10.0665 * CHOOSE(CONTROL!$C$22, $C$13, 100%, $E$13)</f>
        <v>10.0665</v>
      </c>
    </row>
    <row r="550" spans="1:11" ht="15">
      <c r="A550" s="13">
        <v>58380</v>
      </c>
      <c r="B550" s="63">
        <f>8.6501 * CHOOSE(CONTROL!$C$22, $C$13, 100%, $E$13)</f>
        <v>8.6501000000000001</v>
      </c>
      <c r="C550" s="63">
        <f>8.6501 * CHOOSE(CONTROL!$C$22, $C$13, 100%, $E$13)</f>
        <v>8.6501000000000001</v>
      </c>
      <c r="D550" s="63">
        <f>8.6678 * CHOOSE(CONTROL!$C$22, $C$13, 100%, $E$13)</f>
        <v>8.6677999999999997</v>
      </c>
      <c r="E550" s="64">
        <f>10.0913 * CHOOSE(CONTROL!$C$22, $C$13, 100%, $E$13)</f>
        <v>10.0913</v>
      </c>
      <c r="F550" s="64">
        <f>10.0913 * CHOOSE(CONTROL!$C$22, $C$13, 100%, $E$13)</f>
        <v>10.0913</v>
      </c>
      <c r="G550" s="64">
        <f>10.0914 * CHOOSE(CONTROL!$C$22, $C$13, 100%, $E$13)</f>
        <v>10.0914</v>
      </c>
      <c r="H550" s="64">
        <f>17.1259* CHOOSE(CONTROL!$C$22, $C$13, 100%, $E$13)</f>
        <v>17.125900000000001</v>
      </c>
      <c r="I550" s="64">
        <f>17.1261 * CHOOSE(CONTROL!$C$22, $C$13, 100%, $E$13)</f>
        <v>17.126100000000001</v>
      </c>
      <c r="J550" s="64">
        <f>10.0913 * CHOOSE(CONTROL!$C$22, $C$13, 100%, $E$13)</f>
        <v>10.0913</v>
      </c>
      <c r="K550" s="64">
        <f>10.0914 * CHOOSE(CONTROL!$C$22, $C$13, 100%, $E$13)</f>
        <v>10.0914</v>
      </c>
    </row>
    <row r="551" spans="1:11" ht="15">
      <c r="A551" s="13">
        <v>58410</v>
      </c>
      <c r="B551" s="63">
        <f>8.6501 * CHOOSE(CONTROL!$C$22, $C$13, 100%, $E$13)</f>
        <v>8.6501000000000001</v>
      </c>
      <c r="C551" s="63">
        <f>8.6501 * CHOOSE(CONTROL!$C$22, $C$13, 100%, $E$13)</f>
        <v>8.6501000000000001</v>
      </c>
      <c r="D551" s="63">
        <f>8.6678 * CHOOSE(CONTROL!$C$22, $C$13, 100%, $E$13)</f>
        <v>8.6677999999999997</v>
      </c>
      <c r="E551" s="64">
        <f>10.0341 * CHOOSE(CONTROL!$C$22, $C$13, 100%, $E$13)</f>
        <v>10.0341</v>
      </c>
      <c r="F551" s="64">
        <f>10.0341 * CHOOSE(CONTROL!$C$22, $C$13, 100%, $E$13)</f>
        <v>10.0341</v>
      </c>
      <c r="G551" s="64">
        <f>10.0343 * CHOOSE(CONTROL!$C$22, $C$13, 100%, $E$13)</f>
        <v>10.0343</v>
      </c>
      <c r="H551" s="64">
        <f>17.1616* CHOOSE(CONTROL!$C$22, $C$13, 100%, $E$13)</f>
        <v>17.1616</v>
      </c>
      <c r="I551" s="64">
        <f>17.1617 * CHOOSE(CONTROL!$C$22, $C$13, 100%, $E$13)</f>
        <v>17.1617</v>
      </c>
      <c r="J551" s="64">
        <f>10.0341 * CHOOSE(CONTROL!$C$22, $C$13, 100%, $E$13)</f>
        <v>10.0341</v>
      </c>
      <c r="K551" s="64">
        <f>10.0343 * CHOOSE(CONTROL!$C$22, $C$13, 100%, $E$13)</f>
        <v>10.0343</v>
      </c>
    </row>
    <row r="552" spans="1:11" ht="15">
      <c r="A552" s="13">
        <v>58441</v>
      </c>
      <c r="B552" s="63">
        <f>8.7264 * CHOOSE(CONTROL!$C$22, $C$13, 100%, $E$13)</f>
        <v>8.7263999999999999</v>
      </c>
      <c r="C552" s="63">
        <f>8.7264 * CHOOSE(CONTROL!$C$22, $C$13, 100%, $E$13)</f>
        <v>8.7263999999999999</v>
      </c>
      <c r="D552" s="63">
        <f>8.744 * CHOOSE(CONTROL!$C$22, $C$13, 100%, $E$13)</f>
        <v>8.7439999999999998</v>
      </c>
      <c r="E552" s="64">
        <f>10.1646 * CHOOSE(CONTROL!$C$22, $C$13, 100%, $E$13)</f>
        <v>10.1646</v>
      </c>
      <c r="F552" s="64">
        <f>10.1646 * CHOOSE(CONTROL!$C$22, $C$13, 100%, $E$13)</f>
        <v>10.1646</v>
      </c>
      <c r="G552" s="64">
        <f>10.1647 * CHOOSE(CONTROL!$C$22, $C$13, 100%, $E$13)</f>
        <v>10.1647</v>
      </c>
      <c r="H552" s="64">
        <f>17.1973* CHOOSE(CONTROL!$C$22, $C$13, 100%, $E$13)</f>
        <v>17.197299999999998</v>
      </c>
      <c r="I552" s="64">
        <f>17.1975 * CHOOSE(CONTROL!$C$22, $C$13, 100%, $E$13)</f>
        <v>17.197500000000002</v>
      </c>
      <c r="J552" s="64">
        <f>10.1646 * CHOOSE(CONTROL!$C$22, $C$13, 100%, $E$13)</f>
        <v>10.1646</v>
      </c>
      <c r="K552" s="64">
        <f>10.1647 * CHOOSE(CONTROL!$C$22, $C$13, 100%, $E$13)</f>
        <v>10.1647</v>
      </c>
    </row>
    <row r="553" spans="1:11" ht="15">
      <c r="A553" s="13">
        <v>58472</v>
      </c>
      <c r="B553" s="63">
        <f>8.7233 * CHOOSE(CONTROL!$C$22, $C$13, 100%, $E$13)</f>
        <v>8.7233000000000001</v>
      </c>
      <c r="C553" s="63">
        <f>8.7233 * CHOOSE(CONTROL!$C$22, $C$13, 100%, $E$13)</f>
        <v>8.7233000000000001</v>
      </c>
      <c r="D553" s="63">
        <f>8.741 * CHOOSE(CONTROL!$C$22, $C$13, 100%, $E$13)</f>
        <v>8.7409999999999997</v>
      </c>
      <c r="E553" s="64">
        <f>10.0513 * CHOOSE(CONTROL!$C$22, $C$13, 100%, $E$13)</f>
        <v>10.051299999999999</v>
      </c>
      <c r="F553" s="64">
        <f>10.0513 * CHOOSE(CONTROL!$C$22, $C$13, 100%, $E$13)</f>
        <v>10.051299999999999</v>
      </c>
      <c r="G553" s="64">
        <f>10.0515 * CHOOSE(CONTROL!$C$22, $C$13, 100%, $E$13)</f>
        <v>10.051500000000001</v>
      </c>
      <c r="H553" s="64">
        <f>17.2331* CHOOSE(CONTROL!$C$22, $C$13, 100%, $E$13)</f>
        <v>17.2331</v>
      </c>
      <c r="I553" s="64">
        <f>17.2333 * CHOOSE(CONTROL!$C$22, $C$13, 100%, $E$13)</f>
        <v>17.2333</v>
      </c>
      <c r="J553" s="64">
        <f>10.0513 * CHOOSE(CONTROL!$C$22, $C$13, 100%, $E$13)</f>
        <v>10.051299999999999</v>
      </c>
      <c r="K553" s="64">
        <f>10.0515 * CHOOSE(CONTROL!$C$22, $C$13, 100%, $E$13)</f>
        <v>10.051500000000001</v>
      </c>
    </row>
    <row r="554" spans="1:11" ht="15">
      <c r="A554" s="13">
        <v>58501</v>
      </c>
      <c r="B554" s="63">
        <f>8.7203 * CHOOSE(CONTROL!$C$22, $C$13, 100%, $E$13)</f>
        <v>8.7202999999999999</v>
      </c>
      <c r="C554" s="63">
        <f>8.7203 * CHOOSE(CONTROL!$C$22, $C$13, 100%, $E$13)</f>
        <v>8.7202999999999999</v>
      </c>
      <c r="D554" s="63">
        <f>8.738 * CHOOSE(CONTROL!$C$22, $C$13, 100%, $E$13)</f>
        <v>8.7379999999999995</v>
      </c>
      <c r="E554" s="64">
        <f>10.1368 * CHOOSE(CONTROL!$C$22, $C$13, 100%, $E$13)</f>
        <v>10.136799999999999</v>
      </c>
      <c r="F554" s="64">
        <f>10.1368 * CHOOSE(CONTROL!$C$22, $C$13, 100%, $E$13)</f>
        <v>10.136799999999999</v>
      </c>
      <c r="G554" s="64">
        <f>10.137 * CHOOSE(CONTROL!$C$22, $C$13, 100%, $E$13)</f>
        <v>10.137</v>
      </c>
      <c r="H554" s="64">
        <f>17.269* CHOOSE(CONTROL!$C$22, $C$13, 100%, $E$13)</f>
        <v>17.268999999999998</v>
      </c>
      <c r="I554" s="64">
        <f>17.2692 * CHOOSE(CONTROL!$C$22, $C$13, 100%, $E$13)</f>
        <v>17.269200000000001</v>
      </c>
      <c r="J554" s="64">
        <f>10.1368 * CHOOSE(CONTROL!$C$22, $C$13, 100%, $E$13)</f>
        <v>10.136799999999999</v>
      </c>
      <c r="K554" s="64">
        <f>10.137 * CHOOSE(CONTROL!$C$22, $C$13, 100%, $E$13)</f>
        <v>10.137</v>
      </c>
    </row>
    <row r="555" spans="1:11" ht="15">
      <c r="A555" s="13">
        <v>58532</v>
      </c>
      <c r="B555" s="63">
        <f>8.7221 * CHOOSE(CONTROL!$C$22, $C$13, 100%, $E$13)</f>
        <v>8.7220999999999993</v>
      </c>
      <c r="C555" s="63">
        <f>8.7221 * CHOOSE(CONTROL!$C$22, $C$13, 100%, $E$13)</f>
        <v>8.7220999999999993</v>
      </c>
      <c r="D555" s="63">
        <f>8.7397 * CHOOSE(CONTROL!$C$22, $C$13, 100%, $E$13)</f>
        <v>8.7396999999999991</v>
      </c>
      <c r="E555" s="64">
        <f>10.2266 * CHOOSE(CONTROL!$C$22, $C$13, 100%, $E$13)</f>
        <v>10.226599999999999</v>
      </c>
      <c r="F555" s="64">
        <f>10.2266 * CHOOSE(CONTROL!$C$22, $C$13, 100%, $E$13)</f>
        <v>10.226599999999999</v>
      </c>
      <c r="G555" s="64">
        <f>10.2268 * CHOOSE(CONTROL!$C$22, $C$13, 100%, $E$13)</f>
        <v>10.226800000000001</v>
      </c>
      <c r="H555" s="64">
        <f>17.305* CHOOSE(CONTROL!$C$22, $C$13, 100%, $E$13)</f>
        <v>17.305</v>
      </c>
      <c r="I555" s="64">
        <f>17.3052 * CHOOSE(CONTROL!$C$22, $C$13, 100%, $E$13)</f>
        <v>17.305199999999999</v>
      </c>
      <c r="J555" s="64">
        <f>10.2266 * CHOOSE(CONTROL!$C$22, $C$13, 100%, $E$13)</f>
        <v>10.226599999999999</v>
      </c>
      <c r="K555" s="64">
        <f>10.2268 * CHOOSE(CONTROL!$C$22, $C$13, 100%, $E$13)</f>
        <v>10.226800000000001</v>
      </c>
    </row>
    <row r="556" spans="1:11" ht="15">
      <c r="A556" s="13">
        <v>58562</v>
      </c>
      <c r="B556" s="63">
        <f>8.7221 * CHOOSE(CONTROL!$C$22, $C$13, 100%, $E$13)</f>
        <v>8.7220999999999993</v>
      </c>
      <c r="C556" s="63">
        <f>8.7221 * CHOOSE(CONTROL!$C$22, $C$13, 100%, $E$13)</f>
        <v>8.7220999999999993</v>
      </c>
      <c r="D556" s="63">
        <f>8.7574 * CHOOSE(CONTROL!$C$22, $C$13, 100%, $E$13)</f>
        <v>8.7574000000000005</v>
      </c>
      <c r="E556" s="64">
        <f>10.2619 * CHOOSE(CONTROL!$C$22, $C$13, 100%, $E$13)</f>
        <v>10.261900000000001</v>
      </c>
      <c r="F556" s="64">
        <f>10.2619 * CHOOSE(CONTROL!$C$22, $C$13, 100%, $E$13)</f>
        <v>10.261900000000001</v>
      </c>
      <c r="G556" s="64">
        <f>10.2641 * CHOOSE(CONTROL!$C$22, $C$13, 100%, $E$13)</f>
        <v>10.264099999999999</v>
      </c>
      <c r="H556" s="64">
        <f>17.3411* CHOOSE(CONTROL!$C$22, $C$13, 100%, $E$13)</f>
        <v>17.341100000000001</v>
      </c>
      <c r="I556" s="64">
        <f>17.3432 * CHOOSE(CONTROL!$C$22, $C$13, 100%, $E$13)</f>
        <v>17.3432</v>
      </c>
      <c r="J556" s="64">
        <f>10.2619 * CHOOSE(CONTROL!$C$22, $C$13, 100%, $E$13)</f>
        <v>10.261900000000001</v>
      </c>
      <c r="K556" s="64">
        <f>10.2641 * CHOOSE(CONTROL!$C$22, $C$13, 100%, $E$13)</f>
        <v>10.264099999999999</v>
      </c>
    </row>
    <row r="557" spans="1:11" ht="15">
      <c r="A557" s="13">
        <v>58593</v>
      </c>
      <c r="B557" s="63">
        <f>8.7282 * CHOOSE(CONTROL!$C$22, $C$13, 100%, $E$13)</f>
        <v>8.7281999999999993</v>
      </c>
      <c r="C557" s="63">
        <f>8.7282 * CHOOSE(CONTROL!$C$22, $C$13, 100%, $E$13)</f>
        <v>8.7281999999999993</v>
      </c>
      <c r="D557" s="63">
        <f>8.7635 * CHOOSE(CONTROL!$C$22, $C$13, 100%, $E$13)</f>
        <v>8.7635000000000005</v>
      </c>
      <c r="E557" s="64">
        <f>10.2309 * CHOOSE(CONTROL!$C$22, $C$13, 100%, $E$13)</f>
        <v>10.2309</v>
      </c>
      <c r="F557" s="64">
        <f>10.2309 * CHOOSE(CONTROL!$C$22, $C$13, 100%, $E$13)</f>
        <v>10.2309</v>
      </c>
      <c r="G557" s="64">
        <f>10.2331 * CHOOSE(CONTROL!$C$22, $C$13, 100%, $E$13)</f>
        <v>10.2331</v>
      </c>
      <c r="H557" s="64">
        <f>17.3772* CHOOSE(CONTROL!$C$22, $C$13, 100%, $E$13)</f>
        <v>17.377199999999998</v>
      </c>
      <c r="I557" s="64">
        <f>17.3794 * CHOOSE(CONTROL!$C$22, $C$13, 100%, $E$13)</f>
        <v>17.3794</v>
      </c>
      <c r="J557" s="64">
        <f>10.2309 * CHOOSE(CONTROL!$C$22, $C$13, 100%, $E$13)</f>
        <v>10.2309</v>
      </c>
      <c r="K557" s="64">
        <f>10.2331 * CHOOSE(CONTROL!$C$22, $C$13, 100%, $E$13)</f>
        <v>10.2331</v>
      </c>
    </row>
    <row r="558" spans="1:11" ht="15">
      <c r="A558" s="13">
        <v>58623</v>
      </c>
      <c r="B558" s="63">
        <f>8.8688 * CHOOSE(CONTROL!$C$22, $C$13, 100%, $E$13)</f>
        <v>8.8688000000000002</v>
      </c>
      <c r="C558" s="63">
        <f>8.8688 * CHOOSE(CONTROL!$C$22, $C$13, 100%, $E$13)</f>
        <v>8.8688000000000002</v>
      </c>
      <c r="D558" s="63">
        <f>8.9041 * CHOOSE(CONTROL!$C$22, $C$13, 100%, $E$13)</f>
        <v>8.9040999999999997</v>
      </c>
      <c r="E558" s="64">
        <f>10.4296 * CHOOSE(CONTROL!$C$22, $C$13, 100%, $E$13)</f>
        <v>10.429600000000001</v>
      </c>
      <c r="F558" s="64">
        <f>10.4296 * CHOOSE(CONTROL!$C$22, $C$13, 100%, $E$13)</f>
        <v>10.429600000000001</v>
      </c>
      <c r="G558" s="64">
        <f>10.4317 * CHOOSE(CONTROL!$C$22, $C$13, 100%, $E$13)</f>
        <v>10.431699999999999</v>
      </c>
      <c r="H558" s="64">
        <f>17.4134* CHOOSE(CONTROL!$C$22, $C$13, 100%, $E$13)</f>
        <v>17.413399999999999</v>
      </c>
      <c r="I558" s="64">
        <f>17.4156 * CHOOSE(CONTROL!$C$22, $C$13, 100%, $E$13)</f>
        <v>17.415600000000001</v>
      </c>
      <c r="J558" s="64">
        <f>10.4296 * CHOOSE(CONTROL!$C$22, $C$13, 100%, $E$13)</f>
        <v>10.429600000000001</v>
      </c>
      <c r="K558" s="64">
        <f>10.4317 * CHOOSE(CONTROL!$C$22, $C$13, 100%, $E$13)</f>
        <v>10.431699999999999</v>
      </c>
    </row>
    <row r="559" spans="1:11" ht="15">
      <c r="A559" s="13">
        <v>58654</v>
      </c>
      <c r="B559" s="63">
        <f>8.8755 * CHOOSE(CONTROL!$C$22, $C$13, 100%, $E$13)</f>
        <v>8.8755000000000006</v>
      </c>
      <c r="C559" s="63">
        <f>8.8755 * CHOOSE(CONTROL!$C$22, $C$13, 100%, $E$13)</f>
        <v>8.8755000000000006</v>
      </c>
      <c r="D559" s="63">
        <f>8.9108 * CHOOSE(CONTROL!$C$22, $C$13, 100%, $E$13)</f>
        <v>8.9108000000000001</v>
      </c>
      <c r="E559" s="64">
        <f>10.3284 * CHOOSE(CONTROL!$C$22, $C$13, 100%, $E$13)</f>
        <v>10.3284</v>
      </c>
      <c r="F559" s="64">
        <f>10.3284 * CHOOSE(CONTROL!$C$22, $C$13, 100%, $E$13)</f>
        <v>10.3284</v>
      </c>
      <c r="G559" s="64">
        <f>10.3306 * CHOOSE(CONTROL!$C$22, $C$13, 100%, $E$13)</f>
        <v>10.3306</v>
      </c>
      <c r="H559" s="64">
        <f>17.4497* CHOOSE(CONTROL!$C$22, $C$13, 100%, $E$13)</f>
        <v>17.4497</v>
      </c>
      <c r="I559" s="64">
        <f>17.4519 * CHOOSE(CONTROL!$C$22, $C$13, 100%, $E$13)</f>
        <v>17.451899999999998</v>
      </c>
      <c r="J559" s="64">
        <f>10.3284 * CHOOSE(CONTROL!$C$22, $C$13, 100%, $E$13)</f>
        <v>10.3284</v>
      </c>
      <c r="K559" s="64">
        <f>10.3306 * CHOOSE(CONTROL!$C$22, $C$13, 100%, $E$13)</f>
        <v>10.3306</v>
      </c>
    </row>
    <row r="560" spans="1:11" ht="15">
      <c r="A560" s="13">
        <v>58685</v>
      </c>
      <c r="B560" s="63">
        <f>8.8724 * CHOOSE(CONTROL!$C$22, $C$13, 100%, $E$13)</f>
        <v>8.8724000000000007</v>
      </c>
      <c r="C560" s="63">
        <f>8.8724 * CHOOSE(CONTROL!$C$22, $C$13, 100%, $E$13)</f>
        <v>8.8724000000000007</v>
      </c>
      <c r="D560" s="63">
        <f>8.9077 * CHOOSE(CONTROL!$C$22, $C$13, 100%, $E$13)</f>
        <v>8.9077000000000002</v>
      </c>
      <c r="E560" s="64">
        <f>10.3145 * CHOOSE(CONTROL!$C$22, $C$13, 100%, $E$13)</f>
        <v>10.314500000000001</v>
      </c>
      <c r="F560" s="64">
        <f>10.3145 * CHOOSE(CONTROL!$C$22, $C$13, 100%, $E$13)</f>
        <v>10.314500000000001</v>
      </c>
      <c r="G560" s="64">
        <f>10.3167 * CHOOSE(CONTROL!$C$22, $C$13, 100%, $E$13)</f>
        <v>10.316700000000001</v>
      </c>
      <c r="H560" s="64">
        <f>17.486* CHOOSE(CONTROL!$C$22, $C$13, 100%, $E$13)</f>
        <v>17.486000000000001</v>
      </c>
      <c r="I560" s="64">
        <f>17.4882 * CHOOSE(CONTROL!$C$22, $C$13, 100%, $E$13)</f>
        <v>17.488199999999999</v>
      </c>
      <c r="J560" s="64">
        <f>10.3145 * CHOOSE(CONTROL!$C$22, $C$13, 100%, $E$13)</f>
        <v>10.314500000000001</v>
      </c>
      <c r="K560" s="64">
        <f>10.3167 * CHOOSE(CONTROL!$C$22, $C$13, 100%, $E$13)</f>
        <v>10.316700000000001</v>
      </c>
    </row>
    <row r="561" spans="1:11" ht="15">
      <c r="A561" s="13">
        <v>58715</v>
      </c>
      <c r="B561" s="63">
        <f>8.8838 * CHOOSE(CONTROL!$C$22, $C$13, 100%, $E$13)</f>
        <v>8.8838000000000008</v>
      </c>
      <c r="C561" s="63">
        <f>8.8838 * CHOOSE(CONTROL!$C$22, $C$13, 100%, $E$13)</f>
        <v>8.8838000000000008</v>
      </c>
      <c r="D561" s="63">
        <f>8.9015 * CHOOSE(CONTROL!$C$22, $C$13, 100%, $E$13)</f>
        <v>8.9015000000000004</v>
      </c>
      <c r="E561" s="64">
        <f>10.3481 * CHOOSE(CONTROL!$C$22, $C$13, 100%, $E$13)</f>
        <v>10.348100000000001</v>
      </c>
      <c r="F561" s="64">
        <f>10.3481 * CHOOSE(CONTROL!$C$22, $C$13, 100%, $E$13)</f>
        <v>10.348100000000001</v>
      </c>
      <c r="G561" s="64">
        <f>10.3483 * CHOOSE(CONTROL!$C$22, $C$13, 100%, $E$13)</f>
        <v>10.3483</v>
      </c>
      <c r="H561" s="64">
        <f>17.5225* CHOOSE(CONTROL!$C$22, $C$13, 100%, $E$13)</f>
        <v>17.522500000000001</v>
      </c>
      <c r="I561" s="64">
        <f>17.5226 * CHOOSE(CONTROL!$C$22, $C$13, 100%, $E$13)</f>
        <v>17.522600000000001</v>
      </c>
      <c r="J561" s="64">
        <f>10.3481 * CHOOSE(CONTROL!$C$22, $C$13, 100%, $E$13)</f>
        <v>10.348100000000001</v>
      </c>
      <c r="K561" s="64">
        <f>10.3483 * CHOOSE(CONTROL!$C$22, $C$13, 100%, $E$13)</f>
        <v>10.3483</v>
      </c>
    </row>
    <row r="562" spans="1:11" ht="15">
      <c r="A562" s="13">
        <v>58746</v>
      </c>
      <c r="B562" s="63">
        <f>8.8868 * CHOOSE(CONTROL!$C$22, $C$13, 100%, $E$13)</f>
        <v>8.8867999999999991</v>
      </c>
      <c r="C562" s="63">
        <f>8.8868 * CHOOSE(CONTROL!$C$22, $C$13, 100%, $E$13)</f>
        <v>8.8867999999999991</v>
      </c>
      <c r="D562" s="63">
        <f>8.9045 * CHOOSE(CONTROL!$C$22, $C$13, 100%, $E$13)</f>
        <v>8.9045000000000005</v>
      </c>
      <c r="E562" s="64">
        <f>10.3738 * CHOOSE(CONTROL!$C$22, $C$13, 100%, $E$13)</f>
        <v>10.373799999999999</v>
      </c>
      <c r="F562" s="64">
        <f>10.3738 * CHOOSE(CONTROL!$C$22, $C$13, 100%, $E$13)</f>
        <v>10.373799999999999</v>
      </c>
      <c r="G562" s="64">
        <f>10.3739 * CHOOSE(CONTROL!$C$22, $C$13, 100%, $E$13)</f>
        <v>10.373900000000001</v>
      </c>
      <c r="H562" s="64">
        <f>17.559* CHOOSE(CONTROL!$C$22, $C$13, 100%, $E$13)</f>
        <v>17.559000000000001</v>
      </c>
      <c r="I562" s="64">
        <f>17.5591 * CHOOSE(CONTROL!$C$22, $C$13, 100%, $E$13)</f>
        <v>17.559100000000001</v>
      </c>
      <c r="J562" s="64">
        <f>10.3738 * CHOOSE(CONTROL!$C$22, $C$13, 100%, $E$13)</f>
        <v>10.373799999999999</v>
      </c>
      <c r="K562" s="64">
        <f>10.3739 * CHOOSE(CONTROL!$C$22, $C$13, 100%, $E$13)</f>
        <v>10.373900000000001</v>
      </c>
    </row>
    <row r="563" spans="1:11" ht="15">
      <c r="A563" s="13">
        <v>58776</v>
      </c>
      <c r="B563" s="63">
        <f>8.8868 * CHOOSE(CONTROL!$C$22, $C$13, 100%, $E$13)</f>
        <v>8.8867999999999991</v>
      </c>
      <c r="C563" s="63">
        <f>8.8868 * CHOOSE(CONTROL!$C$22, $C$13, 100%, $E$13)</f>
        <v>8.8867999999999991</v>
      </c>
      <c r="D563" s="63">
        <f>8.9045 * CHOOSE(CONTROL!$C$22, $C$13, 100%, $E$13)</f>
        <v>8.9045000000000005</v>
      </c>
      <c r="E563" s="64">
        <f>10.315 * CHOOSE(CONTROL!$C$22, $C$13, 100%, $E$13)</f>
        <v>10.315</v>
      </c>
      <c r="F563" s="64">
        <f>10.315 * CHOOSE(CONTROL!$C$22, $C$13, 100%, $E$13)</f>
        <v>10.315</v>
      </c>
      <c r="G563" s="64">
        <f>10.3151 * CHOOSE(CONTROL!$C$22, $C$13, 100%, $E$13)</f>
        <v>10.315099999999999</v>
      </c>
      <c r="H563" s="64">
        <f>17.5955* CHOOSE(CONTROL!$C$22, $C$13, 100%, $E$13)</f>
        <v>17.595500000000001</v>
      </c>
      <c r="I563" s="64">
        <f>17.5957 * CHOOSE(CONTROL!$C$22, $C$13, 100%, $E$13)</f>
        <v>17.595700000000001</v>
      </c>
      <c r="J563" s="64">
        <f>10.315 * CHOOSE(CONTROL!$C$22, $C$13, 100%, $E$13)</f>
        <v>10.315</v>
      </c>
      <c r="K563" s="64">
        <f>10.3151 * CHOOSE(CONTROL!$C$22, $C$13, 100%, $E$13)</f>
        <v>10.315099999999999</v>
      </c>
    </row>
    <row r="564" spans="1:11" ht="15">
      <c r="A564" s="13">
        <v>58807</v>
      </c>
      <c r="B564" s="63">
        <f>8.9651 * CHOOSE(CONTROL!$C$22, $C$13, 100%, $E$13)</f>
        <v>8.9650999999999996</v>
      </c>
      <c r="C564" s="63">
        <f>8.9651 * CHOOSE(CONTROL!$C$22, $C$13, 100%, $E$13)</f>
        <v>8.9650999999999996</v>
      </c>
      <c r="D564" s="63">
        <f>8.9828 * CHOOSE(CONTROL!$C$22, $C$13, 100%, $E$13)</f>
        <v>8.9827999999999992</v>
      </c>
      <c r="E564" s="64">
        <f>10.449 * CHOOSE(CONTROL!$C$22, $C$13, 100%, $E$13)</f>
        <v>10.449</v>
      </c>
      <c r="F564" s="64">
        <f>10.449 * CHOOSE(CONTROL!$C$22, $C$13, 100%, $E$13)</f>
        <v>10.449</v>
      </c>
      <c r="G564" s="64">
        <f>10.4492 * CHOOSE(CONTROL!$C$22, $C$13, 100%, $E$13)</f>
        <v>10.449199999999999</v>
      </c>
      <c r="H564" s="64">
        <f>17.6322* CHOOSE(CONTROL!$C$22, $C$13, 100%, $E$13)</f>
        <v>17.632200000000001</v>
      </c>
      <c r="I564" s="64">
        <f>17.6324 * CHOOSE(CONTROL!$C$22, $C$13, 100%, $E$13)</f>
        <v>17.632400000000001</v>
      </c>
      <c r="J564" s="64">
        <f>10.449 * CHOOSE(CONTROL!$C$22, $C$13, 100%, $E$13)</f>
        <v>10.449</v>
      </c>
      <c r="K564" s="64">
        <f>10.4492 * CHOOSE(CONTROL!$C$22, $C$13, 100%, $E$13)</f>
        <v>10.449199999999999</v>
      </c>
    </row>
    <row r="565" spans="1:11" ht="15">
      <c r="A565" s="13">
        <v>58838</v>
      </c>
      <c r="B565" s="63">
        <f>8.9621 * CHOOSE(CONTROL!$C$22, $C$13, 100%, $E$13)</f>
        <v>8.9620999999999995</v>
      </c>
      <c r="C565" s="63">
        <f>8.9621 * CHOOSE(CONTROL!$C$22, $C$13, 100%, $E$13)</f>
        <v>8.9620999999999995</v>
      </c>
      <c r="D565" s="63">
        <f>8.9797 * CHOOSE(CONTROL!$C$22, $C$13, 100%, $E$13)</f>
        <v>8.9796999999999993</v>
      </c>
      <c r="E565" s="64">
        <f>10.3327 * CHOOSE(CONTROL!$C$22, $C$13, 100%, $E$13)</f>
        <v>10.332700000000001</v>
      </c>
      <c r="F565" s="64">
        <f>10.3327 * CHOOSE(CONTROL!$C$22, $C$13, 100%, $E$13)</f>
        <v>10.332700000000001</v>
      </c>
      <c r="G565" s="64">
        <f>10.3328 * CHOOSE(CONTROL!$C$22, $C$13, 100%, $E$13)</f>
        <v>10.332800000000001</v>
      </c>
      <c r="H565" s="64">
        <f>17.6689* CHOOSE(CONTROL!$C$22, $C$13, 100%, $E$13)</f>
        <v>17.668900000000001</v>
      </c>
      <c r="I565" s="64">
        <f>17.6691 * CHOOSE(CONTROL!$C$22, $C$13, 100%, $E$13)</f>
        <v>17.6691</v>
      </c>
      <c r="J565" s="64">
        <f>10.3327 * CHOOSE(CONTROL!$C$22, $C$13, 100%, $E$13)</f>
        <v>10.332700000000001</v>
      </c>
      <c r="K565" s="64">
        <f>10.3328 * CHOOSE(CONTROL!$C$22, $C$13, 100%, $E$13)</f>
        <v>10.332800000000001</v>
      </c>
    </row>
    <row r="566" spans="1:11" ht="15">
      <c r="A566" s="13">
        <v>58866</v>
      </c>
      <c r="B566" s="63">
        <f>8.959 * CHOOSE(CONTROL!$C$22, $C$13, 100%, $E$13)</f>
        <v>8.9589999999999996</v>
      </c>
      <c r="C566" s="63">
        <f>8.959 * CHOOSE(CONTROL!$C$22, $C$13, 100%, $E$13)</f>
        <v>8.9589999999999996</v>
      </c>
      <c r="D566" s="63">
        <f>8.9767 * CHOOSE(CONTROL!$C$22, $C$13, 100%, $E$13)</f>
        <v>8.9766999999999992</v>
      </c>
      <c r="E566" s="64">
        <f>10.4206 * CHOOSE(CONTROL!$C$22, $C$13, 100%, $E$13)</f>
        <v>10.4206</v>
      </c>
      <c r="F566" s="64">
        <f>10.4206 * CHOOSE(CONTROL!$C$22, $C$13, 100%, $E$13)</f>
        <v>10.4206</v>
      </c>
      <c r="G566" s="64">
        <f>10.4208 * CHOOSE(CONTROL!$C$22, $C$13, 100%, $E$13)</f>
        <v>10.4208</v>
      </c>
      <c r="H566" s="64">
        <f>17.7057* CHOOSE(CONTROL!$C$22, $C$13, 100%, $E$13)</f>
        <v>17.7057</v>
      </c>
      <c r="I566" s="64">
        <f>17.7059 * CHOOSE(CONTROL!$C$22, $C$13, 100%, $E$13)</f>
        <v>17.7059</v>
      </c>
      <c r="J566" s="64">
        <f>10.4206 * CHOOSE(CONTROL!$C$22, $C$13, 100%, $E$13)</f>
        <v>10.4206</v>
      </c>
      <c r="K566" s="64">
        <f>10.4208 * CHOOSE(CONTROL!$C$22, $C$13, 100%, $E$13)</f>
        <v>10.4208</v>
      </c>
    </row>
    <row r="567" spans="1:11" ht="15">
      <c r="A567" s="13">
        <v>58897</v>
      </c>
      <c r="B567" s="63">
        <f>8.961 * CHOOSE(CONTROL!$C$22, $C$13, 100%, $E$13)</f>
        <v>8.9610000000000003</v>
      </c>
      <c r="C567" s="63">
        <f>8.961 * CHOOSE(CONTROL!$C$22, $C$13, 100%, $E$13)</f>
        <v>8.9610000000000003</v>
      </c>
      <c r="D567" s="63">
        <f>8.9787 * CHOOSE(CONTROL!$C$22, $C$13, 100%, $E$13)</f>
        <v>8.9786999999999999</v>
      </c>
      <c r="E567" s="64">
        <f>10.5131 * CHOOSE(CONTROL!$C$22, $C$13, 100%, $E$13)</f>
        <v>10.5131</v>
      </c>
      <c r="F567" s="64">
        <f>10.5131 * CHOOSE(CONTROL!$C$22, $C$13, 100%, $E$13)</f>
        <v>10.5131</v>
      </c>
      <c r="G567" s="64">
        <f>10.5133 * CHOOSE(CONTROL!$C$22, $C$13, 100%, $E$13)</f>
        <v>10.513299999999999</v>
      </c>
      <c r="H567" s="64">
        <f>17.7426* CHOOSE(CONTROL!$C$22, $C$13, 100%, $E$13)</f>
        <v>17.742599999999999</v>
      </c>
      <c r="I567" s="64">
        <f>17.7428 * CHOOSE(CONTROL!$C$22, $C$13, 100%, $E$13)</f>
        <v>17.742799999999999</v>
      </c>
      <c r="J567" s="64">
        <f>10.5131 * CHOOSE(CONTROL!$C$22, $C$13, 100%, $E$13)</f>
        <v>10.5131</v>
      </c>
      <c r="K567" s="64">
        <f>10.5133 * CHOOSE(CONTROL!$C$22, $C$13, 100%, $E$13)</f>
        <v>10.513299999999999</v>
      </c>
    </row>
    <row r="568" spans="1:11" ht="15">
      <c r="A568" s="13">
        <v>58927</v>
      </c>
      <c r="B568" s="63">
        <f>8.961 * CHOOSE(CONTROL!$C$22, $C$13, 100%, $E$13)</f>
        <v>8.9610000000000003</v>
      </c>
      <c r="C568" s="63">
        <f>8.961 * CHOOSE(CONTROL!$C$22, $C$13, 100%, $E$13)</f>
        <v>8.9610000000000003</v>
      </c>
      <c r="D568" s="63">
        <f>8.9963 * CHOOSE(CONTROL!$C$22, $C$13, 100%, $E$13)</f>
        <v>8.9962999999999997</v>
      </c>
      <c r="E568" s="64">
        <f>10.5493 * CHOOSE(CONTROL!$C$22, $C$13, 100%, $E$13)</f>
        <v>10.549300000000001</v>
      </c>
      <c r="F568" s="64">
        <f>10.5493 * CHOOSE(CONTROL!$C$22, $C$13, 100%, $E$13)</f>
        <v>10.549300000000001</v>
      </c>
      <c r="G568" s="64">
        <f>10.5515 * CHOOSE(CONTROL!$C$22, $C$13, 100%, $E$13)</f>
        <v>10.551500000000001</v>
      </c>
      <c r="H568" s="64">
        <f>17.7796* CHOOSE(CONTROL!$C$22, $C$13, 100%, $E$13)</f>
        <v>17.779599999999999</v>
      </c>
      <c r="I568" s="64">
        <f>17.7818 * CHOOSE(CONTROL!$C$22, $C$13, 100%, $E$13)</f>
        <v>17.7818</v>
      </c>
      <c r="J568" s="64">
        <f>10.5493 * CHOOSE(CONTROL!$C$22, $C$13, 100%, $E$13)</f>
        <v>10.549300000000001</v>
      </c>
      <c r="K568" s="64">
        <f>10.5515 * CHOOSE(CONTROL!$C$22, $C$13, 100%, $E$13)</f>
        <v>10.551500000000001</v>
      </c>
    </row>
    <row r="569" spans="1:11" ht="15">
      <c r="A569" s="13">
        <v>58958</v>
      </c>
      <c r="B569" s="63">
        <f>8.9671 * CHOOSE(CONTROL!$C$22, $C$13, 100%, $E$13)</f>
        <v>8.9671000000000003</v>
      </c>
      <c r="C569" s="63">
        <f>8.9671 * CHOOSE(CONTROL!$C$22, $C$13, 100%, $E$13)</f>
        <v>8.9671000000000003</v>
      </c>
      <c r="D569" s="63">
        <f>9.0024 * CHOOSE(CONTROL!$C$22, $C$13, 100%, $E$13)</f>
        <v>9.0023999999999997</v>
      </c>
      <c r="E569" s="64">
        <f>10.5173 * CHOOSE(CONTROL!$C$22, $C$13, 100%, $E$13)</f>
        <v>10.517300000000001</v>
      </c>
      <c r="F569" s="64">
        <f>10.5173 * CHOOSE(CONTROL!$C$22, $C$13, 100%, $E$13)</f>
        <v>10.517300000000001</v>
      </c>
      <c r="G569" s="64">
        <f>10.5195 * CHOOSE(CONTROL!$C$22, $C$13, 100%, $E$13)</f>
        <v>10.519500000000001</v>
      </c>
      <c r="H569" s="64">
        <f>17.8166* CHOOSE(CONTROL!$C$22, $C$13, 100%, $E$13)</f>
        <v>17.816600000000001</v>
      </c>
      <c r="I569" s="64">
        <f>17.8188 * CHOOSE(CONTROL!$C$22, $C$13, 100%, $E$13)</f>
        <v>17.8188</v>
      </c>
      <c r="J569" s="64">
        <f>10.5173 * CHOOSE(CONTROL!$C$22, $C$13, 100%, $E$13)</f>
        <v>10.517300000000001</v>
      </c>
      <c r="K569" s="64">
        <f>10.5195 * CHOOSE(CONTROL!$C$22, $C$13, 100%, $E$13)</f>
        <v>10.519500000000001</v>
      </c>
    </row>
    <row r="570" spans="1:11" ht="15">
      <c r="A570" s="13">
        <v>58988</v>
      </c>
      <c r="B570" s="63">
        <f>9.1113 * CHOOSE(CONTROL!$C$22, $C$13, 100%, $E$13)</f>
        <v>9.1113</v>
      </c>
      <c r="C570" s="63">
        <f>9.1113 * CHOOSE(CONTROL!$C$22, $C$13, 100%, $E$13)</f>
        <v>9.1113</v>
      </c>
      <c r="D570" s="63">
        <f>9.1466 * CHOOSE(CONTROL!$C$22, $C$13, 100%, $E$13)</f>
        <v>9.1465999999999994</v>
      </c>
      <c r="E570" s="64">
        <f>10.7213 * CHOOSE(CONTROL!$C$22, $C$13, 100%, $E$13)</f>
        <v>10.721299999999999</v>
      </c>
      <c r="F570" s="64">
        <f>10.7213 * CHOOSE(CONTROL!$C$22, $C$13, 100%, $E$13)</f>
        <v>10.721299999999999</v>
      </c>
      <c r="G570" s="64">
        <f>10.7235 * CHOOSE(CONTROL!$C$22, $C$13, 100%, $E$13)</f>
        <v>10.7235</v>
      </c>
      <c r="H570" s="64">
        <f>17.8538* CHOOSE(CONTROL!$C$22, $C$13, 100%, $E$13)</f>
        <v>17.8538</v>
      </c>
      <c r="I570" s="64">
        <f>17.8559 * CHOOSE(CONTROL!$C$22, $C$13, 100%, $E$13)</f>
        <v>17.855899999999998</v>
      </c>
      <c r="J570" s="64">
        <f>10.7213 * CHOOSE(CONTROL!$C$22, $C$13, 100%, $E$13)</f>
        <v>10.721299999999999</v>
      </c>
      <c r="K570" s="64">
        <f>10.7235 * CHOOSE(CONTROL!$C$22, $C$13, 100%, $E$13)</f>
        <v>10.7235</v>
      </c>
    </row>
    <row r="571" spans="1:11" ht="15">
      <c r="A571" s="13">
        <v>59019</v>
      </c>
      <c r="B571" s="63">
        <f>9.118 * CHOOSE(CONTROL!$C$22, $C$13, 100%, $E$13)</f>
        <v>9.1180000000000003</v>
      </c>
      <c r="C571" s="63">
        <f>9.118 * CHOOSE(CONTROL!$C$22, $C$13, 100%, $E$13)</f>
        <v>9.1180000000000003</v>
      </c>
      <c r="D571" s="63">
        <f>9.1533 * CHOOSE(CONTROL!$C$22, $C$13, 100%, $E$13)</f>
        <v>9.1532999999999998</v>
      </c>
      <c r="E571" s="64">
        <f>10.6171 * CHOOSE(CONTROL!$C$22, $C$13, 100%, $E$13)</f>
        <v>10.617100000000001</v>
      </c>
      <c r="F571" s="64">
        <f>10.6171 * CHOOSE(CONTROL!$C$22, $C$13, 100%, $E$13)</f>
        <v>10.617100000000001</v>
      </c>
      <c r="G571" s="64">
        <f>10.6193 * CHOOSE(CONTROL!$C$22, $C$13, 100%, $E$13)</f>
        <v>10.619300000000001</v>
      </c>
      <c r="H571" s="64">
        <f>17.8909* CHOOSE(CONTROL!$C$22, $C$13, 100%, $E$13)</f>
        <v>17.890899999999998</v>
      </c>
      <c r="I571" s="64">
        <f>17.8931 * CHOOSE(CONTROL!$C$22, $C$13, 100%, $E$13)</f>
        <v>17.8931</v>
      </c>
      <c r="J571" s="64">
        <f>10.6171 * CHOOSE(CONTROL!$C$22, $C$13, 100%, $E$13)</f>
        <v>10.617100000000001</v>
      </c>
      <c r="K571" s="64">
        <f>10.6193 * CHOOSE(CONTROL!$C$22, $C$13, 100%, $E$13)</f>
        <v>10.619300000000001</v>
      </c>
    </row>
    <row r="572" spans="1:11" ht="15">
      <c r="A572" s="13">
        <v>59050</v>
      </c>
      <c r="B572" s="63">
        <f>9.1149 * CHOOSE(CONTROL!$C$22, $C$13, 100%, $E$13)</f>
        <v>9.1149000000000004</v>
      </c>
      <c r="C572" s="63">
        <f>9.1149 * CHOOSE(CONTROL!$C$22, $C$13, 100%, $E$13)</f>
        <v>9.1149000000000004</v>
      </c>
      <c r="D572" s="63">
        <f>9.1502 * CHOOSE(CONTROL!$C$22, $C$13, 100%, $E$13)</f>
        <v>9.1501999999999999</v>
      </c>
      <c r="E572" s="64">
        <f>10.6029 * CHOOSE(CONTROL!$C$22, $C$13, 100%, $E$13)</f>
        <v>10.6029</v>
      </c>
      <c r="F572" s="64">
        <f>10.6029 * CHOOSE(CONTROL!$C$22, $C$13, 100%, $E$13)</f>
        <v>10.6029</v>
      </c>
      <c r="G572" s="64">
        <f>10.6051 * CHOOSE(CONTROL!$C$22, $C$13, 100%, $E$13)</f>
        <v>10.6051</v>
      </c>
      <c r="H572" s="64">
        <f>17.9282* CHOOSE(CONTROL!$C$22, $C$13, 100%, $E$13)</f>
        <v>17.9282</v>
      </c>
      <c r="I572" s="64">
        <f>17.9304 * CHOOSE(CONTROL!$C$22, $C$13, 100%, $E$13)</f>
        <v>17.930399999999999</v>
      </c>
      <c r="J572" s="64">
        <f>10.6029 * CHOOSE(CONTROL!$C$22, $C$13, 100%, $E$13)</f>
        <v>10.6029</v>
      </c>
      <c r="K572" s="64">
        <f>10.6051 * CHOOSE(CONTROL!$C$22, $C$13, 100%, $E$13)</f>
        <v>10.6051</v>
      </c>
    </row>
    <row r="573" spans="1:11" ht="15">
      <c r="A573" s="13">
        <v>59080</v>
      </c>
      <c r="B573" s="63">
        <f>9.1271 * CHOOSE(CONTROL!$C$22, $C$13, 100%, $E$13)</f>
        <v>9.1271000000000004</v>
      </c>
      <c r="C573" s="63">
        <f>9.1271 * CHOOSE(CONTROL!$C$22, $C$13, 100%, $E$13)</f>
        <v>9.1271000000000004</v>
      </c>
      <c r="D573" s="63">
        <f>9.1448 * CHOOSE(CONTROL!$C$22, $C$13, 100%, $E$13)</f>
        <v>9.1448</v>
      </c>
      <c r="E573" s="64">
        <f>10.6379 * CHOOSE(CONTROL!$C$22, $C$13, 100%, $E$13)</f>
        <v>10.6379</v>
      </c>
      <c r="F573" s="64">
        <f>10.6379 * CHOOSE(CONTROL!$C$22, $C$13, 100%, $E$13)</f>
        <v>10.6379</v>
      </c>
      <c r="G573" s="64">
        <f>10.638 * CHOOSE(CONTROL!$C$22, $C$13, 100%, $E$13)</f>
        <v>10.638</v>
      </c>
      <c r="H573" s="64">
        <f>17.9656* CHOOSE(CONTROL!$C$22, $C$13, 100%, $E$13)</f>
        <v>17.965599999999998</v>
      </c>
      <c r="I573" s="64">
        <f>17.9657 * CHOOSE(CONTROL!$C$22, $C$13, 100%, $E$13)</f>
        <v>17.965699999999998</v>
      </c>
      <c r="J573" s="64">
        <f>10.6379 * CHOOSE(CONTROL!$C$22, $C$13, 100%, $E$13)</f>
        <v>10.6379</v>
      </c>
      <c r="K573" s="64">
        <f>10.638 * CHOOSE(CONTROL!$C$22, $C$13, 100%, $E$13)</f>
        <v>10.638</v>
      </c>
    </row>
    <row r="574" spans="1:11" ht="15">
      <c r="A574" s="13">
        <v>59111</v>
      </c>
      <c r="B574" s="63">
        <f>9.1301 * CHOOSE(CONTROL!$C$22, $C$13, 100%, $E$13)</f>
        <v>9.1301000000000005</v>
      </c>
      <c r="C574" s="63">
        <f>9.1301 * CHOOSE(CONTROL!$C$22, $C$13, 100%, $E$13)</f>
        <v>9.1301000000000005</v>
      </c>
      <c r="D574" s="63">
        <f>9.1478 * CHOOSE(CONTROL!$C$22, $C$13, 100%, $E$13)</f>
        <v>9.1478000000000002</v>
      </c>
      <c r="E574" s="64">
        <f>10.6642 * CHOOSE(CONTROL!$C$22, $C$13, 100%, $E$13)</f>
        <v>10.664199999999999</v>
      </c>
      <c r="F574" s="64">
        <f>10.6642 * CHOOSE(CONTROL!$C$22, $C$13, 100%, $E$13)</f>
        <v>10.664199999999999</v>
      </c>
      <c r="G574" s="64">
        <f>10.6643 * CHOOSE(CONTROL!$C$22, $C$13, 100%, $E$13)</f>
        <v>10.664300000000001</v>
      </c>
      <c r="H574" s="64">
        <f>18.003* CHOOSE(CONTROL!$C$22, $C$13, 100%, $E$13)</f>
        <v>18.003</v>
      </c>
      <c r="I574" s="64">
        <f>18.0032 * CHOOSE(CONTROL!$C$22, $C$13, 100%, $E$13)</f>
        <v>18.0032</v>
      </c>
      <c r="J574" s="64">
        <f>10.6642 * CHOOSE(CONTROL!$C$22, $C$13, 100%, $E$13)</f>
        <v>10.664199999999999</v>
      </c>
      <c r="K574" s="64">
        <f>10.6643 * CHOOSE(CONTROL!$C$22, $C$13, 100%, $E$13)</f>
        <v>10.664300000000001</v>
      </c>
    </row>
    <row r="575" spans="1:11" ht="15">
      <c r="A575" s="13">
        <v>59141</v>
      </c>
      <c r="B575" s="63">
        <f>9.1301 * CHOOSE(CONTROL!$C$22, $C$13, 100%, $E$13)</f>
        <v>9.1301000000000005</v>
      </c>
      <c r="C575" s="63">
        <f>9.1301 * CHOOSE(CONTROL!$C$22, $C$13, 100%, $E$13)</f>
        <v>9.1301000000000005</v>
      </c>
      <c r="D575" s="63">
        <f>9.1478 * CHOOSE(CONTROL!$C$22, $C$13, 100%, $E$13)</f>
        <v>9.1478000000000002</v>
      </c>
      <c r="E575" s="64">
        <f>10.6037 * CHOOSE(CONTROL!$C$22, $C$13, 100%, $E$13)</f>
        <v>10.6037</v>
      </c>
      <c r="F575" s="64">
        <f>10.6037 * CHOOSE(CONTROL!$C$22, $C$13, 100%, $E$13)</f>
        <v>10.6037</v>
      </c>
      <c r="G575" s="64">
        <f>10.6039 * CHOOSE(CONTROL!$C$22, $C$13, 100%, $E$13)</f>
        <v>10.603899999999999</v>
      </c>
      <c r="H575" s="64">
        <f>18.0405* CHOOSE(CONTROL!$C$22, $C$13, 100%, $E$13)</f>
        <v>18.040500000000002</v>
      </c>
      <c r="I575" s="64">
        <f>18.0407 * CHOOSE(CONTROL!$C$22, $C$13, 100%, $E$13)</f>
        <v>18.040700000000001</v>
      </c>
      <c r="J575" s="64">
        <f>10.6037 * CHOOSE(CONTROL!$C$22, $C$13, 100%, $E$13)</f>
        <v>10.6037</v>
      </c>
      <c r="K575" s="64">
        <f>10.6039 * CHOOSE(CONTROL!$C$22, $C$13, 100%, $E$13)</f>
        <v>10.603899999999999</v>
      </c>
    </row>
    <row r="576" spans="1:11" ht="15">
      <c r="A576" s="13">
        <v>59172</v>
      </c>
      <c r="B576" s="63">
        <f>9.2104 * CHOOSE(CONTROL!$C$22, $C$13, 100%, $E$13)</f>
        <v>9.2103999999999999</v>
      </c>
      <c r="C576" s="63">
        <f>9.2104 * CHOOSE(CONTROL!$C$22, $C$13, 100%, $E$13)</f>
        <v>9.2103999999999999</v>
      </c>
      <c r="D576" s="63">
        <f>9.2281 * CHOOSE(CONTROL!$C$22, $C$13, 100%, $E$13)</f>
        <v>9.2280999999999995</v>
      </c>
      <c r="E576" s="64">
        <f>10.7414 * CHOOSE(CONTROL!$C$22, $C$13, 100%, $E$13)</f>
        <v>10.741400000000001</v>
      </c>
      <c r="F576" s="64">
        <f>10.7414 * CHOOSE(CONTROL!$C$22, $C$13, 100%, $E$13)</f>
        <v>10.741400000000001</v>
      </c>
      <c r="G576" s="64">
        <f>10.7416 * CHOOSE(CONTROL!$C$22, $C$13, 100%, $E$13)</f>
        <v>10.7416</v>
      </c>
      <c r="H576" s="64">
        <f>18.0781* CHOOSE(CONTROL!$C$22, $C$13, 100%, $E$13)</f>
        <v>18.078099999999999</v>
      </c>
      <c r="I576" s="64">
        <f>18.0783 * CHOOSE(CONTROL!$C$22, $C$13, 100%, $E$13)</f>
        <v>18.078299999999999</v>
      </c>
      <c r="J576" s="64">
        <f>10.7414 * CHOOSE(CONTROL!$C$22, $C$13, 100%, $E$13)</f>
        <v>10.741400000000001</v>
      </c>
      <c r="K576" s="64">
        <f>10.7416 * CHOOSE(CONTROL!$C$22, $C$13, 100%, $E$13)</f>
        <v>10.7416</v>
      </c>
    </row>
    <row r="577" spans="1:11" ht="15">
      <c r="A577" s="13">
        <v>59203</v>
      </c>
      <c r="B577" s="63">
        <f>9.2074 * CHOOSE(CONTROL!$C$22, $C$13, 100%, $E$13)</f>
        <v>9.2073999999999998</v>
      </c>
      <c r="C577" s="63">
        <f>9.2074 * CHOOSE(CONTROL!$C$22, $C$13, 100%, $E$13)</f>
        <v>9.2073999999999998</v>
      </c>
      <c r="D577" s="63">
        <f>9.225 * CHOOSE(CONTROL!$C$22, $C$13, 100%, $E$13)</f>
        <v>9.2249999999999996</v>
      </c>
      <c r="E577" s="64">
        <f>10.6219 * CHOOSE(CONTROL!$C$22, $C$13, 100%, $E$13)</f>
        <v>10.6219</v>
      </c>
      <c r="F577" s="64">
        <f>10.6219 * CHOOSE(CONTROL!$C$22, $C$13, 100%, $E$13)</f>
        <v>10.6219</v>
      </c>
      <c r="G577" s="64">
        <f>10.6221 * CHOOSE(CONTROL!$C$22, $C$13, 100%, $E$13)</f>
        <v>10.6221</v>
      </c>
      <c r="H577" s="64">
        <f>18.1158* CHOOSE(CONTROL!$C$22, $C$13, 100%, $E$13)</f>
        <v>18.1158</v>
      </c>
      <c r="I577" s="64">
        <f>18.1159 * CHOOSE(CONTROL!$C$22, $C$13, 100%, $E$13)</f>
        <v>18.1159</v>
      </c>
      <c r="J577" s="64">
        <f>10.6219 * CHOOSE(CONTROL!$C$22, $C$13, 100%, $E$13)</f>
        <v>10.6219</v>
      </c>
      <c r="K577" s="64">
        <f>10.6221 * CHOOSE(CONTROL!$C$22, $C$13, 100%, $E$13)</f>
        <v>10.6221</v>
      </c>
    </row>
    <row r="578" spans="1:11" ht="15">
      <c r="A578" s="13">
        <v>59231</v>
      </c>
      <c r="B578" s="63">
        <f>9.2043 * CHOOSE(CONTROL!$C$22, $C$13, 100%, $E$13)</f>
        <v>9.2042999999999999</v>
      </c>
      <c r="C578" s="63">
        <f>9.2043 * CHOOSE(CONTROL!$C$22, $C$13, 100%, $E$13)</f>
        <v>9.2042999999999999</v>
      </c>
      <c r="D578" s="63">
        <f>9.222 * CHOOSE(CONTROL!$C$22, $C$13, 100%, $E$13)</f>
        <v>9.2219999999999995</v>
      </c>
      <c r="E578" s="64">
        <f>10.7123 * CHOOSE(CONTROL!$C$22, $C$13, 100%, $E$13)</f>
        <v>10.712300000000001</v>
      </c>
      <c r="F578" s="64">
        <f>10.7123 * CHOOSE(CONTROL!$C$22, $C$13, 100%, $E$13)</f>
        <v>10.712300000000001</v>
      </c>
      <c r="G578" s="64">
        <f>10.7125 * CHOOSE(CONTROL!$C$22, $C$13, 100%, $E$13)</f>
        <v>10.7125</v>
      </c>
      <c r="H578" s="64">
        <f>18.1535* CHOOSE(CONTROL!$C$22, $C$13, 100%, $E$13)</f>
        <v>18.153500000000001</v>
      </c>
      <c r="I578" s="64">
        <f>18.1537 * CHOOSE(CONTROL!$C$22, $C$13, 100%, $E$13)</f>
        <v>18.153700000000001</v>
      </c>
      <c r="J578" s="64">
        <f>10.7123 * CHOOSE(CONTROL!$C$22, $C$13, 100%, $E$13)</f>
        <v>10.712300000000001</v>
      </c>
      <c r="K578" s="64">
        <f>10.7125 * CHOOSE(CONTROL!$C$22, $C$13, 100%, $E$13)</f>
        <v>10.7125</v>
      </c>
    </row>
    <row r="579" spans="1:11" ht="15">
      <c r="A579" s="13">
        <v>59262</v>
      </c>
      <c r="B579" s="63">
        <f>9.2065 * CHOOSE(CONTROL!$C$22, $C$13, 100%, $E$13)</f>
        <v>9.2065000000000001</v>
      </c>
      <c r="C579" s="63">
        <f>9.2065 * CHOOSE(CONTROL!$C$22, $C$13, 100%, $E$13)</f>
        <v>9.2065000000000001</v>
      </c>
      <c r="D579" s="63">
        <f>9.2242 * CHOOSE(CONTROL!$C$22, $C$13, 100%, $E$13)</f>
        <v>9.2241999999999997</v>
      </c>
      <c r="E579" s="64">
        <f>10.8075 * CHOOSE(CONTROL!$C$22, $C$13, 100%, $E$13)</f>
        <v>10.807499999999999</v>
      </c>
      <c r="F579" s="64">
        <f>10.8075 * CHOOSE(CONTROL!$C$22, $C$13, 100%, $E$13)</f>
        <v>10.807499999999999</v>
      </c>
      <c r="G579" s="64">
        <f>10.8077 * CHOOSE(CONTROL!$C$22, $C$13, 100%, $E$13)</f>
        <v>10.807700000000001</v>
      </c>
      <c r="H579" s="64">
        <f>18.1913* CHOOSE(CONTROL!$C$22, $C$13, 100%, $E$13)</f>
        <v>18.191299999999998</v>
      </c>
      <c r="I579" s="64">
        <f>18.1915 * CHOOSE(CONTROL!$C$22, $C$13, 100%, $E$13)</f>
        <v>18.191500000000001</v>
      </c>
      <c r="J579" s="64">
        <f>10.8075 * CHOOSE(CONTROL!$C$22, $C$13, 100%, $E$13)</f>
        <v>10.807499999999999</v>
      </c>
      <c r="K579" s="64">
        <f>10.8077 * CHOOSE(CONTROL!$C$22, $C$13, 100%, $E$13)</f>
        <v>10.807700000000001</v>
      </c>
    </row>
    <row r="580" spans="1:11" ht="15">
      <c r="A580" s="13">
        <v>59292</v>
      </c>
      <c r="B580" s="63">
        <f>9.2065 * CHOOSE(CONTROL!$C$22, $C$13, 100%, $E$13)</f>
        <v>9.2065000000000001</v>
      </c>
      <c r="C580" s="63">
        <f>9.2065 * CHOOSE(CONTROL!$C$22, $C$13, 100%, $E$13)</f>
        <v>9.2065000000000001</v>
      </c>
      <c r="D580" s="63">
        <f>9.2418 * CHOOSE(CONTROL!$C$22, $C$13, 100%, $E$13)</f>
        <v>9.2417999999999996</v>
      </c>
      <c r="E580" s="64">
        <f>10.8448 * CHOOSE(CONTROL!$C$22, $C$13, 100%, $E$13)</f>
        <v>10.844799999999999</v>
      </c>
      <c r="F580" s="64">
        <f>10.8448 * CHOOSE(CONTROL!$C$22, $C$13, 100%, $E$13)</f>
        <v>10.844799999999999</v>
      </c>
      <c r="G580" s="64">
        <f>10.847 * CHOOSE(CONTROL!$C$22, $C$13, 100%, $E$13)</f>
        <v>10.847</v>
      </c>
      <c r="H580" s="64">
        <f>18.2292* CHOOSE(CONTROL!$C$22, $C$13, 100%, $E$13)</f>
        <v>18.229199999999999</v>
      </c>
      <c r="I580" s="64">
        <f>18.2314 * CHOOSE(CONTROL!$C$22, $C$13, 100%, $E$13)</f>
        <v>18.231400000000001</v>
      </c>
      <c r="J580" s="64">
        <f>10.8448 * CHOOSE(CONTROL!$C$22, $C$13, 100%, $E$13)</f>
        <v>10.844799999999999</v>
      </c>
      <c r="K580" s="64">
        <f>10.847 * CHOOSE(CONTROL!$C$22, $C$13, 100%, $E$13)</f>
        <v>10.847</v>
      </c>
    </row>
    <row r="581" spans="1:11" ht="15">
      <c r="A581" s="13">
        <v>59323</v>
      </c>
      <c r="B581" s="63">
        <f>9.2126 * CHOOSE(CONTROL!$C$22, $C$13, 100%, $E$13)</f>
        <v>9.2126000000000001</v>
      </c>
      <c r="C581" s="63">
        <f>9.2126 * CHOOSE(CONTROL!$C$22, $C$13, 100%, $E$13)</f>
        <v>9.2126000000000001</v>
      </c>
      <c r="D581" s="63">
        <f>9.2479 * CHOOSE(CONTROL!$C$22, $C$13, 100%, $E$13)</f>
        <v>9.2478999999999996</v>
      </c>
      <c r="E581" s="64">
        <f>10.8118 * CHOOSE(CONTROL!$C$22, $C$13, 100%, $E$13)</f>
        <v>10.8118</v>
      </c>
      <c r="F581" s="64">
        <f>10.8118 * CHOOSE(CONTROL!$C$22, $C$13, 100%, $E$13)</f>
        <v>10.8118</v>
      </c>
      <c r="G581" s="64">
        <f>10.8139 * CHOOSE(CONTROL!$C$22, $C$13, 100%, $E$13)</f>
        <v>10.8139</v>
      </c>
      <c r="H581" s="64">
        <f>18.2672* CHOOSE(CONTROL!$C$22, $C$13, 100%, $E$13)</f>
        <v>18.267199999999999</v>
      </c>
      <c r="I581" s="64">
        <f>18.2694 * CHOOSE(CONTROL!$C$22, $C$13, 100%, $E$13)</f>
        <v>18.269400000000001</v>
      </c>
      <c r="J581" s="64">
        <f>10.8118 * CHOOSE(CONTROL!$C$22, $C$13, 100%, $E$13)</f>
        <v>10.8118</v>
      </c>
      <c r="K581" s="64">
        <f>10.8139 * CHOOSE(CONTROL!$C$22, $C$13, 100%, $E$13)</f>
        <v>10.8139</v>
      </c>
    </row>
    <row r="582" spans="1:11" ht="15">
      <c r="A582" s="13">
        <v>59353</v>
      </c>
      <c r="B582" s="63">
        <f>9.3605 * CHOOSE(CONTROL!$C$22, $C$13, 100%, $E$13)</f>
        <v>9.3605</v>
      </c>
      <c r="C582" s="63">
        <f>9.3605 * CHOOSE(CONTROL!$C$22, $C$13, 100%, $E$13)</f>
        <v>9.3605</v>
      </c>
      <c r="D582" s="63">
        <f>9.3958 * CHOOSE(CONTROL!$C$22, $C$13, 100%, $E$13)</f>
        <v>9.3957999999999995</v>
      </c>
      <c r="E582" s="64">
        <f>11.0212 * CHOOSE(CONTROL!$C$22, $C$13, 100%, $E$13)</f>
        <v>11.0212</v>
      </c>
      <c r="F582" s="64">
        <f>11.0212 * CHOOSE(CONTROL!$C$22, $C$13, 100%, $E$13)</f>
        <v>11.0212</v>
      </c>
      <c r="G582" s="64">
        <f>11.0233 * CHOOSE(CONTROL!$C$22, $C$13, 100%, $E$13)</f>
        <v>11.023300000000001</v>
      </c>
      <c r="H582" s="64">
        <f>18.3052* CHOOSE(CONTROL!$C$22, $C$13, 100%, $E$13)</f>
        <v>18.305199999999999</v>
      </c>
      <c r="I582" s="64">
        <f>18.3074 * CHOOSE(CONTROL!$C$22, $C$13, 100%, $E$13)</f>
        <v>18.307400000000001</v>
      </c>
      <c r="J582" s="64">
        <f>11.0212 * CHOOSE(CONTROL!$C$22, $C$13, 100%, $E$13)</f>
        <v>11.0212</v>
      </c>
      <c r="K582" s="64">
        <f>11.0233 * CHOOSE(CONTROL!$C$22, $C$13, 100%, $E$13)</f>
        <v>11.023300000000001</v>
      </c>
    </row>
    <row r="583" spans="1:11" ht="15">
      <c r="A583" s="13">
        <v>59384</v>
      </c>
      <c r="B583" s="63">
        <f>9.3672 * CHOOSE(CONTROL!$C$22, $C$13, 100%, $E$13)</f>
        <v>9.3672000000000004</v>
      </c>
      <c r="C583" s="63">
        <f>9.3672 * CHOOSE(CONTROL!$C$22, $C$13, 100%, $E$13)</f>
        <v>9.3672000000000004</v>
      </c>
      <c r="D583" s="63">
        <f>9.4025 * CHOOSE(CONTROL!$C$22, $C$13, 100%, $E$13)</f>
        <v>9.4024999999999999</v>
      </c>
      <c r="E583" s="64">
        <f>10.914 * CHOOSE(CONTROL!$C$22, $C$13, 100%, $E$13)</f>
        <v>10.914</v>
      </c>
      <c r="F583" s="64">
        <f>10.914 * CHOOSE(CONTROL!$C$22, $C$13, 100%, $E$13)</f>
        <v>10.914</v>
      </c>
      <c r="G583" s="64">
        <f>10.9161 * CHOOSE(CONTROL!$C$22, $C$13, 100%, $E$13)</f>
        <v>10.9161</v>
      </c>
      <c r="H583" s="64">
        <f>18.3434* CHOOSE(CONTROL!$C$22, $C$13, 100%, $E$13)</f>
        <v>18.343399999999999</v>
      </c>
      <c r="I583" s="64">
        <f>18.3456 * CHOOSE(CONTROL!$C$22, $C$13, 100%, $E$13)</f>
        <v>18.345600000000001</v>
      </c>
      <c r="J583" s="64">
        <f>10.914 * CHOOSE(CONTROL!$C$22, $C$13, 100%, $E$13)</f>
        <v>10.914</v>
      </c>
      <c r="K583" s="64">
        <f>10.9161 * CHOOSE(CONTROL!$C$22, $C$13, 100%, $E$13)</f>
        <v>10.9161</v>
      </c>
    </row>
    <row r="584" spans="1:11" ht="15">
      <c r="A584" s="13">
        <v>59415</v>
      </c>
      <c r="B584" s="63">
        <f>9.3641 * CHOOSE(CONTROL!$C$22, $C$13, 100%, $E$13)</f>
        <v>9.3641000000000005</v>
      </c>
      <c r="C584" s="63">
        <f>9.3641 * CHOOSE(CONTROL!$C$22, $C$13, 100%, $E$13)</f>
        <v>9.3641000000000005</v>
      </c>
      <c r="D584" s="63">
        <f>9.3995 * CHOOSE(CONTROL!$C$22, $C$13, 100%, $E$13)</f>
        <v>9.3994999999999997</v>
      </c>
      <c r="E584" s="64">
        <f>10.8994 * CHOOSE(CONTROL!$C$22, $C$13, 100%, $E$13)</f>
        <v>10.8994</v>
      </c>
      <c r="F584" s="64">
        <f>10.8994 * CHOOSE(CONTROL!$C$22, $C$13, 100%, $E$13)</f>
        <v>10.8994</v>
      </c>
      <c r="G584" s="64">
        <f>10.9016 * CHOOSE(CONTROL!$C$22, $C$13, 100%, $E$13)</f>
        <v>10.9016</v>
      </c>
      <c r="H584" s="64">
        <f>18.3816* CHOOSE(CONTROL!$C$22, $C$13, 100%, $E$13)</f>
        <v>18.381599999999999</v>
      </c>
      <c r="I584" s="64">
        <f>18.3838 * CHOOSE(CONTROL!$C$22, $C$13, 100%, $E$13)</f>
        <v>18.383800000000001</v>
      </c>
      <c r="J584" s="64">
        <f>10.8994 * CHOOSE(CONTROL!$C$22, $C$13, 100%, $E$13)</f>
        <v>10.8994</v>
      </c>
      <c r="K584" s="64">
        <f>10.9016 * CHOOSE(CONTROL!$C$22, $C$13, 100%, $E$13)</f>
        <v>10.9016</v>
      </c>
    </row>
    <row r="585" spans="1:11" ht="15">
      <c r="A585" s="13">
        <v>59445</v>
      </c>
      <c r="B585" s="63">
        <f>9.3771 * CHOOSE(CONTROL!$C$22, $C$13, 100%, $E$13)</f>
        <v>9.3771000000000004</v>
      </c>
      <c r="C585" s="63">
        <f>9.3771 * CHOOSE(CONTROL!$C$22, $C$13, 100%, $E$13)</f>
        <v>9.3771000000000004</v>
      </c>
      <c r="D585" s="63">
        <f>9.3948 * CHOOSE(CONTROL!$C$22, $C$13, 100%, $E$13)</f>
        <v>9.3948</v>
      </c>
      <c r="E585" s="64">
        <f>10.9357 * CHOOSE(CONTROL!$C$22, $C$13, 100%, $E$13)</f>
        <v>10.935700000000001</v>
      </c>
      <c r="F585" s="64">
        <f>10.9357 * CHOOSE(CONTROL!$C$22, $C$13, 100%, $E$13)</f>
        <v>10.935700000000001</v>
      </c>
      <c r="G585" s="64">
        <f>10.9359 * CHOOSE(CONTROL!$C$22, $C$13, 100%, $E$13)</f>
        <v>10.9359</v>
      </c>
      <c r="H585" s="64">
        <f>18.4199* CHOOSE(CONTROL!$C$22, $C$13, 100%, $E$13)</f>
        <v>18.419899999999998</v>
      </c>
      <c r="I585" s="64">
        <f>18.4201 * CHOOSE(CONTROL!$C$22, $C$13, 100%, $E$13)</f>
        <v>18.420100000000001</v>
      </c>
      <c r="J585" s="64">
        <f>10.9357 * CHOOSE(CONTROL!$C$22, $C$13, 100%, $E$13)</f>
        <v>10.935700000000001</v>
      </c>
      <c r="K585" s="64">
        <f>10.9359 * CHOOSE(CONTROL!$C$22, $C$13, 100%, $E$13)</f>
        <v>10.9359</v>
      </c>
    </row>
    <row r="586" spans="1:11" ht="15">
      <c r="A586" s="13">
        <v>59476</v>
      </c>
      <c r="B586" s="63">
        <f>9.3802 * CHOOSE(CONTROL!$C$22, $C$13, 100%, $E$13)</f>
        <v>9.3802000000000003</v>
      </c>
      <c r="C586" s="63">
        <f>9.3802 * CHOOSE(CONTROL!$C$22, $C$13, 100%, $E$13)</f>
        <v>9.3802000000000003</v>
      </c>
      <c r="D586" s="63">
        <f>9.3978 * CHOOSE(CONTROL!$C$22, $C$13, 100%, $E$13)</f>
        <v>9.3978000000000002</v>
      </c>
      <c r="E586" s="64">
        <f>10.9627 * CHOOSE(CONTROL!$C$22, $C$13, 100%, $E$13)</f>
        <v>10.9627</v>
      </c>
      <c r="F586" s="64">
        <f>10.9627 * CHOOSE(CONTROL!$C$22, $C$13, 100%, $E$13)</f>
        <v>10.9627</v>
      </c>
      <c r="G586" s="64">
        <f>10.9629 * CHOOSE(CONTROL!$C$22, $C$13, 100%, $E$13)</f>
        <v>10.962899999999999</v>
      </c>
      <c r="H586" s="64">
        <f>18.4583* CHOOSE(CONTROL!$C$22, $C$13, 100%, $E$13)</f>
        <v>18.458300000000001</v>
      </c>
      <c r="I586" s="64">
        <f>18.4584 * CHOOSE(CONTROL!$C$22, $C$13, 100%, $E$13)</f>
        <v>18.458400000000001</v>
      </c>
      <c r="J586" s="64">
        <f>10.9627 * CHOOSE(CONTROL!$C$22, $C$13, 100%, $E$13)</f>
        <v>10.9627</v>
      </c>
      <c r="K586" s="64">
        <f>10.9629 * CHOOSE(CONTROL!$C$22, $C$13, 100%, $E$13)</f>
        <v>10.962899999999999</v>
      </c>
    </row>
    <row r="587" spans="1:11" ht="15">
      <c r="A587" s="13">
        <v>59506</v>
      </c>
      <c r="B587" s="63">
        <f>9.3802 * CHOOSE(CONTROL!$C$22, $C$13, 100%, $E$13)</f>
        <v>9.3802000000000003</v>
      </c>
      <c r="C587" s="63">
        <f>9.3802 * CHOOSE(CONTROL!$C$22, $C$13, 100%, $E$13)</f>
        <v>9.3802000000000003</v>
      </c>
      <c r="D587" s="63">
        <f>9.3978 * CHOOSE(CONTROL!$C$22, $C$13, 100%, $E$13)</f>
        <v>9.3978000000000002</v>
      </c>
      <c r="E587" s="64">
        <f>10.9005 * CHOOSE(CONTROL!$C$22, $C$13, 100%, $E$13)</f>
        <v>10.900499999999999</v>
      </c>
      <c r="F587" s="64">
        <f>10.9005 * CHOOSE(CONTROL!$C$22, $C$13, 100%, $E$13)</f>
        <v>10.900499999999999</v>
      </c>
      <c r="G587" s="64">
        <f>10.9007 * CHOOSE(CONTROL!$C$22, $C$13, 100%, $E$13)</f>
        <v>10.900700000000001</v>
      </c>
      <c r="H587" s="64">
        <f>18.4967* CHOOSE(CONTROL!$C$22, $C$13, 100%, $E$13)</f>
        <v>18.496700000000001</v>
      </c>
      <c r="I587" s="64">
        <f>18.4969 * CHOOSE(CONTROL!$C$22, $C$13, 100%, $E$13)</f>
        <v>18.4969</v>
      </c>
      <c r="J587" s="64">
        <f>10.9005 * CHOOSE(CONTROL!$C$22, $C$13, 100%, $E$13)</f>
        <v>10.900499999999999</v>
      </c>
      <c r="K587" s="64">
        <f>10.9007 * CHOOSE(CONTROL!$C$22, $C$13, 100%, $E$13)</f>
        <v>10.900700000000001</v>
      </c>
    </row>
    <row r="588" spans="1:11" ht="15">
      <c r="A588" s="13">
        <v>59537</v>
      </c>
      <c r="B588" s="63">
        <f>9.4557 * CHOOSE(CONTROL!$C$22, $C$13, 100%, $E$13)</f>
        <v>9.4557000000000002</v>
      </c>
      <c r="C588" s="63">
        <f>9.4557 * CHOOSE(CONTROL!$C$22, $C$13, 100%, $E$13)</f>
        <v>9.4557000000000002</v>
      </c>
      <c r="D588" s="63">
        <f>9.4734 * CHOOSE(CONTROL!$C$22, $C$13, 100%, $E$13)</f>
        <v>9.4733999999999998</v>
      </c>
      <c r="E588" s="64">
        <f>11.0338 * CHOOSE(CONTROL!$C$22, $C$13, 100%, $E$13)</f>
        <v>11.033799999999999</v>
      </c>
      <c r="F588" s="64">
        <f>11.0338 * CHOOSE(CONTROL!$C$22, $C$13, 100%, $E$13)</f>
        <v>11.033799999999999</v>
      </c>
      <c r="G588" s="64">
        <f>11.034 * CHOOSE(CONTROL!$C$22, $C$13, 100%, $E$13)</f>
        <v>11.034000000000001</v>
      </c>
      <c r="H588" s="64">
        <f>18.524* CHOOSE(CONTROL!$C$22, $C$13, 100%, $E$13)</f>
        <v>18.524000000000001</v>
      </c>
      <c r="I588" s="64">
        <f>18.5242 * CHOOSE(CONTROL!$C$22, $C$13, 100%, $E$13)</f>
        <v>18.5242</v>
      </c>
      <c r="J588" s="64">
        <f>11.0338 * CHOOSE(CONTROL!$C$22, $C$13, 100%, $E$13)</f>
        <v>11.033799999999999</v>
      </c>
      <c r="K588" s="64">
        <f>11.034 * CHOOSE(CONTROL!$C$22, $C$13, 100%, $E$13)</f>
        <v>11.034000000000001</v>
      </c>
    </row>
    <row r="589" spans="1:11" ht="15">
      <c r="A589" s="13">
        <v>59568</v>
      </c>
      <c r="B589" s="63">
        <f>9.4527 * CHOOSE(CONTROL!$C$22, $C$13, 100%, $E$13)</f>
        <v>9.4527000000000001</v>
      </c>
      <c r="C589" s="63">
        <f>9.4527 * CHOOSE(CONTROL!$C$22, $C$13, 100%, $E$13)</f>
        <v>9.4527000000000001</v>
      </c>
      <c r="D589" s="63">
        <f>9.4704 * CHOOSE(CONTROL!$C$22, $C$13, 100%, $E$13)</f>
        <v>9.4703999999999997</v>
      </c>
      <c r="E589" s="64">
        <f>10.9111 * CHOOSE(CONTROL!$C$22, $C$13, 100%, $E$13)</f>
        <v>10.911099999999999</v>
      </c>
      <c r="F589" s="64">
        <f>10.9111 * CHOOSE(CONTROL!$C$22, $C$13, 100%, $E$13)</f>
        <v>10.911099999999999</v>
      </c>
      <c r="G589" s="64">
        <f>10.9113 * CHOOSE(CONTROL!$C$22, $C$13, 100%, $E$13)</f>
        <v>10.911300000000001</v>
      </c>
      <c r="H589" s="64">
        <f>18.5626* CHOOSE(CONTROL!$C$22, $C$13, 100%, $E$13)</f>
        <v>18.5626</v>
      </c>
      <c r="I589" s="64">
        <f>18.5628 * CHOOSE(CONTROL!$C$22, $C$13, 100%, $E$13)</f>
        <v>18.562799999999999</v>
      </c>
      <c r="J589" s="64">
        <f>10.9111 * CHOOSE(CONTROL!$C$22, $C$13, 100%, $E$13)</f>
        <v>10.911099999999999</v>
      </c>
      <c r="K589" s="64">
        <f>10.9113 * CHOOSE(CONTROL!$C$22, $C$13, 100%, $E$13)</f>
        <v>10.911300000000001</v>
      </c>
    </row>
    <row r="590" spans="1:11" ht="15">
      <c r="A590" s="13">
        <v>59596</v>
      </c>
      <c r="B590" s="63">
        <f>9.4497 * CHOOSE(CONTROL!$C$22, $C$13, 100%, $E$13)</f>
        <v>9.4497</v>
      </c>
      <c r="C590" s="63">
        <f>9.4497 * CHOOSE(CONTROL!$C$22, $C$13, 100%, $E$13)</f>
        <v>9.4497</v>
      </c>
      <c r="D590" s="63">
        <f>9.4673 * CHOOSE(CONTROL!$C$22, $C$13, 100%, $E$13)</f>
        <v>9.4672999999999998</v>
      </c>
      <c r="E590" s="64">
        <f>11.0041 * CHOOSE(CONTROL!$C$22, $C$13, 100%, $E$13)</f>
        <v>11.004099999999999</v>
      </c>
      <c r="F590" s="64">
        <f>11.0041 * CHOOSE(CONTROL!$C$22, $C$13, 100%, $E$13)</f>
        <v>11.004099999999999</v>
      </c>
      <c r="G590" s="64">
        <f>11.0042 * CHOOSE(CONTROL!$C$22, $C$13, 100%, $E$13)</f>
        <v>11.004200000000001</v>
      </c>
      <c r="H590" s="64">
        <f>18.6012* CHOOSE(CONTROL!$C$22, $C$13, 100%, $E$13)</f>
        <v>18.601199999999999</v>
      </c>
      <c r="I590" s="64">
        <f>18.6014 * CHOOSE(CONTROL!$C$22, $C$13, 100%, $E$13)</f>
        <v>18.601400000000002</v>
      </c>
      <c r="J590" s="64">
        <f>11.0041 * CHOOSE(CONTROL!$C$22, $C$13, 100%, $E$13)</f>
        <v>11.004099999999999</v>
      </c>
      <c r="K590" s="64">
        <f>11.0042 * CHOOSE(CONTROL!$C$22, $C$13, 100%, $E$13)</f>
        <v>11.004200000000001</v>
      </c>
    </row>
    <row r="591" spans="1:11" ht="15">
      <c r="A591" s="13">
        <v>59627</v>
      </c>
      <c r="B591" s="63">
        <f>9.452 * CHOOSE(CONTROL!$C$22, $C$13, 100%, $E$13)</f>
        <v>9.452</v>
      </c>
      <c r="C591" s="63">
        <f>9.452 * CHOOSE(CONTROL!$C$22, $C$13, 100%, $E$13)</f>
        <v>9.452</v>
      </c>
      <c r="D591" s="63">
        <f>9.4697 * CHOOSE(CONTROL!$C$22, $C$13, 100%, $E$13)</f>
        <v>9.4696999999999996</v>
      </c>
      <c r="E591" s="64">
        <f>11.102 * CHOOSE(CONTROL!$C$22, $C$13, 100%, $E$13)</f>
        <v>11.102</v>
      </c>
      <c r="F591" s="64">
        <f>11.102 * CHOOSE(CONTROL!$C$22, $C$13, 100%, $E$13)</f>
        <v>11.102</v>
      </c>
      <c r="G591" s="64">
        <f>11.1022 * CHOOSE(CONTROL!$C$22, $C$13, 100%, $E$13)</f>
        <v>11.1022</v>
      </c>
      <c r="H591" s="64">
        <f>18.64* CHOOSE(CONTROL!$C$22, $C$13, 100%, $E$13)</f>
        <v>18.64</v>
      </c>
      <c r="I591" s="64">
        <f>18.6402 * CHOOSE(CONTROL!$C$22, $C$13, 100%, $E$13)</f>
        <v>18.6402</v>
      </c>
      <c r="J591" s="64">
        <f>11.102 * CHOOSE(CONTROL!$C$22, $C$13, 100%, $E$13)</f>
        <v>11.102</v>
      </c>
      <c r="K591" s="64">
        <f>11.1022 * CHOOSE(CONTROL!$C$22, $C$13, 100%, $E$13)</f>
        <v>11.1022</v>
      </c>
    </row>
    <row r="592" spans="1:11" ht="15">
      <c r="A592" s="13">
        <v>59657</v>
      </c>
      <c r="B592" s="63">
        <f>9.452 * CHOOSE(CONTROL!$C$22, $C$13, 100%, $E$13)</f>
        <v>9.452</v>
      </c>
      <c r="C592" s="63">
        <f>9.452 * CHOOSE(CONTROL!$C$22, $C$13, 100%, $E$13)</f>
        <v>9.452</v>
      </c>
      <c r="D592" s="63">
        <f>9.4874 * CHOOSE(CONTROL!$C$22, $C$13, 100%, $E$13)</f>
        <v>9.4873999999999992</v>
      </c>
      <c r="E592" s="64">
        <f>11.1403 * CHOOSE(CONTROL!$C$22, $C$13, 100%, $E$13)</f>
        <v>11.1403</v>
      </c>
      <c r="F592" s="64">
        <f>11.1403 * CHOOSE(CONTROL!$C$22, $C$13, 100%, $E$13)</f>
        <v>11.1403</v>
      </c>
      <c r="G592" s="64">
        <f>11.1425 * CHOOSE(CONTROL!$C$22, $C$13, 100%, $E$13)</f>
        <v>11.1425</v>
      </c>
      <c r="H592" s="64">
        <f>18.6788* CHOOSE(CONTROL!$C$22, $C$13, 100%, $E$13)</f>
        <v>18.678799999999999</v>
      </c>
      <c r="I592" s="64">
        <f>18.681 * CHOOSE(CONTROL!$C$22, $C$13, 100%, $E$13)</f>
        <v>18.681000000000001</v>
      </c>
      <c r="J592" s="64">
        <f>11.1403 * CHOOSE(CONTROL!$C$22, $C$13, 100%, $E$13)</f>
        <v>11.1403</v>
      </c>
      <c r="K592" s="64">
        <f>11.1425 * CHOOSE(CONTROL!$C$22, $C$13, 100%, $E$13)</f>
        <v>11.1425</v>
      </c>
    </row>
    <row r="593" spans="1:11" ht="15">
      <c r="A593" s="13">
        <v>59688</v>
      </c>
      <c r="B593" s="63">
        <f>9.4581 * CHOOSE(CONTROL!$C$22, $C$13, 100%, $E$13)</f>
        <v>9.4581</v>
      </c>
      <c r="C593" s="63">
        <f>9.4581 * CHOOSE(CONTROL!$C$22, $C$13, 100%, $E$13)</f>
        <v>9.4581</v>
      </c>
      <c r="D593" s="63">
        <f>9.4934 * CHOOSE(CONTROL!$C$22, $C$13, 100%, $E$13)</f>
        <v>9.4933999999999994</v>
      </c>
      <c r="E593" s="64">
        <f>11.1062 * CHOOSE(CONTROL!$C$22, $C$13, 100%, $E$13)</f>
        <v>11.106199999999999</v>
      </c>
      <c r="F593" s="64">
        <f>11.1062 * CHOOSE(CONTROL!$C$22, $C$13, 100%, $E$13)</f>
        <v>11.106199999999999</v>
      </c>
      <c r="G593" s="64">
        <f>11.1084 * CHOOSE(CONTROL!$C$22, $C$13, 100%, $E$13)</f>
        <v>11.1084</v>
      </c>
      <c r="H593" s="64">
        <f>18.7177* CHOOSE(CONTROL!$C$22, $C$13, 100%, $E$13)</f>
        <v>18.717700000000001</v>
      </c>
      <c r="I593" s="64">
        <f>18.7199 * CHOOSE(CONTROL!$C$22, $C$13, 100%, $E$13)</f>
        <v>18.719899999999999</v>
      </c>
      <c r="J593" s="64">
        <f>11.1062 * CHOOSE(CONTROL!$C$22, $C$13, 100%, $E$13)</f>
        <v>11.106199999999999</v>
      </c>
      <c r="K593" s="64">
        <f>11.1084 * CHOOSE(CONTROL!$C$22, $C$13, 100%, $E$13)</f>
        <v>11.1084</v>
      </c>
    </row>
    <row r="594" spans="1:11" ht="15">
      <c r="A594" s="13">
        <v>59718</v>
      </c>
      <c r="B594" s="63">
        <f>9.6097 * CHOOSE(CONTROL!$C$22, $C$13, 100%, $E$13)</f>
        <v>9.6097000000000001</v>
      </c>
      <c r="C594" s="63">
        <f>9.6097 * CHOOSE(CONTROL!$C$22, $C$13, 100%, $E$13)</f>
        <v>9.6097000000000001</v>
      </c>
      <c r="D594" s="63">
        <f>9.645 * CHOOSE(CONTROL!$C$22, $C$13, 100%, $E$13)</f>
        <v>9.6449999999999996</v>
      </c>
      <c r="E594" s="64">
        <f>11.321 * CHOOSE(CONTROL!$C$22, $C$13, 100%, $E$13)</f>
        <v>11.321</v>
      </c>
      <c r="F594" s="64">
        <f>11.321 * CHOOSE(CONTROL!$C$22, $C$13, 100%, $E$13)</f>
        <v>11.321</v>
      </c>
      <c r="G594" s="64">
        <f>11.3232 * CHOOSE(CONTROL!$C$22, $C$13, 100%, $E$13)</f>
        <v>11.3232</v>
      </c>
      <c r="H594" s="64">
        <f>18.7567* CHOOSE(CONTROL!$C$22, $C$13, 100%, $E$13)</f>
        <v>18.756699999999999</v>
      </c>
      <c r="I594" s="64">
        <f>18.7589 * CHOOSE(CONTROL!$C$22, $C$13, 100%, $E$13)</f>
        <v>18.758900000000001</v>
      </c>
      <c r="J594" s="64">
        <f>11.321 * CHOOSE(CONTROL!$C$22, $C$13, 100%, $E$13)</f>
        <v>11.321</v>
      </c>
      <c r="K594" s="64">
        <f>11.3232 * CHOOSE(CONTROL!$C$22, $C$13, 100%, $E$13)</f>
        <v>11.3232</v>
      </c>
    </row>
    <row r="595" spans="1:11" ht="15">
      <c r="A595" s="13">
        <v>59749</v>
      </c>
      <c r="B595" s="63">
        <f>9.6164 * CHOOSE(CONTROL!$C$22, $C$13, 100%, $E$13)</f>
        <v>9.6164000000000005</v>
      </c>
      <c r="C595" s="63">
        <f>9.6164 * CHOOSE(CONTROL!$C$22, $C$13, 100%, $E$13)</f>
        <v>9.6164000000000005</v>
      </c>
      <c r="D595" s="63">
        <f>9.6517 * CHOOSE(CONTROL!$C$22, $C$13, 100%, $E$13)</f>
        <v>9.6516999999999999</v>
      </c>
      <c r="E595" s="64">
        <f>11.2108 * CHOOSE(CONTROL!$C$22, $C$13, 100%, $E$13)</f>
        <v>11.210800000000001</v>
      </c>
      <c r="F595" s="64">
        <f>11.2108 * CHOOSE(CONTROL!$C$22, $C$13, 100%, $E$13)</f>
        <v>11.210800000000001</v>
      </c>
      <c r="G595" s="64">
        <f>11.213 * CHOOSE(CONTROL!$C$22, $C$13, 100%, $E$13)</f>
        <v>11.212999999999999</v>
      </c>
      <c r="H595" s="64">
        <f>18.7958* CHOOSE(CONTROL!$C$22, $C$13, 100%, $E$13)</f>
        <v>18.7958</v>
      </c>
      <c r="I595" s="64">
        <f>18.798 * CHOOSE(CONTROL!$C$22, $C$13, 100%, $E$13)</f>
        <v>18.797999999999998</v>
      </c>
      <c r="J595" s="64">
        <f>11.2108 * CHOOSE(CONTROL!$C$22, $C$13, 100%, $E$13)</f>
        <v>11.210800000000001</v>
      </c>
      <c r="K595" s="64">
        <f>11.213 * CHOOSE(CONTROL!$C$22, $C$13, 100%, $E$13)</f>
        <v>11.212999999999999</v>
      </c>
    </row>
    <row r="596" spans="1:11" ht="15">
      <c r="A596" s="13">
        <v>59780</v>
      </c>
      <c r="B596" s="63">
        <f>9.6134 * CHOOSE(CONTROL!$C$22, $C$13, 100%, $E$13)</f>
        <v>9.6134000000000004</v>
      </c>
      <c r="C596" s="63">
        <f>9.6134 * CHOOSE(CONTROL!$C$22, $C$13, 100%, $E$13)</f>
        <v>9.6134000000000004</v>
      </c>
      <c r="D596" s="63">
        <f>9.6487 * CHOOSE(CONTROL!$C$22, $C$13, 100%, $E$13)</f>
        <v>9.6486999999999998</v>
      </c>
      <c r="E596" s="64">
        <f>11.1959 * CHOOSE(CONTROL!$C$22, $C$13, 100%, $E$13)</f>
        <v>11.1959</v>
      </c>
      <c r="F596" s="64">
        <f>11.1959 * CHOOSE(CONTROL!$C$22, $C$13, 100%, $E$13)</f>
        <v>11.1959</v>
      </c>
      <c r="G596" s="64">
        <f>11.1981 * CHOOSE(CONTROL!$C$22, $C$13, 100%, $E$13)</f>
        <v>11.1981</v>
      </c>
      <c r="H596" s="64">
        <f>18.835* CHOOSE(CONTROL!$C$22, $C$13, 100%, $E$13)</f>
        <v>18.835000000000001</v>
      </c>
      <c r="I596" s="64">
        <f>18.8372 * CHOOSE(CONTROL!$C$22, $C$13, 100%, $E$13)</f>
        <v>18.837199999999999</v>
      </c>
      <c r="J596" s="64">
        <f>11.1959 * CHOOSE(CONTROL!$C$22, $C$13, 100%, $E$13)</f>
        <v>11.1959</v>
      </c>
      <c r="K596" s="64">
        <f>11.1981 * CHOOSE(CONTROL!$C$22, $C$13, 100%, $E$13)</f>
        <v>11.1981</v>
      </c>
    </row>
    <row r="597" spans="1:11" ht="15">
      <c r="A597" s="13">
        <v>59810</v>
      </c>
      <c r="B597" s="63">
        <f>9.6271 * CHOOSE(CONTROL!$C$22, $C$13, 100%, $E$13)</f>
        <v>9.6271000000000004</v>
      </c>
      <c r="C597" s="63">
        <f>9.6271 * CHOOSE(CONTROL!$C$22, $C$13, 100%, $E$13)</f>
        <v>9.6271000000000004</v>
      </c>
      <c r="D597" s="63">
        <f>9.6448 * CHOOSE(CONTROL!$C$22, $C$13, 100%, $E$13)</f>
        <v>9.6448</v>
      </c>
      <c r="E597" s="64">
        <f>11.2336 * CHOOSE(CONTROL!$C$22, $C$13, 100%, $E$13)</f>
        <v>11.233599999999999</v>
      </c>
      <c r="F597" s="64">
        <f>11.2336 * CHOOSE(CONTROL!$C$22, $C$13, 100%, $E$13)</f>
        <v>11.233599999999999</v>
      </c>
      <c r="G597" s="64">
        <f>11.2337 * CHOOSE(CONTROL!$C$22, $C$13, 100%, $E$13)</f>
        <v>11.233700000000001</v>
      </c>
      <c r="H597" s="64">
        <f>18.8742* CHOOSE(CONTROL!$C$22, $C$13, 100%, $E$13)</f>
        <v>18.874199999999998</v>
      </c>
      <c r="I597" s="64">
        <f>18.8744 * CHOOSE(CONTROL!$C$22, $C$13, 100%, $E$13)</f>
        <v>18.874400000000001</v>
      </c>
      <c r="J597" s="64">
        <f>11.2336 * CHOOSE(CONTROL!$C$22, $C$13, 100%, $E$13)</f>
        <v>11.233599999999999</v>
      </c>
      <c r="K597" s="64">
        <f>11.2337 * CHOOSE(CONTROL!$C$22, $C$13, 100%, $E$13)</f>
        <v>11.233700000000001</v>
      </c>
    </row>
    <row r="598" spans="1:11" ht="15">
      <c r="A598" s="13">
        <v>59841</v>
      </c>
      <c r="B598" s="63">
        <f>9.6302 * CHOOSE(CONTROL!$C$22, $C$13, 100%, $E$13)</f>
        <v>9.6302000000000003</v>
      </c>
      <c r="C598" s="63">
        <f>9.6302 * CHOOSE(CONTROL!$C$22, $C$13, 100%, $E$13)</f>
        <v>9.6302000000000003</v>
      </c>
      <c r="D598" s="63">
        <f>9.6478 * CHOOSE(CONTROL!$C$22, $C$13, 100%, $E$13)</f>
        <v>9.6478000000000002</v>
      </c>
      <c r="E598" s="64">
        <f>11.2612 * CHOOSE(CONTROL!$C$22, $C$13, 100%, $E$13)</f>
        <v>11.261200000000001</v>
      </c>
      <c r="F598" s="64">
        <f>11.2612 * CHOOSE(CONTROL!$C$22, $C$13, 100%, $E$13)</f>
        <v>11.261200000000001</v>
      </c>
      <c r="G598" s="64">
        <f>11.2614 * CHOOSE(CONTROL!$C$22, $C$13, 100%, $E$13)</f>
        <v>11.2614</v>
      </c>
      <c r="H598" s="64">
        <f>18.9135* CHOOSE(CONTROL!$C$22, $C$13, 100%, $E$13)</f>
        <v>18.913499999999999</v>
      </c>
      <c r="I598" s="64">
        <f>18.9137 * CHOOSE(CONTROL!$C$22, $C$13, 100%, $E$13)</f>
        <v>18.913699999999999</v>
      </c>
      <c r="J598" s="64">
        <f>11.2612 * CHOOSE(CONTROL!$C$22, $C$13, 100%, $E$13)</f>
        <v>11.261200000000001</v>
      </c>
      <c r="K598" s="64">
        <f>11.2614 * CHOOSE(CONTROL!$C$22, $C$13, 100%, $E$13)</f>
        <v>11.2614</v>
      </c>
    </row>
    <row r="599" spans="1:11" ht="15">
      <c r="A599" s="13">
        <v>59871</v>
      </c>
      <c r="B599" s="63">
        <f>9.6302 * CHOOSE(CONTROL!$C$22, $C$13, 100%, $E$13)</f>
        <v>9.6302000000000003</v>
      </c>
      <c r="C599" s="63">
        <f>9.6302 * CHOOSE(CONTROL!$C$22, $C$13, 100%, $E$13)</f>
        <v>9.6302000000000003</v>
      </c>
      <c r="D599" s="63">
        <f>9.6478 * CHOOSE(CONTROL!$C$22, $C$13, 100%, $E$13)</f>
        <v>9.6478000000000002</v>
      </c>
      <c r="E599" s="64">
        <f>11.1974 * CHOOSE(CONTROL!$C$22, $C$13, 100%, $E$13)</f>
        <v>11.1974</v>
      </c>
      <c r="F599" s="64">
        <f>11.1974 * CHOOSE(CONTROL!$C$22, $C$13, 100%, $E$13)</f>
        <v>11.1974</v>
      </c>
      <c r="G599" s="64">
        <f>11.1976 * CHOOSE(CONTROL!$C$22, $C$13, 100%, $E$13)</f>
        <v>11.1976</v>
      </c>
      <c r="H599" s="64">
        <f>18.9529* CHOOSE(CONTROL!$C$22, $C$13, 100%, $E$13)</f>
        <v>18.9529</v>
      </c>
      <c r="I599" s="64">
        <f>18.9531 * CHOOSE(CONTROL!$C$22, $C$13, 100%, $E$13)</f>
        <v>18.953099999999999</v>
      </c>
      <c r="J599" s="64">
        <f>11.1974 * CHOOSE(CONTROL!$C$22, $C$13, 100%, $E$13)</f>
        <v>11.1974</v>
      </c>
      <c r="K599" s="64">
        <f>11.1976 * CHOOSE(CONTROL!$C$22, $C$13, 100%, $E$13)</f>
        <v>11.1976</v>
      </c>
    </row>
    <row r="600" spans="1:11" ht="15">
      <c r="A600" s="13">
        <v>59902</v>
      </c>
      <c r="B600" s="63">
        <f>9.7011 * CHOOSE(CONTROL!$C$22, $C$13, 100%, $E$13)</f>
        <v>9.7011000000000003</v>
      </c>
      <c r="C600" s="63">
        <f>9.7011 * CHOOSE(CONTROL!$C$22, $C$13, 100%, $E$13)</f>
        <v>9.7011000000000003</v>
      </c>
      <c r="D600" s="63">
        <f>9.7187 * CHOOSE(CONTROL!$C$22, $C$13, 100%, $E$13)</f>
        <v>9.7187000000000001</v>
      </c>
      <c r="E600" s="64">
        <f>11.3263 * CHOOSE(CONTROL!$C$22, $C$13, 100%, $E$13)</f>
        <v>11.3263</v>
      </c>
      <c r="F600" s="64">
        <f>11.3263 * CHOOSE(CONTROL!$C$22, $C$13, 100%, $E$13)</f>
        <v>11.3263</v>
      </c>
      <c r="G600" s="64">
        <f>11.3264 * CHOOSE(CONTROL!$C$22, $C$13, 100%, $E$13)</f>
        <v>11.3264</v>
      </c>
      <c r="H600" s="64">
        <f>18.9699* CHOOSE(CONTROL!$C$22, $C$13, 100%, $E$13)</f>
        <v>18.969899999999999</v>
      </c>
      <c r="I600" s="64">
        <f>18.97 * CHOOSE(CONTROL!$C$22, $C$13, 100%, $E$13)</f>
        <v>18.97</v>
      </c>
      <c r="J600" s="64">
        <f>11.3263 * CHOOSE(CONTROL!$C$22, $C$13, 100%, $E$13)</f>
        <v>11.3263</v>
      </c>
      <c r="K600" s="64">
        <f>11.3264 * CHOOSE(CONTROL!$C$22, $C$13, 100%, $E$13)</f>
        <v>11.3264</v>
      </c>
    </row>
    <row r="601" spans="1:11" ht="15">
      <c r="A601" s="13">
        <v>59933</v>
      </c>
      <c r="B601" s="63">
        <f>9.698 * CHOOSE(CONTROL!$C$22, $C$13, 100%, $E$13)</f>
        <v>9.6980000000000004</v>
      </c>
      <c r="C601" s="63">
        <f>9.698 * CHOOSE(CONTROL!$C$22, $C$13, 100%, $E$13)</f>
        <v>9.6980000000000004</v>
      </c>
      <c r="D601" s="63">
        <f>9.7157 * CHOOSE(CONTROL!$C$22, $C$13, 100%, $E$13)</f>
        <v>9.7157</v>
      </c>
      <c r="E601" s="64">
        <f>11.2003 * CHOOSE(CONTROL!$C$22, $C$13, 100%, $E$13)</f>
        <v>11.2003</v>
      </c>
      <c r="F601" s="64">
        <f>11.2003 * CHOOSE(CONTROL!$C$22, $C$13, 100%, $E$13)</f>
        <v>11.2003</v>
      </c>
      <c r="G601" s="64">
        <f>11.2005 * CHOOSE(CONTROL!$C$22, $C$13, 100%, $E$13)</f>
        <v>11.2005</v>
      </c>
      <c r="H601" s="64">
        <f>19.0094* CHOOSE(CONTROL!$C$22, $C$13, 100%, $E$13)</f>
        <v>19.009399999999999</v>
      </c>
      <c r="I601" s="64">
        <f>19.0096 * CHOOSE(CONTROL!$C$22, $C$13, 100%, $E$13)</f>
        <v>19.009599999999999</v>
      </c>
      <c r="J601" s="64">
        <f>11.2003 * CHOOSE(CONTROL!$C$22, $C$13, 100%, $E$13)</f>
        <v>11.2003</v>
      </c>
      <c r="K601" s="64">
        <f>11.2005 * CHOOSE(CONTROL!$C$22, $C$13, 100%, $E$13)</f>
        <v>11.2005</v>
      </c>
    </row>
    <row r="602" spans="1:11" ht="15">
      <c r="A602" s="13">
        <v>59962</v>
      </c>
      <c r="B602" s="63">
        <f>9.695 * CHOOSE(CONTROL!$C$22, $C$13, 100%, $E$13)</f>
        <v>9.6950000000000003</v>
      </c>
      <c r="C602" s="63">
        <f>9.695 * CHOOSE(CONTROL!$C$22, $C$13, 100%, $E$13)</f>
        <v>9.6950000000000003</v>
      </c>
      <c r="D602" s="63">
        <f>9.7126 * CHOOSE(CONTROL!$C$22, $C$13, 100%, $E$13)</f>
        <v>9.7126000000000001</v>
      </c>
      <c r="E602" s="64">
        <f>11.2958 * CHOOSE(CONTROL!$C$22, $C$13, 100%, $E$13)</f>
        <v>11.2958</v>
      </c>
      <c r="F602" s="64">
        <f>11.2958 * CHOOSE(CONTROL!$C$22, $C$13, 100%, $E$13)</f>
        <v>11.2958</v>
      </c>
      <c r="G602" s="64">
        <f>11.296 * CHOOSE(CONTROL!$C$22, $C$13, 100%, $E$13)</f>
        <v>11.295999999999999</v>
      </c>
      <c r="H602" s="64">
        <f>19.049* CHOOSE(CONTROL!$C$22, $C$13, 100%, $E$13)</f>
        <v>19.048999999999999</v>
      </c>
      <c r="I602" s="64">
        <f>19.0492 * CHOOSE(CONTROL!$C$22, $C$13, 100%, $E$13)</f>
        <v>19.049199999999999</v>
      </c>
      <c r="J602" s="64">
        <f>11.2958 * CHOOSE(CONTROL!$C$22, $C$13, 100%, $E$13)</f>
        <v>11.2958</v>
      </c>
      <c r="K602" s="64">
        <f>11.296 * CHOOSE(CONTROL!$C$22, $C$13, 100%, $E$13)</f>
        <v>11.295999999999999</v>
      </c>
    </row>
    <row r="603" spans="1:11" ht="15">
      <c r="A603" s="13">
        <v>59993</v>
      </c>
      <c r="B603" s="63">
        <f>9.6976 * CHOOSE(CONTROL!$C$22, $C$13, 100%, $E$13)</f>
        <v>9.6975999999999996</v>
      </c>
      <c r="C603" s="63">
        <f>9.6976 * CHOOSE(CONTROL!$C$22, $C$13, 100%, $E$13)</f>
        <v>9.6975999999999996</v>
      </c>
      <c r="D603" s="63">
        <f>9.7152 * CHOOSE(CONTROL!$C$22, $C$13, 100%, $E$13)</f>
        <v>9.7151999999999994</v>
      </c>
      <c r="E603" s="64">
        <f>11.3964 * CHOOSE(CONTROL!$C$22, $C$13, 100%, $E$13)</f>
        <v>11.3964</v>
      </c>
      <c r="F603" s="64">
        <f>11.3964 * CHOOSE(CONTROL!$C$22, $C$13, 100%, $E$13)</f>
        <v>11.3964</v>
      </c>
      <c r="G603" s="64">
        <f>11.3966 * CHOOSE(CONTROL!$C$22, $C$13, 100%, $E$13)</f>
        <v>11.396599999999999</v>
      </c>
      <c r="H603" s="64">
        <f>19.0887* CHOOSE(CONTROL!$C$22, $C$13, 100%, $E$13)</f>
        <v>19.088699999999999</v>
      </c>
      <c r="I603" s="64">
        <f>19.0889 * CHOOSE(CONTROL!$C$22, $C$13, 100%, $E$13)</f>
        <v>19.088899999999999</v>
      </c>
      <c r="J603" s="64">
        <f>11.3964 * CHOOSE(CONTROL!$C$22, $C$13, 100%, $E$13)</f>
        <v>11.3964</v>
      </c>
      <c r="K603" s="64">
        <f>11.3966 * CHOOSE(CONTROL!$C$22, $C$13, 100%, $E$13)</f>
        <v>11.396599999999999</v>
      </c>
    </row>
    <row r="604" spans="1:11" ht="15">
      <c r="A604" s="13">
        <v>60023</v>
      </c>
      <c r="B604" s="63">
        <f>9.6976 * CHOOSE(CONTROL!$C$22, $C$13, 100%, $E$13)</f>
        <v>9.6975999999999996</v>
      </c>
      <c r="C604" s="63">
        <f>9.6976 * CHOOSE(CONTROL!$C$22, $C$13, 100%, $E$13)</f>
        <v>9.6975999999999996</v>
      </c>
      <c r="D604" s="63">
        <f>9.7329 * CHOOSE(CONTROL!$C$22, $C$13, 100%, $E$13)</f>
        <v>9.7329000000000008</v>
      </c>
      <c r="E604" s="64">
        <f>11.4357 * CHOOSE(CONTROL!$C$22, $C$13, 100%, $E$13)</f>
        <v>11.435700000000001</v>
      </c>
      <c r="F604" s="64">
        <f>11.4357 * CHOOSE(CONTROL!$C$22, $C$13, 100%, $E$13)</f>
        <v>11.435700000000001</v>
      </c>
      <c r="G604" s="64">
        <f>11.4379 * CHOOSE(CONTROL!$C$22, $C$13, 100%, $E$13)</f>
        <v>11.437900000000001</v>
      </c>
      <c r="H604" s="64">
        <f>19.1284* CHOOSE(CONTROL!$C$22, $C$13, 100%, $E$13)</f>
        <v>19.128399999999999</v>
      </c>
      <c r="I604" s="64">
        <f>19.1306 * CHOOSE(CONTROL!$C$22, $C$13, 100%, $E$13)</f>
        <v>19.130600000000001</v>
      </c>
      <c r="J604" s="64">
        <f>11.4357 * CHOOSE(CONTROL!$C$22, $C$13, 100%, $E$13)</f>
        <v>11.435700000000001</v>
      </c>
      <c r="K604" s="64">
        <f>11.4379 * CHOOSE(CONTROL!$C$22, $C$13, 100%, $E$13)</f>
        <v>11.437900000000001</v>
      </c>
    </row>
    <row r="605" spans="1:11" ht="15">
      <c r="A605" s="13">
        <v>60054</v>
      </c>
      <c r="B605" s="63">
        <f>9.7037 * CHOOSE(CONTROL!$C$22, $C$13, 100%, $E$13)</f>
        <v>9.7036999999999995</v>
      </c>
      <c r="C605" s="63">
        <f>9.7037 * CHOOSE(CONTROL!$C$22, $C$13, 100%, $E$13)</f>
        <v>9.7036999999999995</v>
      </c>
      <c r="D605" s="63">
        <f>9.739 * CHOOSE(CONTROL!$C$22, $C$13, 100%, $E$13)</f>
        <v>9.7390000000000008</v>
      </c>
      <c r="E605" s="64">
        <f>11.4007 * CHOOSE(CONTROL!$C$22, $C$13, 100%, $E$13)</f>
        <v>11.400700000000001</v>
      </c>
      <c r="F605" s="64">
        <f>11.4007 * CHOOSE(CONTROL!$C$22, $C$13, 100%, $E$13)</f>
        <v>11.400700000000001</v>
      </c>
      <c r="G605" s="64">
        <f>11.4028 * CHOOSE(CONTROL!$C$22, $C$13, 100%, $E$13)</f>
        <v>11.402799999999999</v>
      </c>
      <c r="H605" s="64">
        <f>19.1683* CHOOSE(CONTROL!$C$22, $C$13, 100%, $E$13)</f>
        <v>19.168299999999999</v>
      </c>
      <c r="I605" s="64">
        <f>19.1705 * CHOOSE(CONTROL!$C$22, $C$13, 100%, $E$13)</f>
        <v>19.170500000000001</v>
      </c>
      <c r="J605" s="64">
        <f>11.4007 * CHOOSE(CONTROL!$C$22, $C$13, 100%, $E$13)</f>
        <v>11.400700000000001</v>
      </c>
      <c r="K605" s="64">
        <f>11.4028 * CHOOSE(CONTROL!$C$22, $C$13, 100%, $E$13)</f>
        <v>11.402799999999999</v>
      </c>
    </row>
    <row r="606" spans="1:11" ht="15">
      <c r="A606" s="13">
        <v>60084</v>
      </c>
      <c r="B606" s="63">
        <f>9.8589 * CHOOSE(CONTROL!$C$22, $C$13, 100%, $E$13)</f>
        <v>9.8589000000000002</v>
      </c>
      <c r="C606" s="63">
        <f>9.8589 * CHOOSE(CONTROL!$C$22, $C$13, 100%, $E$13)</f>
        <v>9.8589000000000002</v>
      </c>
      <c r="D606" s="63">
        <f>9.8942 * CHOOSE(CONTROL!$C$22, $C$13, 100%, $E$13)</f>
        <v>9.8941999999999997</v>
      </c>
      <c r="E606" s="64">
        <f>11.6209 * CHOOSE(CONTROL!$C$22, $C$13, 100%, $E$13)</f>
        <v>11.620900000000001</v>
      </c>
      <c r="F606" s="64">
        <f>11.6209 * CHOOSE(CONTROL!$C$22, $C$13, 100%, $E$13)</f>
        <v>11.620900000000001</v>
      </c>
      <c r="G606" s="64">
        <f>11.6231 * CHOOSE(CONTROL!$C$22, $C$13, 100%, $E$13)</f>
        <v>11.623100000000001</v>
      </c>
      <c r="H606" s="64">
        <f>19.2082* CHOOSE(CONTROL!$C$22, $C$13, 100%, $E$13)</f>
        <v>19.208200000000001</v>
      </c>
      <c r="I606" s="64">
        <f>19.2104 * CHOOSE(CONTROL!$C$22, $C$13, 100%, $E$13)</f>
        <v>19.2104</v>
      </c>
      <c r="J606" s="64">
        <f>11.6209 * CHOOSE(CONTROL!$C$22, $C$13, 100%, $E$13)</f>
        <v>11.620900000000001</v>
      </c>
      <c r="K606" s="64">
        <f>11.6231 * CHOOSE(CONTROL!$C$22, $C$13, 100%, $E$13)</f>
        <v>11.623100000000001</v>
      </c>
    </row>
    <row r="607" spans="1:11" ht="15">
      <c r="A607" s="13">
        <v>60115</v>
      </c>
      <c r="B607" s="63">
        <f>9.8656 * CHOOSE(CONTROL!$C$22, $C$13, 100%, $E$13)</f>
        <v>9.8656000000000006</v>
      </c>
      <c r="C607" s="63">
        <f>9.8656 * CHOOSE(CONTROL!$C$22, $C$13, 100%, $E$13)</f>
        <v>9.8656000000000006</v>
      </c>
      <c r="D607" s="63">
        <f>9.9009 * CHOOSE(CONTROL!$C$22, $C$13, 100%, $E$13)</f>
        <v>9.9009</v>
      </c>
      <c r="E607" s="64">
        <f>11.5076 * CHOOSE(CONTROL!$C$22, $C$13, 100%, $E$13)</f>
        <v>11.5076</v>
      </c>
      <c r="F607" s="64">
        <f>11.5076 * CHOOSE(CONTROL!$C$22, $C$13, 100%, $E$13)</f>
        <v>11.5076</v>
      </c>
      <c r="G607" s="64">
        <f>11.5098 * CHOOSE(CONTROL!$C$22, $C$13, 100%, $E$13)</f>
        <v>11.5098</v>
      </c>
      <c r="H607" s="64">
        <f>19.2483* CHOOSE(CONTROL!$C$22, $C$13, 100%, $E$13)</f>
        <v>19.2483</v>
      </c>
      <c r="I607" s="64">
        <f>19.2504 * CHOOSE(CONTROL!$C$22, $C$13, 100%, $E$13)</f>
        <v>19.250399999999999</v>
      </c>
      <c r="J607" s="64">
        <f>11.5076 * CHOOSE(CONTROL!$C$22, $C$13, 100%, $E$13)</f>
        <v>11.5076</v>
      </c>
      <c r="K607" s="64">
        <f>11.5098 * CHOOSE(CONTROL!$C$22, $C$13, 100%, $E$13)</f>
        <v>11.5098</v>
      </c>
    </row>
    <row r="608" spans="1:11" ht="15">
      <c r="A608" s="13">
        <v>60146</v>
      </c>
      <c r="B608" s="63">
        <f>9.8626 * CHOOSE(CONTROL!$C$22, $C$13, 100%, $E$13)</f>
        <v>9.8626000000000005</v>
      </c>
      <c r="C608" s="63">
        <f>9.8626 * CHOOSE(CONTROL!$C$22, $C$13, 100%, $E$13)</f>
        <v>9.8626000000000005</v>
      </c>
      <c r="D608" s="63">
        <f>9.8979 * CHOOSE(CONTROL!$C$22, $C$13, 100%, $E$13)</f>
        <v>9.8978999999999999</v>
      </c>
      <c r="E608" s="64">
        <f>11.4924 * CHOOSE(CONTROL!$C$22, $C$13, 100%, $E$13)</f>
        <v>11.4924</v>
      </c>
      <c r="F608" s="64">
        <f>11.4924 * CHOOSE(CONTROL!$C$22, $C$13, 100%, $E$13)</f>
        <v>11.4924</v>
      </c>
      <c r="G608" s="64">
        <f>11.4946 * CHOOSE(CONTROL!$C$22, $C$13, 100%, $E$13)</f>
        <v>11.4946</v>
      </c>
      <c r="H608" s="64">
        <f>19.2884* CHOOSE(CONTROL!$C$22, $C$13, 100%, $E$13)</f>
        <v>19.288399999999999</v>
      </c>
      <c r="I608" s="64">
        <f>19.2905 * CHOOSE(CONTROL!$C$22, $C$13, 100%, $E$13)</f>
        <v>19.290500000000002</v>
      </c>
      <c r="J608" s="64">
        <f>11.4924 * CHOOSE(CONTROL!$C$22, $C$13, 100%, $E$13)</f>
        <v>11.4924</v>
      </c>
      <c r="K608" s="64">
        <f>11.4946 * CHOOSE(CONTROL!$C$22, $C$13, 100%, $E$13)</f>
        <v>11.4946</v>
      </c>
    </row>
    <row r="609" spans="1:11" ht="15">
      <c r="A609" s="13">
        <v>60176</v>
      </c>
      <c r="B609" s="63">
        <f>9.8772 * CHOOSE(CONTROL!$C$22, $C$13, 100%, $E$13)</f>
        <v>9.8772000000000002</v>
      </c>
      <c r="C609" s="63">
        <f>9.8772 * CHOOSE(CONTROL!$C$22, $C$13, 100%, $E$13)</f>
        <v>9.8772000000000002</v>
      </c>
      <c r="D609" s="63">
        <f>9.8948 * CHOOSE(CONTROL!$C$22, $C$13, 100%, $E$13)</f>
        <v>9.8948</v>
      </c>
      <c r="E609" s="64">
        <f>11.5314 * CHOOSE(CONTROL!$C$22, $C$13, 100%, $E$13)</f>
        <v>11.5314</v>
      </c>
      <c r="F609" s="64">
        <f>11.5314 * CHOOSE(CONTROL!$C$22, $C$13, 100%, $E$13)</f>
        <v>11.5314</v>
      </c>
      <c r="G609" s="64">
        <f>11.5316 * CHOOSE(CONTROL!$C$22, $C$13, 100%, $E$13)</f>
        <v>11.531599999999999</v>
      </c>
      <c r="H609" s="64">
        <f>19.3285* CHOOSE(CONTROL!$C$22, $C$13, 100%, $E$13)</f>
        <v>19.328499999999998</v>
      </c>
      <c r="I609" s="64">
        <f>19.3287 * CHOOSE(CONTROL!$C$22, $C$13, 100%, $E$13)</f>
        <v>19.328700000000001</v>
      </c>
      <c r="J609" s="64">
        <f>11.5314 * CHOOSE(CONTROL!$C$22, $C$13, 100%, $E$13)</f>
        <v>11.5314</v>
      </c>
      <c r="K609" s="64">
        <f>11.5316 * CHOOSE(CONTROL!$C$22, $C$13, 100%, $E$13)</f>
        <v>11.531599999999999</v>
      </c>
    </row>
    <row r="610" spans="1:11" ht="15">
      <c r="A610" s="13">
        <v>60207</v>
      </c>
      <c r="B610" s="63">
        <f>9.8802 * CHOOSE(CONTROL!$C$22, $C$13, 100%, $E$13)</f>
        <v>9.8802000000000003</v>
      </c>
      <c r="C610" s="63">
        <f>9.8802 * CHOOSE(CONTROL!$C$22, $C$13, 100%, $E$13)</f>
        <v>9.8802000000000003</v>
      </c>
      <c r="D610" s="63">
        <f>9.8979 * CHOOSE(CONTROL!$C$22, $C$13, 100%, $E$13)</f>
        <v>9.8978999999999999</v>
      </c>
      <c r="E610" s="64">
        <f>11.5597 * CHOOSE(CONTROL!$C$22, $C$13, 100%, $E$13)</f>
        <v>11.559699999999999</v>
      </c>
      <c r="F610" s="64">
        <f>11.5597 * CHOOSE(CONTROL!$C$22, $C$13, 100%, $E$13)</f>
        <v>11.559699999999999</v>
      </c>
      <c r="G610" s="64">
        <f>11.5599 * CHOOSE(CONTROL!$C$22, $C$13, 100%, $E$13)</f>
        <v>11.559900000000001</v>
      </c>
      <c r="H610" s="64">
        <f>19.3688* CHOOSE(CONTROL!$C$22, $C$13, 100%, $E$13)</f>
        <v>19.3688</v>
      </c>
      <c r="I610" s="64">
        <f>19.369 * CHOOSE(CONTROL!$C$22, $C$13, 100%, $E$13)</f>
        <v>19.369</v>
      </c>
      <c r="J610" s="64">
        <f>11.5597 * CHOOSE(CONTROL!$C$22, $C$13, 100%, $E$13)</f>
        <v>11.559699999999999</v>
      </c>
      <c r="K610" s="64">
        <f>11.5599 * CHOOSE(CONTROL!$C$22, $C$13, 100%, $E$13)</f>
        <v>11.559900000000001</v>
      </c>
    </row>
    <row r="611" spans="1:11" ht="15">
      <c r="A611" s="13">
        <v>60237</v>
      </c>
      <c r="B611" s="63">
        <f>9.8802 * CHOOSE(CONTROL!$C$22, $C$13, 100%, $E$13)</f>
        <v>9.8802000000000003</v>
      </c>
      <c r="C611" s="63">
        <f>9.8802 * CHOOSE(CONTROL!$C$22, $C$13, 100%, $E$13)</f>
        <v>9.8802000000000003</v>
      </c>
      <c r="D611" s="63">
        <f>9.8979 * CHOOSE(CONTROL!$C$22, $C$13, 100%, $E$13)</f>
        <v>9.8978999999999999</v>
      </c>
      <c r="E611" s="64">
        <f>11.4942 * CHOOSE(CONTROL!$C$22, $C$13, 100%, $E$13)</f>
        <v>11.494199999999999</v>
      </c>
      <c r="F611" s="64">
        <f>11.4942 * CHOOSE(CONTROL!$C$22, $C$13, 100%, $E$13)</f>
        <v>11.494199999999999</v>
      </c>
      <c r="G611" s="64">
        <f>11.4944 * CHOOSE(CONTROL!$C$22, $C$13, 100%, $E$13)</f>
        <v>11.494400000000001</v>
      </c>
      <c r="H611" s="64">
        <f>19.4092* CHOOSE(CONTROL!$C$22, $C$13, 100%, $E$13)</f>
        <v>19.409199999999998</v>
      </c>
      <c r="I611" s="64">
        <f>19.4093 * CHOOSE(CONTROL!$C$22, $C$13, 100%, $E$13)</f>
        <v>19.409300000000002</v>
      </c>
      <c r="J611" s="64">
        <f>11.4942 * CHOOSE(CONTROL!$C$22, $C$13, 100%, $E$13)</f>
        <v>11.494199999999999</v>
      </c>
      <c r="K611" s="64">
        <f>11.4944 * CHOOSE(CONTROL!$C$22, $C$13, 100%, $E$13)</f>
        <v>11.494400000000001</v>
      </c>
    </row>
    <row r="612" spans="1:11" ht="15">
      <c r="A612" s="13">
        <v>60268</v>
      </c>
      <c r="B612" s="63">
        <f>9.9464 * CHOOSE(CONTROL!$C$22, $C$13, 100%, $E$13)</f>
        <v>9.9464000000000006</v>
      </c>
      <c r="C612" s="63">
        <f>9.9464 * CHOOSE(CONTROL!$C$22, $C$13, 100%, $E$13)</f>
        <v>9.9464000000000006</v>
      </c>
      <c r="D612" s="63">
        <f>9.964 * CHOOSE(CONTROL!$C$22, $C$13, 100%, $E$13)</f>
        <v>9.9640000000000004</v>
      </c>
      <c r="E612" s="64">
        <f>11.6187 * CHOOSE(CONTROL!$C$22, $C$13, 100%, $E$13)</f>
        <v>11.6187</v>
      </c>
      <c r="F612" s="64">
        <f>11.6187 * CHOOSE(CONTROL!$C$22, $C$13, 100%, $E$13)</f>
        <v>11.6187</v>
      </c>
      <c r="G612" s="64">
        <f>11.6188 * CHOOSE(CONTROL!$C$22, $C$13, 100%, $E$13)</f>
        <v>11.6188</v>
      </c>
      <c r="H612" s="64">
        <f>19.4158* CHOOSE(CONTROL!$C$22, $C$13, 100%, $E$13)</f>
        <v>19.415800000000001</v>
      </c>
      <c r="I612" s="64">
        <f>19.4159 * CHOOSE(CONTROL!$C$22, $C$13, 100%, $E$13)</f>
        <v>19.415900000000001</v>
      </c>
      <c r="J612" s="64">
        <f>11.6187 * CHOOSE(CONTROL!$C$22, $C$13, 100%, $E$13)</f>
        <v>11.6187</v>
      </c>
      <c r="K612" s="64">
        <f>11.6188 * CHOOSE(CONTROL!$C$22, $C$13, 100%, $E$13)</f>
        <v>11.6188</v>
      </c>
    </row>
    <row r="613" spans="1:11" ht="15">
      <c r="A613" s="13">
        <v>60299</v>
      </c>
      <c r="B613" s="63">
        <f>9.9433 * CHOOSE(CONTROL!$C$22, $C$13, 100%, $E$13)</f>
        <v>9.9433000000000007</v>
      </c>
      <c r="C613" s="63">
        <f>9.9433 * CHOOSE(CONTROL!$C$22, $C$13, 100%, $E$13)</f>
        <v>9.9433000000000007</v>
      </c>
      <c r="D613" s="63">
        <f>9.961 * CHOOSE(CONTROL!$C$22, $C$13, 100%, $E$13)</f>
        <v>9.9610000000000003</v>
      </c>
      <c r="E613" s="64">
        <f>11.4895 * CHOOSE(CONTROL!$C$22, $C$13, 100%, $E$13)</f>
        <v>11.4895</v>
      </c>
      <c r="F613" s="64">
        <f>11.4895 * CHOOSE(CONTROL!$C$22, $C$13, 100%, $E$13)</f>
        <v>11.4895</v>
      </c>
      <c r="G613" s="64">
        <f>11.4897 * CHOOSE(CONTROL!$C$22, $C$13, 100%, $E$13)</f>
        <v>11.489699999999999</v>
      </c>
      <c r="H613" s="64">
        <f>19.4562* CHOOSE(CONTROL!$C$22, $C$13, 100%, $E$13)</f>
        <v>19.456199999999999</v>
      </c>
      <c r="I613" s="64">
        <f>19.4564 * CHOOSE(CONTROL!$C$22, $C$13, 100%, $E$13)</f>
        <v>19.456399999999999</v>
      </c>
      <c r="J613" s="64">
        <f>11.4895 * CHOOSE(CONTROL!$C$22, $C$13, 100%, $E$13)</f>
        <v>11.4895</v>
      </c>
      <c r="K613" s="64">
        <f>11.4897 * CHOOSE(CONTROL!$C$22, $C$13, 100%, $E$13)</f>
        <v>11.489699999999999</v>
      </c>
    </row>
    <row r="614" spans="1:11" ht="15">
      <c r="A614" s="13">
        <v>60327</v>
      </c>
      <c r="B614" s="63">
        <f>9.9403 * CHOOSE(CONTROL!$C$22, $C$13, 100%, $E$13)</f>
        <v>9.9403000000000006</v>
      </c>
      <c r="C614" s="63">
        <f>9.9403 * CHOOSE(CONTROL!$C$22, $C$13, 100%, $E$13)</f>
        <v>9.9403000000000006</v>
      </c>
      <c r="D614" s="63">
        <f>9.958 * CHOOSE(CONTROL!$C$22, $C$13, 100%, $E$13)</f>
        <v>9.9580000000000002</v>
      </c>
      <c r="E614" s="64">
        <f>11.5875 * CHOOSE(CONTROL!$C$22, $C$13, 100%, $E$13)</f>
        <v>11.5875</v>
      </c>
      <c r="F614" s="64">
        <f>11.5875 * CHOOSE(CONTROL!$C$22, $C$13, 100%, $E$13)</f>
        <v>11.5875</v>
      </c>
      <c r="G614" s="64">
        <f>11.5877 * CHOOSE(CONTROL!$C$22, $C$13, 100%, $E$13)</f>
        <v>11.5877</v>
      </c>
      <c r="H614" s="64">
        <f>19.4967* CHOOSE(CONTROL!$C$22, $C$13, 100%, $E$13)</f>
        <v>19.496700000000001</v>
      </c>
      <c r="I614" s="64">
        <f>19.4969 * CHOOSE(CONTROL!$C$22, $C$13, 100%, $E$13)</f>
        <v>19.4969</v>
      </c>
      <c r="J614" s="64">
        <f>11.5875 * CHOOSE(CONTROL!$C$22, $C$13, 100%, $E$13)</f>
        <v>11.5875</v>
      </c>
      <c r="K614" s="64">
        <f>11.5877 * CHOOSE(CONTROL!$C$22, $C$13, 100%, $E$13)</f>
        <v>11.5877</v>
      </c>
    </row>
    <row r="615" spans="1:11" ht="15">
      <c r="A615" s="13">
        <v>60358</v>
      </c>
      <c r="B615" s="63">
        <f>9.9431 * CHOOSE(CONTROL!$C$22, $C$13, 100%, $E$13)</f>
        <v>9.9430999999999994</v>
      </c>
      <c r="C615" s="63">
        <f>9.9431 * CHOOSE(CONTROL!$C$22, $C$13, 100%, $E$13)</f>
        <v>9.9430999999999994</v>
      </c>
      <c r="D615" s="63">
        <f>9.9608 * CHOOSE(CONTROL!$C$22, $C$13, 100%, $E$13)</f>
        <v>9.9608000000000008</v>
      </c>
      <c r="E615" s="64">
        <f>11.6909 * CHOOSE(CONTROL!$C$22, $C$13, 100%, $E$13)</f>
        <v>11.690899999999999</v>
      </c>
      <c r="F615" s="64">
        <f>11.6909 * CHOOSE(CONTROL!$C$22, $C$13, 100%, $E$13)</f>
        <v>11.690899999999999</v>
      </c>
      <c r="G615" s="64">
        <f>11.691 * CHOOSE(CONTROL!$C$22, $C$13, 100%, $E$13)</f>
        <v>11.691000000000001</v>
      </c>
      <c r="H615" s="64">
        <f>19.5374* CHOOSE(CONTROL!$C$22, $C$13, 100%, $E$13)</f>
        <v>19.537400000000002</v>
      </c>
      <c r="I615" s="64">
        <f>19.5375 * CHOOSE(CONTROL!$C$22, $C$13, 100%, $E$13)</f>
        <v>19.537500000000001</v>
      </c>
      <c r="J615" s="64">
        <f>11.6909 * CHOOSE(CONTROL!$C$22, $C$13, 100%, $E$13)</f>
        <v>11.690899999999999</v>
      </c>
      <c r="K615" s="64">
        <f>11.691 * CHOOSE(CONTROL!$C$22, $C$13, 100%, $E$13)</f>
        <v>11.691000000000001</v>
      </c>
    </row>
    <row r="616" spans="1:11" ht="15">
      <c r="A616" s="13">
        <v>60388</v>
      </c>
      <c r="B616" s="63">
        <f>9.9431 * CHOOSE(CONTROL!$C$22, $C$13, 100%, $E$13)</f>
        <v>9.9430999999999994</v>
      </c>
      <c r="C616" s="63">
        <f>9.9431 * CHOOSE(CONTROL!$C$22, $C$13, 100%, $E$13)</f>
        <v>9.9430999999999994</v>
      </c>
      <c r="D616" s="63">
        <f>9.9784 * CHOOSE(CONTROL!$C$22, $C$13, 100%, $E$13)</f>
        <v>9.9784000000000006</v>
      </c>
      <c r="E616" s="64">
        <f>11.7312 * CHOOSE(CONTROL!$C$22, $C$13, 100%, $E$13)</f>
        <v>11.731199999999999</v>
      </c>
      <c r="F616" s="64">
        <f>11.7312 * CHOOSE(CONTROL!$C$22, $C$13, 100%, $E$13)</f>
        <v>11.731199999999999</v>
      </c>
      <c r="G616" s="64">
        <f>11.7334 * CHOOSE(CONTROL!$C$22, $C$13, 100%, $E$13)</f>
        <v>11.7334</v>
      </c>
      <c r="H616" s="64">
        <f>19.5781* CHOOSE(CONTROL!$C$22, $C$13, 100%, $E$13)</f>
        <v>19.578099999999999</v>
      </c>
      <c r="I616" s="64">
        <f>19.5803 * CHOOSE(CONTROL!$C$22, $C$13, 100%, $E$13)</f>
        <v>19.580300000000001</v>
      </c>
      <c r="J616" s="64">
        <f>11.7312 * CHOOSE(CONTROL!$C$22, $C$13, 100%, $E$13)</f>
        <v>11.731199999999999</v>
      </c>
      <c r="K616" s="64">
        <f>11.7334 * CHOOSE(CONTROL!$C$22, $C$13, 100%, $E$13)</f>
        <v>11.7334</v>
      </c>
    </row>
    <row r="617" spans="1:11" ht="15">
      <c r="A617" s="13">
        <v>60419</v>
      </c>
      <c r="B617" s="63">
        <f>9.9492 * CHOOSE(CONTROL!$C$22, $C$13, 100%, $E$13)</f>
        <v>9.9491999999999994</v>
      </c>
      <c r="C617" s="63">
        <f>9.9492 * CHOOSE(CONTROL!$C$22, $C$13, 100%, $E$13)</f>
        <v>9.9491999999999994</v>
      </c>
      <c r="D617" s="63">
        <f>9.9845 * CHOOSE(CONTROL!$C$22, $C$13, 100%, $E$13)</f>
        <v>9.9845000000000006</v>
      </c>
      <c r="E617" s="64">
        <f>11.6951 * CHOOSE(CONTROL!$C$22, $C$13, 100%, $E$13)</f>
        <v>11.6951</v>
      </c>
      <c r="F617" s="64">
        <f>11.6951 * CHOOSE(CONTROL!$C$22, $C$13, 100%, $E$13)</f>
        <v>11.6951</v>
      </c>
      <c r="G617" s="64">
        <f>11.6973 * CHOOSE(CONTROL!$C$22, $C$13, 100%, $E$13)</f>
        <v>11.6973</v>
      </c>
      <c r="H617" s="64">
        <f>19.6189* CHOOSE(CONTROL!$C$22, $C$13, 100%, $E$13)</f>
        <v>19.6189</v>
      </c>
      <c r="I617" s="64">
        <f>19.621 * CHOOSE(CONTROL!$C$22, $C$13, 100%, $E$13)</f>
        <v>19.620999999999999</v>
      </c>
      <c r="J617" s="64">
        <f>11.6951 * CHOOSE(CONTROL!$C$22, $C$13, 100%, $E$13)</f>
        <v>11.6951</v>
      </c>
      <c r="K617" s="64">
        <f>11.6973 * CHOOSE(CONTROL!$C$22, $C$13, 100%, $E$13)</f>
        <v>11.6973</v>
      </c>
    </row>
    <row r="618" spans="1:11" ht="15">
      <c r="A618" s="13">
        <v>60449</v>
      </c>
      <c r="B618" s="63">
        <f>10.1081 * CHOOSE(CONTROL!$C$22, $C$13, 100%, $E$13)</f>
        <v>10.1081</v>
      </c>
      <c r="C618" s="63">
        <f>10.1081 * CHOOSE(CONTROL!$C$22, $C$13, 100%, $E$13)</f>
        <v>10.1081</v>
      </c>
      <c r="D618" s="63">
        <f>10.1435 * CHOOSE(CONTROL!$C$22, $C$13, 100%, $E$13)</f>
        <v>10.1435</v>
      </c>
      <c r="E618" s="64">
        <f>11.9208 * CHOOSE(CONTROL!$C$22, $C$13, 100%, $E$13)</f>
        <v>11.9208</v>
      </c>
      <c r="F618" s="64">
        <f>11.9208 * CHOOSE(CONTROL!$C$22, $C$13, 100%, $E$13)</f>
        <v>11.9208</v>
      </c>
      <c r="G618" s="64">
        <f>11.923 * CHOOSE(CONTROL!$C$22, $C$13, 100%, $E$13)</f>
        <v>11.923</v>
      </c>
      <c r="H618" s="64">
        <f>19.6597* CHOOSE(CONTROL!$C$22, $C$13, 100%, $E$13)</f>
        <v>19.659700000000001</v>
      </c>
      <c r="I618" s="64">
        <f>19.6619 * CHOOSE(CONTROL!$C$22, $C$13, 100%, $E$13)</f>
        <v>19.661899999999999</v>
      </c>
      <c r="J618" s="64">
        <f>11.9208 * CHOOSE(CONTROL!$C$22, $C$13, 100%, $E$13)</f>
        <v>11.9208</v>
      </c>
      <c r="K618" s="64">
        <f>11.923 * CHOOSE(CONTROL!$C$22, $C$13, 100%, $E$13)</f>
        <v>11.923</v>
      </c>
    </row>
    <row r="619" spans="1:11" ht="15">
      <c r="A619" s="13">
        <v>60480</v>
      </c>
      <c r="B619" s="63">
        <f>10.1148 * CHOOSE(CONTROL!$C$22, $C$13, 100%, $E$13)</f>
        <v>10.114800000000001</v>
      </c>
      <c r="C619" s="63">
        <f>10.1148 * CHOOSE(CONTROL!$C$22, $C$13, 100%, $E$13)</f>
        <v>10.114800000000001</v>
      </c>
      <c r="D619" s="63">
        <f>10.1501 * CHOOSE(CONTROL!$C$22, $C$13, 100%, $E$13)</f>
        <v>10.1501</v>
      </c>
      <c r="E619" s="64">
        <f>11.8045 * CHOOSE(CONTROL!$C$22, $C$13, 100%, $E$13)</f>
        <v>11.804500000000001</v>
      </c>
      <c r="F619" s="64">
        <f>11.8045 * CHOOSE(CONTROL!$C$22, $C$13, 100%, $E$13)</f>
        <v>11.804500000000001</v>
      </c>
      <c r="G619" s="64">
        <f>11.8066 * CHOOSE(CONTROL!$C$22, $C$13, 100%, $E$13)</f>
        <v>11.8066</v>
      </c>
      <c r="H619" s="64">
        <f>19.7007* CHOOSE(CONTROL!$C$22, $C$13, 100%, $E$13)</f>
        <v>19.700700000000001</v>
      </c>
      <c r="I619" s="64">
        <f>19.7029 * CHOOSE(CONTROL!$C$22, $C$13, 100%, $E$13)</f>
        <v>19.7029</v>
      </c>
      <c r="J619" s="64">
        <f>11.8045 * CHOOSE(CONTROL!$C$22, $C$13, 100%, $E$13)</f>
        <v>11.804500000000001</v>
      </c>
      <c r="K619" s="64">
        <f>11.8066 * CHOOSE(CONTROL!$C$22, $C$13, 100%, $E$13)</f>
        <v>11.8066</v>
      </c>
    </row>
    <row r="620" spans="1:11" ht="15">
      <c r="A620" s="13">
        <v>60511</v>
      </c>
      <c r="B620" s="63">
        <f>10.1118 * CHOOSE(CONTROL!$C$22, $C$13, 100%, $E$13)</f>
        <v>10.111800000000001</v>
      </c>
      <c r="C620" s="63">
        <f>10.1118 * CHOOSE(CONTROL!$C$22, $C$13, 100%, $E$13)</f>
        <v>10.111800000000001</v>
      </c>
      <c r="D620" s="63">
        <f>10.1471 * CHOOSE(CONTROL!$C$22, $C$13, 100%, $E$13)</f>
        <v>10.1471</v>
      </c>
      <c r="E620" s="64">
        <f>11.7889 * CHOOSE(CONTROL!$C$22, $C$13, 100%, $E$13)</f>
        <v>11.7889</v>
      </c>
      <c r="F620" s="64">
        <f>11.7889 * CHOOSE(CONTROL!$C$22, $C$13, 100%, $E$13)</f>
        <v>11.7889</v>
      </c>
      <c r="G620" s="64">
        <f>11.7911 * CHOOSE(CONTROL!$C$22, $C$13, 100%, $E$13)</f>
        <v>11.7911</v>
      </c>
      <c r="H620" s="64">
        <f>19.7417* CHOOSE(CONTROL!$C$22, $C$13, 100%, $E$13)</f>
        <v>19.741700000000002</v>
      </c>
      <c r="I620" s="64">
        <f>19.7439 * CHOOSE(CONTROL!$C$22, $C$13, 100%, $E$13)</f>
        <v>19.7439</v>
      </c>
      <c r="J620" s="64">
        <f>11.7889 * CHOOSE(CONTROL!$C$22, $C$13, 100%, $E$13)</f>
        <v>11.7889</v>
      </c>
      <c r="K620" s="64">
        <f>11.7911 * CHOOSE(CONTROL!$C$22, $C$13, 100%, $E$13)</f>
        <v>11.7911</v>
      </c>
    </row>
    <row r="621" spans="1:11" ht="15">
      <c r="A621" s="13">
        <v>60541</v>
      </c>
      <c r="B621" s="63">
        <f>10.1272 * CHOOSE(CONTROL!$C$22, $C$13, 100%, $E$13)</f>
        <v>10.1272</v>
      </c>
      <c r="C621" s="63">
        <f>10.1272 * CHOOSE(CONTROL!$C$22, $C$13, 100%, $E$13)</f>
        <v>10.1272</v>
      </c>
      <c r="D621" s="63">
        <f>10.1448 * CHOOSE(CONTROL!$C$22, $C$13, 100%, $E$13)</f>
        <v>10.1448</v>
      </c>
      <c r="E621" s="64">
        <f>11.8293 * CHOOSE(CONTROL!$C$22, $C$13, 100%, $E$13)</f>
        <v>11.8293</v>
      </c>
      <c r="F621" s="64">
        <f>11.8293 * CHOOSE(CONTROL!$C$22, $C$13, 100%, $E$13)</f>
        <v>11.8293</v>
      </c>
      <c r="G621" s="64">
        <f>11.8294 * CHOOSE(CONTROL!$C$22, $C$13, 100%, $E$13)</f>
        <v>11.8294</v>
      </c>
      <c r="H621" s="64">
        <f>19.7829* CHOOSE(CONTROL!$C$22, $C$13, 100%, $E$13)</f>
        <v>19.782900000000001</v>
      </c>
      <c r="I621" s="64">
        <f>19.783 * CHOOSE(CONTROL!$C$22, $C$13, 100%, $E$13)</f>
        <v>19.783000000000001</v>
      </c>
      <c r="J621" s="64">
        <f>11.8293 * CHOOSE(CONTROL!$C$22, $C$13, 100%, $E$13)</f>
        <v>11.8293</v>
      </c>
      <c r="K621" s="64">
        <f>11.8294 * CHOOSE(CONTROL!$C$22, $C$13, 100%, $E$13)</f>
        <v>11.8294</v>
      </c>
    </row>
    <row r="622" spans="1:11" ht="15">
      <c r="A622" s="13">
        <v>60572</v>
      </c>
      <c r="B622" s="63">
        <f>10.1302 * CHOOSE(CONTROL!$C$22, $C$13, 100%, $E$13)</f>
        <v>10.1302</v>
      </c>
      <c r="C622" s="63">
        <f>10.1302 * CHOOSE(CONTROL!$C$22, $C$13, 100%, $E$13)</f>
        <v>10.1302</v>
      </c>
      <c r="D622" s="63">
        <f>10.1479 * CHOOSE(CONTROL!$C$22, $C$13, 100%, $E$13)</f>
        <v>10.1479</v>
      </c>
      <c r="E622" s="64">
        <f>11.8583 * CHOOSE(CONTROL!$C$22, $C$13, 100%, $E$13)</f>
        <v>11.8583</v>
      </c>
      <c r="F622" s="64">
        <f>11.8583 * CHOOSE(CONTROL!$C$22, $C$13, 100%, $E$13)</f>
        <v>11.8583</v>
      </c>
      <c r="G622" s="64">
        <f>11.8584 * CHOOSE(CONTROL!$C$22, $C$13, 100%, $E$13)</f>
        <v>11.8584</v>
      </c>
      <c r="H622" s="64">
        <f>19.8241* CHOOSE(CONTROL!$C$22, $C$13, 100%, $E$13)</f>
        <v>19.824100000000001</v>
      </c>
      <c r="I622" s="64">
        <f>19.8242 * CHOOSE(CONTROL!$C$22, $C$13, 100%, $E$13)</f>
        <v>19.824200000000001</v>
      </c>
      <c r="J622" s="64">
        <f>11.8583 * CHOOSE(CONTROL!$C$22, $C$13, 100%, $E$13)</f>
        <v>11.8583</v>
      </c>
      <c r="K622" s="64">
        <f>11.8584 * CHOOSE(CONTROL!$C$22, $C$13, 100%, $E$13)</f>
        <v>11.8584</v>
      </c>
    </row>
    <row r="623" spans="1:11" ht="15">
      <c r="A623" s="13">
        <v>60602</v>
      </c>
      <c r="B623" s="63">
        <f>10.1302 * CHOOSE(CONTROL!$C$22, $C$13, 100%, $E$13)</f>
        <v>10.1302</v>
      </c>
      <c r="C623" s="63">
        <f>10.1302 * CHOOSE(CONTROL!$C$22, $C$13, 100%, $E$13)</f>
        <v>10.1302</v>
      </c>
      <c r="D623" s="63">
        <f>10.1479 * CHOOSE(CONTROL!$C$22, $C$13, 100%, $E$13)</f>
        <v>10.1479</v>
      </c>
      <c r="E623" s="64">
        <f>11.791 * CHOOSE(CONTROL!$C$22, $C$13, 100%, $E$13)</f>
        <v>11.791</v>
      </c>
      <c r="F623" s="64">
        <f>11.791 * CHOOSE(CONTROL!$C$22, $C$13, 100%, $E$13)</f>
        <v>11.791</v>
      </c>
      <c r="G623" s="64">
        <f>11.7912 * CHOOSE(CONTROL!$C$22, $C$13, 100%, $E$13)</f>
        <v>11.7912</v>
      </c>
      <c r="H623" s="64">
        <f>19.8654* CHOOSE(CONTROL!$C$22, $C$13, 100%, $E$13)</f>
        <v>19.865400000000001</v>
      </c>
      <c r="I623" s="64">
        <f>19.8655 * CHOOSE(CONTROL!$C$22, $C$13, 100%, $E$13)</f>
        <v>19.865500000000001</v>
      </c>
      <c r="J623" s="64">
        <f>11.791 * CHOOSE(CONTROL!$C$22, $C$13, 100%, $E$13)</f>
        <v>11.791</v>
      </c>
      <c r="K623" s="64">
        <f>11.7912 * CHOOSE(CONTROL!$C$22, $C$13, 100%, $E$13)</f>
        <v>11.7912</v>
      </c>
    </row>
    <row r="624" spans="1:11" ht="15">
      <c r="A624" s="13">
        <v>60633</v>
      </c>
      <c r="B624" s="63">
        <f>10.1917 * CHOOSE(CONTROL!$C$22, $C$13, 100%, $E$13)</f>
        <v>10.191700000000001</v>
      </c>
      <c r="C624" s="63">
        <f>10.1917 * CHOOSE(CONTROL!$C$22, $C$13, 100%, $E$13)</f>
        <v>10.191700000000001</v>
      </c>
      <c r="D624" s="63">
        <f>10.2094 * CHOOSE(CONTROL!$C$22, $C$13, 100%, $E$13)</f>
        <v>10.2094</v>
      </c>
      <c r="E624" s="64">
        <f>11.9111 * CHOOSE(CONTROL!$C$22, $C$13, 100%, $E$13)</f>
        <v>11.911099999999999</v>
      </c>
      <c r="F624" s="64">
        <f>11.9111 * CHOOSE(CONTROL!$C$22, $C$13, 100%, $E$13)</f>
        <v>11.911099999999999</v>
      </c>
      <c r="G624" s="64">
        <f>11.9113 * CHOOSE(CONTROL!$C$22, $C$13, 100%, $E$13)</f>
        <v>11.911300000000001</v>
      </c>
      <c r="H624" s="64">
        <f>19.8617* CHOOSE(CONTROL!$C$22, $C$13, 100%, $E$13)</f>
        <v>19.861699999999999</v>
      </c>
      <c r="I624" s="64">
        <f>19.8618 * CHOOSE(CONTROL!$C$22, $C$13, 100%, $E$13)</f>
        <v>19.861799999999999</v>
      </c>
      <c r="J624" s="64">
        <f>11.9111 * CHOOSE(CONTROL!$C$22, $C$13, 100%, $E$13)</f>
        <v>11.911099999999999</v>
      </c>
      <c r="K624" s="64">
        <f>11.9113 * CHOOSE(CONTROL!$C$22, $C$13, 100%, $E$13)</f>
        <v>11.911300000000001</v>
      </c>
    </row>
    <row r="625" spans="1:11" ht="15">
      <c r="A625" s="13">
        <v>60664</v>
      </c>
      <c r="B625" s="63">
        <f>10.1887 * CHOOSE(CONTROL!$C$22, $C$13, 100%, $E$13)</f>
        <v>10.188700000000001</v>
      </c>
      <c r="C625" s="63">
        <f>10.1887 * CHOOSE(CONTROL!$C$22, $C$13, 100%, $E$13)</f>
        <v>10.188700000000001</v>
      </c>
      <c r="D625" s="63">
        <f>10.2063 * CHOOSE(CONTROL!$C$22, $C$13, 100%, $E$13)</f>
        <v>10.206300000000001</v>
      </c>
      <c r="E625" s="64">
        <f>11.7787 * CHOOSE(CONTROL!$C$22, $C$13, 100%, $E$13)</f>
        <v>11.778700000000001</v>
      </c>
      <c r="F625" s="64">
        <f>11.7787 * CHOOSE(CONTROL!$C$22, $C$13, 100%, $E$13)</f>
        <v>11.778700000000001</v>
      </c>
      <c r="G625" s="64">
        <f>11.7789 * CHOOSE(CONTROL!$C$22, $C$13, 100%, $E$13)</f>
        <v>11.7789</v>
      </c>
      <c r="H625" s="64">
        <f>19.903* CHOOSE(CONTROL!$C$22, $C$13, 100%, $E$13)</f>
        <v>19.902999999999999</v>
      </c>
      <c r="I625" s="64">
        <f>19.9032 * CHOOSE(CONTROL!$C$22, $C$13, 100%, $E$13)</f>
        <v>19.903199999999998</v>
      </c>
      <c r="J625" s="64">
        <f>11.7787 * CHOOSE(CONTROL!$C$22, $C$13, 100%, $E$13)</f>
        <v>11.778700000000001</v>
      </c>
      <c r="K625" s="64">
        <f>11.7789 * CHOOSE(CONTROL!$C$22, $C$13, 100%, $E$13)</f>
        <v>11.7789</v>
      </c>
    </row>
    <row r="626" spans="1:11" ht="15">
      <c r="A626" s="13">
        <v>60692</v>
      </c>
      <c r="B626" s="63">
        <f>10.1856 * CHOOSE(CONTROL!$C$22, $C$13, 100%, $E$13)</f>
        <v>10.185600000000001</v>
      </c>
      <c r="C626" s="63">
        <f>10.1856 * CHOOSE(CONTROL!$C$22, $C$13, 100%, $E$13)</f>
        <v>10.185600000000001</v>
      </c>
      <c r="D626" s="63">
        <f>10.2033 * CHOOSE(CONTROL!$C$22, $C$13, 100%, $E$13)</f>
        <v>10.2033</v>
      </c>
      <c r="E626" s="64">
        <f>11.8793 * CHOOSE(CONTROL!$C$22, $C$13, 100%, $E$13)</f>
        <v>11.879300000000001</v>
      </c>
      <c r="F626" s="64">
        <f>11.8793 * CHOOSE(CONTROL!$C$22, $C$13, 100%, $E$13)</f>
        <v>11.879300000000001</v>
      </c>
      <c r="G626" s="64">
        <f>11.8794 * CHOOSE(CONTROL!$C$22, $C$13, 100%, $E$13)</f>
        <v>11.8794</v>
      </c>
      <c r="H626" s="64">
        <f>19.9445* CHOOSE(CONTROL!$C$22, $C$13, 100%, $E$13)</f>
        <v>19.944500000000001</v>
      </c>
      <c r="I626" s="64">
        <f>19.9447 * CHOOSE(CONTROL!$C$22, $C$13, 100%, $E$13)</f>
        <v>19.944700000000001</v>
      </c>
      <c r="J626" s="64">
        <f>11.8793 * CHOOSE(CONTROL!$C$22, $C$13, 100%, $E$13)</f>
        <v>11.879300000000001</v>
      </c>
      <c r="K626" s="64">
        <f>11.8794 * CHOOSE(CONTROL!$C$22, $C$13, 100%, $E$13)</f>
        <v>11.8794</v>
      </c>
    </row>
    <row r="627" spans="1:11" ht="15">
      <c r="A627" s="13">
        <v>60723</v>
      </c>
      <c r="B627" s="63">
        <f>10.1886 * CHOOSE(CONTROL!$C$22, $C$13, 100%, $E$13)</f>
        <v>10.188599999999999</v>
      </c>
      <c r="C627" s="63">
        <f>10.1886 * CHOOSE(CONTROL!$C$22, $C$13, 100%, $E$13)</f>
        <v>10.188599999999999</v>
      </c>
      <c r="D627" s="63">
        <f>10.2063 * CHOOSE(CONTROL!$C$22, $C$13, 100%, $E$13)</f>
        <v>10.206300000000001</v>
      </c>
      <c r="E627" s="64">
        <f>11.9853 * CHOOSE(CONTROL!$C$22, $C$13, 100%, $E$13)</f>
        <v>11.985300000000001</v>
      </c>
      <c r="F627" s="64">
        <f>11.9853 * CHOOSE(CONTROL!$C$22, $C$13, 100%, $E$13)</f>
        <v>11.985300000000001</v>
      </c>
      <c r="G627" s="64">
        <f>11.9855 * CHOOSE(CONTROL!$C$22, $C$13, 100%, $E$13)</f>
        <v>11.9855</v>
      </c>
      <c r="H627" s="64">
        <f>19.986* CHOOSE(CONTROL!$C$22, $C$13, 100%, $E$13)</f>
        <v>19.986000000000001</v>
      </c>
      <c r="I627" s="64">
        <f>19.9862 * CHOOSE(CONTROL!$C$22, $C$13, 100%, $E$13)</f>
        <v>19.9862</v>
      </c>
      <c r="J627" s="64">
        <f>11.9853 * CHOOSE(CONTROL!$C$22, $C$13, 100%, $E$13)</f>
        <v>11.985300000000001</v>
      </c>
      <c r="K627" s="64">
        <f>11.9855 * CHOOSE(CONTROL!$C$22, $C$13, 100%, $E$13)</f>
        <v>11.9855</v>
      </c>
    </row>
    <row r="628" spans="1:11" ht="15">
      <c r="A628" s="13">
        <v>60753</v>
      </c>
      <c r="B628" s="63">
        <f>10.1886 * CHOOSE(CONTROL!$C$22, $C$13, 100%, $E$13)</f>
        <v>10.188599999999999</v>
      </c>
      <c r="C628" s="63">
        <f>10.1886 * CHOOSE(CONTROL!$C$22, $C$13, 100%, $E$13)</f>
        <v>10.188599999999999</v>
      </c>
      <c r="D628" s="63">
        <f>10.2239 * CHOOSE(CONTROL!$C$22, $C$13, 100%, $E$13)</f>
        <v>10.2239</v>
      </c>
      <c r="E628" s="64">
        <f>12.0267 * CHOOSE(CONTROL!$C$22, $C$13, 100%, $E$13)</f>
        <v>12.0267</v>
      </c>
      <c r="F628" s="64">
        <f>12.0267 * CHOOSE(CONTROL!$C$22, $C$13, 100%, $E$13)</f>
        <v>12.0267</v>
      </c>
      <c r="G628" s="64">
        <f>12.0289 * CHOOSE(CONTROL!$C$22, $C$13, 100%, $E$13)</f>
        <v>12.0289</v>
      </c>
      <c r="H628" s="64">
        <f>20.0277* CHOOSE(CONTROL!$C$22, $C$13, 100%, $E$13)</f>
        <v>20.027699999999999</v>
      </c>
      <c r="I628" s="64">
        <f>20.0299 * CHOOSE(CONTROL!$C$22, $C$13, 100%, $E$13)</f>
        <v>20.029900000000001</v>
      </c>
      <c r="J628" s="64">
        <f>12.0267 * CHOOSE(CONTROL!$C$22, $C$13, 100%, $E$13)</f>
        <v>12.0267</v>
      </c>
      <c r="K628" s="64">
        <f>12.0289 * CHOOSE(CONTROL!$C$22, $C$13, 100%, $E$13)</f>
        <v>12.0289</v>
      </c>
    </row>
    <row r="629" spans="1:11" ht="15">
      <c r="A629" s="13">
        <v>60784</v>
      </c>
      <c r="B629" s="63">
        <f>10.1947 * CHOOSE(CONTROL!$C$22, $C$13, 100%, $E$13)</f>
        <v>10.194699999999999</v>
      </c>
      <c r="C629" s="63">
        <f>10.1947 * CHOOSE(CONTROL!$C$22, $C$13, 100%, $E$13)</f>
        <v>10.194699999999999</v>
      </c>
      <c r="D629" s="63">
        <f>10.23 * CHOOSE(CONTROL!$C$22, $C$13, 100%, $E$13)</f>
        <v>10.23</v>
      </c>
      <c r="E629" s="64">
        <f>11.9896 * CHOOSE(CONTROL!$C$22, $C$13, 100%, $E$13)</f>
        <v>11.989599999999999</v>
      </c>
      <c r="F629" s="64">
        <f>11.9896 * CHOOSE(CONTROL!$C$22, $C$13, 100%, $E$13)</f>
        <v>11.989599999999999</v>
      </c>
      <c r="G629" s="64">
        <f>11.9917 * CHOOSE(CONTROL!$C$22, $C$13, 100%, $E$13)</f>
        <v>11.9917</v>
      </c>
      <c r="H629" s="64">
        <f>20.0694* CHOOSE(CONTROL!$C$22, $C$13, 100%, $E$13)</f>
        <v>20.069400000000002</v>
      </c>
      <c r="I629" s="64">
        <f>20.0716 * CHOOSE(CONTROL!$C$22, $C$13, 100%, $E$13)</f>
        <v>20.0716</v>
      </c>
      <c r="J629" s="64">
        <f>11.9896 * CHOOSE(CONTROL!$C$22, $C$13, 100%, $E$13)</f>
        <v>11.989599999999999</v>
      </c>
      <c r="K629" s="64">
        <f>11.9917 * CHOOSE(CONTROL!$C$22, $C$13, 100%, $E$13)</f>
        <v>11.9917</v>
      </c>
    </row>
    <row r="630" spans="1:11" ht="15">
      <c r="A630" s="13">
        <v>60814</v>
      </c>
      <c r="B630" s="63">
        <f>10.3574 * CHOOSE(CONTROL!$C$22, $C$13, 100%, $E$13)</f>
        <v>10.3574</v>
      </c>
      <c r="C630" s="63">
        <f>10.3574 * CHOOSE(CONTROL!$C$22, $C$13, 100%, $E$13)</f>
        <v>10.3574</v>
      </c>
      <c r="D630" s="63">
        <f>10.3927 * CHOOSE(CONTROL!$C$22, $C$13, 100%, $E$13)</f>
        <v>10.3927</v>
      </c>
      <c r="E630" s="64">
        <f>12.2207 * CHOOSE(CONTROL!$C$22, $C$13, 100%, $E$13)</f>
        <v>12.220700000000001</v>
      </c>
      <c r="F630" s="64">
        <f>12.2207 * CHOOSE(CONTROL!$C$22, $C$13, 100%, $E$13)</f>
        <v>12.220700000000001</v>
      </c>
      <c r="G630" s="64">
        <f>12.2229 * CHOOSE(CONTROL!$C$22, $C$13, 100%, $E$13)</f>
        <v>12.222899999999999</v>
      </c>
      <c r="H630" s="64">
        <f>20.1112* CHOOSE(CONTROL!$C$22, $C$13, 100%, $E$13)</f>
        <v>20.1112</v>
      </c>
      <c r="I630" s="64">
        <f>20.1134 * CHOOSE(CONTROL!$C$22, $C$13, 100%, $E$13)</f>
        <v>20.113399999999999</v>
      </c>
      <c r="J630" s="64">
        <f>12.2207 * CHOOSE(CONTROL!$C$22, $C$13, 100%, $E$13)</f>
        <v>12.220700000000001</v>
      </c>
      <c r="K630" s="64">
        <f>12.2229 * CHOOSE(CONTROL!$C$22, $C$13, 100%, $E$13)</f>
        <v>12.222899999999999</v>
      </c>
    </row>
    <row r="631" spans="1:11" ht="15">
      <c r="A631" s="13">
        <v>60845</v>
      </c>
      <c r="B631" s="63">
        <f>10.364 * CHOOSE(CONTROL!$C$22, $C$13, 100%, $E$13)</f>
        <v>10.364000000000001</v>
      </c>
      <c r="C631" s="63">
        <f>10.364 * CHOOSE(CONTROL!$C$22, $C$13, 100%, $E$13)</f>
        <v>10.364000000000001</v>
      </c>
      <c r="D631" s="63">
        <f>10.3994 * CHOOSE(CONTROL!$C$22, $C$13, 100%, $E$13)</f>
        <v>10.3994</v>
      </c>
      <c r="E631" s="64">
        <f>12.1013 * CHOOSE(CONTROL!$C$22, $C$13, 100%, $E$13)</f>
        <v>12.1013</v>
      </c>
      <c r="F631" s="64">
        <f>12.1013 * CHOOSE(CONTROL!$C$22, $C$13, 100%, $E$13)</f>
        <v>12.1013</v>
      </c>
      <c r="G631" s="64">
        <f>12.1035 * CHOOSE(CONTROL!$C$22, $C$13, 100%, $E$13)</f>
        <v>12.1035</v>
      </c>
      <c r="H631" s="64">
        <f>20.1531* CHOOSE(CONTROL!$C$22, $C$13, 100%, $E$13)</f>
        <v>20.153099999999998</v>
      </c>
      <c r="I631" s="64">
        <f>20.1553 * CHOOSE(CONTROL!$C$22, $C$13, 100%, $E$13)</f>
        <v>20.1553</v>
      </c>
      <c r="J631" s="64">
        <f>12.1013 * CHOOSE(CONTROL!$C$22, $C$13, 100%, $E$13)</f>
        <v>12.1013</v>
      </c>
      <c r="K631" s="64">
        <f>12.1035 * CHOOSE(CONTROL!$C$22, $C$13, 100%, $E$13)</f>
        <v>12.1035</v>
      </c>
    </row>
    <row r="632" spans="1:11" ht="15">
      <c r="A632" s="13">
        <v>60876</v>
      </c>
      <c r="B632" s="63">
        <f>10.361 * CHOOSE(CONTROL!$C$22, $C$13, 100%, $E$13)</f>
        <v>10.361000000000001</v>
      </c>
      <c r="C632" s="63">
        <f>10.361 * CHOOSE(CONTROL!$C$22, $C$13, 100%, $E$13)</f>
        <v>10.361000000000001</v>
      </c>
      <c r="D632" s="63">
        <f>10.3963 * CHOOSE(CONTROL!$C$22, $C$13, 100%, $E$13)</f>
        <v>10.3963</v>
      </c>
      <c r="E632" s="64">
        <f>12.0854 * CHOOSE(CONTROL!$C$22, $C$13, 100%, $E$13)</f>
        <v>12.0854</v>
      </c>
      <c r="F632" s="64">
        <f>12.0854 * CHOOSE(CONTROL!$C$22, $C$13, 100%, $E$13)</f>
        <v>12.0854</v>
      </c>
      <c r="G632" s="64">
        <f>12.0876 * CHOOSE(CONTROL!$C$22, $C$13, 100%, $E$13)</f>
        <v>12.0876</v>
      </c>
      <c r="H632" s="64">
        <f>20.1951* CHOOSE(CONTROL!$C$22, $C$13, 100%, $E$13)</f>
        <v>20.1951</v>
      </c>
      <c r="I632" s="64">
        <f>20.1973 * CHOOSE(CONTROL!$C$22, $C$13, 100%, $E$13)</f>
        <v>20.197299999999998</v>
      </c>
      <c r="J632" s="64">
        <f>12.0854 * CHOOSE(CONTROL!$C$22, $C$13, 100%, $E$13)</f>
        <v>12.0854</v>
      </c>
      <c r="K632" s="64">
        <f>12.0876 * CHOOSE(CONTROL!$C$22, $C$13, 100%, $E$13)</f>
        <v>12.0876</v>
      </c>
    </row>
    <row r="633" spans="1:11" ht="15">
      <c r="A633" s="13">
        <v>60906</v>
      </c>
      <c r="B633" s="63">
        <f>10.3772 * CHOOSE(CONTROL!$C$22, $C$13, 100%, $E$13)</f>
        <v>10.3772</v>
      </c>
      <c r="C633" s="63">
        <f>10.3772 * CHOOSE(CONTROL!$C$22, $C$13, 100%, $E$13)</f>
        <v>10.3772</v>
      </c>
      <c r="D633" s="63">
        <f>10.3948 * CHOOSE(CONTROL!$C$22, $C$13, 100%, $E$13)</f>
        <v>10.3948</v>
      </c>
      <c r="E633" s="64">
        <f>12.1271 * CHOOSE(CONTROL!$C$22, $C$13, 100%, $E$13)</f>
        <v>12.1271</v>
      </c>
      <c r="F633" s="64">
        <f>12.1271 * CHOOSE(CONTROL!$C$22, $C$13, 100%, $E$13)</f>
        <v>12.1271</v>
      </c>
      <c r="G633" s="64">
        <f>12.1273 * CHOOSE(CONTROL!$C$22, $C$13, 100%, $E$13)</f>
        <v>12.1273</v>
      </c>
      <c r="H633" s="64">
        <f>20.2372* CHOOSE(CONTROL!$C$22, $C$13, 100%, $E$13)</f>
        <v>20.237200000000001</v>
      </c>
      <c r="I633" s="64">
        <f>20.2374 * CHOOSE(CONTROL!$C$22, $C$13, 100%, $E$13)</f>
        <v>20.237400000000001</v>
      </c>
      <c r="J633" s="64">
        <f>12.1271 * CHOOSE(CONTROL!$C$22, $C$13, 100%, $E$13)</f>
        <v>12.1271</v>
      </c>
      <c r="K633" s="64">
        <f>12.1273 * CHOOSE(CONTROL!$C$22, $C$13, 100%, $E$13)</f>
        <v>12.1273</v>
      </c>
    </row>
    <row r="634" spans="1:11" ht="15">
      <c r="A634" s="13">
        <v>60937</v>
      </c>
      <c r="B634" s="63">
        <f>10.3802 * CHOOSE(CONTROL!$C$22, $C$13, 100%, $E$13)</f>
        <v>10.3802</v>
      </c>
      <c r="C634" s="63">
        <f>10.3802 * CHOOSE(CONTROL!$C$22, $C$13, 100%, $E$13)</f>
        <v>10.3802</v>
      </c>
      <c r="D634" s="63">
        <f>10.3979 * CHOOSE(CONTROL!$C$22, $C$13, 100%, $E$13)</f>
        <v>10.3979</v>
      </c>
      <c r="E634" s="64">
        <f>12.1568 * CHOOSE(CONTROL!$C$22, $C$13, 100%, $E$13)</f>
        <v>12.1568</v>
      </c>
      <c r="F634" s="64">
        <f>12.1568 * CHOOSE(CONTROL!$C$22, $C$13, 100%, $E$13)</f>
        <v>12.1568</v>
      </c>
      <c r="G634" s="64">
        <f>12.157 * CHOOSE(CONTROL!$C$22, $C$13, 100%, $E$13)</f>
        <v>12.157</v>
      </c>
      <c r="H634" s="64">
        <f>20.2793* CHOOSE(CONTROL!$C$22, $C$13, 100%, $E$13)</f>
        <v>20.279299999999999</v>
      </c>
      <c r="I634" s="64">
        <f>20.2795 * CHOOSE(CONTROL!$C$22, $C$13, 100%, $E$13)</f>
        <v>20.279499999999999</v>
      </c>
      <c r="J634" s="64">
        <f>12.1568 * CHOOSE(CONTROL!$C$22, $C$13, 100%, $E$13)</f>
        <v>12.1568</v>
      </c>
      <c r="K634" s="64">
        <f>12.157 * CHOOSE(CONTROL!$C$22, $C$13, 100%, $E$13)</f>
        <v>12.157</v>
      </c>
    </row>
    <row r="635" spans="1:11" ht="15">
      <c r="A635" s="13">
        <v>60967</v>
      </c>
      <c r="B635" s="63">
        <f>10.3802 * CHOOSE(CONTROL!$C$22, $C$13, 100%, $E$13)</f>
        <v>10.3802</v>
      </c>
      <c r="C635" s="63">
        <f>10.3802 * CHOOSE(CONTROL!$C$22, $C$13, 100%, $E$13)</f>
        <v>10.3802</v>
      </c>
      <c r="D635" s="63">
        <f>10.3979 * CHOOSE(CONTROL!$C$22, $C$13, 100%, $E$13)</f>
        <v>10.3979</v>
      </c>
      <c r="E635" s="64">
        <f>12.0879 * CHOOSE(CONTROL!$C$22, $C$13, 100%, $E$13)</f>
        <v>12.087899999999999</v>
      </c>
      <c r="F635" s="64">
        <f>12.0879 * CHOOSE(CONTROL!$C$22, $C$13, 100%, $E$13)</f>
        <v>12.087899999999999</v>
      </c>
      <c r="G635" s="64">
        <f>12.088 * CHOOSE(CONTROL!$C$22, $C$13, 100%, $E$13)</f>
        <v>12.087999999999999</v>
      </c>
      <c r="H635" s="64">
        <f>20.3216* CHOOSE(CONTROL!$C$22, $C$13, 100%, $E$13)</f>
        <v>20.3216</v>
      </c>
      <c r="I635" s="64">
        <f>20.3218 * CHOOSE(CONTROL!$C$22, $C$13, 100%, $E$13)</f>
        <v>20.3218</v>
      </c>
      <c r="J635" s="64">
        <f>12.0879 * CHOOSE(CONTROL!$C$22, $C$13, 100%, $E$13)</f>
        <v>12.087899999999999</v>
      </c>
      <c r="K635" s="64">
        <f>12.088 * CHOOSE(CONTROL!$C$22, $C$13, 100%, $E$13)</f>
        <v>12.087999999999999</v>
      </c>
    </row>
    <row r="636" spans="1:11" ht="15">
      <c r="A636" s="13">
        <v>60998</v>
      </c>
      <c r="B636" s="63">
        <f>10.437 * CHOOSE(CONTROL!$C$22, $C$13, 100%, $E$13)</f>
        <v>10.436999999999999</v>
      </c>
      <c r="C636" s="63">
        <f>10.437 * CHOOSE(CONTROL!$C$22, $C$13, 100%, $E$13)</f>
        <v>10.436999999999999</v>
      </c>
      <c r="D636" s="63">
        <f>10.4547 * CHOOSE(CONTROL!$C$22, $C$13, 100%, $E$13)</f>
        <v>10.454700000000001</v>
      </c>
      <c r="E636" s="64">
        <f>12.2035 * CHOOSE(CONTROL!$C$22, $C$13, 100%, $E$13)</f>
        <v>12.2035</v>
      </c>
      <c r="F636" s="64">
        <f>12.2035 * CHOOSE(CONTROL!$C$22, $C$13, 100%, $E$13)</f>
        <v>12.2035</v>
      </c>
      <c r="G636" s="64">
        <f>12.2037 * CHOOSE(CONTROL!$C$22, $C$13, 100%, $E$13)</f>
        <v>12.2037</v>
      </c>
      <c r="H636" s="64">
        <f>20.3075* CHOOSE(CONTROL!$C$22, $C$13, 100%, $E$13)</f>
        <v>20.307500000000001</v>
      </c>
      <c r="I636" s="64">
        <f>20.3077 * CHOOSE(CONTROL!$C$22, $C$13, 100%, $E$13)</f>
        <v>20.307700000000001</v>
      </c>
      <c r="J636" s="64">
        <f>12.2035 * CHOOSE(CONTROL!$C$22, $C$13, 100%, $E$13)</f>
        <v>12.2035</v>
      </c>
      <c r="K636" s="64">
        <f>12.2037 * CHOOSE(CONTROL!$C$22, $C$13, 100%, $E$13)</f>
        <v>12.2037</v>
      </c>
    </row>
    <row r="637" spans="1:11" ht="15">
      <c r="A637" s="13">
        <v>61029</v>
      </c>
      <c r="B637" s="63">
        <f>10.434 * CHOOSE(CONTROL!$C$22, $C$13, 100%, $E$13)</f>
        <v>10.433999999999999</v>
      </c>
      <c r="C637" s="63">
        <f>10.434 * CHOOSE(CONTROL!$C$22, $C$13, 100%, $E$13)</f>
        <v>10.433999999999999</v>
      </c>
      <c r="D637" s="63">
        <f>10.4516 * CHOOSE(CONTROL!$C$22, $C$13, 100%, $E$13)</f>
        <v>10.451599999999999</v>
      </c>
      <c r="E637" s="64">
        <f>12.0679 * CHOOSE(CONTROL!$C$22, $C$13, 100%, $E$13)</f>
        <v>12.0679</v>
      </c>
      <c r="F637" s="64">
        <f>12.0679 * CHOOSE(CONTROL!$C$22, $C$13, 100%, $E$13)</f>
        <v>12.0679</v>
      </c>
      <c r="G637" s="64">
        <f>12.0681 * CHOOSE(CONTROL!$C$22, $C$13, 100%, $E$13)</f>
        <v>12.068099999999999</v>
      </c>
      <c r="H637" s="64">
        <f>20.3499* CHOOSE(CONTROL!$C$22, $C$13, 100%, $E$13)</f>
        <v>20.349900000000002</v>
      </c>
      <c r="I637" s="64">
        <f>20.35 * CHOOSE(CONTROL!$C$22, $C$13, 100%, $E$13)</f>
        <v>20.350000000000001</v>
      </c>
      <c r="J637" s="64">
        <f>12.0679 * CHOOSE(CONTROL!$C$22, $C$13, 100%, $E$13)</f>
        <v>12.0679</v>
      </c>
      <c r="K637" s="64">
        <f>12.0681 * CHOOSE(CONTROL!$C$22, $C$13, 100%, $E$13)</f>
        <v>12.068099999999999</v>
      </c>
    </row>
    <row r="638" spans="1:11" ht="15">
      <c r="A638" s="13">
        <v>61057</v>
      </c>
      <c r="B638" s="63">
        <f>10.4309 * CHOOSE(CONTROL!$C$22, $C$13, 100%, $E$13)</f>
        <v>10.430899999999999</v>
      </c>
      <c r="C638" s="63">
        <f>10.4309 * CHOOSE(CONTROL!$C$22, $C$13, 100%, $E$13)</f>
        <v>10.430899999999999</v>
      </c>
      <c r="D638" s="63">
        <f>10.4486 * CHOOSE(CONTROL!$C$22, $C$13, 100%, $E$13)</f>
        <v>10.448600000000001</v>
      </c>
      <c r="E638" s="64">
        <f>12.171 * CHOOSE(CONTROL!$C$22, $C$13, 100%, $E$13)</f>
        <v>12.170999999999999</v>
      </c>
      <c r="F638" s="64">
        <f>12.171 * CHOOSE(CONTROL!$C$22, $C$13, 100%, $E$13)</f>
        <v>12.170999999999999</v>
      </c>
      <c r="G638" s="64">
        <f>12.1712 * CHOOSE(CONTROL!$C$22, $C$13, 100%, $E$13)</f>
        <v>12.171200000000001</v>
      </c>
      <c r="H638" s="64">
        <f>20.3922* CHOOSE(CONTROL!$C$22, $C$13, 100%, $E$13)</f>
        <v>20.392199999999999</v>
      </c>
      <c r="I638" s="64">
        <f>20.3924 * CHOOSE(CONTROL!$C$22, $C$13, 100%, $E$13)</f>
        <v>20.392399999999999</v>
      </c>
      <c r="J638" s="64">
        <f>12.171 * CHOOSE(CONTROL!$C$22, $C$13, 100%, $E$13)</f>
        <v>12.170999999999999</v>
      </c>
      <c r="K638" s="64">
        <f>12.1712 * CHOOSE(CONTROL!$C$22, $C$13, 100%, $E$13)</f>
        <v>12.171200000000001</v>
      </c>
    </row>
    <row r="639" spans="1:11" ht="15">
      <c r="A639" s="13">
        <v>61088</v>
      </c>
      <c r="B639" s="63">
        <f>10.4341 * CHOOSE(CONTROL!$C$22, $C$13, 100%, $E$13)</f>
        <v>10.434100000000001</v>
      </c>
      <c r="C639" s="63">
        <f>10.4341 * CHOOSE(CONTROL!$C$22, $C$13, 100%, $E$13)</f>
        <v>10.434100000000001</v>
      </c>
      <c r="D639" s="63">
        <f>10.4518 * CHOOSE(CONTROL!$C$22, $C$13, 100%, $E$13)</f>
        <v>10.4518</v>
      </c>
      <c r="E639" s="64">
        <f>12.2798 * CHOOSE(CONTROL!$C$22, $C$13, 100%, $E$13)</f>
        <v>12.2798</v>
      </c>
      <c r="F639" s="64">
        <f>12.2798 * CHOOSE(CONTROL!$C$22, $C$13, 100%, $E$13)</f>
        <v>12.2798</v>
      </c>
      <c r="G639" s="64">
        <f>12.2799 * CHOOSE(CONTROL!$C$22, $C$13, 100%, $E$13)</f>
        <v>12.2799</v>
      </c>
      <c r="H639" s="64">
        <f>20.4347* CHOOSE(CONTROL!$C$22, $C$13, 100%, $E$13)</f>
        <v>20.434699999999999</v>
      </c>
      <c r="I639" s="64">
        <f>20.4349 * CHOOSE(CONTROL!$C$22, $C$13, 100%, $E$13)</f>
        <v>20.434899999999999</v>
      </c>
      <c r="J639" s="64">
        <f>12.2798 * CHOOSE(CONTROL!$C$22, $C$13, 100%, $E$13)</f>
        <v>12.2798</v>
      </c>
      <c r="K639" s="64">
        <f>12.2799 * CHOOSE(CONTROL!$C$22, $C$13, 100%, $E$13)</f>
        <v>12.2799</v>
      </c>
    </row>
    <row r="640" spans="1:11" ht="15">
      <c r="A640" s="13">
        <v>61118</v>
      </c>
      <c r="B640" s="63">
        <f>10.4341 * CHOOSE(CONTROL!$C$22, $C$13, 100%, $E$13)</f>
        <v>10.434100000000001</v>
      </c>
      <c r="C640" s="63">
        <f>10.4341 * CHOOSE(CONTROL!$C$22, $C$13, 100%, $E$13)</f>
        <v>10.434100000000001</v>
      </c>
      <c r="D640" s="63">
        <f>10.4695 * CHOOSE(CONTROL!$C$22, $C$13, 100%, $E$13)</f>
        <v>10.4695</v>
      </c>
      <c r="E640" s="64">
        <f>12.3221 * CHOOSE(CONTROL!$C$22, $C$13, 100%, $E$13)</f>
        <v>12.322100000000001</v>
      </c>
      <c r="F640" s="64">
        <f>12.3221 * CHOOSE(CONTROL!$C$22, $C$13, 100%, $E$13)</f>
        <v>12.322100000000001</v>
      </c>
      <c r="G640" s="64">
        <f>12.3243 * CHOOSE(CONTROL!$C$22, $C$13, 100%, $E$13)</f>
        <v>12.324299999999999</v>
      </c>
      <c r="H640" s="64">
        <f>20.4773* CHOOSE(CONTROL!$C$22, $C$13, 100%, $E$13)</f>
        <v>20.4773</v>
      </c>
      <c r="I640" s="64">
        <f>20.4795 * CHOOSE(CONTROL!$C$22, $C$13, 100%, $E$13)</f>
        <v>20.479500000000002</v>
      </c>
      <c r="J640" s="64">
        <f>12.3221 * CHOOSE(CONTROL!$C$22, $C$13, 100%, $E$13)</f>
        <v>12.322100000000001</v>
      </c>
      <c r="K640" s="64">
        <f>12.3243 * CHOOSE(CONTROL!$C$22, $C$13, 100%, $E$13)</f>
        <v>12.324299999999999</v>
      </c>
    </row>
    <row r="641" spans="1:11" ht="15">
      <c r="A641" s="13">
        <v>61149</v>
      </c>
      <c r="B641" s="63">
        <f>10.4402 * CHOOSE(CONTROL!$C$22, $C$13, 100%, $E$13)</f>
        <v>10.440200000000001</v>
      </c>
      <c r="C641" s="63">
        <f>10.4402 * CHOOSE(CONTROL!$C$22, $C$13, 100%, $E$13)</f>
        <v>10.440200000000001</v>
      </c>
      <c r="D641" s="63">
        <f>10.4755 * CHOOSE(CONTROL!$C$22, $C$13, 100%, $E$13)</f>
        <v>10.4755</v>
      </c>
      <c r="E641" s="64">
        <f>12.284 * CHOOSE(CONTROL!$C$22, $C$13, 100%, $E$13)</f>
        <v>12.284000000000001</v>
      </c>
      <c r="F641" s="64">
        <f>12.284 * CHOOSE(CONTROL!$C$22, $C$13, 100%, $E$13)</f>
        <v>12.284000000000001</v>
      </c>
      <c r="G641" s="64">
        <f>12.2862 * CHOOSE(CONTROL!$C$22, $C$13, 100%, $E$13)</f>
        <v>12.286199999999999</v>
      </c>
      <c r="H641" s="64">
        <f>20.52* CHOOSE(CONTROL!$C$22, $C$13, 100%, $E$13)</f>
        <v>20.52</v>
      </c>
      <c r="I641" s="64">
        <f>20.5221 * CHOOSE(CONTROL!$C$22, $C$13, 100%, $E$13)</f>
        <v>20.522099999999998</v>
      </c>
      <c r="J641" s="64">
        <f>12.284 * CHOOSE(CONTROL!$C$22, $C$13, 100%, $E$13)</f>
        <v>12.284000000000001</v>
      </c>
      <c r="K641" s="64">
        <f>12.2862 * CHOOSE(CONTROL!$C$22, $C$13, 100%, $E$13)</f>
        <v>12.286199999999999</v>
      </c>
    </row>
    <row r="642" spans="1:11" ht="15">
      <c r="A642" s="13">
        <v>61179</v>
      </c>
      <c r="B642" s="63">
        <f>10.6066 * CHOOSE(CONTROL!$C$22, $C$13, 100%, $E$13)</f>
        <v>10.6066</v>
      </c>
      <c r="C642" s="63">
        <f>10.6066 * CHOOSE(CONTROL!$C$22, $C$13, 100%, $E$13)</f>
        <v>10.6066</v>
      </c>
      <c r="D642" s="63">
        <f>10.6419 * CHOOSE(CONTROL!$C$22, $C$13, 100%, $E$13)</f>
        <v>10.6419</v>
      </c>
      <c r="E642" s="64">
        <f>12.5206 * CHOOSE(CONTROL!$C$22, $C$13, 100%, $E$13)</f>
        <v>12.5206</v>
      </c>
      <c r="F642" s="64">
        <f>12.5206 * CHOOSE(CONTROL!$C$22, $C$13, 100%, $E$13)</f>
        <v>12.5206</v>
      </c>
      <c r="G642" s="64">
        <f>12.5228 * CHOOSE(CONTROL!$C$22, $C$13, 100%, $E$13)</f>
        <v>12.5228</v>
      </c>
      <c r="H642" s="64">
        <f>20.5627* CHOOSE(CONTROL!$C$22, $C$13, 100%, $E$13)</f>
        <v>20.5627</v>
      </c>
      <c r="I642" s="64">
        <f>20.5649 * CHOOSE(CONTROL!$C$22, $C$13, 100%, $E$13)</f>
        <v>20.564900000000002</v>
      </c>
      <c r="J642" s="64">
        <f>12.5206 * CHOOSE(CONTROL!$C$22, $C$13, 100%, $E$13)</f>
        <v>12.5206</v>
      </c>
      <c r="K642" s="64">
        <f>12.5228 * CHOOSE(CONTROL!$C$22, $C$13, 100%, $E$13)</f>
        <v>12.5228</v>
      </c>
    </row>
    <row r="643" spans="1:11" ht="15">
      <c r="A643" s="13">
        <v>61210</v>
      </c>
      <c r="B643" s="63">
        <f>10.6133 * CHOOSE(CONTROL!$C$22, $C$13, 100%, $E$13)</f>
        <v>10.613300000000001</v>
      </c>
      <c r="C643" s="63">
        <f>10.6133 * CHOOSE(CONTROL!$C$22, $C$13, 100%, $E$13)</f>
        <v>10.613300000000001</v>
      </c>
      <c r="D643" s="63">
        <f>10.6486 * CHOOSE(CONTROL!$C$22, $C$13, 100%, $E$13)</f>
        <v>10.6486</v>
      </c>
      <c r="E643" s="64">
        <f>12.3981 * CHOOSE(CONTROL!$C$22, $C$13, 100%, $E$13)</f>
        <v>12.398099999999999</v>
      </c>
      <c r="F643" s="64">
        <f>12.3981 * CHOOSE(CONTROL!$C$22, $C$13, 100%, $E$13)</f>
        <v>12.398099999999999</v>
      </c>
      <c r="G643" s="64">
        <f>12.4003 * CHOOSE(CONTROL!$C$22, $C$13, 100%, $E$13)</f>
        <v>12.4003</v>
      </c>
      <c r="H643" s="64">
        <f>20.6056* CHOOSE(CONTROL!$C$22, $C$13, 100%, $E$13)</f>
        <v>20.605599999999999</v>
      </c>
      <c r="I643" s="64">
        <f>20.6077 * CHOOSE(CONTROL!$C$22, $C$13, 100%, $E$13)</f>
        <v>20.607700000000001</v>
      </c>
      <c r="J643" s="64">
        <f>12.3981 * CHOOSE(CONTROL!$C$22, $C$13, 100%, $E$13)</f>
        <v>12.398099999999999</v>
      </c>
      <c r="K643" s="64">
        <f>12.4003 * CHOOSE(CONTROL!$C$22, $C$13, 100%, $E$13)</f>
        <v>12.4003</v>
      </c>
    </row>
    <row r="644" spans="1:11" ht="15">
      <c r="A644" s="13">
        <v>61241</v>
      </c>
      <c r="B644" s="63">
        <f>10.6102 * CHOOSE(CONTROL!$C$22, $C$13, 100%, $E$13)</f>
        <v>10.610200000000001</v>
      </c>
      <c r="C644" s="63">
        <f>10.6102 * CHOOSE(CONTROL!$C$22, $C$13, 100%, $E$13)</f>
        <v>10.610200000000001</v>
      </c>
      <c r="D644" s="63">
        <f>10.6455 * CHOOSE(CONTROL!$C$22, $C$13, 100%, $E$13)</f>
        <v>10.6455</v>
      </c>
      <c r="E644" s="64">
        <f>12.3819 * CHOOSE(CONTROL!$C$22, $C$13, 100%, $E$13)</f>
        <v>12.3819</v>
      </c>
      <c r="F644" s="64">
        <f>12.3819 * CHOOSE(CONTROL!$C$22, $C$13, 100%, $E$13)</f>
        <v>12.3819</v>
      </c>
      <c r="G644" s="64">
        <f>12.3841 * CHOOSE(CONTROL!$C$22, $C$13, 100%, $E$13)</f>
        <v>12.3841</v>
      </c>
      <c r="H644" s="64">
        <f>20.6485* CHOOSE(CONTROL!$C$22, $C$13, 100%, $E$13)</f>
        <v>20.648499999999999</v>
      </c>
      <c r="I644" s="64">
        <f>20.6507 * CHOOSE(CONTROL!$C$22, $C$13, 100%, $E$13)</f>
        <v>20.650700000000001</v>
      </c>
      <c r="J644" s="64">
        <f>12.3819 * CHOOSE(CONTROL!$C$22, $C$13, 100%, $E$13)</f>
        <v>12.3819</v>
      </c>
      <c r="K644" s="64">
        <f>12.3841 * CHOOSE(CONTROL!$C$22, $C$13, 100%, $E$13)</f>
        <v>12.3841</v>
      </c>
    </row>
    <row r="645" spans="1:11" ht="15">
      <c r="A645" s="13">
        <v>61271</v>
      </c>
      <c r="B645" s="63">
        <f>10.6272 * CHOOSE(CONTROL!$C$22, $C$13, 100%, $E$13)</f>
        <v>10.6272</v>
      </c>
      <c r="C645" s="63">
        <f>10.6272 * CHOOSE(CONTROL!$C$22, $C$13, 100%, $E$13)</f>
        <v>10.6272</v>
      </c>
      <c r="D645" s="63">
        <f>10.6449 * CHOOSE(CONTROL!$C$22, $C$13, 100%, $E$13)</f>
        <v>10.6449</v>
      </c>
      <c r="E645" s="64">
        <f>12.425 * CHOOSE(CONTROL!$C$22, $C$13, 100%, $E$13)</f>
        <v>12.425000000000001</v>
      </c>
      <c r="F645" s="64">
        <f>12.425 * CHOOSE(CONTROL!$C$22, $C$13, 100%, $E$13)</f>
        <v>12.425000000000001</v>
      </c>
      <c r="G645" s="64">
        <f>12.4251 * CHOOSE(CONTROL!$C$22, $C$13, 100%, $E$13)</f>
        <v>12.4251</v>
      </c>
      <c r="H645" s="64">
        <f>20.6915* CHOOSE(CONTROL!$C$22, $C$13, 100%, $E$13)</f>
        <v>20.691500000000001</v>
      </c>
      <c r="I645" s="64">
        <f>20.6917 * CHOOSE(CONTROL!$C$22, $C$13, 100%, $E$13)</f>
        <v>20.691700000000001</v>
      </c>
      <c r="J645" s="64">
        <f>12.425 * CHOOSE(CONTROL!$C$22, $C$13, 100%, $E$13)</f>
        <v>12.425000000000001</v>
      </c>
      <c r="K645" s="64">
        <f>12.4251 * CHOOSE(CONTROL!$C$22, $C$13, 100%, $E$13)</f>
        <v>12.4251</v>
      </c>
    </row>
    <row r="646" spans="1:11" ht="15">
      <c r="A646" s="13">
        <v>61302</v>
      </c>
      <c r="B646" s="63">
        <f>10.6302 * CHOOSE(CONTROL!$C$22, $C$13, 100%, $E$13)</f>
        <v>10.6302</v>
      </c>
      <c r="C646" s="63">
        <f>10.6302 * CHOOSE(CONTROL!$C$22, $C$13, 100%, $E$13)</f>
        <v>10.6302</v>
      </c>
      <c r="D646" s="63">
        <f>10.6479 * CHOOSE(CONTROL!$C$22, $C$13, 100%, $E$13)</f>
        <v>10.6479</v>
      </c>
      <c r="E646" s="64">
        <f>12.4553 * CHOOSE(CONTROL!$C$22, $C$13, 100%, $E$13)</f>
        <v>12.455299999999999</v>
      </c>
      <c r="F646" s="64">
        <f>12.4553 * CHOOSE(CONTROL!$C$22, $C$13, 100%, $E$13)</f>
        <v>12.455299999999999</v>
      </c>
      <c r="G646" s="64">
        <f>12.4555 * CHOOSE(CONTROL!$C$22, $C$13, 100%, $E$13)</f>
        <v>12.455500000000001</v>
      </c>
      <c r="H646" s="64">
        <f>20.7346* CHOOSE(CONTROL!$C$22, $C$13, 100%, $E$13)</f>
        <v>20.7346</v>
      </c>
      <c r="I646" s="64">
        <f>20.7348 * CHOOSE(CONTROL!$C$22, $C$13, 100%, $E$13)</f>
        <v>20.7348</v>
      </c>
      <c r="J646" s="64">
        <f>12.4553 * CHOOSE(CONTROL!$C$22, $C$13, 100%, $E$13)</f>
        <v>12.455299999999999</v>
      </c>
      <c r="K646" s="64">
        <f>12.4555 * CHOOSE(CONTROL!$C$22, $C$13, 100%, $E$13)</f>
        <v>12.455500000000001</v>
      </c>
    </row>
    <row r="647" spans="1:11" ht="15">
      <c r="A647" s="13">
        <v>61332</v>
      </c>
      <c r="B647" s="63">
        <f>10.6302 * CHOOSE(CONTROL!$C$22, $C$13, 100%, $E$13)</f>
        <v>10.6302</v>
      </c>
      <c r="C647" s="63">
        <f>10.6302 * CHOOSE(CONTROL!$C$22, $C$13, 100%, $E$13)</f>
        <v>10.6302</v>
      </c>
      <c r="D647" s="63">
        <f>10.6479 * CHOOSE(CONTROL!$C$22, $C$13, 100%, $E$13)</f>
        <v>10.6479</v>
      </c>
      <c r="E647" s="64">
        <f>12.3847 * CHOOSE(CONTROL!$C$22, $C$13, 100%, $E$13)</f>
        <v>12.3847</v>
      </c>
      <c r="F647" s="64">
        <f>12.3847 * CHOOSE(CONTROL!$C$22, $C$13, 100%, $E$13)</f>
        <v>12.3847</v>
      </c>
      <c r="G647" s="64">
        <f>12.3849 * CHOOSE(CONTROL!$C$22, $C$13, 100%, $E$13)</f>
        <v>12.3849</v>
      </c>
      <c r="H647" s="64">
        <f>20.7778* CHOOSE(CONTROL!$C$22, $C$13, 100%, $E$13)</f>
        <v>20.777799999999999</v>
      </c>
      <c r="I647" s="64">
        <f>20.778 * CHOOSE(CONTROL!$C$22, $C$13, 100%, $E$13)</f>
        <v>20.777999999999999</v>
      </c>
      <c r="J647" s="64">
        <f>12.3847 * CHOOSE(CONTROL!$C$22, $C$13, 100%, $E$13)</f>
        <v>12.3847</v>
      </c>
      <c r="K647" s="64">
        <f>12.3849 * CHOOSE(CONTROL!$C$22, $C$13, 100%, $E$13)</f>
        <v>12.3849</v>
      </c>
    </row>
    <row r="648" spans="1:11" ht="15">
      <c r="A648" s="13">
        <v>61363</v>
      </c>
      <c r="B648" s="63">
        <f>10.6823 * CHOOSE(CONTROL!$C$22, $C$13, 100%, $E$13)</f>
        <v>10.6823</v>
      </c>
      <c r="C648" s="63">
        <f>10.6823 * CHOOSE(CONTROL!$C$22, $C$13, 100%, $E$13)</f>
        <v>10.6823</v>
      </c>
      <c r="D648" s="63">
        <f>10.7 * CHOOSE(CONTROL!$C$22, $C$13, 100%, $E$13)</f>
        <v>10.7</v>
      </c>
      <c r="E648" s="64">
        <f>12.4959 * CHOOSE(CONTROL!$C$22, $C$13, 100%, $E$13)</f>
        <v>12.495900000000001</v>
      </c>
      <c r="F648" s="64">
        <f>12.4959 * CHOOSE(CONTROL!$C$22, $C$13, 100%, $E$13)</f>
        <v>12.495900000000001</v>
      </c>
      <c r="G648" s="64">
        <f>12.4961 * CHOOSE(CONTROL!$C$22, $C$13, 100%, $E$13)</f>
        <v>12.4961</v>
      </c>
      <c r="H648" s="64">
        <f>20.7534* CHOOSE(CONTROL!$C$22, $C$13, 100%, $E$13)</f>
        <v>20.753399999999999</v>
      </c>
      <c r="I648" s="64">
        <f>20.7536 * CHOOSE(CONTROL!$C$22, $C$13, 100%, $E$13)</f>
        <v>20.753599999999999</v>
      </c>
      <c r="J648" s="64">
        <f>12.4959 * CHOOSE(CONTROL!$C$22, $C$13, 100%, $E$13)</f>
        <v>12.495900000000001</v>
      </c>
      <c r="K648" s="64">
        <f>12.4961 * CHOOSE(CONTROL!$C$22, $C$13, 100%, $E$13)</f>
        <v>12.4961</v>
      </c>
    </row>
    <row r="649" spans="1:11" ht="15">
      <c r="A649" s="13">
        <v>61394</v>
      </c>
      <c r="B649" s="63">
        <f>10.6793 * CHOOSE(CONTROL!$C$22, $C$13, 100%, $E$13)</f>
        <v>10.6793</v>
      </c>
      <c r="C649" s="63">
        <f>10.6793 * CHOOSE(CONTROL!$C$22, $C$13, 100%, $E$13)</f>
        <v>10.6793</v>
      </c>
      <c r="D649" s="63">
        <f>10.697 * CHOOSE(CONTROL!$C$22, $C$13, 100%, $E$13)</f>
        <v>10.696999999999999</v>
      </c>
      <c r="E649" s="64">
        <f>12.3571 * CHOOSE(CONTROL!$C$22, $C$13, 100%, $E$13)</f>
        <v>12.357100000000001</v>
      </c>
      <c r="F649" s="64">
        <f>12.3571 * CHOOSE(CONTROL!$C$22, $C$13, 100%, $E$13)</f>
        <v>12.357100000000001</v>
      </c>
      <c r="G649" s="64">
        <f>12.3573 * CHOOSE(CONTROL!$C$22, $C$13, 100%, $E$13)</f>
        <v>12.3573</v>
      </c>
      <c r="H649" s="64">
        <f>20.7967* CHOOSE(CONTROL!$C$22, $C$13, 100%, $E$13)</f>
        <v>20.796700000000001</v>
      </c>
      <c r="I649" s="64">
        <f>20.7969 * CHOOSE(CONTROL!$C$22, $C$13, 100%, $E$13)</f>
        <v>20.796900000000001</v>
      </c>
      <c r="J649" s="64">
        <f>12.3571 * CHOOSE(CONTROL!$C$22, $C$13, 100%, $E$13)</f>
        <v>12.357100000000001</v>
      </c>
      <c r="K649" s="64">
        <f>12.3573 * CHOOSE(CONTROL!$C$22, $C$13, 100%, $E$13)</f>
        <v>12.3573</v>
      </c>
    </row>
    <row r="650" spans="1:11" ht="15">
      <c r="A650" s="13">
        <v>61423</v>
      </c>
      <c r="B650" s="63">
        <f>10.6763 * CHOOSE(CONTROL!$C$22, $C$13, 100%, $E$13)</f>
        <v>10.676299999999999</v>
      </c>
      <c r="C650" s="63">
        <f>10.6763 * CHOOSE(CONTROL!$C$22, $C$13, 100%, $E$13)</f>
        <v>10.676299999999999</v>
      </c>
      <c r="D650" s="63">
        <f>10.6939 * CHOOSE(CONTROL!$C$22, $C$13, 100%, $E$13)</f>
        <v>10.693899999999999</v>
      </c>
      <c r="E650" s="64">
        <f>12.4627 * CHOOSE(CONTROL!$C$22, $C$13, 100%, $E$13)</f>
        <v>12.4627</v>
      </c>
      <c r="F650" s="64">
        <f>12.4627 * CHOOSE(CONTROL!$C$22, $C$13, 100%, $E$13)</f>
        <v>12.4627</v>
      </c>
      <c r="G650" s="64">
        <f>12.4629 * CHOOSE(CONTROL!$C$22, $C$13, 100%, $E$13)</f>
        <v>12.462899999999999</v>
      </c>
      <c r="H650" s="64">
        <f>20.84* CHOOSE(CONTROL!$C$22, $C$13, 100%, $E$13)</f>
        <v>20.84</v>
      </c>
      <c r="I650" s="64">
        <f>20.8402 * CHOOSE(CONTROL!$C$22, $C$13, 100%, $E$13)</f>
        <v>20.840199999999999</v>
      </c>
      <c r="J650" s="64">
        <f>12.4627 * CHOOSE(CONTROL!$C$22, $C$13, 100%, $E$13)</f>
        <v>12.4627</v>
      </c>
      <c r="K650" s="64">
        <f>12.4629 * CHOOSE(CONTROL!$C$22, $C$13, 100%, $E$13)</f>
        <v>12.462899999999999</v>
      </c>
    </row>
    <row r="651" spans="1:11" ht="15">
      <c r="A651" s="13">
        <v>61454</v>
      </c>
      <c r="B651" s="63">
        <f>10.6797 * CHOOSE(CONTROL!$C$22, $C$13, 100%, $E$13)</f>
        <v>10.6797</v>
      </c>
      <c r="C651" s="63">
        <f>10.6797 * CHOOSE(CONTROL!$C$22, $C$13, 100%, $E$13)</f>
        <v>10.6797</v>
      </c>
      <c r="D651" s="63">
        <f>10.6973 * CHOOSE(CONTROL!$C$22, $C$13, 100%, $E$13)</f>
        <v>10.6973</v>
      </c>
      <c r="E651" s="64">
        <f>12.5742 * CHOOSE(CONTROL!$C$22, $C$13, 100%, $E$13)</f>
        <v>12.574199999999999</v>
      </c>
      <c r="F651" s="64">
        <f>12.5742 * CHOOSE(CONTROL!$C$22, $C$13, 100%, $E$13)</f>
        <v>12.574199999999999</v>
      </c>
      <c r="G651" s="64">
        <f>12.5744 * CHOOSE(CONTROL!$C$22, $C$13, 100%, $E$13)</f>
        <v>12.574400000000001</v>
      </c>
      <c r="H651" s="64">
        <f>20.8834* CHOOSE(CONTROL!$C$22, $C$13, 100%, $E$13)</f>
        <v>20.883400000000002</v>
      </c>
      <c r="I651" s="64">
        <f>20.8836 * CHOOSE(CONTROL!$C$22, $C$13, 100%, $E$13)</f>
        <v>20.883600000000001</v>
      </c>
      <c r="J651" s="64">
        <f>12.5742 * CHOOSE(CONTROL!$C$22, $C$13, 100%, $E$13)</f>
        <v>12.574199999999999</v>
      </c>
      <c r="K651" s="64">
        <f>12.5744 * CHOOSE(CONTROL!$C$22, $C$13, 100%, $E$13)</f>
        <v>12.574400000000001</v>
      </c>
    </row>
    <row r="652" spans="1:11" ht="15">
      <c r="A652" s="13">
        <v>61484</v>
      </c>
      <c r="B652" s="63">
        <f>10.6797 * CHOOSE(CONTROL!$C$22, $C$13, 100%, $E$13)</f>
        <v>10.6797</v>
      </c>
      <c r="C652" s="63">
        <f>10.6797 * CHOOSE(CONTROL!$C$22, $C$13, 100%, $E$13)</f>
        <v>10.6797</v>
      </c>
      <c r="D652" s="63">
        <f>10.715 * CHOOSE(CONTROL!$C$22, $C$13, 100%, $E$13)</f>
        <v>10.715</v>
      </c>
      <c r="E652" s="64">
        <f>12.6176 * CHOOSE(CONTROL!$C$22, $C$13, 100%, $E$13)</f>
        <v>12.617599999999999</v>
      </c>
      <c r="F652" s="64">
        <f>12.6176 * CHOOSE(CONTROL!$C$22, $C$13, 100%, $E$13)</f>
        <v>12.617599999999999</v>
      </c>
      <c r="G652" s="64">
        <f>12.6198 * CHOOSE(CONTROL!$C$22, $C$13, 100%, $E$13)</f>
        <v>12.6198</v>
      </c>
      <c r="H652" s="64">
        <f>20.9269* CHOOSE(CONTROL!$C$22, $C$13, 100%, $E$13)</f>
        <v>20.9269</v>
      </c>
      <c r="I652" s="64">
        <f>20.9291 * CHOOSE(CONTROL!$C$22, $C$13, 100%, $E$13)</f>
        <v>20.929099999999998</v>
      </c>
      <c r="J652" s="64">
        <f>12.6176 * CHOOSE(CONTROL!$C$22, $C$13, 100%, $E$13)</f>
        <v>12.617599999999999</v>
      </c>
      <c r="K652" s="64">
        <f>12.6198 * CHOOSE(CONTROL!$C$22, $C$13, 100%, $E$13)</f>
        <v>12.6198</v>
      </c>
    </row>
    <row r="653" spans="1:11" ht="15">
      <c r="A653" s="13">
        <v>61515</v>
      </c>
      <c r="B653" s="63">
        <f>10.6858 * CHOOSE(CONTROL!$C$22, $C$13, 100%, $E$13)</f>
        <v>10.6858</v>
      </c>
      <c r="C653" s="63">
        <f>10.6858 * CHOOSE(CONTROL!$C$22, $C$13, 100%, $E$13)</f>
        <v>10.6858</v>
      </c>
      <c r="D653" s="63">
        <f>10.7211 * CHOOSE(CONTROL!$C$22, $C$13, 100%, $E$13)</f>
        <v>10.7211</v>
      </c>
      <c r="E653" s="64">
        <f>12.5784 * CHOOSE(CONTROL!$C$22, $C$13, 100%, $E$13)</f>
        <v>12.5784</v>
      </c>
      <c r="F653" s="64">
        <f>12.5784 * CHOOSE(CONTROL!$C$22, $C$13, 100%, $E$13)</f>
        <v>12.5784</v>
      </c>
      <c r="G653" s="64">
        <f>12.5806 * CHOOSE(CONTROL!$C$22, $C$13, 100%, $E$13)</f>
        <v>12.5806</v>
      </c>
      <c r="H653" s="64">
        <f>20.9705* CHOOSE(CONTROL!$C$22, $C$13, 100%, $E$13)</f>
        <v>20.970500000000001</v>
      </c>
      <c r="I653" s="64">
        <f>20.9727 * CHOOSE(CONTROL!$C$22, $C$13, 100%, $E$13)</f>
        <v>20.9727</v>
      </c>
      <c r="J653" s="64">
        <f>12.5784 * CHOOSE(CONTROL!$C$22, $C$13, 100%, $E$13)</f>
        <v>12.5784</v>
      </c>
      <c r="K653" s="64">
        <f>12.5806 * CHOOSE(CONTROL!$C$22, $C$13, 100%, $E$13)</f>
        <v>12.5806</v>
      </c>
    </row>
    <row r="654" spans="1:11" ht="15">
      <c r="A654" s="13">
        <v>61545</v>
      </c>
      <c r="B654" s="63">
        <f>10.8558 * CHOOSE(CONTROL!$C$22, $C$13, 100%, $E$13)</f>
        <v>10.8558</v>
      </c>
      <c r="C654" s="63">
        <f>10.8558 * CHOOSE(CONTROL!$C$22, $C$13, 100%, $E$13)</f>
        <v>10.8558</v>
      </c>
      <c r="D654" s="63">
        <f>10.8911 * CHOOSE(CONTROL!$C$22, $C$13, 100%, $E$13)</f>
        <v>10.8911</v>
      </c>
      <c r="E654" s="64">
        <f>12.8205 * CHOOSE(CONTROL!$C$22, $C$13, 100%, $E$13)</f>
        <v>12.820499999999999</v>
      </c>
      <c r="F654" s="64">
        <f>12.8205 * CHOOSE(CONTROL!$C$22, $C$13, 100%, $E$13)</f>
        <v>12.820499999999999</v>
      </c>
      <c r="G654" s="64">
        <f>12.8226 * CHOOSE(CONTROL!$C$22, $C$13, 100%, $E$13)</f>
        <v>12.8226</v>
      </c>
      <c r="H654" s="64">
        <f>21.0142* CHOOSE(CONTROL!$C$22, $C$13, 100%, $E$13)</f>
        <v>21.014199999999999</v>
      </c>
      <c r="I654" s="64">
        <f>21.0164 * CHOOSE(CONTROL!$C$22, $C$13, 100%, $E$13)</f>
        <v>21.016400000000001</v>
      </c>
      <c r="J654" s="64">
        <f>12.8205 * CHOOSE(CONTROL!$C$22, $C$13, 100%, $E$13)</f>
        <v>12.820499999999999</v>
      </c>
      <c r="K654" s="64">
        <f>12.8226 * CHOOSE(CONTROL!$C$22, $C$13, 100%, $E$13)</f>
        <v>12.8226</v>
      </c>
    </row>
    <row r="655" spans="1:11" ht="15">
      <c r="A655" s="13">
        <v>61576</v>
      </c>
      <c r="B655" s="63">
        <f>10.8625 * CHOOSE(CONTROL!$C$22, $C$13, 100%, $E$13)</f>
        <v>10.862500000000001</v>
      </c>
      <c r="C655" s="63">
        <f>10.8625 * CHOOSE(CONTROL!$C$22, $C$13, 100%, $E$13)</f>
        <v>10.862500000000001</v>
      </c>
      <c r="D655" s="63">
        <f>10.8978 * CHOOSE(CONTROL!$C$22, $C$13, 100%, $E$13)</f>
        <v>10.8978</v>
      </c>
      <c r="E655" s="64">
        <f>12.6949 * CHOOSE(CONTROL!$C$22, $C$13, 100%, $E$13)</f>
        <v>12.694900000000001</v>
      </c>
      <c r="F655" s="64">
        <f>12.6949 * CHOOSE(CONTROL!$C$22, $C$13, 100%, $E$13)</f>
        <v>12.694900000000001</v>
      </c>
      <c r="G655" s="64">
        <f>12.6971 * CHOOSE(CONTROL!$C$22, $C$13, 100%, $E$13)</f>
        <v>12.697100000000001</v>
      </c>
      <c r="H655" s="64">
        <f>21.058* CHOOSE(CONTROL!$C$22, $C$13, 100%, $E$13)</f>
        <v>21.058</v>
      </c>
      <c r="I655" s="64">
        <f>21.0602 * CHOOSE(CONTROL!$C$22, $C$13, 100%, $E$13)</f>
        <v>21.060199999999998</v>
      </c>
      <c r="J655" s="64">
        <f>12.6949 * CHOOSE(CONTROL!$C$22, $C$13, 100%, $E$13)</f>
        <v>12.694900000000001</v>
      </c>
      <c r="K655" s="64">
        <f>12.6971 * CHOOSE(CONTROL!$C$22, $C$13, 100%, $E$13)</f>
        <v>12.697100000000001</v>
      </c>
    </row>
    <row r="656" spans="1:11" ht="15">
      <c r="A656" s="13">
        <v>61607</v>
      </c>
      <c r="B656" s="63">
        <f>10.8594 * CHOOSE(CONTROL!$C$22, $C$13, 100%, $E$13)</f>
        <v>10.859400000000001</v>
      </c>
      <c r="C656" s="63">
        <f>10.8594 * CHOOSE(CONTROL!$C$22, $C$13, 100%, $E$13)</f>
        <v>10.859400000000001</v>
      </c>
      <c r="D656" s="63">
        <f>10.8947 * CHOOSE(CONTROL!$C$22, $C$13, 100%, $E$13)</f>
        <v>10.8947</v>
      </c>
      <c r="E656" s="64">
        <f>12.6784 * CHOOSE(CONTROL!$C$22, $C$13, 100%, $E$13)</f>
        <v>12.6784</v>
      </c>
      <c r="F656" s="64">
        <f>12.6784 * CHOOSE(CONTROL!$C$22, $C$13, 100%, $E$13)</f>
        <v>12.6784</v>
      </c>
      <c r="G656" s="64">
        <f>12.6805 * CHOOSE(CONTROL!$C$22, $C$13, 100%, $E$13)</f>
        <v>12.6805</v>
      </c>
      <c r="H656" s="64">
        <f>21.1019* CHOOSE(CONTROL!$C$22, $C$13, 100%, $E$13)</f>
        <v>21.101900000000001</v>
      </c>
      <c r="I656" s="64">
        <f>21.104 * CHOOSE(CONTROL!$C$22, $C$13, 100%, $E$13)</f>
        <v>21.103999999999999</v>
      </c>
      <c r="J656" s="64">
        <f>12.6784 * CHOOSE(CONTROL!$C$22, $C$13, 100%, $E$13)</f>
        <v>12.6784</v>
      </c>
      <c r="K656" s="64">
        <f>12.6805 * CHOOSE(CONTROL!$C$22, $C$13, 100%, $E$13)</f>
        <v>12.6805</v>
      </c>
    </row>
    <row r="657" spans="1:11" ht="15">
      <c r="A657" s="13">
        <v>61637</v>
      </c>
      <c r="B657" s="63">
        <f>10.8772 * CHOOSE(CONTROL!$C$22, $C$13, 100%, $E$13)</f>
        <v>10.8772</v>
      </c>
      <c r="C657" s="63">
        <f>10.8772 * CHOOSE(CONTROL!$C$22, $C$13, 100%, $E$13)</f>
        <v>10.8772</v>
      </c>
      <c r="D657" s="63">
        <f>10.8949 * CHOOSE(CONTROL!$C$22, $C$13, 100%, $E$13)</f>
        <v>10.8949</v>
      </c>
      <c r="E657" s="64">
        <f>12.7228 * CHOOSE(CONTROL!$C$22, $C$13, 100%, $E$13)</f>
        <v>12.722799999999999</v>
      </c>
      <c r="F657" s="64">
        <f>12.7228 * CHOOSE(CONTROL!$C$22, $C$13, 100%, $E$13)</f>
        <v>12.722799999999999</v>
      </c>
      <c r="G657" s="64">
        <f>12.723 * CHOOSE(CONTROL!$C$22, $C$13, 100%, $E$13)</f>
        <v>12.723000000000001</v>
      </c>
      <c r="H657" s="64">
        <f>21.1458* CHOOSE(CONTROL!$C$22, $C$13, 100%, $E$13)</f>
        <v>21.145800000000001</v>
      </c>
      <c r="I657" s="64">
        <f>21.146 * CHOOSE(CONTROL!$C$22, $C$13, 100%, $E$13)</f>
        <v>21.146000000000001</v>
      </c>
      <c r="J657" s="64">
        <f>12.7228 * CHOOSE(CONTROL!$C$22, $C$13, 100%, $E$13)</f>
        <v>12.722799999999999</v>
      </c>
      <c r="K657" s="64">
        <f>12.723 * CHOOSE(CONTROL!$C$22, $C$13, 100%, $E$13)</f>
        <v>12.723000000000001</v>
      </c>
    </row>
    <row r="658" spans="1:11" ht="15">
      <c r="A658" s="13">
        <v>61668</v>
      </c>
      <c r="B658" s="63">
        <f>10.8803 * CHOOSE(CONTROL!$C$22, $C$13, 100%, $E$13)</f>
        <v>10.8803</v>
      </c>
      <c r="C658" s="63">
        <f>10.8803 * CHOOSE(CONTROL!$C$22, $C$13, 100%, $E$13)</f>
        <v>10.8803</v>
      </c>
      <c r="D658" s="63">
        <f>10.8979 * CHOOSE(CONTROL!$C$22, $C$13, 100%, $E$13)</f>
        <v>10.8979</v>
      </c>
      <c r="E658" s="64">
        <f>12.7538 * CHOOSE(CONTROL!$C$22, $C$13, 100%, $E$13)</f>
        <v>12.7538</v>
      </c>
      <c r="F658" s="64">
        <f>12.7538 * CHOOSE(CONTROL!$C$22, $C$13, 100%, $E$13)</f>
        <v>12.7538</v>
      </c>
      <c r="G658" s="64">
        <f>12.754 * CHOOSE(CONTROL!$C$22, $C$13, 100%, $E$13)</f>
        <v>12.754</v>
      </c>
      <c r="H658" s="64">
        <f>21.1899* CHOOSE(CONTROL!$C$22, $C$13, 100%, $E$13)</f>
        <v>21.189900000000002</v>
      </c>
      <c r="I658" s="64">
        <f>21.1901 * CHOOSE(CONTROL!$C$22, $C$13, 100%, $E$13)</f>
        <v>21.190100000000001</v>
      </c>
      <c r="J658" s="64">
        <f>12.7538 * CHOOSE(CONTROL!$C$22, $C$13, 100%, $E$13)</f>
        <v>12.7538</v>
      </c>
      <c r="K658" s="64">
        <f>12.754 * CHOOSE(CONTROL!$C$22, $C$13, 100%, $E$13)</f>
        <v>12.754</v>
      </c>
    </row>
    <row r="659" spans="1:11" ht="15">
      <c r="A659" s="13">
        <v>61698</v>
      </c>
      <c r="B659" s="63">
        <f>10.8803 * CHOOSE(CONTROL!$C$22, $C$13, 100%, $E$13)</f>
        <v>10.8803</v>
      </c>
      <c r="C659" s="63">
        <f>10.8803 * CHOOSE(CONTROL!$C$22, $C$13, 100%, $E$13)</f>
        <v>10.8803</v>
      </c>
      <c r="D659" s="63">
        <f>10.8979 * CHOOSE(CONTROL!$C$22, $C$13, 100%, $E$13)</f>
        <v>10.8979</v>
      </c>
      <c r="E659" s="64">
        <f>12.6815 * CHOOSE(CONTROL!$C$22, $C$13, 100%, $E$13)</f>
        <v>12.6815</v>
      </c>
      <c r="F659" s="64">
        <f>12.6815 * CHOOSE(CONTROL!$C$22, $C$13, 100%, $E$13)</f>
        <v>12.6815</v>
      </c>
      <c r="G659" s="64">
        <f>12.6817 * CHOOSE(CONTROL!$C$22, $C$13, 100%, $E$13)</f>
        <v>12.681699999999999</v>
      </c>
      <c r="H659" s="64">
        <f>21.234* CHOOSE(CONTROL!$C$22, $C$13, 100%, $E$13)</f>
        <v>21.234000000000002</v>
      </c>
      <c r="I659" s="64">
        <f>21.2342 * CHOOSE(CONTROL!$C$22, $C$13, 100%, $E$13)</f>
        <v>21.234200000000001</v>
      </c>
      <c r="J659" s="64">
        <f>12.6815 * CHOOSE(CONTROL!$C$22, $C$13, 100%, $E$13)</f>
        <v>12.6815</v>
      </c>
      <c r="K659" s="64">
        <f>12.6817 * CHOOSE(CONTROL!$C$22, $C$13, 100%, $E$13)</f>
        <v>12.681699999999999</v>
      </c>
    </row>
    <row r="660" spans="1:11" ht="15">
      <c r="A660" s="13">
        <v>61729</v>
      </c>
      <c r="B660" s="63">
        <f>10.9277 * CHOOSE(CONTROL!$C$22, $C$13, 100%, $E$13)</f>
        <v>10.9277</v>
      </c>
      <c r="C660" s="63">
        <f>10.9277 * CHOOSE(CONTROL!$C$22, $C$13, 100%, $E$13)</f>
        <v>10.9277</v>
      </c>
      <c r="D660" s="63">
        <f>10.9453 * CHOOSE(CONTROL!$C$22, $C$13, 100%, $E$13)</f>
        <v>10.9453</v>
      </c>
      <c r="E660" s="64">
        <f>12.7883 * CHOOSE(CONTROL!$C$22, $C$13, 100%, $E$13)</f>
        <v>12.7883</v>
      </c>
      <c r="F660" s="64">
        <f>12.7883 * CHOOSE(CONTROL!$C$22, $C$13, 100%, $E$13)</f>
        <v>12.7883</v>
      </c>
      <c r="G660" s="64">
        <f>12.7885 * CHOOSE(CONTROL!$C$22, $C$13, 100%, $E$13)</f>
        <v>12.788500000000001</v>
      </c>
      <c r="H660" s="64">
        <f>21.1993* CHOOSE(CONTROL!$C$22, $C$13, 100%, $E$13)</f>
        <v>21.199300000000001</v>
      </c>
      <c r="I660" s="64">
        <f>21.1995 * CHOOSE(CONTROL!$C$22, $C$13, 100%, $E$13)</f>
        <v>21.1995</v>
      </c>
      <c r="J660" s="64">
        <f>12.7883 * CHOOSE(CONTROL!$C$22, $C$13, 100%, $E$13)</f>
        <v>12.7883</v>
      </c>
      <c r="K660" s="64">
        <f>12.7885 * CHOOSE(CONTROL!$C$22, $C$13, 100%, $E$13)</f>
        <v>12.788500000000001</v>
      </c>
    </row>
    <row r="661" spans="1:11" ht="15">
      <c r="A661" s="13">
        <v>61760</v>
      </c>
      <c r="B661" s="63">
        <f>10.9246 * CHOOSE(CONTROL!$C$22, $C$13, 100%, $E$13)</f>
        <v>10.9246</v>
      </c>
      <c r="C661" s="63">
        <f>10.9246 * CHOOSE(CONTROL!$C$22, $C$13, 100%, $E$13)</f>
        <v>10.9246</v>
      </c>
      <c r="D661" s="63">
        <f>10.9423 * CHOOSE(CONTROL!$C$22, $C$13, 100%, $E$13)</f>
        <v>10.942299999999999</v>
      </c>
      <c r="E661" s="64">
        <f>12.6463 * CHOOSE(CONTROL!$C$22, $C$13, 100%, $E$13)</f>
        <v>12.6463</v>
      </c>
      <c r="F661" s="64">
        <f>12.6463 * CHOOSE(CONTROL!$C$22, $C$13, 100%, $E$13)</f>
        <v>12.6463</v>
      </c>
      <c r="G661" s="64">
        <f>12.6465 * CHOOSE(CONTROL!$C$22, $C$13, 100%, $E$13)</f>
        <v>12.6465</v>
      </c>
      <c r="H661" s="64">
        <f>21.2435* CHOOSE(CONTROL!$C$22, $C$13, 100%, $E$13)</f>
        <v>21.243500000000001</v>
      </c>
      <c r="I661" s="64">
        <f>21.2437 * CHOOSE(CONTROL!$C$22, $C$13, 100%, $E$13)</f>
        <v>21.2437</v>
      </c>
      <c r="J661" s="64">
        <f>12.6463 * CHOOSE(CONTROL!$C$22, $C$13, 100%, $E$13)</f>
        <v>12.6463</v>
      </c>
      <c r="K661" s="64">
        <f>12.6465 * CHOOSE(CONTROL!$C$22, $C$13, 100%, $E$13)</f>
        <v>12.6465</v>
      </c>
    </row>
    <row r="662" spans="1:11" ht="15">
      <c r="A662" s="13">
        <v>61788</v>
      </c>
      <c r="B662" s="63">
        <f>10.9216 * CHOOSE(CONTROL!$C$22, $C$13, 100%, $E$13)</f>
        <v>10.9216</v>
      </c>
      <c r="C662" s="63">
        <f>10.9216 * CHOOSE(CONTROL!$C$22, $C$13, 100%, $E$13)</f>
        <v>10.9216</v>
      </c>
      <c r="D662" s="63">
        <f>10.9392 * CHOOSE(CONTROL!$C$22, $C$13, 100%, $E$13)</f>
        <v>10.9392</v>
      </c>
      <c r="E662" s="64">
        <f>12.7545 * CHOOSE(CONTROL!$C$22, $C$13, 100%, $E$13)</f>
        <v>12.7545</v>
      </c>
      <c r="F662" s="64">
        <f>12.7545 * CHOOSE(CONTROL!$C$22, $C$13, 100%, $E$13)</f>
        <v>12.7545</v>
      </c>
      <c r="G662" s="64">
        <f>12.7546 * CHOOSE(CONTROL!$C$22, $C$13, 100%, $E$13)</f>
        <v>12.7546</v>
      </c>
      <c r="H662" s="64">
        <f>21.2878* CHOOSE(CONTROL!$C$22, $C$13, 100%, $E$13)</f>
        <v>21.287800000000001</v>
      </c>
      <c r="I662" s="64">
        <f>21.2879 * CHOOSE(CONTROL!$C$22, $C$13, 100%, $E$13)</f>
        <v>21.2879</v>
      </c>
      <c r="J662" s="64">
        <f>12.7545 * CHOOSE(CONTROL!$C$22, $C$13, 100%, $E$13)</f>
        <v>12.7545</v>
      </c>
      <c r="K662" s="64">
        <f>12.7546 * CHOOSE(CONTROL!$C$22, $C$13, 100%, $E$13)</f>
        <v>12.7546</v>
      </c>
    </row>
    <row r="663" spans="1:11" ht="15">
      <c r="A663" s="13">
        <v>61819</v>
      </c>
      <c r="B663" s="63">
        <f>10.9252 * CHOOSE(CONTROL!$C$22, $C$13, 100%, $E$13)</f>
        <v>10.9252</v>
      </c>
      <c r="C663" s="63">
        <f>10.9252 * CHOOSE(CONTROL!$C$22, $C$13, 100%, $E$13)</f>
        <v>10.9252</v>
      </c>
      <c r="D663" s="63">
        <f>10.9429 * CHOOSE(CONTROL!$C$22, $C$13, 100%, $E$13)</f>
        <v>10.9429</v>
      </c>
      <c r="E663" s="64">
        <f>12.8687 * CHOOSE(CONTROL!$C$22, $C$13, 100%, $E$13)</f>
        <v>12.8687</v>
      </c>
      <c r="F663" s="64">
        <f>12.8687 * CHOOSE(CONTROL!$C$22, $C$13, 100%, $E$13)</f>
        <v>12.8687</v>
      </c>
      <c r="G663" s="64">
        <f>12.8688 * CHOOSE(CONTROL!$C$22, $C$13, 100%, $E$13)</f>
        <v>12.8688</v>
      </c>
      <c r="H663" s="64">
        <f>21.3321* CHOOSE(CONTROL!$C$22, $C$13, 100%, $E$13)</f>
        <v>21.332100000000001</v>
      </c>
      <c r="I663" s="64">
        <f>21.3323 * CHOOSE(CONTROL!$C$22, $C$13, 100%, $E$13)</f>
        <v>21.3323</v>
      </c>
      <c r="J663" s="64">
        <f>12.8687 * CHOOSE(CONTROL!$C$22, $C$13, 100%, $E$13)</f>
        <v>12.8687</v>
      </c>
      <c r="K663" s="64">
        <f>12.8688 * CHOOSE(CONTROL!$C$22, $C$13, 100%, $E$13)</f>
        <v>12.8688</v>
      </c>
    </row>
    <row r="664" spans="1:11" ht="15">
      <c r="A664" s="13">
        <v>61849</v>
      </c>
      <c r="B664" s="63">
        <f>10.9252 * CHOOSE(CONTROL!$C$22, $C$13, 100%, $E$13)</f>
        <v>10.9252</v>
      </c>
      <c r="C664" s="63">
        <f>10.9252 * CHOOSE(CONTROL!$C$22, $C$13, 100%, $E$13)</f>
        <v>10.9252</v>
      </c>
      <c r="D664" s="63">
        <f>10.9605 * CHOOSE(CONTROL!$C$22, $C$13, 100%, $E$13)</f>
        <v>10.9605</v>
      </c>
      <c r="E664" s="64">
        <f>12.9131 * CHOOSE(CONTROL!$C$22, $C$13, 100%, $E$13)</f>
        <v>12.9131</v>
      </c>
      <c r="F664" s="64">
        <f>12.9131 * CHOOSE(CONTROL!$C$22, $C$13, 100%, $E$13)</f>
        <v>12.9131</v>
      </c>
      <c r="G664" s="64">
        <f>12.9152 * CHOOSE(CONTROL!$C$22, $C$13, 100%, $E$13)</f>
        <v>12.9152</v>
      </c>
      <c r="H664" s="64">
        <f>21.3765* CHOOSE(CONTROL!$C$22, $C$13, 100%, $E$13)</f>
        <v>21.3765</v>
      </c>
      <c r="I664" s="64">
        <f>21.3787 * CHOOSE(CONTROL!$C$22, $C$13, 100%, $E$13)</f>
        <v>21.378699999999998</v>
      </c>
      <c r="J664" s="64">
        <f>12.9131 * CHOOSE(CONTROL!$C$22, $C$13, 100%, $E$13)</f>
        <v>12.9131</v>
      </c>
      <c r="K664" s="64">
        <f>12.9152 * CHOOSE(CONTROL!$C$22, $C$13, 100%, $E$13)</f>
        <v>12.9152</v>
      </c>
    </row>
    <row r="665" spans="1:11" ht="15">
      <c r="A665" s="13">
        <v>61880</v>
      </c>
      <c r="B665" s="63">
        <f>10.9313 * CHOOSE(CONTROL!$C$22, $C$13, 100%, $E$13)</f>
        <v>10.9313</v>
      </c>
      <c r="C665" s="63">
        <f>10.9313 * CHOOSE(CONTROL!$C$22, $C$13, 100%, $E$13)</f>
        <v>10.9313</v>
      </c>
      <c r="D665" s="63">
        <f>10.9666 * CHOOSE(CONTROL!$C$22, $C$13, 100%, $E$13)</f>
        <v>10.9666</v>
      </c>
      <c r="E665" s="64">
        <f>12.8729 * CHOOSE(CONTROL!$C$22, $C$13, 100%, $E$13)</f>
        <v>12.8729</v>
      </c>
      <c r="F665" s="64">
        <f>12.8729 * CHOOSE(CONTROL!$C$22, $C$13, 100%, $E$13)</f>
        <v>12.8729</v>
      </c>
      <c r="G665" s="64">
        <f>12.8751 * CHOOSE(CONTROL!$C$22, $C$13, 100%, $E$13)</f>
        <v>12.8751</v>
      </c>
      <c r="H665" s="64">
        <f>21.4211* CHOOSE(CONTROL!$C$22, $C$13, 100%, $E$13)</f>
        <v>21.421099999999999</v>
      </c>
      <c r="I665" s="64">
        <f>21.4233 * CHOOSE(CONTROL!$C$22, $C$13, 100%, $E$13)</f>
        <v>21.423300000000001</v>
      </c>
      <c r="J665" s="64">
        <f>12.8729 * CHOOSE(CONTROL!$C$22, $C$13, 100%, $E$13)</f>
        <v>12.8729</v>
      </c>
      <c r="K665" s="64">
        <f>12.8751 * CHOOSE(CONTROL!$C$22, $C$13, 100%, $E$13)</f>
        <v>12.8751</v>
      </c>
    </row>
    <row r="666" spans="1:11" ht="15">
      <c r="A666" s="13">
        <v>61910</v>
      </c>
      <c r="B666" s="63">
        <f>11.105 * CHOOSE(CONTROL!$C$22, $C$13, 100%, $E$13)</f>
        <v>11.105</v>
      </c>
      <c r="C666" s="63">
        <f>11.105 * CHOOSE(CONTROL!$C$22, $C$13, 100%, $E$13)</f>
        <v>11.105</v>
      </c>
      <c r="D666" s="63">
        <f>11.1403 * CHOOSE(CONTROL!$C$22, $C$13, 100%, $E$13)</f>
        <v>11.1403</v>
      </c>
      <c r="E666" s="64">
        <f>13.1203 * CHOOSE(CONTROL!$C$22, $C$13, 100%, $E$13)</f>
        <v>13.1203</v>
      </c>
      <c r="F666" s="64">
        <f>13.1203 * CHOOSE(CONTROL!$C$22, $C$13, 100%, $E$13)</f>
        <v>13.1203</v>
      </c>
      <c r="G666" s="64">
        <f>13.1225 * CHOOSE(CONTROL!$C$22, $C$13, 100%, $E$13)</f>
        <v>13.1225</v>
      </c>
      <c r="H666" s="64">
        <f>21.4657* CHOOSE(CONTROL!$C$22, $C$13, 100%, $E$13)</f>
        <v>21.465699999999998</v>
      </c>
      <c r="I666" s="64">
        <f>21.4679 * CHOOSE(CONTROL!$C$22, $C$13, 100%, $E$13)</f>
        <v>21.4679</v>
      </c>
      <c r="J666" s="64">
        <f>13.1203 * CHOOSE(CONTROL!$C$22, $C$13, 100%, $E$13)</f>
        <v>13.1203</v>
      </c>
      <c r="K666" s="64">
        <f>13.1225 * CHOOSE(CONTROL!$C$22, $C$13, 100%, $E$13)</f>
        <v>13.1225</v>
      </c>
    </row>
    <row r="667" spans="1:11" ht="15">
      <c r="A667" s="13">
        <v>61941</v>
      </c>
      <c r="B667" s="63">
        <f>11.1117 * CHOOSE(CONTROL!$C$22, $C$13, 100%, $E$13)</f>
        <v>11.111700000000001</v>
      </c>
      <c r="C667" s="63">
        <f>11.1117 * CHOOSE(CONTROL!$C$22, $C$13, 100%, $E$13)</f>
        <v>11.111700000000001</v>
      </c>
      <c r="D667" s="63">
        <f>11.147 * CHOOSE(CONTROL!$C$22, $C$13, 100%, $E$13)</f>
        <v>11.147</v>
      </c>
      <c r="E667" s="64">
        <f>12.9918 * CHOOSE(CONTROL!$C$22, $C$13, 100%, $E$13)</f>
        <v>12.9918</v>
      </c>
      <c r="F667" s="64">
        <f>12.9918 * CHOOSE(CONTROL!$C$22, $C$13, 100%, $E$13)</f>
        <v>12.9918</v>
      </c>
      <c r="G667" s="64">
        <f>12.994 * CHOOSE(CONTROL!$C$22, $C$13, 100%, $E$13)</f>
        <v>12.994</v>
      </c>
      <c r="H667" s="64">
        <f>21.5104* CHOOSE(CONTROL!$C$22, $C$13, 100%, $E$13)</f>
        <v>21.510400000000001</v>
      </c>
      <c r="I667" s="64">
        <f>21.5126 * CHOOSE(CONTROL!$C$22, $C$13, 100%, $E$13)</f>
        <v>21.512599999999999</v>
      </c>
      <c r="J667" s="64">
        <f>12.9918 * CHOOSE(CONTROL!$C$22, $C$13, 100%, $E$13)</f>
        <v>12.9918</v>
      </c>
      <c r="K667" s="64">
        <f>12.994 * CHOOSE(CONTROL!$C$22, $C$13, 100%, $E$13)</f>
        <v>12.994</v>
      </c>
    </row>
    <row r="668" spans="1:11" ht="15">
      <c r="A668" s="13">
        <v>61972</v>
      </c>
      <c r="B668" s="63">
        <f>11.1087 * CHOOSE(CONTROL!$C$22, $C$13, 100%, $E$13)</f>
        <v>11.108700000000001</v>
      </c>
      <c r="C668" s="63">
        <f>11.1087 * CHOOSE(CONTROL!$C$22, $C$13, 100%, $E$13)</f>
        <v>11.108700000000001</v>
      </c>
      <c r="D668" s="63">
        <f>11.144 * CHOOSE(CONTROL!$C$22, $C$13, 100%, $E$13)</f>
        <v>11.144</v>
      </c>
      <c r="E668" s="64">
        <f>12.9749 * CHOOSE(CONTROL!$C$22, $C$13, 100%, $E$13)</f>
        <v>12.9749</v>
      </c>
      <c r="F668" s="64">
        <f>12.9749 * CHOOSE(CONTROL!$C$22, $C$13, 100%, $E$13)</f>
        <v>12.9749</v>
      </c>
      <c r="G668" s="64">
        <f>12.977 * CHOOSE(CONTROL!$C$22, $C$13, 100%, $E$13)</f>
        <v>12.977</v>
      </c>
      <c r="H668" s="64">
        <f>21.5552* CHOOSE(CONTROL!$C$22, $C$13, 100%, $E$13)</f>
        <v>21.555199999999999</v>
      </c>
      <c r="I668" s="64">
        <f>21.5574 * CHOOSE(CONTROL!$C$22, $C$13, 100%, $E$13)</f>
        <v>21.557400000000001</v>
      </c>
      <c r="J668" s="64">
        <f>12.9749 * CHOOSE(CONTROL!$C$22, $C$13, 100%, $E$13)</f>
        <v>12.9749</v>
      </c>
      <c r="K668" s="64">
        <f>12.977 * CHOOSE(CONTROL!$C$22, $C$13, 100%, $E$13)</f>
        <v>12.977</v>
      </c>
    </row>
    <row r="669" spans="1:11" ht="15">
      <c r="A669" s="13">
        <v>62002</v>
      </c>
      <c r="B669" s="63">
        <f>11.1272 * CHOOSE(CONTROL!$C$22, $C$13, 100%, $E$13)</f>
        <v>11.1272</v>
      </c>
      <c r="C669" s="63">
        <f>11.1272 * CHOOSE(CONTROL!$C$22, $C$13, 100%, $E$13)</f>
        <v>11.1272</v>
      </c>
      <c r="D669" s="63">
        <f>11.1449 * CHOOSE(CONTROL!$C$22, $C$13, 100%, $E$13)</f>
        <v>11.1449</v>
      </c>
      <c r="E669" s="64">
        <f>13.0206 * CHOOSE(CONTROL!$C$22, $C$13, 100%, $E$13)</f>
        <v>13.0206</v>
      </c>
      <c r="F669" s="64">
        <f>13.0206 * CHOOSE(CONTROL!$C$22, $C$13, 100%, $E$13)</f>
        <v>13.0206</v>
      </c>
      <c r="G669" s="64">
        <f>13.0208 * CHOOSE(CONTROL!$C$22, $C$13, 100%, $E$13)</f>
        <v>13.020799999999999</v>
      </c>
      <c r="H669" s="64">
        <f>21.6001* CHOOSE(CONTROL!$C$22, $C$13, 100%, $E$13)</f>
        <v>21.600100000000001</v>
      </c>
      <c r="I669" s="64">
        <f>21.6003 * CHOOSE(CONTROL!$C$22, $C$13, 100%, $E$13)</f>
        <v>21.600300000000001</v>
      </c>
      <c r="J669" s="64">
        <f>13.0206 * CHOOSE(CONTROL!$C$22, $C$13, 100%, $E$13)</f>
        <v>13.0206</v>
      </c>
      <c r="K669" s="64">
        <f>13.0208 * CHOOSE(CONTROL!$C$22, $C$13, 100%, $E$13)</f>
        <v>13.020799999999999</v>
      </c>
    </row>
    <row r="670" spans="1:11" ht="15">
      <c r="A670" s="13">
        <v>62033</v>
      </c>
      <c r="B670" s="63">
        <f>11.1303 * CHOOSE(CONTROL!$C$22, $C$13, 100%, $E$13)</f>
        <v>11.1303</v>
      </c>
      <c r="C670" s="63">
        <f>11.1303 * CHOOSE(CONTROL!$C$22, $C$13, 100%, $E$13)</f>
        <v>11.1303</v>
      </c>
      <c r="D670" s="63">
        <f>11.1479 * CHOOSE(CONTROL!$C$22, $C$13, 100%, $E$13)</f>
        <v>11.1479</v>
      </c>
      <c r="E670" s="64">
        <f>13.0524 * CHOOSE(CONTROL!$C$22, $C$13, 100%, $E$13)</f>
        <v>13.0524</v>
      </c>
      <c r="F670" s="64">
        <f>13.0524 * CHOOSE(CONTROL!$C$22, $C$13, 100%, $E$13)</f>
        <v>13.0524</v>
      </c>
      <c r="G670" s="64">
        <f>13.0525 * CHOOSE(CONTROL!$C$22, $C$13, 100%, $E$13)</f>
        <v>13.0525</v>
      </c>
      <c r="H670" s="64">
        <f>21.6451* CHOOSE(CONTROL!$C$22, $C$13, 100%, $E$13)</f>
        <v>21.645099999999999</v>
      </c>
      <c r="I670" s="64">
        <f>21.6453 * CHOOSE(CONTROL!$C$22, $C$13, 100%, $E$13)</f>
        <v>21.645299999999999</v>
      </c>
      <c r="J670" s="64">
        <f>13.0524 * CHOOSE(CONTROL!$C$22, $C$13, 100%, $E$13)</f>
        <v>13.0524</v>
      </c>
      <c r="K670" s="64">
        <f>13.0525 * CHOOSE(CONTROL!$C$22, $C$13, 100%, $E$13)</f>
        <v>13.0525</v>
      </c>
    </row>
    <row r="671" spans="1:11" ht="15">
      <c r="A671" s="13">
        <v>62063</v>
      </c>
      <c r="B671" s="63">
        <f>11.1303 * CHOOSE(CONTROL!$C$22, $C$13, 100%, $E$13)</f>
        <v>11.1303</v>
      </c>
      <c r="C671" s="63">
        <f>11.1303 * CHOOSE(CONTROL!$C$22, $C$13, 100%, $E$13)</f>
        <v>11.1303</v>
      </c>
      <c r="D671" s="63">
        <f>11.1479 * CHOOSE(CONTROL!$C$22, $C$13, 100%, $E$13)</f>
        <v>11.1479</v>
      </c>
      <c r="E671" s="64">
        <f>12.9784 * CHOOSE(CONTROL!$C$22, $C$13, 100%, $E$13)</f>
        <v>12.978400000000001</v>
      </c>
      <c r="F671" s="64">
        <f>12.9784 * CHOOSE(CONTROL!$C$22, $C$13, 100%, $E$13)</f>
        <v>12.978400000000001</v>
      </c>
      <c r="G671" s="64">
        <f>12.9785 * CHOOSE(CONTROL!$C$22, $C$13, 100%, $E$13)</f>
        <v>12.9785</v>
      </c>
      <c r="H671" s="64">
        <f>21.6902* CHOOSE(CONTROL!$C$22, $C$13, 100%, $E$13)</f>
        <v>21.690200000000001</v>
      </c>
      <c r="I671" s="64">
        <f>21.6904 * CHOOSE(CONTROL!$C$22, $C$13, 100%, $E$13)</f>
        <v>21.6904</v>
      </c>
      <c r="J671" s="64">
        <f>12.9784 * CHOOSE(CONTROL!$C$22, $C$13, 100%, $E$13)</f>
        <v>12.978400000000001</v>
      </c>
      <c r="K671" s="64">
        <f>12.9785 * CHOOSE(CONTROL!$C$22, $C$13, 100%, $E$13)</f>
        <v>12.9785</v>
      </c>
    </row>
    <row r="672" spans="1:11" ht="15">
      <c r="A672" s="13">
        <v>62094</v>
      </c>
      <c r="B672" s="63">
        <f>11.173 * CHOOSE(CONTROL!$C$22, $C$13, 100%, $E$13)</f>
        <v>11.173</v>
      </c>
      <c r="C672" s="63">
        <f>11.173 * CHOOSE(CONTROL!$C$22, $C$13, 100%, $E$13)</f>
        <v>11.173</v>
      </c>
      <c r="D672" s="63">
        <f>11.1906 * CHOOSE(CONTROL!$C$22, $C$13, 100%, $E$13)</f>
        <v>11.1906</v>
      </c>
      <c r="E672" s="64">
        <f>13.0807 * CHOOSE(CONTROL!$C$22, $C$13, 100%, $E$13)</f>
        <v>13.0807</v>
      </c>
      <c r="F672" s="64">
        <f>13.0807 * CHOOSE(CONTROL!$C$22, $C$13, 100%, $E$13)</f>
        <v>13.0807</v>
      </c>
      <c r="G672" s="64">
        <f>13.0809 * CHOOSE(CONTROL!$C$22, $C$13, 100%, $E$13)</f>
        <v>13.0809</v>
      </c>
      <c r="H672" s="64">
        <f>21.6452* CHOOSE(CONTROL!$C$22, $C$13, 100%, $E$13)</f>
        <v>21.645199999999999</v>
      </c>
      <c r="I672" s="64">
        <f>21.6454 * CHOOSE(CONTROL!$C$22, $C$13, 100%, $E$13)</f>
        <v>21.645399999999999</v>
      </c>
      <c r="J672" s="64">
        <f>13.0807 * CHOOSE(CONTROL!$C$22, $C$13, 100%, $E$13)</f>
        <v>13.0807</v>
      </c>
      <c r="K672" s="64">
        <f>13.0809 * CHOOSE(CONTROL!$C$22, $C$13, 100%, $E$13)</f>
        <v>13.0809</v>
      </c>
    </row>
    <row r="673" spans="1:11" ht="15">
      <c r="A673" s="13">
        <v>62125</v>
      </c>
      <c r="B673" s="63">
        <f>11.1699 * CHOOSE(CONTROL!$C$22, $C$13, 100%, $E$13)</f>
        <v>11.1699</v>
      </c>
      <c r="C673" s="63">
        <f>11.1699 * CHOOSE(CONTROL!$C$22, $C$13, 100%, $E$13)</f>
        <v>11.1699</v>
      </c>
      <c r="D673" s="63">
        <f>11.1876 * CHOOSE(CONTROL!$C$22, $C$13, 100%, $E$13)</f>
        <v>11.1876</v>
      </c>
      <c r="E673" s="64">
        <f>12.9355 * CHOOSE(CONTROL!$C$22, $C$13, 100%, $E$13)</f>
        <v>12.935499999999999</v>
      </c>
      <c r="F673" s="64">
        <f>12.9355 * CHOOSE(CONTROL!$C$22, $C$13, 100%, $E$13)</f>
        <v>12.935499999999999</v>
      </c>
      <c r="G673" s="64">
        <f>12.9357 * CHOOSE(CONTROL!$C$22, $C$13, 100%, $E$13)</f>
        <v>12.935700000000001</v>
      </c>
      <c r="H673" s="64">
        <f>21.6903* CHOOSE(CONTROL!$C$22, $C$13, 100%, $E$13)</f>
        <v>21.690300000000001</v>
      </c>
      <c r="I673" s="64">
        <f>21.6905 * CHOOSE(CONTROL!$C$22, $C$13, 100%, $E$13)</f>
        <v>21.6905</v>
      </c>
      <c r="J673" s="64">
        <f>12.9355 * CHOOSE(CONTROL!$C$22, $C$13, 100%, $E$13)</f>
        <v>12.935499999999999</v>
      </c>
      <c r="K673" s="64">
        <f>12.9357 * CHOOSE(CONTROL!$C$22, $C$13, 100%, $E$13)</f>
        <v>12.935700000000001</v>
      </c>
    </row>
    <row r="674" spans="1:11" ht="15">
      <c r="A674" s="13">
        <v>62153</v>
      </c>
      <c r="B674" s="63">
        <f>11.1669 * CHOOSE(CONTROL!$C$22, $C$13, 100%, $E$13)</f>
        <v>11.1669</v>
      </c>
      <c r="C674" s="63">
        <f>11.1669 * CHOOSE(CONTROL!$C$22, $C$13, 100%, $E$13)</f>
        <v>11.1669</v>
      </c>
      <c r="D674" s="63">
        <f>11.1846 * CHOOSE(CONTROL!$C$22, $C$13, 100%, $E$13)</f>
        <v>11.1846</v>
      </c>
      <c r="E674" s="64">
        <f>13.0462 * CHOOSE(CONTROL!$C$22, $C$13, 100%, $E$13)</f>
        <v>13.046200000000001</v>
      </c>
      <c r="F674" s="64">
        <f>13.0462 * CHOOSE(CONTROL!$C$22, $C$13, 100%, $E$13)</f>
        <v>13.046200000000001</v>
      </c>
      <c r="G674" s="64">
        <f>13.0464 * CHOOSE(CONTROL!$C$22, $C$13, 100%, $E$13)</f>
        <v>13.0464</v>
      </c>
      <c r="H674" s="64">
        <f>21.7355* CHOOSE(CONTROL!$C$22, $C$13, 100%, $E$13)</f>
        <v>21.735499999999998</v>
      </c>
      <c r="I674" s="64">
        <f>21.7357 * CHOOSE(CONTROL!$C$22, $C$13, 100%, $E$13)</f>
        <v>21.735700000000001</v>
      </c>
      <c r="J674" s="64">
        <f>13.0462 * CHOOSE(CONTROL!$C$22, $C$13, 100%, $E$13)</f>
        <v>13.046200000000001</v>
      </c>
      <c r="K674" s="64">
        <f>13.0464 * CHOOSE(CONTROL!$C$22, $C$13, 100%, $E$13)</f>
        <v>13.0464</v>
      </c>
    </row>
    <row r="675" spans="1:11" ht="15">
      <c r="A675" s="13">
        <v>62184</v>
      </c>
      <c r="B675" s="63">
        <f>11.1707 * CHOOSE(CONTROL!$C$22, $C$13, 100%, $E$13)</f>
        <v>11.1707</v>
      </c>
      <c r="C675" s="63">
        <f>11.1707 * CHOOSE(CONTROL!$C$22, $C$13, 100%, $E$13)</f>
        <v>11.1707</v>
      </c>
      <c r="D675" s="63">
        <f>11.1884 * CHOOSE(CONTROL!$C$22, $C$13, 100%, $E$13)</f>
        <v>11.1884</v>
      </c>
      <c r="E675" s="64">
        <f>13.1631 * CHOOSE(CONTROL!$C$22, $C$13, 100%, $E$13)</f>
        <v>13.1631</v>
      </c>
      <c r="F675" s="64">
        <f>13.1631 * CHOOSE(CONTROL!$C$22, $C$13, 100%, $E$13)</f>
        <v>13.1631</v>
      </c>
      <c r="G675" s="64">
        <f>13.1633 * CHOOSE(CONTROL!$C$22, $C$13, 100%, $E$13)</f>
        <v>13.1633</v>
      </c>
      <c r="H675" s="64">
        <f>21.7808* CHOOSE(CONTROL!$C$22, $C$13, 100%, $E$13)</f>
        <v>21.780799999999999</v>
      </c>
      <c r="I675" s="64">
        <f>21.781 * CHOOSE(CONTROL!$C$22, $C$13, 100%, $E$13)</f>
        <v>21.780999999999999</v>
      </c>
      <c r="J675" s="64">
        <f>13.1631 * CHOOSE(CONTROL!$C$22, $C$13, 100%, $E$13)</f>
        <v>13.1631</v>
      </c>
      <c r="K675" s="64">
        <f>13.1633 * CHOOSE(CONTROL!$C$22, $C$13, 100%, $E$13)</f>
        <v>13.1633</v>
      </c>
    </row>
    <row r="676" spans="1:11" ht="15">
      <c r="A676" s="13">
        <v>62214</v>
      </c>
      <c r="B676" s="63">
        <f>11.1707 * CHOOSE(CONTROL!$C$22, $C$13, 100%, $E$13)</f>
        <v>11.1707</v>
      </c>
      <c r="C676" s="63">
        <f>11.1707 * CHOOSE(CONTROL!$C$22, $C$13, 100%, $E$13)</f>
        <v>11.1707</v>
      </c>
      <c r="D676" s="63">
        <f>11.206 * CHOOSE(CONTROL!$C$22, $C$13, 100%, $E$13)</f>
        <v>11.206</v>
      </c>
      <c r="E676" s="64">
        <f>13.2085 * CHOOSE(CONTROL!$C$22, $C$13, 100%, $E$13)</f>
        <v>13.208500000000001</v>
      </c>
      <c r="F676" s="64">
        <f>13.2085 * CHOOSE(CONTROL!$C$22, $C$13, 100%, $E$13)</f>
        <v>13.208500000000001</v>
      </c>
      <c r="G676" s="64">
        <f>13.2107 * CHOOSE(CONTROL!$C$22, $C$13, 100%, $E$13)</f>
        <v>13.210699999999999</v>
      </c>
      <c r="H676" s="64">
        <f>21.8262* CHOOSE(CONTROL!$C$22, $C$13, 100%, $E$13)</f>
        <v>21.8262</v>
      </c>
      <c r="I676" s="64">
        <f>21.8283 * CHOOSE(CONTROL!$C$22, $C$13, 100%, $E$13)</f>
        <v>21.828299999999999</v>
      </c>
      <c r="J676" s="64">
        <f>13.2085 * CHOOSE(CONTROL!$C$22, $C$13, 100%, $E$13)</f>
        <v>13.208500000000001</v>
      </c>
      <c r="K676" s="64">
        <f>13.2107 * CHOOSE(CONTROL!$C$22, $C$13, 100%, $E$13)</f>
        <v>13.210699999999999</v>
      </c>
    </row>
    <row r="677" spans="1:11" ht="15">
      <c r="A677" s="13">
        <v>62245</v>
      </c>
      <c r="B677" s="63">
        <f>11.1768 * CHOOSE(CONTROL!$C$22, $C$13, 100%, $E$13)</f>
        <v>11.1768</v>
      </c>
      <c r="C677" s="63">
        <f>11.1768 * CHOOSE(CONTROL!$C$22, $C$13, 100%, $E$13)</f>
        <v>11.1768</v>
      </c>
      <c r="D677" s="63">
        <f>11.2121 * CHOOSE(CONTROL!$C$22, $C$13, 100%, $E$13)</f>
        <v>11.2121</v>
      </c>
      <c r="E677" s="64">
        <f>13.1673 * CHOOSE(CONTROL!$C$22, $C$13, 100%, $E$13)</f>
        <v>13.167299999999999</v>
      </c>
      <c r="F677" s="64">
        <f>13.1673 * CHOOSE(CONTROL!$C$22, $C$13, 100%, $E$13)</f>
        <v>13.167299999999999</v>
      </c>
      <c r="G677" s="64">
        <f>13.1695 * CHOOSE(CONTROL!$C$22, $C$13, 100%, $E$13)</f>
        <v>13.169499999999999</v>
      </c>
      <c r="H677" s="64">
        <f>21.8716* CHOOSE(CONTROL!$C$22, $C$13, 100%, $E$13)</f>
        <v>21.871600000000001</v>
      </c>
      <c r="I677" s="64">
        <f>21.8738 * CHOOSE(CONTROL!$C$22, $C$13, 100%, $E$13)</f>
        <v>21.873799999999999</v>
      </c>
      <c r="J677" s="64">
        <f>13.1673 * CHOOSE(CONTROL!$C$22, $C$13, 100%, $E$13)</f>
        <v>13.167299999999999</v>
      </c>
      <c r="K677" s="64">
        <f>13.1695 * CHOOSE(CONTROL!$C$22, $C$13, 100%, $E$13)</f>
        <v>13.169499999999999</v>
      </c>
    </row>
    <row r="678" spans="1:11" ht="15">
      <c r="A678" s="13">
        <v>62275</v>
      </c>
      <c r="B678" s="63">
        <f>11.3542 * CHOOSE(CONTROL!$C$22, $C$13, 100%, $E$13)</f>
        <v>11.354200000000001</v>
      </c>
      <c r="C678" s="63">
        <f>11.3542 * CHOOSE(CONTROL!$C$22, $C$13, 100%, $E$13)</f>
        <v>11.354200000000001</v>
      </c>
      <c r="D678" s="63">
        <f>11.3895 * CHOOSE(CONTROL!$C$22, $C$13, 100%, $E$13)</f>
        <v>11.3895</v>
      </c>
      <c r="E678" s="64">
        <f>13.4202 * CHOOSE(CONTROL!$C$22, $C$13, 100%, $E$13)</f>
        <v>13.420199999999999</v>
      </c>
      <c r="F678" s="64">
        <f>13.4202 * CHOOSE(CONTROL!$C$22, $C$13, 100%, $E$13)</f>
        <v>13.420199999999999</v>
      </c>
      <c r="G678" s="64">
        <f>13.4224 * CHOOSE(CONTROL!$C$22, $C$13, 100%, $E$13)</f>
        <v>13.4224</v>
      </c>
      <c r="H678" s="64">
        <f>21.9172* CHOOSE(CONTROL!$C$22, $C$13, 100%, $E$13)</f>
        <v>21.917200000000001</v>
      </c>
      <c r="I678" s="64">
        <f>21.9194 * CHOOSE(CONTROL!$C$22, $C$13, 100%, $E$13)</f>
        <v>21.9194</v>
      </c>
      <c r="J678" s="64">
        <f>13.4202 * CHOOSE(CONTROL!$C$22, $C$13, 100%, $E$13)</f>
        <v>13.420199999999999</v>
      </c>
      <c r="K678" s="64">
        <f>13.4224 * CHOOSE(CONTROL!$C$22, $C$13, 100%, $E$13)</f>
        <v>13.4224</v>
      </c>
    </row>
    <row r="679" spans="1:11" ht="15">
      <c r="A679" s="13">
        <v>62306</v>
      </c>
      <c r="B679" s="63">
        <f>11.3609 * CHOOSE(CONTROL!$C$22, $C$13, 100%, $E$13)</f>
        <v>11.360900000000001</v>
      </c>
      <c r="C679" s="63">
        <f>11.3609 * CHOOSE(CONTROL!$C$22, $C$13, 100%, $E$13)</f>
        <v>11.360900000000001</v>
      </c>
      <c r="D679" s="63">
        <f>11.3962 * CHOOSE(CONTROL!$C$22, $C$13, 100%, $E$13)</f>
        <v>11.3962</v>
      </c>
      <c r="E679" s="64">
        <f>13.2886 * CHOOSE(CONTROL!$C$22, $C$13, 100%, $E$13)</f>
        <v>13.288600000000001</v>
      </c>
      <c r="F679" s="64">
        <f>13.2886 * CHOOSE(CONTROL!$C$22, $C$13, 100%, $E$13)</f>
        <v>13.288600000000001</v>
      </c>
      <c r="G679" s="64">
        <f>13.2908 * CHOOSE(CONTROL!$C$22, $C$13, 100%, $E$13)</f>
        <v>13.290800000000001</v>
      </c>
      <c r="H679" s="64">
        <f>21.9629* CHOOSE(CONTROL!$C$22, $C$13, 100%, $E$13)</f>
        <v>21.962900000000001</v>
      </c>
      <c r="I679" s="64">
        <f>21.965 * CHOOSE(CONTROL!$C$22, $C$13, 100%, $E$13)</f>
        <v>21.965</v>
      </c>
      <c r="J679" s="64">
        <f>13.2886 * CHOOSE(CONTROL!$C$22, $C$13, 100%, $E$13)</f>
        <v>13.288600000000001</v>
      </c>
      <c r="K679" s="64">
        <f>13.2908 * CHOOSE(CONTROL!$C$22, $C$13, 100%, $E$13)</f>
        <v>13.290800000000001</v>
      </c>
    </row>
    <row r="680" spans="1:11" ht="15">
      <c r="A680" s="13">
        <v>62337</v>
      </c>
      <c r="B680" s="63">
        <f>11.3579 * CHOOSE(CONTROL!$C$22, $C$13, 100%, $E$13)</f>
        <v>11.357900000000001</v>
      </c>
      <c r="C680" s="63">
        <f>11.3579 * CHOOSE(CONTROL!$C$22, $C$13, 100%, $E$13)</f>
        <v>11.357900000000001</v>
      </c>
      <c r="D680" s="63">
        <f>11.3932 * CHOOSE(CONTROL!$C$22, $C$13, 100%, $E$13)</f>
        <v>11.3932</v>
      </c>
      <c r="E680" s="64">
        <f>13.2713 * CHOOSE(CONTROL!$C$22, $C$13, 100%, $E$13)</f>
        <v>13.2713</v>
      </c>
      <c r="F680" s="64">
        <f>13.2713 * CHOOSE(CONTROL!$C$22, $C$13, 100%, $E$13)</f>
        <v>13.2713</v>
      </c>
      <c r="G680" s="64">
        <f>13.2735 * CHOOSE(CONTROL!$C$22, $C$13, 100%, $E$13)</f>
        <v>13.2735</v>
      </c>
      <c r="H680" s="64">
        <f>22.0086* CHOOSE(CONTROL!$C$22, $C$13, 100%, $E$13)</f>
        <v>22.008600000000001</v>
      </c>
      <c r="I680" s="64">
        <f>22.0108 * CHOOSE(CONTROL!$C$22, $C$13, 100%, $E$13)</f>
        <v>22.0108</v>
      </c>
      <c r="J680" s="64">
        <f>13.2713 * CHOOSE(CONTROL!$C$22, $C$13, 100%, $E$13)</f>
        <v>13.2713</v>
      </c>
      <c r="K680" s="64">
        <f>13.2735 * CHOOSE(CONTROL!$C$22, $C$13, 100%, $E$13)</f>
        <v>13.2735</v>
      </c>
    </row>
    <row r="681" spans="1:11" ht="15">
      <c r="A681" s="13">
        <v>62367</v>
      </c>
      <c r="B681" s="63">
        <f>11.3773 * CHOOSE(CONTROL!$C$22, $C$13, 100%, $E$13)</f>
        <v>11.3773</v>
      </c>
      <c r="C681" s="63">
        <f>11.3773 * CHOOSE(CONTROL!$C$22, $C$13, 100%, $E$13)</f>
        <v>11.3773</v>
      </c>
      <c r="D681" s="63">
        <f>11.3949 * CHOOSE(CONTROL!$C$22, $C$13, 100%, $E$13)</f>
        <v>11.3949</v>
      </c>
      <c r="E681" s="64">
        <f>13.3185 * CHOOSE(CONTROL!$C$22, $C$13, 100%, $E$13)</f>
        <v>13.3185</v>
      </c>
      <c r="F681" s="64">
        <f>13.3185 * CHOOSE(CONTROL!$C$22, $C$13, 100%, $E$13)</f>
        <v>13.3185</v>
      </c>
      <c r="G681" s="64">
        <f>13.3187 * CHOOSE(CONTROL!$C$22, $C$13, 100%, $E$13)</f>
        <v>13.3187</v>
      </c>
      <c r="H681" s="64">
        <f>22.0545* CHOOSE(CONTROL!$C$22, $C$13, 100%, $E$13)</f>
        <v>22.054500000000001</v>
      </c>
      <c r="I681" s="64">
        <f>22.0546 * CHOOSE(CONTROL!$C$22, $C$13, 100%, $E$13)</f>
        <v>22.054600000000001</v>
      </c>
      <c r="J681" s="64">
        <f>13.3185 * CHOOSE(CONTROL!$C$22, $C$13, 100%, $E$13)</f>
        <v>13.3185</v>
      </c>
      <c r="K681" s="64">
        <f>13.3187 * CHOOSE(CONTROL!$C$22, $C$13, 100%, $E$13)</f>
        <v>13.3187</v>
      </c>
    </row>
    <row r="682" spans="1:11" ht="15">
      <c r="A682" s="13">
        <v>62398</v>
      </c>
      <c r="B682" s="63">
        <f>11.3803 * CHOOSE(CONTROL!$C$22, $C$13, 100%, $E$13)</f>
        <v>11.3803</v>
      </c>
      <c r="C682" s="63">
        <f>11.3803 * CHOOSE(CONTROL!$C$22, $C$13, 100%, $E$13)</f>
        <v>11.3803</v>
      </c>
      <c r="D682" s="63">
        <f>11.398 * CHOOSE(CONTROL!$C$22, $C$13, 100%, $E$13)</f>
        <v>11.398</v>
      </c>
      <c r="E682" s="64">
        <f>13.3509 * CHOOSE(CONTROL!$C$22, $C$13, 100%, $E$13)</f>
        <v>13.350899999999999</v>
      </c>
      <c r="F682" s="64">
        <f>13.3509 * CHOOSE(CONTROL!$C$22, $C$13, 100%, $E$13)</f>
        <v>13.350899999999999</v>
      </c>
      <c r="G682" s="64">
        <f>13.3511 * CHOOSE(CONTROL!$C$22, $C$13, 100%, $E$13)</f>
        <v>13.351100000000001</v>
      </c>
      <c r="H682" s="64">
        <f>22.1004* CHOOSE(CONTROL!$C$22, $C$13, 100%, $E$13)</f>
        <v>22.1004</v>
      </c>
      <c r="I682" s="64">
        <f>22.1006 * CHOOSE(CONTROL!$C$22, $C$13, 100%, $E$13)</f>
        <v>22.1006</v>
      </c>
      <c r="J682" s="64">
        <f>13.3509 * CHOOSE(CONTROL!$C$22, $C$13, 100%, $E$13)</f>
        <v>13.350899999999999</v>
      </c>
      <c r="K682" s="64">
        <f>13.3511 * CHOOSE(CONTROL!$C$22, $C$13, 100%, $E$13)</f>
        <v>13.351100000000001</v>
      </c>
    </row>
    <row r="683" spans="1:11" ht="15">
      <c r="A683" s="13">
        <v>62428</v>
      </c>
      <c r="B683" s="63">
        <f>11.3803 * CHOOSE(CONTROL!$C$22, $C$13, 100%, $E$13)</f>
        <v>11.3803</v>
      </c>
      <c r="C683" s="63">
        <f>11.3803 * CHOOSE(CONTROL!$C$22, $C$13, 100%, $E$13)</f>
        <v>11.3803</v>
      </c>
      <c r="D683" s="63">
        <f>11.398 * CHOOSE(CONTROL!$C$22, $C$13, 100%, $E$13)</f>
        <v>11.398</v>
      </c>
      <c r="E683" s="64">
        <f>13.2752 * CHOOSE(CONTROL!$C$22, $C$13, 100%, $E$13)</f>
        <v>13.2752</v>
      </c>
      <c r="F683" s="64">
        <f>13.2752 * CHOOSE(CONTROL!$C$22, $C$13, 100%, $E$13)</f>
        <v>13.2752</v>
      </c>
      <c r="G683" s="64">
        <f>13.2754 * CHOOSE(CONTROL!$C$22, $C$13, 100%, $E$13)</f>
        <v>13.275399999999999</v>
      </c>
      <c r="H683" s="64">
        <f>22.1465* CHOOSE(CONTROL!$C$22, $C$13, 100%, $E$13)</f>
        <v>22.1465</v>
      </c>
      <c r="I683" s="64">
        <f>22.1466 * CHOOSE(CONTROL!$C$22, $C$13, 100%, $E$13)</f>
        <v>22.146599999999999</v>
      </c>
      <c r="J683" s="64">
        <f>13.2752 * CHOOSE(CONTROL!$C$22, $C$13, 100%, $E$13)</f>
        <v>13.2752</v>
      </c>
      <c r="K683" s="64">
        <f>13.2754 * CHOOSE(CONTROL!$C$22, $C$13, 100%, $E$13)</f>
        <v>13.275399999999999</v>
      </c>
    </row>
    <row r="684" spans="1:11" ht="15">
      <c r="A684" s="13">
        <v>62459</v>
      </c>
      <c r="B684" s="63">
        <f>11.4183 * CHOOSE(CONTROL!$C$22, $C$13, 100%, $E$13)</f>
        <v>11.4183</v>
      </c>
      <c r="C684" s="63">
        <f>11.4183 * CHOOSE(CONTROL!$C$22, $C$13, 100%, $E$13)</f>
        <v>11.4183</v>
      </c>
      <c r="D684" s="63">
        <f>11.436 * CHOOSE(CONTROL!$C$22, $C$13, 100%, $E$13)</f>
        <v>11.436</v>
      </c>
      <c r="E684" s="64">
        <f>13.3731 * CHOOSE(CONTROL!$C$22, $C$13, 100%, $E$13)</f>
        <v>13.373100000000001</v>
      </c>
      <c r="F684" s="64">
        <f>13.3731 * CHOOSE(CONTROL!$C$22, $C$13, 100%, $E$13)</f>
        <v>13.373100000000001</v>
      </c>
      <c r="G684" s="64">
        <f>13.3733 * CHOOSE(CONTROL!$C$22, $C$13, 100%, $E$13)</f>
        <v>13.3733</v>
      </c>
      <c r="H684" s="64">
        <f>22.0911* CHOOSE(CONTROL!$C$22, $C$13, 100%, $E$13)</f>
        <v>22.091100000000001</v>
      </c>
      <c r="I684" s="64">
        <f>22.0913 * CHOOSE(CONTROL!$C$22, $C$13, 100%, $E$13)</f>
        <v>22.0913</v>
      </c>
      <c r="J684" s="64">
        <f>13.3731 * CHOOSE(CONTROL!$C$22, $C$13, 100%, $E$13)</f>
        <v>13.373100000000001</v>
      </c>
      <c r="K684" s="64">
        <f>13.3733 * CHOOSE(CONTROL!$C$22, $C$13, 100%, $E$13)</f>
        <v>13.3733</v>
      </c>
    </row>
    <row r="685" spans="1:11" ht="15">
      <c r="A685" s="13">
        <v>62490</v>
      </c>
      <c r="B685" s="63">
        <f>11.4153 * CHOOSE(CONTROL!$C$22, $C$13, 100%, $E$13)</f>
        <v>11.4153</v>
      </c>
      <c r="C685" s="63">
        <f>11.4153 * CHOOSE(CONTROL!$C$22, $C$13, 100%, $E$13)</f>
        <v>11.4153</v>
      </c>
      <c r="D685" s="63">
        <f>11.4329 * CHOOSE(CONTROL!$C$22, $C$13, 100%, $E$13)</f>
        <v>11.4329</v>
      </c>
      <c r="E685" s="64">
        <f>13.2247 * CHOOSE(CONTROL!$C$22, $C$13, 100%, $E$13)</f>
        <v>13.2247</v>
      </c>
      <c r="F685" s="64">
        <f>13.2247 * CHOOSE(CONTROL!$C$22, $C$13, 100%, $E$13)</f>
        <v>13.2247</v>
      </c>
      <c r="G685" s="64">
        <f>13.2249 * CHOOSE(CONTROL!$C$22, $C$13, 100%, $E$13)</f>
        <v>13.2249</v>
      </c>
      <c r="H685" s="64">
        <f>22.1371* CHOOSE(CONTROL!$C$22, $C$13, 100%, $E$13)</f>
        <v>22.1371</v>
      </c>
      <c r="I685" s="64">
        <f>22.1373 * CHOOSE(CONTROL!$C$22, $C$13, 100%, $E$13)</f>
        <v>22.1373</v>
      </c>
      <c r="J685" s="64">
        <f>13.2247 * CHOOSE(CONTROL!$C$22, $C$13, 100%, $E$13)</f>
        <v>13.2247</v>
      </c>
      <c r="K685" s="64">
        <f>13.2249 * CHOOSE(CONTROL!$C$22, $C$13, 100%, $E$13)</f>
        <v>13.2249</v>
      </c>
    </row>
    <row r="686" spans="1:11" ht="15">
      <c r="A686" s="13">
        <v>62518</v>
      </c>
      <c r="B686" s="63">
        <f>11.4122 * CHOOSE(CONTROL!$C$22, $C$13, 100%, $E$13)</f>
        <v>11.4122</v>
      </c>
      <c r="C686" s="63">
        <f>11.4122 * CHOOSE(CONTROL!$C$22, $C$13, 100%, $E$13)</f>
        <v>11.4122</v>
      </c>
      <c r="D686" s="63">
        <f>11.4299 * CHOOSE(CONTROL!$C$22, $C$13, 100%, $E$13)</f>
        <v>11.4299</v>
      </c>
      <c r="E686" s="64">
        <f>13.3379 * CHOOSE(CONTROL!$C$22, $C$13, 100%, $E$13)</f>
        <v>13.337899999999999</v>
      </c>
      <c r="F686" s="64">
        <f>13.3379 * CHOOSE(CONTROL!$C$22, $C$13, 100%, $E$13)</f>
        <v>13.337899999999999</v>
      </c>
      <c r="G686" s="64">
        <f>13.3381 * CHOOSE(CONTROL!$C$22, $C$13, 100%, $E$13)</f>
        <v>13.338100000000001</v>
      </c>
      <c r="H686" s="64">
        <f>22.1833* CHOOSE(CONTROL!$C$22, $C$13, 100%, $E$13)</f>
        <v>22.183299999999999</v>
      </c>
      <c r="I686" s="64">
        <f>22.1834 * CHOOSE(CONTROL!$C$22, $C$13, 100%, $E$13)</f>
        <v>22.183399999999999</v>
      </c>
      <c r="J686" s="64">
        <f>13.3379 * CHOOSE(CONTROL!$C$22, $C$13, 100%, $E$13)</f>
        <v>13.337899999999999</v>
      </c>
      <c r="K686" s="64">
        <f>13.3381 * CHOOSE(CONTROL!$C$22, $C$13, 100%, $E$13)</f>
        <v>13.338100000000001</v>
      </c>
    </row>
    <row r="687" spans="1:11" ht="15">
      <c r="A687" s="13">
        <v>62549</v>
      </c>
      <c r="B687" s="63">
        <f>11.4162 * CHOOSE(CONTROL!$C$22, $C$13, 100%, $E$13)</f>
        <v>11.4162</v>
      </c>
      <c r="C687" s="63">
        <f>11.4162 * CHOOSE(CONTROL!$C$22, $C$13, 100%, $E$13)</f>
        <v>11.4162</v>
      </c>
      <c r="D687" s="63">
        <f>11.4339 * CHOOSE(CONTROL!$C$22, $C$13, 100%, $E$13)</f>
        <v>11.4339</v>
      </c>
      <c r="E687" s="64">
        <f>13.4575 * CHOOSE(CONTROL!$C$22, $C$13, 100%, $E$13)</f>
        <v>13.4575</v>
      </c>
      <c r="F687" s="64">
        <f>13.4575 * CHOOSE(CONTROL!$C$22, $C$13, 100%, $E$13)</f>
        <v>13.4575</v>
      </c>
      <c r="G687" s="64">
        <f>13.4577 * CHOOSE(CONTROL!$C$22, $C$13, 100%, $E$13)</f>
        <v>13.457700000000001</v>
      </c>
      <c r="H687" s="64">
        <f>22.2295* CHOOSE(CONTROL!$C$22, $C$13, 100%, $E$13)</f>
        <v>22.229500000000002</v>
      </c>
      <c r="I687" s="64">
        <f>22.2296 * CHOOSE(CONTROL!$C$22, $C$13, 100%, $E$13)</f>
        <v>22.229600000000001</v>
      </c>
      <c r="J687" s="64">
        <f>13.4575 * CHOOSE(CONTROL!$C$22, $C$13, 100%, $E$13)</f>
        <v>13.4575</v>
      </c>
      <c r="K687" s="64">
        <f>13.4577 * CHOOSE(CONTROL!$C$22, $C$13, 100%, $E$13)</f>
        <v>13.457700000000001</v>
      </c>
    </row>
    <row r="688" spans="1:11" ht="15">
      <c r="A688" s="13">
        <v>62579</v>
      </c>
      <c r="B688" s="63">
        <f>11.4162 * CHOOSE(CONTROL!$C$22, $C$13, 100%, $E$13)</f>
        <v>11.4162</v>
      </c>
      <c r="C688" s="63">
        <f>11.4162 * CHOOSE(CONTROL!$C$22, $C$13, 100%, $E$13)</f>
        <v>11.4162</v>
      </c>
      <c r="D688" s="63">
        <f>11.4516 * CHOOSE(CONTROL!$C$22, $C$13, 100%, $E$13)</f>
        <v>11.451599999999999</v>
      </c>
      <c r="E688" s="64">
        <f>13.504 * CHOOSE(CONTROL!$C$22, $C$13, 100%, $E$13)</f>
        <v>13.504</v>
      </c>
      <c r="F688" s="64">
        <f>13.504 * CHOOSE(CONTROL!$C$22, $C$13, 100%, $E$13)</f>
        <v>13.504</v>
      </c>
      <c r="G688" s="64">
        <f>13.5062 * CHOOSE(CONTROL!$C$22, $C$13, 100%, $E$13)</f>
        <v>13.5062</v>
      </c>
      <c r="H688" s="64">
        <f>22.2758* CHOOSE(CONTROL!$C$22, $C$13, 100%, $E$13)</f>
        <v>22.2758</v>
      </c>
      <c r="I688" s="64">
        <f>22.278 * CHOOSE(CONTROL!$C$22, $C$13, 100%, $E$13)</f>
        <v>22.277999999999999</v>
      </c>
      <c r="J688" s="64">
        <f>13.504 * CHOOSE(CONTROL!$C$22, $C$13, 100%, $E$13)</f>
        <v>13.504</v>
      </c>
      <c r="K688" s="64">
        <f>13.5062 * CHOOSE(CONTROL!$C$22, $C$13, 100%, $E$13)</f>
        <v>13.5062</v>
      </c>
    </row>
    <row r="689" spans="1:11" ht="15">
      <c r="A689" s="13">
        <v>62610</v>
      </c>
      <c r="B689" s="63">
        <f>11.4223 * CHOOSE(CONTROL!$C$22, $C$13, 100%, $E$13)</f>
        <v>11.4223</v>
      </c>
      <c r="C689" s="63">
        <f>11.4223 * CHOOSE(CONTROL!$C$22, $C$13, 100%, $E$13)</f>
        <v>11.4223</v>
      </c>
      <c r="D689" s="63">
        <f>11.4576 * CHOOSE(CONTROL!$C$22, $C$13, 100%, $E$13)</f>
        <v>11.457599999999999</v>
      </c>
      <c r="E689" s="64">
        <f>13.4618 * CHOOSE(CONTROL!$C$22, $C$13, 100%, $E$13)</f>
        <v>13.4618</v>
      </c>
      <c r="F689" s="64">
        <f>13.4618 * CHOOSE(CONTROL!$C$22, $C$13, 100%, $E$13)</f>
        <v>13.4618</v>
      </c>
      <c r="G689" s="64">
        <f>13.464 * CHOOSE(CONTROL!$C$22, $C$13, 100%, $E$13)</f>
        <v>13.464</v>
      </c>
      <c r="H689" s="64">
        <f>22.3222* CHOOSE(CONTROL!$C$22, $C$13, 100%, $E$13)</f>
        <v>22.322199999999999</v>
      </c>
      <c r="I689" s="64">
        <f>22.3244 * CHOOSE(CONTROL!$C$22, $C$13, 100%, $E$13)</f>
        <v>22.324400000000001</v>
      </c>
      <c r="J689" s="64">
        <f>13.4618 * CHOOSE(CONTROL!$C$22, $C$13, 100%, $E$13)</f>
        <v>13.4618</v>
      </c>
      <c r="K689" s="64">
        <f>13.464 * CHOOSE(CONTROL!$C$22, $C$13, 100%, $E$13)</f>
        <v>13.464</v>
      </c>
    </row>
    <row r="690" spans="1:11" ht="15">
      <c r="A690" s="13">
        <v>62640</v>
      </c>
      <c r="B690" s="63">
        <f>11.6034 * CHOOSE(CONTROL!$C$22, $C$13, 100%, $E$13)</f>
        <v>11.603400000000001</v>
      </c>
      <c r="C690" s="63">
        <f>11.6034 * CHOOSE(CONTROL!$C$22, $C$13, 100%, $E$13)</f>
        <v>11.603400000000001</v>
      </c>
      <c r="D690" s="63">
        <f>11.6387 * CHOOSE(CONTROL!$C$22, $C$13, 100%, $E$13)</f>
        <v>11.6387</v>
      </c>
      <c r="E690" s="64">
        <f>13.7201 * CHOOSE(CONTROL!$C$22, $C$13, 100%, $E$13)</f>
        <v>13.7201</v>
      </c>
      <c r="F690" s="64">
        <f>13.7201 * CHOOSE(CONTROL!$C$22, $C$13, 100%, $E$13)</f>
        <v>13.7201</v>
      </c>
      <c r="G690" s="64">
        <f>13.7223 * CHOOSE(CONTROL!$C$22, $C$13, 100%, $E$13)</f>
        <v>13.722300000000001</v>
      </c>
      <c r="H690" s="64">
        <f>22.3687* CHOOSE(CONTROL!$C$22, $C$13, 100%, $E$13)</f>
        <v>22.3687</v>
      </c>
      <c r="I690" s="64">
        <f>22.3709 * CHOOSE(CONTROL!$C$22, $C$13, 100%, $E$13)</f>
        <v>22.370899999999999</v>
      </c>
      <c r="J690" s="64">
        <f>13.7201 * CHOOSE(CONTROL!$C$22, $C$13, 100%, $E$13)</f>
        <v>13.7201</v>
      </c>
      <c r="K690" s="64">
        <f>13.7223 * CHOOSE(CONTROL!$C$22, $C$13, 100%, $E$13)</f>
        <v>13.722300000000001</v>
      </c>
    </row>
    <row r="691" spans="1:11" ht="15">
      <c r="A691" s="13">
        <v>62671</v>
      </c>
      <c r="B691" s="63">
        <f>11.6101 * CHOOSE(CONTROL!$C$22, $C$13, 100%, $E$13)</f>
        <v>11.610099999999999</v>
      </c>
      <c r="C691" s="63">
        <f>11.6101 * CHOOSE(CONTROL!$C$22, $C$13, 100%, $E$13)</f>
        <v>11.610099999999999</v>
      </c>
      <c r="D691" s="63">
        <f>11.6454 * CHOOSE(CONTROL!$C$22, $C$13, 100%, $E$13)</f>
        <v>11.6454</v>
      </c>
      <c r="E691" s="64">
        <f>13.5854 * CHOOSE(CONTROL!$C$22, $C$13, 100%, $E$13)</f>
        <v>13.5854</v>
      </c>
      <c r="F691" s="64">
        <f>13.5854 * CHOOSE(CONTROL!$C$22, $C$13, 100%, $E$13)</f>
        <v>13.5854</v>
      </c>
      <c r="G691" s="64">
        <f>13.5876 * CHOOSE(CONTROL!$C$22, $C$13, 100%, $E$13)</f>
        <v>13.5876</v>
      </c>
      <c r="H691" s="64">
        <f>22.4153* CHOOSE(CONTROL!$C$22, $C$13, 100%, $E$13)</f>
        <v>22.415299999999998</v>
      </c>
      <c r="I691" s="64">
        <f>22.4175 * CHOOSE(CONTROL!$C$22, $C$13, 100%, $E$13)</f>
        <v>22.4175</v>
      </c>
      <c r="J691" s="64">
        <f>13.5854 * CHOOSE(CONTROL!$C$22, $C$13, 100%, $E$13)</f>
        <v>13.5854</v>
      </c>
      <c r="K691" s="64">
        <f>13.5876 * CHOOSE(CONTROL!$C$22, $C$13, 100%, $E$13)</f>
        <v>13.5876</v>
      </c>
    </row>
    <row r="692" spans="1:11" ht="15">
      <c r="A692" s="13">
        <v>62702</v>
      </c>
      <c r="B692" s="63">
        <f>11.6071 * CHOOSE(CONTROL!$C$22, $C$13, 100%, $E$13)</f>
        <v>11.607100000000001</v>
      </c>
      <c r="C692" s="63">
        <f>11.6071 * CHOOSE(CONTROL!$C$22, $C$13, 100%, $E$13)</f>
        <v>11.607100000000001</v>
      </c>
      <c r="D692" s="63">
        <f>11.6424 * CHOOSE(CONTROL!$C$22, $C$13, 100%, $E$13)</f>
        <v>11.6424</v>
      </c>
      <c r="E692" s="64">
        <f>13.5678 * CHOOSE(CONTROL!$C$22, $C$13, 100%, $E$13)</f>
        <v>13.5678</v>
      </c>
      <c r="F692" s="64">
        <f>13.5678 * CHOOSE(CONTROL!$C$22, $C$13, 100%, $E$13)</f>
        <v>13.5678</v>
      </c>
      <c r="G692" s="64">
        <f>13.57 * CHOOSE(CONTROL!$C$22, $C$13, 100%, $E$13)</f>
        <v>13.57</v>
      </c>
      <c r="H692" s="64">
        <f>22.462* CHOOSE(CONTROL!$C$22, $C$13, 100%, $E$13)</f>
        <v>22.462</v>
      </c>
      <c r="I692" s="64">
        <f>22.4642 * CHOOSE(CONTROL!$C$22, $C$13, 100%, $E$13)</f>
        <v>22.464200000000002</v>
      </c>
      <c r="J692" s="64">
        <f>13.5678 * CHOOSE(CONTROL!$C$22, $C$13, 100%, $E$13)</f>
        <v>13.5678</v>
      </c>
      <c r="K692" s="64">
        <f>13.57 * CHOOSE(CONTROL!$C$22, $C$13, 100%, $E$13)</f>
        <v>13.57</v>
      </c>
    </row>
    <row r="693" spans="1:11" ht="15">
      <c r="A693" s="13">
        <v>62732</v>
      </c>
      <c r="B693" s="63">
        <f>11.6273 * CHOOSE(CONTROL!$C$22, $C$13, 100%, $E$13)</f>
        <v>11.6273</v>
      </c>
      <c r="C693" s="63">
        <f>11.6273 * CHOOSE(CONTROL!$C$22, $C$13, 100%, $E$13)</f>
        <v>11.6273</v>
      </c>
      <c r="D693" s="63">
        <f>11.6449 * CHOOSE(CONTROL!$C$22, $C$13, 100%, $E$13)</f>
        <v>11.6449</v>
      </c>
      <c r="E693" s="64">
        <f>13.6163 * CHOOSE(CONTROL!$C$22, $C$13, 100%, $E$13)</f>
        <v>13.616300000000001</v>
      </c>
      <c r="F693" s="64">
        <f>13.6163 * CHOOSE(CONTROL!$C$22, $C$13, 100%, $E$13)</f>
        <v>13.616300000000001</v>
      </c>
      <c r="G693" s="64">
        <f>13.6165 * CHOOSE(CONTROL!$C$22, $C$13, 100%, $E$13)</f>
        <v>13.6165</v>
      </c>
      <c r="H693" s="64">
        <f>22.5088* CHOOSE(CONTROL!$C$22, $C$13, 100%, $E$13)</f>
        <v>22.508800000000001</v>
      </c>
      <c r="I693" s="64">
        <f>22.509 * CHOOSE(CONTROL!$C$22, $C$13, 100%, $E$13)</f>
        <v>22.509</v>
      </c>
      <c r="J693" s="64">
        <f>13.6163 * CHOOSE(CONTROL!$C$22, $C$13, 100%, $E$13)</f>
        <v>13.616300000000001</v>
      </c>
      <c r="K693" s="64">
        <f>13.6165 * CHOOSE(CONTROL!$C$22, $C$13, 100%, $E$13)</f>
        <v>13.6165</v>
      </c>
    </row>
    <row r="694" spans="1:11" ht="15">
      <c r="A694" s="13">
        <v>62763</v>
      </c>
      <c r="B694" s="63">
        <f>11.6303 * CHOOSE(CONTROL!$C$22, $C$13, 100%, $E$13)</f>
        <v>11.6303</v>
      </c>
      <c r="C694" s="63">
        <f>11.6303 * CHOOSE(CONTROL!$C$22, $C$13, 100%, $E$13)</f>
        <v>11.6303</v>
      </c>
      <c r="D694" s="63">
        <f>11.648 * CHOOSE(CONTROL!$C$22, $C$13, 100%, $E$13)</f>
        <v>11.648</v>
      </c>
      <c r="E694" s="64">
        <f>13.6494 * CHOOSE(CONTROL!$C$22, $C$13, 100%, $E$13)</f>
        <v>13.6494</v>
      </c>
      <c r="F694" s="64">
        <f>13.6494 * CHOOSE(CONTROL!$C$22, $C$13, 100%, $E$13)</f>
        <v>13.6494</v>
      </c>
      <c r="G694" s="64">
        <f>13.6496 * CHOOSE(CONTROL!$C$22, $C$13, 100%, $E$13)</f>
        <v>13.6496</v>
      </c>
      <c r="H694" s="64">
        <f>22.5557* CHOOSE(CONTROL!$C$22, $C$13, 100%, $E$13)</f>
        <v>22.555700000000002</v>
      </c>
      <c r="I694" s="64">
        <f>22.5559 * CHOOSE(CONTROL!$C$22, $C$13, 100%, $E$13)</f>
        <v>22.555900000000001</v>
      </c>
      <c r="J694" s="64">
        <f>13.6494 * CHOOSE(CONTROL!$C$22, $C$13, 100%, $E$13)</f>
        <v>13.6494</v>
      </c>
      <c r="K694" s="64">
        <f>13.6496 * CHOOSE(CONTROL!$C$22, $C$13, 100%, $E$13)</f>
        <v>13.6496</v>
      </c>
    </row>
    <row r="695" spans="1:11" ht="15">
      <c r="A695" s="13">
        <v>62793</v>
      </c>
      <c r="B695" s="63">
        <f>11.6303 * CHOOSE(CONTROL!$C$22, $C$13, 100%, $E$13)</f>
        <v>11.6303</v>
      </c>
      <c r="C695" s="63">
        <f>11.6303 * CHOOSE(CONTROL!$C$22, $C$13, 100%, $E$13)</f>
        <v>11.6303</v>
      </c>
      <c r="D695" s="63">
        <f>11.648 * CHOOSE(CONTROL!$C$22, $C$13, 100%, $E$13)</f>
        <v>11.648</v>
      </c>
      <c r="E695" s="64">
        <f>13.572 * CHOOSE(CONTROL!$C$22, $C$13, 100%, $E$13)</f>
        <v>13.571999999999999</v>
      </c>
      <c r="F695" s="64">
        <f>13.572 * CHOOSE(CONTROL!$C$22, $C$13, 100%, $E$13)</f>
        <v>13.571999999999999</v>
      </c>
      <c r="G695" s="64">
        <f>13.5722 * CHOOSE(CONTROL!$C$22, $C$13, 100%, $E$13)</f>
        <v>13.5722</v>
      </c>
      <c r="H695" s="64">
        <f>22.6027* CHOOSE(CONTROL!$C$22, $C$13, 100%, $E$13)</f>
        <v>22.602699999999999</v>
      </c>
      <c r="I695" s="64">
        <f>22.6028 * CHOOSE(CONTROL!$C$22, $C$13, 100%, $E$13)</f>
        <v>22.602799999999998</v>
      </c>
      <c r="J695" s="64">
        <f>13.572 * CHOOSE(CONTROL!$C$22, $C$13, 100%, $E$13)</f>
        <v>13.571999999999999</v>
      </c>
      <c r="K695" s="64">
        <f>13.5722 * CHOOSE(CONTROL!$C$22, $C$13, 100%, $E$13)</f>
        <v>13.5722</v>
      </c>
    </row>
    <row r="696" spans="1:11" ht="15">
      <c r="A696" s="13">
        <v>62824</v>
      </c>
      <c r="B696" s="63">
        <f>11.6636 * CHOOSE(CONTROL!$C$22, $C$13, 100%, $E$13)</f>
        <v>11.663600000000001</v>
      </c>
      <c r="C696" s="63">
        <f>11.6636 * CHOOSE(CONTROL!$C$22, $C$13, 100%, $E$13)</f>
        <v>11.663600000000001</v>
      </c>
      <c r="D696" s="63">
        <f>11.6813 * CHOOSE(CONTROL!$C$22, $C$13, 100%, $E$13)</f>
        <v>11.6813</v>
      </c>
      <c r="E696" s="64">
        <f>13.6655 * CHOOSE(CONTROL!$C$22, $C$13, 100%, $E$13)</f>
        <v>13.6655</v>
      </c>
      <c r="F696" s="64">
        <f>13.6655 * CHOOSE(CONTROL!$C$22, $C$13, 100%, $E$13)</f>
        <v>13.6655</v>
      </c>
      <c r="G696" s="64">
        <f>13.6657 * CHOOSE(CONTROL!$C$22, $C$13, 100%, $E$13)</f>
        <v>13.665699999999999</v>
      </c>
      <c r="H696" s="64">
        <f>22.537* CHOOSE(CONTROL!$C$22, $C$13, 100%, $E$13)</f>
        <v>22.536999999999999</v>
      </c>
      <c r="I696" s="64">
        <f>22.5372 * CHOOSE(CONTROL!$C$22, $C$13, 100%, $E$13)</f>
        <v>22.537199999999999</v>
      </c>
      <c r="J696" s="64">
        <f>13.6655 * CHOOSE(CONTROL!$C$22, $C$13, 100%, $E$13)</f>
        <v>13.6655</v>
      </c>
      <c r="K696" s="64">
        <f>13.6657 * CHOOSE(CONTROL!$C$22, $C$13, 100%, $E$13)</f>
        <v>13.665699999999999</v>
      </c>
    </row>
    <row r="697" spans="1:11" ht="15">
      <c r="A697" s="13">
        <v>62855</v>
      </c>
      <c r="B697" s="63">
        <f>11.6606 * CHOOSE(CONTROL!$C$22, $C$13, 100%, $E$13)</f>
        <v>11.660600000000001</v>
      </c>
      <c r="C697" s="63">
        <f>11.6606 * CHOOSE(CONTROL!$C$22, $C$13, 100%, $E$13)</f>
        <v>11.660600000000001</v>
      </c>
      <c r="D697" s="63">
        <f>11.6782 * CHOOSE(CONTROL!$C$22, $C$13, 100%, $E$13)</f>
        <v>11.6782</v>
      </c>
      <c r="E697" s="64">
        <f>13.5139 * CHOOSE(CONTROL!$C$22, $C$13, 100%, $E$13)</f>
        <v>13.5139</v>
      </c>
      <c r="F697" s="64">
        <f>13.5139 * CHOOSE(CONTROL!$C$22, $C$13, 100%, $E$13)</f>
        <v>13.5139</v>
      </c>
      <c r="G697" s="64">
        <f>13.5141 * CHOOSE(CONTROL!$C$22, $C$13, 100%, $E$13)</f>
        <v>13.514099999999999</v>
      </c>
      <c r="H697" s="64">
        <f>22.584* CHOOSE(CONTROL!$C$22, $C$13, 100%, $E$13)</f>
        <v>22.584</v>
      </c>
      <c r="I697" s="64">
        <f>22.5841 * CHOOSE(CONTROL!$C$22, $C$13, 100%, $E$13)</f>
        <v>22.584099999999999</v>
      </c>
      <c r="J697" s="64">
        <f>13.5139 * CHOOSE(CONTROL!$C$22, $C$13, 100%, $E$13)</f>
        <v>13.5139</v>
      </c>
      <c r="K697" s="64">
        <f>13.5141 * CHOOSE(CONTROL!$C$22, $C$13, 100%, $E$13)</f>
        <v>13.514099999999999</v>
      </c>
    </row>
    <row r="698" spans="1:11" ht="15">
      <c r="A698" s="13">
        <v>62884</v>
      </c>
      <c r="B698" s="63">
        <f>11.6575 * CHOOSE(CONTROL!$C$22, $C$13, 100%, $E$13)</f>
        <v>11.657500000000001</v>
      </c>
      <c r="C698" s="63">
        <f>11.6575 * CHOOSE(CONTROL!$C$22, $C$13, 100%, $E$13)</f>
        <v>11.657500000000001</v>
      </c>
      <c r="D698" s="63">
        <f>11.6752 * CHOOSE(CONTROL!$C$22, $C$13, 100%, $E$13)</f>
        <v>11.6752</v>
      </c>
      <c r="E698" s="64">
        <f>13.6297 * CHOOSE(CONTROL!$C$22, $C$13, 100%, $E$13)</f>
        <v>13.6297</v>
      </c>
      <c r="F698" s="64">
        <f>13.6297 * CHOOSE(CONTROL!$C$22, $C$13, 100%, $E$13)</f>
        <v>13.6297</v>
      </c>
      <c r="G698" s="64">
        <f>13.6298 * CHOOSE(CONTROL!$C$22, $C$13, 100%, $E$13)</f>
        <v>13.629799999999999</v>
      </c>
      <c r="H698" s="64">
        <f>22.631* CHOOSE(CONTROL!$C$22, $C$13, 100%, $E$13)</f>
        <v>22.631</v>
      </c>
      <c r="I698" s="64">
        <f>22.6312 * CHOOSE(CONTROL!$C$22, $C$13, 100%, $E$13)</f>
        <v>22.6312</v>
      </c>
      <c r="J698" s="64">
        <f>13.6297 * CHOOSE(CONTROL!$C$22, $C$13, 100%, $E$13)</f>
        <v>13.6297</v>
      </c>
      <c r="K698" s="64">
        <f>13.6298 * CHOOSE(CONTROL!$C$22, $C$13, 100%, $E$13)</f>
        <v>13.629799999999999</v>
      </c>
    </row>
    <row r="699" spans="1:11" ht="15">
      <c r="A699" s="13">
        <v>62915</v>
      </c>
      <c r="B699" s="63">
        <f>11.6618 * CHOOSE(CONTROL!$C$22, $C$13, 100%, $E$13)</f>
        <v>11.661799999999999</v>
      </c>
      <c r="C699" s="63">
        <f>11.6618 * CHOOSE(CONTROL!$C$22, $C$13, 100%, $E$13)</f>
        <v>11.661799999999999</v>
      </c>
      <c r="D699" s="63">
        <f>11.6794 * CHOOSE(CONTROL!$C$22, $C$13, 100%, $E$13)</f>
        <v>11.679399999999999</v>
      </c>
      <c r="E699" s="64">
        <f>13.752 * CHOOSE(CONTROL!$C$22, $C$13, 100%, $E$13)</f>
        <v>13.752000000000001</v>
      </c>
      <c r="F699" s="64">
        <f>13.752 * CHOOSE(CONTROL!$C$22, $C$13, 100%, $E$13)</f>
        <v>13.752000000000001</v>
      </c>
      <c r="G699" s="64">
        <f>13.7522 * CHOOSE(CONTROL!$C$22, $C$13, 100%, $E$13)</f>
        <v>13.7522</v>
      </c>
      <c r="H699" s="64">
        <f>22.6782* CHOOSE(CONTROL!$C$22, $C$13, 100%, $E$13)</f>
        <v>22.6782</v>
      </c>
      <c r="I699" s="64">
        <f>22.6783 * CHOOSE(CONTROL!$C$22, $C$13, 100%, $E$13)</f>
        <v>22.6783</v>
      </c>
      <c r="J699" s="64">
        <f>13.752 * CHOOSE(CONTROL!$C$22, $C$13, 100%, $E$13)</f>
        <v>13.752000000000001</v>
      </c>
      <c r="K699" s="64">
        <f>13.7522 * CHOOSE(CONTROL!$C$22, $C$13, 100%, $E$13)</f>
        <v>13.7522</v>
      </c>
    </row>
    <row r="700" spans="1:11" ht="15">
      <c r="A700" s="13">
        <v>62945</v>
      </c>
      <c r="B700" s="63">
        <f>11.6618 * CHOOSE(CONTROL!$C$22, $C$13, 100%, $E$13)</f>
        <v>11.661799999999999</v>
      </c>
      <c r="C700" s="63">
        <f>11.6618 * CHOOSE(CONTROL!$C$22, $C$13, 100%, $E$13)</f>
        <v>11.661799999999999</v>
      </c>
      <c r="D700" s="63">
        <f>11.6971 * CHOOSE(CONTROL!$C$22, $C$13, 100%, $E$13)</f>
        <v>11.697100000000001</v>
      </c>
      <c r="E700" s="64">
        <f>13.7995 * CHOOSE(CONTROL!$C$22, $C$13, 100%, $E$13)</f>
        <v>13.7995</v>
      </c>
      <c r="F700" s="64">
        <f>13.7995 * CHOOSE(CONTROL!$C$22, $C$13, 100%, $E$13)</f>
        <v>13.7995</v>
      </c>
      <c r="G700" s="64">
        <f>13.8016 * CHOOSE(CONTROL!$C$22, $C$13, 100%, $E$13)</f>
        <v>13.801600000000001</v>
      </c>
      <c r="H700" s="64">
        <f>22.7254* CHOOSE(CONTROL!$C$22, $C$13, 100%, $E$13)</f>
        <v>22.7254</v>
      </c>
      <c r="I700" s="64">
        <f>22.7276 * CHOOSE(CONTROL!$C$22, $C$13, 100%, $E$13)</f>
        <v>22.727599999999999</v>
      </c>
      <c r="J700" s="64">
        <f>13.7995 * CHOOSE(CONTROL!$C$22, $C$13, 100%, $E$13)</f>
        <v>13.7995</v>
      </c>
      <c r="K700" s="64">
        <f>13.8016 * CHOOSE(CONTROL!$C$22, $C$13, 100%, $E$13)</f>
        <v>13.801600000000001</v>
      </c>
    </row>
    <row r="701" spans="1:11" ht="15">
      <c r="A701" s="13">
        <v>62976</v>
      </c>
      <c r="B701" s="63">
        <f>11.6679 * CHOOSE(CONTROL!$C$22, $C$13, 100%, $E$13)</f>
        <v>11.667899999999999</v>
      </c>
      <c r="C701" s="63">
        <f>11.6679 * CHOOSE(CONTROL!$C$22, $C$13, 100%, $E$13)</f>
        <v>11.667899999999999</v>
      </c>
      <c r="D701" s="63">
        <f>11.7032 * CHOOSE(CONTROL!$C$22, $C$13, 100%, $E$13)</f>
        <v>11.703200000000001</v>
      </c>
      <c r="E701" s="64">
        <f>13.7562 * CHOOSE(CONTROL!$C$22, $C$13, 100%, $E$13)</f>
        <v>13.7562</v>
      </c>
      <c r="F701" s="64">
        <f>13.7562 * CHOOSE(CONTROL!$C$22, $C$13, 100%, $E$13)</f>
        <v>13.7562</v>
      </c>
      <c r="G701" s="64">
        <f>13.7584 * CHOOSE(CONTROL!$C$22, $C$13, 100%, $E$13)</f>
        <v>13.7584</v>
      </c>
      <c r="H701" s="64">
        <f>22.7727* CHOOSE(CONTROL!$C$22, $C$13, 100%, $E$13)</f>
        <v>22.7727</v>
      </c>
      <c r="I701" s="64">
        <f>22.7749 * CHOOSE(CONTROL!$C$22, $C$13, 100%, $E$13)</f>
        <v>22.774899999999999</v>
      </c>
      <c r="J701" s="64">
        <f>13.7562 * CHOOSE(CONTROL!$C$22, $C$13, 100%, $E$13)</f>
        <v>13.7562</v>
      </c>
      <c r="K701" s="64">
        <f>13.7584 * CHOOSE(CONTROL!$C$22, $C$13, 100%, $E$13)</f>
        <v>13.7584</v>
      </c>
    </row>
    <row r="702" spans="1:11" ht="15">
      <c r="A702" s="13">
        <v>63006</v>
      </c>
      <c r="B702" s="63">
        <f>11.8526 * CHOOSE(CONTROL!$C$22, $C$13, 100%, $E$13)</f>
        <v>11.852600000000001</v>
      </c>
      <c r="C702" s="63">
        <f>11.8526 * CHOOSE(CONTROL!$C$22, $C$13, 100%, $E$13)</f>
        <v>11.852600000000001</v>
      </c>
      <c r="D702" s="63">
        <f>11.888 * CHOOSE(CONTROL!$C$22, $C$13, 100%, $E$13)</f>
        <v>11.888</v>
      </c>
      <c r="E702" s="64">
        <f>14.02 * CHOOSE(CONTROL!$C$22, $C$13, 100%, $E$13)</f>
        <v>14.02</v>
      </c>
      <c r="F702" s="64">
        <f>14.02 * CHOOSE(CONTROL!$C$22, $C$13, 100%, $E$13)</f>
        <v>14.02</v>
      </c>
      <c r="G702" s="64">
        <f>14.0222 * CHOOSE(CONTROL!$C$22, $C$13, 100%, $E$13)</f>
        <v>14.0222</v>
      </c>
      <c r="H702" s="64">
        <f>22.8202* CHOOSE(CONTROL!$C$22, $C$13, 100%, $E$13)</f>
        <v>22.8202</v>
      </c>
      <c r="I702" s="64">
        <f>22.8224 * CHOOSE(CONTROL!$C$22, $C$13, 100%, $E$13)</f>
        <v>22.822399999999998</v>
      </c>
      <c r="J702" s="64">
        <f>14.02 * CHOOSE(CONTROL!$C$22, $C$13, 100%, $E$13)</f>
        <v>14.02</v>
      </c>
      <c r="K702" s="64">
        <f>14.0222 * CHOOSE(CONTROL!$C$22, $C$13, 100%, $E$13)</f>
        <v>14.0222</v>
      </c>
    </row>
    <row r="703" spans="1:11" ht="15">
      <c r="A703" s="13">
        <v>63037</v>
      </c>
      <c r="B703" s="63">
        <f>11.8593 * CHOOSE(CONTROL!$C$22, $C$13, 100%, $E$13)</f>
        <v>11.859299999999999</v>
      </c>
      <c r="C703" s="63">
        <f>11.8593 * CHOOSE(CONTROL!$C$22, $C$13, 100%, $E$13)</f>
        <v>11.859299999999999</v>
      </c>
      <c r="D703" s="63">
        <f>11.8946 * CHOOSE(CONTROL!$C$22, $C$13, 100%, $E$13)</f>
        <v>11.894600000000001</v>
      </c>
      <c r="E703" s="64">
        <f>13.8823 * CHOOSE(CONTROL!$C$22, $C$13, 100%, $E$13)</f>
        <v>13.882300000000001</v>
      </c>
      <c r="F703" s="64">
        <f>13.8823 * CHOOSE(CONTROL!$C$22, $C$13, 100%, $E$13)</f>
        <v>13.882300000000001</v>
      </c>
      <c r="G703" s="64">
        <f>13.8844 * CHOOSE(CONTROL!$C$22, $C$13, 100%, $E$13)</f>
        <v>13.884399999999999</v>
      </c>
      <c r="H703" s="64">
        <f>22.8677* CHOOSE(CONTROL!$C$22, $C$13, 100%, $E$13)</f>
        <v>22.867699999999999</v>
      </c>
      <c r="I703" s="64">
        <f>22.8699 * CHOOSE(CONTROL!$C$22, $C$13, 100%, $E$13)</f>
        <v>22.869900000000001</v>
      </c>
      <c r="J703" s="64">
        <f>13.8823 * CHOOSE(CONTROL!$C$22, $C$13, 100%, $E$13)</f>
        <v>13.882300000000001</v>
      </c>
      <c r="K703" s="64">
        <f>13.8844 * CHOOSE(CONTROL!$C$22, $C$13, 100%, $E$13)</f>
        <v>13.884399999999999</v>
      </c>
    </row>
    <row r="704" spans="1:11" ht="15">
      <c r="A704" s="13">
        <v>63068</v>
      </c>
      <c r="B704" s="63">
        <f>11.8563 * CHOOSE(CONTROL!$C$22, $C$13, 100%, $E$13)</f>
        <v>11.856299999999999</v>
      </c>
      <c r="C704" s="63">
        <f>11.8563 * CHOOSE(CONTROL!$C$22, $C$13, 100%, $E$13)</f>
        <v>11.856299999999999</v>
      </c>
      <c r="D704" s="63">
        <f>11.8916 * CHOOSE(CONTROL!$C$22, $C$13, 100%, $E$13)</f>
        <v>11.8916</v>
      </c>
      <c r="E704" s="64">
        <f>13.8643 * CHOOSE(CONTROL!$C$22, $C$13, 100%, $E$13)</f>
        <v>13.8643</v>
      </c>
      <c r="F704" s="64">
        <f>13.8643 * CHOOSE(CONTROL!$C$22, $C$13, 100%, $E$13)</f>
        <v>13.8643</v>
      </c>
      <c r="G704" s="64">
        <f>13.8665 * CHOOSE(CONTROL!$C$22, $C$13, 100%, $E$13)</f>
        <v>13.8665</v>
      </c>
      <c r="H704" s="64">
        <f>22.9154* CHOOSE(CONTROL!$C$22, $C$13, 100%, $E$13)</f>
        <v>22.915400000000002</v>
      </c>
      <c r="I704" s="64">
        <f>22.9176 * CHOOSE(CONTROL!$C$22, $C$13, 100%, $E$13)</f>
        <v>22.9176</v>
      </c>
      <c r="J704" s="64">
        <f>13.8643 * CHOOSE(CONTROL!$C$22, $C$13, 100%, $E$13)</f>
        <v>13.8643</v>
      </c>
      <c r="K704" s="64">
        <f>13.8665 * CHOOSE(CONTROL!$C$22, $C$13, 100%, $E$13)</f>
        <v>13.8665</v>
      </c>
    </row>
    <row r="705" spans="1:11" ht="15">
      <c r="A705" s="13">
        <v>63098</v>
      </c>
      <c r="B705" s="63">
        <f>11.8773 * CHOOSE(CONTROL!$C$22, $C$13, 100%, $E$13)</f>
        <v>11.8773</v>
      </c>
      <c r="C705" s="63">
        <f>11.8773 * CHOOSE(CONTROL!$C$22, $C$13, 100%, $E$13)</f>
        <v>11.8773</v>
      </c>
      <c r="D705" s="63">
        <f>11.895 * CHOOSE(CONTROL!$C$22, $C$13, 100%, $E$13)</f>
        <v>11.895</v>
      </c>
      <c r="E705" s="64">
        <f>13.9142 * CHOOSE(CONTROL!$C$22, $C$13, 100%, $E$13)</f>
        <v>13.914199999999999</v>
      </c>
      <c r="F705" s="64">
        <f>13.9142 * CHOOSE(CONTROL!$C$22, $C$13, 100%, $E$13)</f>
        <v>13.914199999999999</v>
      </c>
      <c r="G705" s="64">
        <f>13.9144 * CHOOSE(CONTROL!$C$22, $C$13, 100%, $E$13)</f>
        <v>13.914400000000001</v>
      </c>
      <c r="H705" s="64">
        <f>22.9631* CHOOSE(CONTROL!$C$22, $C$13, 100%, $E$13)</f>
        <v>22.963100000000001</v>
      </c>
      <c r="I705" s="64">
        <f>22.9633 * CHOOSE(CONTROL!$C$22, $C$13, 100%, $E$13)</f>
        <v>22.9633</v>
      </c>
      <c r="J705" s="64">
        <f>13.9142 * CHOOSE(CONTROL!$C$22, $C$13, 100%, $E$13)</f>
        <v>13.914199999999999</v>
      </c>
      <c r="K705" s="64">
        <f>13.9144 * CHOOSE(CONTROL!$C$22, $C$13, 100%, $E$13)</f>
        <v>13.914400000000001</v>
      </c>
    </row>
    <row r="706" spans="1:11" ht="15">
      <c r="A706" s="13">
        <v>63129</v>
      </c>
      <c r="B706" s="63">
        <f>11.8803 * CHOOSE(CONTROL!$C$22, $C$13, 100%, $E$13)</f>
        <v>11.8803</v>
      </c>
      <c r="C706" s="63">
        <f>11.8803 * CHOOSE(CONTROL!$C$22, $C$13, 100%, $E$13)</f>
        <v>11.8803</v>
      </c>
      <c r="D706" s="63">
        <f>11.898 * CHOOSE(CONTROL!$C$22, $C$13, 100%, $E$13)</f>
        <v>11.898</v>
      </c>
      <c r="E706" s="64">
        <f>13.9479 * CHOOSE(CONTROL!$C$22, $C$13, 100%, $E$13)</f>
        <v>13.947900000000001</v>
      </c>
      <c r="F706" s="64">
        <f>13.9479 * CHOOSE(CONTROL!$C$22, $C$13, 100%, $E$13)</f>
        <v>13.947900000000001</v>
      </c>
      <c r="G706" s="64">
        <f>13.9481 * CHOOSE(CONTROL!$C$22, $C$13, 100%, $E$13)</f>
        <v>13.9481</v>
      </c>
      <c r="H706" s="64">
        <f>23.0109* CHOOSE(CONTROL!$C$22, $C$13, 100%, $E$13)</f>
        <v>23.010899999999999</v>
      </c>
      <c r="I706" s="64">
        <f>23.0111 * CHOOSE(CONTROL!$C$22, $C$13, 100%, $E$13)</f>
        <v>23.011099999999999</v>
      </c>
      <c r="J706" s="64">
        <f>13.9479 * CHOOSE(CONTROL!$C$22, $C$13, 100%, $E$13)</f>
        <v>13.947900000000001</v>
      </c>
      <c r="K706" s="64">
        <f>13.9481 * CHOOSE(CONTROL!$C$22, $C$13, 100%, $E$13)</f>
        <v>13.9481</v>
      </c>
    </row>
    <row r="707" spans="1:11" ht="15">
      <c r="A707" s="13">
        <v>63159</v>
      </c>
      <c r="B707" s="63">
        <f>11.8803 * CHOOSE(CONTROL!$C$22, $C$13, 100%, $E$13)</f>
        <v>11.8803</v>
      </c>
      <c r="C707" s="63">
        <f>11.8803 * CHOOSE(CONTROL!$C$22, $C$13, 100%, $E$13)</f>
        <v>11.8803</v>
      </c>
      <c r="D707" s="63">
        <f>11.898 * CHOOSE(CONTROL!$C$22, $C$13, 100%, $E$13)</f>
        <v>11.898</v>
      </c>
      <c r="E707" s="64">
        <f>13.8688 * CHOOSE(CONTROL!$C$22, $C$13, 100%, $E$13)</f>
        <v>13.8688</v>
      </c>
      <c r="F707" s="64">
        <f>13.8688 * CHOOSE(CONTROL!$C$22, $C$13, 100%, $E$13)</f>
        <v>13.8688</v>
      </c>
      <c r="G707" s="64">
        <f>13.869 * CHOOSE(CONTROL!$C$22, $C$13, 100%, $E$13)</f>
        <v>13.869</v>
      </c>
      <c r="H707" s="64">
        <f>23.0589* CHOOSE(CONTROL!$C$22, $C$13, 100%, $E$13)</f>
        <v>23.058900000000001</v>
      </c>
      <c r="I707" s="64">
        <f>23.0591 * CHOOSE(CONTROL!$C$22, $C$13, 100%, $E$13)</f>
        <v>23.059100000000001</v>
      </c>
      <c r="J707" s="64">
        <f>13.8688 * CHOOSE(CONTROL!$C$22, $C$13, 100%, $E$13)</f>
        <v>13.8688</v>
      </c>
      <c r="K707" s="64">
        <f>13.869 * CHOOSE(CONTROL!$C$22, $C$13, 100%, $E$13)</f>
        <v>13.869</v>
      </c>
    </row>
    <row r="708" spans="1:11" ht="15">
      <c r="A708" s="13">
        <v>63190</v>
      </c>
      <c r="B708" s="63">
        <f>11.9089 * CHOOSE(CONTROL!$C$22, $C$13, 100%, $E$13)</f>
        <v>11.908899999999999</v>
      </c>
      <c r="C708" s="63">
        <f>11.9089 * CHOOSE(CONTROL!$C$22, $C$13, 100%, $E$13)</f>
        <v>11.908899999999999</v>
      </c>
      <c r="D708" s="63">
        <f>11.9266 * CHOOSE(CONTROL!$C$22, $C$13, 100%, $E$13)</f>
        <v>11.926600000000001</v>
      </c>
      <c r="E708" s="64">
        <f>13.958 * CHOOSE(CONTROL!$C$22, $C$13, 100%, $E$13)</f>
        <v>13.958</v>
      </c>
      <c r="F708" s="64">
        <f>13.958 * CHOOSE(CONTROL!$C$22, $C$13, 100%, $E$13)</f>
        <v>13.958</v>
      </c>
      <c r="G708" s="64">
        <f>13.9581 * CHOOSE(CONTROL!$C$22, $C$13, 100%, $E$13)</f>
        <v>13.9581</v>
      </c>
      <c r="H708" s="64">
        <f>22.9829* CHOOSE(CONTROL!$C$22, $C$13, 100%, $E$13)</f>
        <v>22.982900000000001</v>
      </c>
      <c r="I708" s="64">
        <f>22.9831 * CHOOSE(CONTROL!$C$22, $C$13, 100%, $E$13)</f>
        <v>22.9831</v>
      </c>
      <c r="J708" s="64">
        <f>13.958 * CHOOSE(CONTROL!$C$22, $C$13, 100%, $E$13)</f>
        <v>13.958</v>
      </c>
      <c r="K708" s="64">
        <f>13.9581 * CHOOSE(CONTROL!$C$22, $C$13, 100%, $E$13)</f>
        <v>13.9581</v>
      </c>
    </row>
    <row r="709" spans="1:11" ht="15">
      <c r="A709" s="13">
        <v>63221</v>
      </c>
      <c r="B709" s="63">
        <f>11.9059 * CHOOSE(CONTROL!$C$22, $C$13, 100%, $E$13)</f>
        <v>11.905900000000001</v>
      </c>
      <c r="C709" s="63">
        <f>11.9059 * CHOOSE(CONTROL!$C$22, $C$13, 100%, $E$13)</f>
        <v>11.905900000000001</v>
      </c>
      <c r="D709" s="63">
        <f>11.9236 * CHOOSE(CONTROL!$C$22, $C$13, 100%, $E$13)</f>
        <v>11.9236</v>
      </c>
      <c r="E709" s="64">
        <f>13.8031 * CHOOSE(CONTROL!$C$22, $C$13, 100%, $E$13)</f>
        <v>13.803100000000001</v>
      </c>
      <c r="F709" s="64">
        <f>13.8031 * CHOOSE(CONTROL!$C$22, $C$13, 100%, $E$13)</f>
        <v>13.803100000000001</v>
      </c>
      <c r="G709" s="64">
        <f>13.8033 * CHOOSE(CONTROL!$C$22, $C$13, 100%, $E$13)</f>
        <v>13.8033</v>
      </c>
      <c r="H709" s="64">
        <f>23.0308* CHOOSE(CONTROL!$C$22, $C$13, 100%, $E$13)</f>
        <v>23.030799999999999</v>
      </c>
      <c r="I709" s="64">
        <f>23.031 * CHOOSE(CONTROL!$C$22, $C$13, 100%, $E$13)</f>
        <v>23.030999999999999</v>
      </c>
      <c r="J709" s="64">
        <f>13.8031 * CHOOSE(CONTROL!$C$22, $C$13, 100%, $E$13)</f>
        <v>13.803100000000001</v>
      </c>
      <c r="K709" s="64">
        <f>13.8033 * CHOOSE(CONTROL!$C$22, $C$13, 100%, $E$13)</f>
        <v>13.8033</v>
      </c>
    </row>
    <row r="710" spans="1:11" ht="15">
      <c r="A710" s="13">
        <v>63249</v>
      </c>
      <c r="B710" s="63">
        <f>11.9029 * CHOOSE(CONTROL!$C$22, $C$13, 100%, $E$13)</f>
        <v>11.902900000000001</v>
      </c>
      <c r="C710" s="63">
        <f>11.9029 * CHOOSE(CONTROL!$C$22, $C$13, 100%, $E$13)</f>
        <v>11.902900000000001</v>
      </c>
      <c r="D710" s="63">
        <f>11.9205 * CHOOSE(CONTROL!$C$22, $C$13, 100%, $E$13)</f>
        <v>11.920500000000001</v>
      </c>
      <c r="E710" s="64">
        <f>13.9214 * CHOOSE(CONTROL!$C$22, $C$13, 100%, $E$13)</f>
        <v>13.9214</v>
      </c>
      <c r="F710" s="64">
        <f>13.9214 * CHOOSE(CONTROL!$C$22, $C$13, 100%, $E$13)</f>
        <v>13.9214</v>
      </c>
      <c r="G710" s="64">
        <f>13.9216 * CHOOSE(CONTROL!$C$22, $C$13, 100%, $E$13)</f>
        <v>13.9216</v>
      </c>
      <c r="H710" s="64">
        <f>23.0788* CHOOSE(CONTROL!$C$22, $C$13, 100%, $E$13)</f>
        <v>23.078800000000001</v>
      </c>
      <c r="I710" s="64">
        <f>23.0789 * CHOOSE(CONTROL!$C$22, $C$13, 100%, $E$13)</f>
        <v>23.078900000000001</v>
      </c>
      <c r="J710" s="64">
        <f>13.9214 * CHOOSE(CONTROL!$C$22, $C$13, 100%, $E$13)</f>
        <v>13.9214</v>
      </c>
      <c r="K710" s="64">
        <f>13.9216 * CHOOSE(CONTROL!$C$22, $C$13, 100%, $E$13)</f>
        <v>13.9216</v>
      </c>
    </row>
    <row r="711" spans="1:11" ht="15">
      <c r="A711" s="13">
        <v>63280</v>
      </c>
      <c r="B711" s="63">
        <f>11.9073 * CHOOSE(CONTROL!$C$22, $C$13, 100%, $E$13)</f>
        <v>11.907299999999999</v>
      </c>
      <c r="C711" s="63">
        <f>11.9073 * CHOOSE(CONTROL!$C$22, $C$13, 100%, $E$13)</f>
        <v>11.907299999999999</v>
      </c>
      <c r="D711" s="63">
        <f>11.925 * CHOOSE(CONTROL!$C$22, $C$13, 100%, $E$13)</f>
        <v>11.925000000000001</v>
      </c>
      <c r="E711" s="64">
        <f>14.0464 * CHOOSE(CONTROL!$C$22, $C$13, 100%, $E$13)</f>
        <v>14.0464</v>
      </c>
      <c r="F711" s="64">
        <f>14.0464 * CHOOSE(CONTROL!$C$22, $C$13, 100%, $E$13)</f>
        <v>14.0464</v>
      </c>
      <c r="G711" s="64">
        <f>14.0466 * CHOOSE(CONTROL!$C$22, $C$13, 100%, $E$13)</f>
        <v>14.0466</v>
      </c>
      <c r="H711" s="64">
        <f>23.1268* CHOOSE(CONTROL!$C$22, $C$13, 100%, $E$13)</f>
        <v>23.126799999999999</v>
      </c>
      <c r="I711" s="64">
        <f>23.127 * CHOOSE(CONTROL!$C$22, $C$13, 100%, $E$13)</f>
        <v>23.126999999999999</v>
      </c>
      <c r="J711" s="64">
        <f>14.0464 * CHOOSE(CONTROL!$C$22, $C$13, 100%, $E$13)</f>
        <v>14.0464</v>
      </c>
      <c r="K711" s="64">
        <f>14.0466 * CHOOSE(CONTROL!$C$22, $C$13, 100%, $E$13)</f>
        <v>14.0466</v>
      </c>
    </row>
    <row r="712" spans="1:11" ht="15">
      <c r="A712" s="13">
        <v>63310</v>
      </c>
      <c r="B712" s="63">
        <f>11.9073 * CHOOSE(CONTROL!$C$22, $C$13, 100%, $E$13)</f>
        <v>11.907299999999999</v>
      </c>
      <c r="C712" s="63">
        <f>11.9073 * CHOOSE(CONTROL!$C$22, $C$13, 100%, $E$13)</f>
        <v>11.907299999999999</v>
      </c>
      <c r="D712" s="63">
        <f>11.9426 * CHOOSE(CONTROL!$C$22, $C$13, 100%, $E$13)</f>
        <v>11.942600000000001</v>
      </c>
      <c r="E712" s="64">
        <f>14.0949 * CHOOSE(CONTROL!$C$22, $C$13, 100%, $E$13)</f>
        <v>14.094900000000001</v>
      </c>
      <c r="F712" s="64">
        <f>14.0949 * CHOOSE(CONTROL!$C$22, $C$13, 100%, $E$13)</f>
        <v>14.094900000000001</v>
      </c>
      <c r="G712" s="64">
        <f>14.0971 * CHOOSE(CONTROL!$C$22, $C$13, 100%, $E$13)</f>
        <v>14.097099999999999</v>
      </c>
      <c r="H712" s="64">
        <f>23.175* CHOOSE(CONTROL!$C$22, $C$13, 100%, $E$13)</f>
        <v>23.175000000000001</v>
      </c>
      <c r="I712" s="64">
        <f>23.1772 * CHOOSE(CONTROL!$C$22, $C$13, 100%, $E$13)</f>
        <v>23.177199999999999</v>
      </c>
      <c r="J712" s="64">
        <f>14.0949 * CHOOSE(CONTROL!$C$22, $C$13, 100%, $E$13)</f>
        <v>14.094900000000001</v>
      </c>
      <c r="K712" s="64">
        <f>14.0971 * CHOOSE(CONTROL!$C$22, $C$13, 100%, $E$13)</f>
        <v>14.097099999999999</v>
      </c>
    </row>
    <row r="713" spans="1:11" ht="15">
      <c r="A713" s="13">
        <v>63341</v>
      </c>
      <c r="B713" s="63">
        <f>11.9134 * CHOOSE(CONTROL!$C$22, $C$13, 100%, $E$13)</f>
        <v>11.913399999999999</v>
      </c>
      <c r="C713" s="63">
        <f>11.9134 * CHOOSE(CONTROL!$C$22, $C$13, 100%, $E$13)</f>
        <v>11.913399999999999</v>
      </c>
      <c r="D713" s="63">
        <f>11.9487 * CHOOSE(CONTROL!$C$22, $C$13, 100%, $E$13)</f>
        <v>11.948700000000001</v>
      </c>
      <c r="E713" s="64">
        <f>14.0507 * CHOOSE(CONTROL!$C$22, $C$13, 100%, $E$13)</f>
        <v>14.050700000000001</v>
      </c>
      <c r="F713" s="64">
        <f>14.0507 * CHOOSE(CONTROL!$C$22, $C$13, 100%, $E$13)</f>
        <v>14.050700000000001</v>
      </c>
      <c r="G713" s="64">
        <f>14.0529 * CHOOSE(CONTROL!$C$22, $C$13, 100%, $E$13)</f>
        <v>14.052899999999999</v>
      </c>
      <c r="H713" s="64">
        <f>23.2233* CHOOSE(CONTROL!$C$22, $C$13, 100%, $E$13)</f>
        <v>23.223299999999998</v>
      </c>
      <c r="I713" s="64">
        <f>23.2255 * CHOOSE(CONTROL!$C$22, $C$13, 100%, $E$13)</f>
        <v>23.2255</v>
      </c>
      <c r="J713" s="64">
        <f>14.0507 * CHOOSE(CONTROL!$C$22, $C$13, 100%, $E$13)</f>
        <v>14.050700000000001</v>
      </c>
      <c r="K713" s="64">
        <f>14.0529 * CHOOSE(CONTROL!$C$22, $C$13, 100%, $E$13)</f>
        <v>14.052899999999999</v>
      </c>
    </row>
    <row r="714" spans="1:11" ht="15">
      <c r="A714" s="13">
        <v>63371</v>
      </c>
      <c r="B714" s="63">
        <f>12.1019 * CHOOSE(CONTROL!$C$22, $C$13, 100%, $E$13)</f>
        <v>12.101900000000001</v>
      </c>
      <c r="C714" s="63">
        <f>12.1019 * CHOOSE(CONTROL!$C$22, $C$13, 100%, $E$13)</f>
        <v>12.101900000000001</v>
      </c>
      <c r="D714" s="63">
        <f>12.1372 * CHOOSE(CONTROL!$C$22, $C$13, 100%, $E$13)</f>
        <v>12.1372</v>
      </c>
      <c r="E714" s="64">
        <f>14.3199 * CHOOSE(CONTROL!$C$22, $C$13, 100%, $E$13)</f>
        <v>14.319900000000001</v>
      </c>
      <c r="F714" s="64">
        <f>14.3199 * CHOOSE(CONTROL!$C$22, $C$13, 100%, $E$13)</f>
        <v>14.319900000000001</v>
      </c>
      <c r="G714" s="64">
        <f>14.3221 * CHOOSE(CONTROL!$C$22, $C$13, 100%, $E$13)</f>
        <v>14.322100000000001</v>
      </c>
      <c r="H714" s="64">
        <f>23.2717* CHOOSE(CONTROL!$C$22, $C$13, 100%, $E$13)</f>
        <v>23.271699999999999</v>
      </c>
      <c r="I714" s="64">
        <f>23.2739 * CHOOSE(CONTROL!$C$22, $C$13, 100%, $E$13)</f>
        <v>23.273900000000001</v>
      </c>
      <c r="J714" s="64">
        <f>14.3199 * CHOOSE(CONTROL!$C$22, $C$13, 100%, $E$13)</f>
        <v>14.319900000000001</v>
      </c>
      <c r="K714" s="64">
        <f>14.3221 * CHOOSE(CONTROL!$C$22, $C$13, 100%, $E$13)</f>
        <v>14.322100000000001</v>
      </c>
    </row>
    <row r="715" spans="1:11" ht="15">
      <c r="A715" s="13">
        <v>63402</v>
      </c>
      <c r="B715" s="63">
        <f>12.1086 * CHOOSE(CONTROL!$C$22, $C$13, 100%, $E$13)</f>
        <v>12.108599999999999</v>
      </c>
      <c r="C715" s="63">
        <f>12.1086 * CHOOSE(CONTROL!$C$22, $C$13, 100%, $E$13)</f>
        <v>12.108599999999999</v>
      </c>
      <c r="D715" s="63">
        <f>12.1439 * CHOOSE(CONTROL!$C$22, $C$13, 100%, $E$13)</f>
        <v>12.1439</v>
      </c>
      <c r="E715" s="64">
        <f>14.1791 * CHOOSE(CONTROL!$C$22, $C$13, 100%, $E$13)</f>
        <v>14.1791</v>
      </c>
      <c r="F715" s="64">
        <f>14.1791 * CHOOSE(CONTROL!$C$22, $C$13, 100%, $E$13)</f>
        <v>14.1791</v>
      </c>
      <c r="G715" s="64">
        <f>14.1813 * CHOOSE(CONTROL!$C$22, $C$13, 100%, $E$13)</f>
        <v>14.1813</v>
      </c>
      <c r="H715" s="64">
        <f>23.3202* CHOOSE(CONTROL!$C$22, $C$13, 100%, $E$13)</f>
        <v>23.3202</v>
      </c>
      <c r="I715" s="64">
        <f>23.3223 * CHOOSE(CONTROL!$C$22, $C$13, 100%, $E$13)</f>
        <v>23.322299999999998</v>
      </c>
      <c r="J715" s="64">
        <f>14.1791 * CHOOSE(CONTROL!$C$22, $C$13, 100%, $E$13)</f>
        <v>14.1791</v>
      </c>
      <c r="K715" s="64">
        <f>14.1813 * CHOOSE(CONTROL!$C$22, $C$13, 100%, $E$13)</f>
        <v>14.1813</v>
      </c>
    </row>
    <row r="716" spans="1:11" ht="15">
      <c r="A716" s="13">
        <v>63433</v>
      </c>
      <c r="B716" s="63">
        <f>12.1055 * CHOOSE(CONTROL!$C$22, $C$13, 100%, $E$13)</f>
        <v>12.105499999999999</v>
      </c>
      <c r="C716" s="63">
        <f>12.1055 * CHOOSE(CONTROL!$C$22, $C$13, 100%, $E$13)</f>
        <v>12.105499999999999</v>
      </c>
      <c r="D716" s="63">
        <f>12.1408 * CHOOSE(CONTROL!$C$22, $C$13, 100%, $E$13)</f>
        <v>12.1408</v>
      </c>
      <c r="E716" s="64">
        <f>14.1608 * CHOOSE(CONTROL!$C$22, $C$13, 100%, $E$13)</f>
        <v>14.1608</v>
      </c>
      <c r="F716" s="64">
        <f>14.1608 * CHOOSE(CONTROL!$C$22, $C$13, 100%, $E$13)</f>
        <v>14.1608</v>
      </c>
      <c r="G716" s="64">
        <f>14.163 * CHOOSE(CONTROL!$C$22, $C$13, 100%, $E$13)</f>
        <v>14.163</v>
      </c>
      <c r="H716" s="64">
        <f>23.3687* CHOOSE(CONTROL!$C$22, $C$13, 100%, $E$13)</f>
        <v>23.3687</v>
      </c>
      <c r="I716" s="64">
        <f>23.3709 * CHOOSE(CONTROL!$C$22, $C$13, 100%, $E$13)</f>
        <v>23.370899999999999</v>
      </c>
      <c r="J716" s="64">
        <f>14.1608 * CHOOSE(CONTROL!$C$22, $C$13, 100%, $E$13)</f>
        <v>14.1608</v>
      </c>
      <c r="K716" s="64">
        <f>14.163 * CHOOSE(CONTROL!$C$22, $C$13, 100%, $E$13)</f>
        <v>14.163</v>
      </c>
    </row>
    <row r="717" spans="1:11" ht="15">
      <c r="A717" s="13">
        <v>63463</v>
      </c>
      <c r="B717" s="63">
        <f>12.1273 * CHOOSE(CONTROL!$C$22, $C$13, 100%, $E$13)</f>
        <v>12.1273</v>
      </c>
      <c r="C717" s="63">
        <f>12.1273 * CHOOSE(CONTROL!$C$22, $C$13, 100%, $E$13)</f>
        <v>12.1273</v>
      </c>
      <c r="D717" s="63">
        <f>12.145 * CHOOSE(CONTROL!$C$22, $C$13, 100%, $E$13)</f>
        <v>12.145</v>
      </c>
      <c r="E717" s="64">
        <f>14.212 * CHOOSE(CONTROL!$C$22, $C$13, 100%, $E$13)</f>
        <v>14.212</v>
      </c>
      <c r="F717" s="64">
        <f>14.212 * CHOOSE(CONTROL!$C$22, $C$13, 100%, $E$13)</f>
        <v>14.212</v>
      </c>
      <c r="G717" s="64">
        <f>14.2122 * CHOOSE(CONTROL!$C$22, $C$13, 100%, $E$13)</f>
        <v>14.212199999999999</v>
      </c>
      <c r="H717" s="64">
        <f>23.4174* CHOOSE(CONTROL!$C$22, $C$13, 100%, $E$13)</f>
        <v>23.417400000000001</v>
      </c>
      <c r="I717" s="64">
        <f>23.4176 * CHOOSE(CONTROL!$C$22, $C$13, 100%, $E$13)</f>
        <v>23.4176</v>
      </c>
      <c r="J717" s="64">
        <f>14.212 * CHOOSE(CONTROL!$C$22, $C$13, 100%, $E$13)</f>
        <v>14.212</v>
      </c>
      <c r="K717" s="64">
        <f>14.2122 * CHOOSE(CONTROL!$C$22, $C$13, 100%, $E$13)</f>
        <v>14.212199999999999</v>
      </c>
    </row>
    <row r="718" spans="1:11" ht="15">
      <c r="A718" s="13">
        <v>63494</v>
      </c>
      <c r="B718" s="63">
        <f>12.1304 * CHOOSE(CONTROL!$C$22, $C$13, 100%, $E$13)</f>
        <v>12.1304</v>
      </c>
      <c r="C718" s="63">
        <f>12.1304 * CHOOSE(CONTROL!$C$22, $C$13, 100%, $E$13)</f>
        <v>12.1304</v>
      </c>
      <c r="D718" s="63">
        <f>12.148 * CHOOSE(CONTROL!$C$22, $C$13, 100%, $E$13)</f>
        <v>12.148</v>
      </c>
      <c r="E718" s="64">
        <f>14.2465 * CHOOSE(CONTROL!$C$22, $C$13, 100%, $E$13)</f>
        <v>14.246499999999999</v>
      </c>
      <c r="F718" s="64">
        <f>14.2465 * CHOOSE(CONTROL!$C$22, $C$13, 100%, $E$13)</f>
        <v>14.246499999999999</v>
      </c>
      <c r="G718" s="64">
        <f>14.2467 * CHOOSE(CONTROL!$C$22, $C$13, 100%, $E$13)</f>
        <v>14.246700000000001</v>
      </c>
      <c r="H718" s="64">
        <f>23.4662* CHOOSE(CONTROL!$C$22, $C$13, 100%, $E$13)</f>
        <v>23.466200000000001</v>
      </c>
      <c r="I718" s="64">
        <f>23.4664 * CHOOSE(CONTROL!$C$22, $C$13, 100%, $E$13)</f>
        <v>23.4664</v>
      </c>
      <c r="J718" s="64">
        <f>14.2465 * CHOOSE(CONTROL!$C$22, $C$13, 100%, $E$13)</f>
        <v>14.246499999999999</v>
      </c>
      <c r="K718" s="64">
        <f>14.2467 * CHOOSE(CONTROL!$C$22, $C$13, 100%, $E$13)</f>
        <v>14.246700000000001</v>
      </c>
    </row>
    <row r="719" spans="1:11" ht="15">
      <c r="A719" s="13">
        <v>63524</v>
      </c>
      <c r="B719" s="63">
        <f>12.1304 * CHOOSE(CONTROL!$C$22, $C$13, 100%, $E$13)</f>
        <v>12.1304</v>
      </c>
      <c r="C719" s="63">
        <f>12.1304 * CHOOSE(CONTROL!$C$22, $C$13, 100%, $E$13)</f>
        <v>12.1304</v>
      </c>
      <c r="D719" s="63">
        <f>12.148 * CHOOSE(CONTROL!$C$22, $C$13, 100%, $E$13)</f>
        <v>12.148</v>
      </c>
      <c r="E719" s="64">
        <f>14.1657 * CHOOSE(CONTROL!$C$22, $C$13, 100%, $E$13)</f>
        <v>14.165699999999999</v>
      </c>
      <c r="F719" s="64">
        <f>14.1657 * CHOOSE(CONTROL!$C$22, $C$13, 100%, $E$13)</f>
        <v>14.165699999999999</v>
      </c>
      <c r="G719" s="64">
        <f>14.1659 * CHOOSE(CONTROL!$C$22, $C$13, 100%, $E$13)</f>
        <v>14.165900000000001</v>
      </c>
      <c r="H719" s="64">
        <f>23.5151* CHOOSE(CONTROL!$C$22, $C$13, 100%, $E$13)</f>
        <v>23.5151</v>
      </c>
      <c r="I719" s="64">
        <f>23.5153 * CHOOSE(CONTROL!$C$22, $C$13, 100%, $E$13)</f>
        <v>23.5153</v>
      </c>
      <c r="J719" s="64">
        <f>14.1657 * CHOOSE(CONTROL!$C$22, $C$13, 100%, $E$13)</f>
        <v>14.165699999999999</v>
      </c>
      <c r="K719" s="64">
        <f>14.1659 * CHOOSE(CONTROL!$C$22, $C$13, 100%, $E$13)</f>
        <v>14.165900000000001</v>
      </c>
    </row>
    <row r="720" spans="1:11" ht="15">
      <c r="A720" s="13">
        <v>63555</v>
      </c>
      <c r="B720" s="63">
        <f>12.1543 * CHOOSE(CONTROL!$C$22, $C$13, 100%, $E$13)</f>
        <v>12.154299999999999</v>
      </c>
      <c r="C720" s="63">
        <f>12.1543 * CHOOSE(CONTROL!$C$22, $C$13, 100%, $E$13)</f>
        <v>12.154299999999999</v>
      </c>
      <c r="D720" s="63">
        <f>12.1719 * CHOOSE(CONTROL!$C$22, $C$13, 100%, $E$13)</f>
        <v>12.171900000000001</v>
      </c>
      <c r="E720" s="64">
        <f>14.2504 * CHOOSE(CONTROL!$C$22, $C$13, 100%, $E$13)</f>
        <v>14.250400000000001</v>
      </c>
      <c r="F720" s="64">
        <f>14.2504 * CHOOSE(CONTROL!$C$22, $C$13, 100%, $E$13)</f>
        <v>14.250400000000001</v>
      </c>
      <c r="G720" s="64">
        <f>14.2505 * CHOOSE(CONTROL!$C$22, $C$13, 100%, $E$13)</f>
        <v>14.250500000000001</v>
      </c>
      <c r="H720" s="64">
        <f>23.4288* CHOOSE(CONTROL!$C$22, $C$13, 100%, $E$13)</f>
        <v>23.428799999999999</v>
      </c>
      <c r="I720" s="64">
        <f>23.429 * CHOOSE(CONTROL!$C$22, $C$13, 100%, $E$13)</f>
        <v>23.428999999999998</v>
      </c>
      <c r="J720" s="64">
        <f>14.2504 * CHOOSE(CONTROL!$C$22, $C$13, 100%, $E$13)</f>
        <v>14.250400000000001</v>
      </c>
      <c r="K720" s="64">
        <f>14.2505 * CHOOSE(CONTROL!$C$22, $C$13, 100%, $E$13)</f>
        <v>14.250500000000001</v>
      </c>
    </row>
    <row r="721" spans="1:11" ht="15">
      <c r="A721" s="13">
        <v>63586</v>
      </c>
      <c r="B721" s="63">
        <f>12.1512 * CHOOSE(CONTROL!$C$22, $C$13, 100%, $E$13)</f>
        <v>12.151199999999999</v>
      </c>
      <c r="C721" s="63">
        <f>12.1512 * CHOOSE(CONTROL!$C$22, $C$13, 100%, $E$13)</f>
        <v>12.151199999999999</v>
      </c>
      <c r="D721" s="63">
        <f>12.1689 * CHOOSE(CONTROL!$C$22, $C$13, 100%, $E$13)</f>
        <v>12.168900000000001</v>
      </c>
      <c r="E721" s="64">
        <f>14.0923 * CHOOSE(CONTROL!$C$22, $C$13, 100%, $E$13)</f>
        <v>14.0923</v>
      </c>
      <c r="F721" s="64">
        <f>14.0923 * CHOOSE(CONTROL!$C$22, $C$13, 100%, $E$13)</f>
        <v>14.0923</v>
      </c>
      <c r="G721" s="64">
        <f>14.0925 * CHOOSE(CONTROL!$C$22, $C$13, 100%, $E$13)</f>
        <v>14.092499999999999</v>
      </c>
      <c r="H721" s="64">
        <f>23.4776* CHOOSE(CONTROL!$C$22, $C$13, 100%, $E$13)</f>
        <v>23.477599999999999</v>
      </c>
      <c r="I721" s="64">
        <f>23.4778 * CHOOSE(CONTROL!$C$22, $C$13, 100%, $E$13)</f>
        <v>23.477799999999998</v>
      </c>
      <c r="J721" s="64">
        <f>14.0923 * CHOOSE(CONTROL!$C$22, $C$13, 100%, $E$13)</f>
        <v>14.0923</v>
      </c>
      <c r="K721" s="64">
        <f>14.0925 * CHOOSE(CONTROL!$C$22, $C$13, 100%, $E$13)</f>
        <v>14.092499999999999</v>
      </c>
    </row>
    <row r="722" spans="1:11" ht="15">
      <c r="A722" s="13">
        <v>63614</v>
      </c>
      <c r="B722" s="63">
        <f>12.1482 * CHOOSE(CONTROL!$C$22, $C$13, 100%, $E$13)</f>
        <v>12.148199999999999</v>
      </c>
      <c r="C722" s="63">
        <f>12.1482 * CHOOSE(CONTROL!$C$22, $C$13, 100%, $E$13)</f>
        <v>12.148199999999999</v>
      </c>
      <c r="D722" s="63">
        <f>12.1658 * CHOOSE(CONTROL!$C$22, $C$13, 100%, $E$13)</f>
        <v>12.165800000000001</v>
      </c>
      <c r="E722" s="64">
        <f>14.2131 * CHOOSE(CONTROL!$C$22, $C$13, 100%, $E$13)</f>
        <v>14.213100000000001</v>
      </c>
      <c r="F722" s="64">
        <f>14.2131 * CHOOSE(CONTROL!$C$22, $C$13, 100%, $E$13)</f>
        <v>14.213100000000001</v>
      </c>
      <c r="G722" s="64">
        <f>14.2133 * CHOOSE(CONTROL!$C$22, $C$13, 100%, $E$13)</f>
        <v>14.2133</v>
      </c>
      <c r="H722" s="64">
        <f>23.5265* CHOOSE(CONTROL!$C$22, $C$13, 100%, $E$13)</f>
        <v>23.526499999999999</v>
      </c>
      <c r="I722" s="64">
        <f>23.5267 * CHOOSE(CONTROL!$C$22, $C$13, 100%, $E$13)</f>
        <v>23.526700000000002</v>
      </c>
      <c r="J722" s="64">
        <f>14.2131 * CHOOSE(CONTROL!$C$22, $C$13, 100%, $E$13)</f>
        <v>14.213100000000001</v>
      </c>
      <c r="K722" s="64">
        <f>14.2133 * CHOOSE(CONTROL!$C$22, $C$13, 100%, $E$13)</f>
        <v>14.2133</v>
      </c>
    </row>
    <row r="723" spans="1:11" ht="15">
      <c r="A723" s="13">
        <v>63645</v>
      </c>
      <c r="B723" s="63">
        <f>12.1528 * CHOOSE(CONTROL!$C$22, $C$13, 100%, $E$13)</f>
        <v>12.152799999999999</v>
      </c>
      <c r="C723" s="63">
        <f>12.1528 * CHOOSE(CONTROL!$C$22, $C$13, 100%, $E$13)</f>
        <v>12.152799999999999</v>
      </c>
      <c r="D723" s="63">
        <f>12.1705 * CHOOSE(CONTROL!$C$22, $C$13, 100%, $E$13)</f>
        <v>12.170500000000001</v>
      </c>
      <c r="E723" s="64">
        <f>14.3409 * CHOOSE(CONTROL!$C$22, $C$13, 100%, $E$13)</f>
        <v>14.3409</v>
      </c>
      <c r="F723" s="64">
        <f>14.3409 * CHOOSE(CONTROL!$C$22, $C$13, 100%, $E$13)</f>
        <v>14.3409</v>
      </c>
      <c r="G723" s="64">
        <f>14.3411 * CHOOSE(CONTROL!$C$22, $C$13, 100%, $E$13)</f>
        <v>14.341100000000001</v>
      </c>
      <c r="H723" s="64">
        <f>23.5755* CHOOSE(CONTROL!$C$22, $C$13, 100%, $E$13)</f>
        <v>23.575500000000002</v>
      </c>
      <c r="I723" s="64">
        <f>23.5757 * CHOOSE(CONTROL!$C$22, $C$13, 100%, $E$13)</f>
        <v>23.575700000000001</v>
      </c>
      <c r="J723" s="64">
        <f>14.3409 * CHOOSE(CONTROL!$C$22, $C$13, 100%, $E$13)</f>
        <v>14.3409</v>
      </c>
      <c r="K723" s="64">
        <f>14.3411 * CHOOSE(CONTROL!$C$22, $C$13, 100%, $E$13)</f>
        <v>14.341100000000001</v>
      </c>
    </row>
    <row r="724" spans="1:11" ht="15">
      <c r="A724" s="13">
        <v>63675</v>
      </c>
      <c r="B724" s="63">
        <f>12.1528 * CHOOSE(CONTROL!$C$22, $C$13, 100%, $E$13)</f>
        <v>12.152799999999999</v>
      </c>
      <c r="C724" s="63">
        <f>12.1528 * CHOOSE(CONTROL!$C$22, $C$13, 100%, $E$13)</f>
        <v>12.152799999999999</v>
      </c>
      <c r="D724" s="63">
        <f>12.1881 * CHOOSE(CONTROL!$C$22, $C$13, 100%, $E$13)</f>
        <v>12.1881</v>
      </c>
      <c r="E724" s="64">
        <f>14.3904 * CHOOSE(CONTROL!$C$22, $C$13, 100%, $E$13)</f>
        <v>14.3904</v>
      </c>
      <c r="F724" s="64">
        <f>14.3904 * CHOOSE(CONTROL!$C$22, $C$13, 100%, $E$13)</f>
        <v>14.3904</v>
      </c>
      <c r="G724" s="64">
        <f>14.3926 * CHOOSE(CONTROL!$C$22, $C$13, 100%, $E$13)</f>
        <v>14.3926</v>
      </c>
      <c r="H724" s="64">
        <f>23.6246* CHOOSE(CONTROL!$C$22, $C$13, 100%, $E$13)</f>
        <v>23.624600000000001</v>
      </c>
      <c r="I724" s="64">
        <f>23.6268 * CHOOSE(CONTROL!$C$22, $C$13, 100%, $E$13)</f>
        <v>23.626799999999999</v>
      </c>
      <c r="J724" s="64">
        <f>14.3904 * CHOOSE(CONTROL!$C$22, $C$13, 100%, $E$13)</f>
        <v>14.3904</v>
      </c>
      <c r="K724" s="64">
        <f>14.3926 * CHOOSE(CONTROL!$C$22, $C$13, 100%, $E$13)</f>
        <v>14.3926</v>
      </c>
    </row>
    <row r="725" spans="1:11" ht="15">
      <c r="A725" s="13">
        <v>63706</v>
      </c>
      <c r="B725" s="63">
        <f>12.1589 * CHOOSE(CONTROL!$C$22, $C$13, 100%, $E$13)</f>
        <v>12.158899999999999</v>
      </c>
      <c r="C725" s="63">
        <f>12.1589 * CHOOSE(CONTROL!$C$22, $C$13, 100%, $E$13)</f>
        <v>12.158899999999999</v>
      </c>
      <c r="D725" s="63">
        <f>12.1942 * CHOOSE(CONTROL!$C$22, $C$13, 100%, $E$13)</f>
        <v>12.1942</v>
      </c>
      <c r="E725" s="64">
        <f>14.3451 * CHOOSE(CONTROL!$C$22, $C$13, 100%, $E$13)</f>
        <v>14.3451</v>
      </c>
      <c r="F725" s="64">
        <f>14.3451 * CHOOSE(CONTROL!$C$22, $C$13, 100%, $E$13)</f>
        <v>14.3451</v>
      </c>
      <c r="G725" s="64">
        <f>14.3473 * CHOOSE(CONTROL!$C$22, $C$13, 100%, $E$13)</f>
        <v>14.347300000000001</v>
      </c>
      <c r="H725" s="64">
        <f>23.6739* CHOOSE(CONTROL!$C$22, $C$13, 100%, $E$13)</f>
        <v>23.6739</v>
      </c>
      <c r="I725" s="64">
        <f>23.676 * CHOOSE(CONTROL!$C$22, $C$13, 100%, $E$13)</f>
        <v>23.675999999999998</v>
      </c>
      <c r="J725" s="64">
        <f>14.3451 * CHOOSE(CONTROL!$C$22, $C$13, 100%, $E$13)</f>
        <v>14.3451</v>
      </c>
      <c r="K725" s="64">
        <f>14.3473 * CHOOSE(CONTROL!$C$22, $C$13, 100%, $E$13)</f>
        <v>14.347300000000001</v>
      </c>
    </row>
    <row r="726" spans="1:11" ht="15">
      <c r="A726" s="13">
        <v>63736</v>
      </c>
      <c r="B726" s="63">
        <f>12.3511 * CHOOSE(CONTROL!$C$22, $C$13, 100%, $E$13)</f>
        <v>12.351100000000001</v>
      </c>
      <c r="C726" s="63">
        <f>12.3511 * CHOOSE(CONTROL!$C$22, $C$13, 100%, $E$13)</f>
        <v>12.351100000000001</v>
      </c>
      <c r="D726" s="63">
        <f>12.3864 * CHOOSE(CONTROL!$C$22, $C$13, 100%, $E$13)</f>
        <v>12.3864</v>
      </c>
      <c r="E726" s="64">
        <f>14.6198 * CHOOSE(CONTROL!$C$22, $C$13, 100%, $E$13)</f>
        <v>14.6198</v>
      </c>
      <c r="F726" s="64">
        <f>14.6198 * CHOOSE(CONTROL!$C$22, $C$13, 100%, $E$13)</f>
        <v>14.6198</v>
      </c>
      <c r="G726" s="64">
        <f>14.6219 * CHOOSE(CONTROL!$C$22, $C$13, 100%, $E$13)</f>
        <v>14.6219</v>
      </c>
      <c r="H726" s="64">
        <f>23.7232* CHOOSE(CONTROL!$C$22, $C$13, 100%, $E$13)</f>
        <v>23.723199999999999</v>
      </c>
      <c r="I726" s="64">
        <f>23.7254 * CHOOSE(CONTROL!$C$22, $C$13, 100%, $E$13)</f>
        <v>23.7254</v>
      </c>
      <c r="J726" s="64">
        <f>14.6198 * CHOOSE(CONTROL!$C$22, $C$13, 100%, $E$13)</f>
        <v>14.6198</v>
      </c>
      <c r="K726" s="64">
        <f>14.6219 * CHOOSE(CONTROL!$C$22, $C$13, 100%, $E$13)</f>
        <v>14.6219</v>
      </c>
    </row>
    <row r="727" spans="1:11" ht="15">
      <c r="A727" s="13">
        <v>63767</v>
      </c>
      <c r="B727" s="63">
        <f>12.3578 * CHOOSE(CONTROL!$C$22, $C$13, 100%, $E$13)</f>
        <v>12.357799999999999</v>
      </c>
      <c r="C727" s="63">
        <f>12.3578 * CHOOSE(CONTROL!$C$22, $C$13, 100%, $E$13)</f>
        <v>12.357799999999999</v>
      </c>
      <c r="D727" s="63">
        <f>12.3931 * CHOOSE(CONTROL!$C$22, $C$13, 100%, $E$13)</f>
        <v>12.3931</v>
      </c>
      <c r="E727" s="64">
        <f>14.4759 * CHOOSE(CONTROL!$C$22, $C$13, 100%, $E$13)</f>
        <v>14.475899999999999</v>
      </c>
      <c r="F727" s="64">
        <f>14.4759 * CHOOSE(CONTROL!$C$22, $C$13, 100%, $E$13)</f>
        <v>14.475899999999999</v>
      </c>
      <c r="G727" s="64">
        <f>14.4781 * CHOOSE(CONTROL!$C$22, $C$13, 100%, $E$13)</f>
        <v>14.4781</v>
      </c>
      <c r="H727" s="64">
        <f>23.7726* CHOOSE(CONTROL!$C$22, $C$13, 100%, $E$13)</f>
        <v>23.772600000000001</v>
      </c>
      <c r="I727" s="64">
        <f>23.7748 * CHOOSE(CONTROL!$C$22, $C$13, 100%, $E$13)</f>
        <v>23.774799999999999</v>
      </c>
      <c r="J727" s="64">
        <f>14.4759 * CHOOSE(CONTROL!$C$22, $C$13, 100%, $E$13)</f>
        <v>14.475899999999999</v>
      </c>
      <c r="K727" s="64">
        <f>14.4781 * CHOOSE(CONTROL!$C$22, $C$13, 100%, $E$13)</f>
        <v>14.4781</v>
      </c>
    </row>
    <row r="728" spans="1:11" ht="15">
      <c r="A728" s="13">
        <v>63798</v>
      </c>
      <c r="B728" s="63">
        <f>12.3547 * CHOOSE(CONTROL!$C$22, $C$13, 100%, $E$13)</f>
        <v>12.354699999999999</v>
      </c>
      <c r="C728" s="63">
        <f>12.3547 * CHOOSE(CONTROL!$C$22, $C$13, 100%, $E$13)</f>
        <v>12.354699999999999</v>
      </c>
      <c r="D728" s="63">
        <f>12.39 * CHOOSE(CONTROL!$C$22, $C$13, 100%, $E$13)</f>
        <v>12.39</v>
      </c>
      <c r="E728" s="64">
        <f>14.4573 * CHOOSE(CONTROL!$C$22, $C$13, 100%, $E$13)</f>
        <v>14.4573</v>
      </c>
      <c r="F728" s="64">
        <f>14.4573 * CHOOSE(CONTROL!$C$22, $C$13, 100%, $E$13)</f>
        <v>14.4573</v>
      </c>
      <c r="G728" s="64">
        <f>14.4595 * CHOOSE(CONTROL!$C$22, $C$13, 100%, $E$13)</f>
        <v>14.4595</v>
      </c>
      <c r="H728" s="64">
        <f>23.8221* CHOOSE(CONTROL!$C$22, $C$13, 100%, $E$13)</f>
        <v>23.822099999999999</v>
      </c>
      <c r="I728" s="64">
        <f>23.8243 * CHOOSE(CONTROL!$C$22, $C$13, 100%, $E$13)</f>
        <v>23.824300000000001</v>
      </c>
      <c r="J728" s="64">
        <f>14.4573 * CHOOSE(CONTROL!$C$22, $C$13, 100%, $E$13)</f>
        <v>14.4573</v>
      </c>
      <c r="K728" s="64">
        <f>14.4595 * CHOOSE(CONTROL!$C$22, $C$13, 100%, $E$13)</f>
        <v>14.4595</v>
      </c>
    </row>
    <row r="729" spans="1:11" ht="15">
      <c r="A729" s="13">
        <v>63828</v>
      </c>
      <c r="B729" s="63">
        <f>12.3773 * CHOOSE(CONTROL!$C$22, $C$13, 100%, $E$13)</f>
        <v>12.3773</v>
      </c>
      <c r="C729" s="63">
        <f>12.3773 * CHOOSE(CONTROL!$C$22, $C$13, 100%, $E$13)</f>
        <v>12.3773</v>
      </c>
      <c r="D729" s="63">
        <f>12.395 * CHOOSE(CONTROL!$C$22, $C$13, 100%, $E$13)</f>
        <v>12.395</v>
      </c>
      <c r="E729" s="64">
        <f>14.5099 * CHOOSE(CONTROL!$C$22, $C$13, 100%, $E$13)</f>
        <v>14.5099</v>
      </c>
      <c r="F729" s="64">
        <f>14.5099 * CHOOSE(CONTROL!$C$22, $C$13, 100%, $E$13)</f>
        <v>14.5099</v>
      </c>
      <c r="G729" s="64">
        <f>14.5101 * CHOOSE(CONTROL!$C$22, $C$13, 100%, $E$13)</f>
        <v>14.5101</v>
      </c>
      <c r="H729" s="64">
        <f>23.8718* CHOOSE(CONTROL!$C$22, $C$13, 100%, $E$13)</f>
        <v>23.8718</v>
      </c>
      <c r="I729" s="64">
        <f>23.8719 * CHOOSE(CONTROL!$C$22, $C$13, 100%, $E$13)</f>
        <v>23.8719</v>
      </c>
      <c r="J729" s="64">
        <f>14.5099 * CHOOSE(CONTROL!$C$22, $C$13, 100%, $E$13)</f>
        <v>14.5099</v>
      </c>
      <c r="K729" s="64">
        <f>14.5101 * CHOOSE(CONTROL!$C$22, $C$13, 100%, $E$13)</f>
        <v>14.5101</v>
      </c>
    </row>
    <row r="730" spans="1:11" ht="15">
      <c r="A730" s="13">
        <v>63859</v>
      </c>
      <c r="B730" s="63">
        <f>12.3804 * CHOOSE(CONTROL!$C$22, $C$13, 100%, $E$13)</f>
        <v>12.3804</v>
      </c>
      <c r="C730" s="63">
        <f>12.3804 * CHOOSE(CONTROL!$C$22, $C$13, 100%, $E$13)</f>
        <v>12.3804</v>
      </c>
      <c r="D730" s="63">
        <f>12.398 * CHOOSE(CONTROL!$C$22, $C$13, 100%, $E$13)</f>
        <v>12.398</v>
      </c>
      <c r="E730" s="64">
        <f>14.545 * CHOOSE(CONTROL!$C$22, $C$13, 100%, $E$13)</f>
        <v>14.545</v>
      </c>
      <c r="F730" s="64">
        <f>14.545 * CHOOSE(CONTROL!$C$22, $C$13, 100%, $E$13)</f>
        <v>14.545</v>
      </c>
      <c r="G730" s="64">
        <f>14.5452 * CHOOSE(CONTROL!$C$22, $C$13, 100%, $E$13)</f>
        <v>14.545199999999999</v>
      </c>
      <c r="H730" s="64">
        <f>23.9215* CHOOSE(CONTROL!$C$22, $C$13, 100%, $E$13)</f>
        <v>23.921500000000002</v>
      </c>
      <c r="I730" s="64">
        <f>23.9217 * CHOOSE(CONTROL!$C$22, $C$13, 100%, $E$13)</f>
        <v>23.921700000000001</v>
      </c>
      <c r="J730" s="64">
        <f>14.545 * CHOOSE(CONTROL!$C$22, $C$13, 100%, $E$13)</f>
        <v>14.545</v>
      </c>
      <c r="K730" s="64">
        <f>14.5452 * CHOOSE(CONTROL!$C$22, $C$13, 100%, $E$13)</f>
        <v>14.545199999999999</v>
      </c>
    </row>
    <row r="731" spans="1:11" ht="15">
      <c r="A731" s="13">
        <v>63889</v>
      </c>
      <c r="B731" s="63">
        <f>12.3804 * CHOOSE(CONTROL!$C$22, $C$13, 100%, $E$13)</f>
        <v>12.3804</v>
      </c>
      <c r="C731" s="63">
        <f>12.3804 * CHOOSE(CONTROL!$C$22, $C$13, 100%, $E$13)</f>
        <v>12.3804</v>
      </c>
      <c r="D731" s="63">
        <f>12.398 * CHOOSE(CONTROL!$C$22, $C$13, 100%, $E$13)</f>
        <v>12.398</v>
      </c>
      <c r="E731" s="64">
        <f>14.4625 * CHOOSE(CONTROL!$C$22, $C$13, 100%, $E$13)</f>
        <v>14.4625</v>
      </c>
      <c r="F731" s="64">
        <f>14.4625 * CHOOSE(CONTROL!$C$22, $C$13, 100%, $E$13)</f>
        <v>14.4625</v>
      </c>
      <c r="G731" s="64">
        <f>14.4627 * CHOOSE(CONTROL!$C$22, $C$13, 100%, $E$13)</f>
        <v>14.4627</v>
      </c>
      <c r="H731" s="64">
        <f>23.9713* CHOOSE(CONTROL!$C$22, $C$13, 100%, $E$13)</f>
        <v>23.971299999999999</v>
      </c>
      <c r="I731" s="64">
        <f>23.9715 * CHOOSE(CONTROL!$C$22, $C$13, 100%, $E$13)</f>
        <v>23.971499999999999</v>
      </c>
      <c r="J731" s="64">
        <f>14.4625 * CHOOSE(CONTROL!$C$22, $C$13, 100%, $E$13)</f>
        <v>14.4625</v>
      </c>
      <c r="K731" s="64">
        <f>14.4627 * CHOOSE(CONTROL!$C$22, $C$13, 100%, $E$13)</f>
        <v>14.4627</v>
      </c>
    </row>
    <row r="732" spans="1:11" ht="15">
      <c r="A732" s="13">
        <v>63920</v>
      </c>
      <c r="B732" s="63">
        <f>12.3996 * CHOOSE(CONTROL!$C$22, $C$13, 100%, $E$13)</f>
        <v>12.3996</v>
      </c>
      <c r="C732" s="63">
        <f>12.3996 * CHOOSE(CONTROL!$C$22, $C$13, 100%, $E$13)</f>
        <v>12.3996</v>
      </c>
      <c r="D732" s="63">
        <f>12.4172 * CHOOSE(CONTROL!$C$22, $C$13, 100%, $E$13)</f>
        <v>12.417199999999999</v>
      </c>
      <c r="E732" s="64">
        <f>14.5428 * CHOOSE(CONTROL!$C$22, $C$13, 100%, $E$13)</f>
        <v>14.5428</v>
      </c>
      <c r="F732" s="64">
        <f>14.5428 * CHOOSE(CONTROL!$C$22, $C$13, 100%, $E$13)</f>
        <v>14.5428</v>
      </c>
      <c r="G732" s="64">
        <f>14.543 * CHOOSE(CONTROL!$C$22, $C$13, 100%, $E$13)</f>
        <v>14.542999999999999</v>
      </c>
      <c r="H732" s="64">
        <f>23.8747* CHOOSE(CONTROL!$C$22, $C$13, 100%, $E$13)</f>
        <v>23.874700000000001</v>
      </c>
      <c r="I732" s="64">
        <f>23.8749 * CHOOSE(CONTROL!$C$22, $C$13, 100%, $E$13)</f>
        <v>23.8749</v>
      </c>
      <c r="J732" s="64">
        <f>14.5428 * CHOOSE(CONTROL!$C$22, $C$13, 100%, $E$13)</f>
        <v>14.5428</v>
      </c>
      <c r="K732" s="64">
        <f>14.543 * CHOOSE(CONTROL!$C$22, $C$13, 100%, $E$13)</f>
        <v>14.542999999999999</v>
      </c>
    </row>
    <row r="733" spans="1:11" ht="15">
      <c r="A733" s="13">
        <v>63951</v>
      </c>
      <c r="B733" s="63">
        <f>12.3965 * CHOOSE(CONTROL!$C$22, $C$13, 100%, $E$13)</f>
        <v>12.3965</v>
      </c>
      <c r="C733" s="63">
        <f>12.3965 * CHOOSE(CONTROL!$C$22, $C$13, 100%, $E$13)</f>
        <v>12.3965</v>
      </c>
      <c r="D733" s="63">
        <f>12.4142 * CHOOSE(CONTROL!$C$22, $C$13, 100%, $E$13)</f>
        <v>12.414199999999999</v>
      </c>
      <c r="E733" s="64">
        <f>14.3815 * CHOOSE(CONTROL!$C$22, $C$13, 100%, $E$13)</f>
        <v>14.381500000000001</v>
      </c>
      <c r="F733" s="64">
        <f>14.3815 * CHOOSE(CONTROL!$C$22, $C$13, 100%, $E$13)</f>
        <v>14.381500000000001</v>
      </c>
      <c r="G733" s="64">
        <f>14.3817 * CHOOSE(CONTROL!$C$22, $C$13, 100%, $E$13)</f>
        <v>14.3817</v>
      </c>
      <c r="H733" s="64">
        <f>23.9244* CHOOSE(CONTROL!$C$22, $C$13, 100%, $E$13)</f>
        <v>23.924399999999999</v>
      </c>
      <c r="I733" s="64">
        <f>23.9246 * CHOOSE(CONTROL!$C$22, $C$13, 100%, $E$13)</f>
        <v>23.924600000000002</v>
      </c>
      <c r="J733" s="64">
        <f>14.3815 * CHOOSE(CONTROL!$C$22, $C$13, 100%, $E$13)</f>
        <v>14.381500000000001</v>
      </c>
      <c r="K733" s="64">
        <f>14.3817 * CHOOSE(CONTROL!$C$22, $C$13, 100%, $E$13)</f>
        <v>14.3817</v>
      </c>
    </row>
    <row r="734" spans="1:11" ht="15">
      <c r="A734" s="13">
        <v>63979</v>
      </c>
      <c r="B734" s="63">
        <f>12.3935 * CHOOSE(CONTROL!$C$22, $C$13, 100%, $E$13)</f>
        <v>12.3935</v>
      </c>
      <c r="C734" s="63">
        <f>12.3935 * CHOOSE(CONTROL!$C$22, $C$13, 100%, $E$13)</f>
        <v>12.3935</v>
      </c>
      <c r="D734" s="63">
        <f>12.4112 * CHOOSE(CONTROL!$C$22, $C$13, 100%, $E$13)</f>
        <v>12.411199999999999</v>
      </c>
      <c r="E734" s="64">
        <f>14.5049 * CHOOSE(CONTROL!$C$22, $C$13, 100%, $E$13)</f>
        <v>14.504899999999999</v>
      </c>
      <c r="F734" s="64">
        <f>14.5049 * CHOOSE(CONTROL!$C$22, $C$13, 100%, $E$13)</f>
        <v>14.504899999999999</v>
      </c>
      <c r="G734" s="64">
        <f>14.505 * CHOOSE(CONTROL!$C$22, $C$13, 100%, $E$13)</f>
        <v>14.505000000000001</v>
      </c>
      <c r="H734" s="64">
        <f>23.9743* CHOOSE(CONTROL!$C$22, $C$13, 100%, $E$13)</f>
        <v>23.974299999999999</v>
      </c>
      <c r="I734" s="64">
        <f>23.9744 * CHOOSE(CONTROL!$C$22, $C$13, 100%, $E$13)</f>
        <v>23.974399999999999</v>
      </c>
      <c r="J734" s="64">
        <f>14.5049 * CHOOSE(CONTROL!$C$22, $C$13, 100%, $E$13)</f>
        <v>14.504899999999999</v>
      </c>
      <c r="K734" s="64">
        <f>14.505 * CHOOSE(CONTROL!$C$22, $C$13, 100%, $E$13)</f>
        <v>14.505000000000001</v>
      </c>
    </row>
    <row r="735" spans="1:11" ht="15">
      <c r="A735" s="13">
        <v>64010</v>
      </c>
      <c r="B735" s="63">
        <f>12.3983 * CHOOSE(CONTROL!$C$22, $C$13, 100%, $E$13)</f>
        <v>12.398300000000001</v>
      </c>
      <c r="C735" s="63">
        <f>12.3983 * CHOOSE(CONTROL!$C$22, $C$13, 100%, $E$13)</f>
        <v>12.398300000000001</v>
      </c>
      <c r="D735" s="63">
        <f>12.416 * CHOOSE(CONTROL!$C$22, $C$13, 100%, $E$13)</f>
        <v>12.416</v>
      </c>
      <c r="E735" s="64">
        <f>14.6353 * CHOOSE(CONTROL!$C$22, $C$13, 100%, $E$13)</f>
        <v>14.635300000000001</v>
      </c>
      <c r="F735" s="64">
        <f>14.6353 * CHOOSE(CONTROL!$C$22, $C$13, 100%, $E$13)</f>
        <v>14.635300000000001</v>
      </c>
      <c r="G735" s="64">
        <f>14.6355 * CHOOSE(CONTROL!$C$22, $C$13, 100%, $E$13)</f>
        <v>14.6355</v>
      </c>
      <c r="H735" s="64">
        <f>24.0242* CHOOSE(CONTROL!$C$22, $C$13, 100%, $E$13)</f>
        <v>24.0242</v>
      </c>
      <c r="I735" s="64">
        <f>24.0244 * CHOOSE(CONTROL!$C$22, $C$13, 100%, $E$13)</f>
        <v>24.0244</v>
      </c>
      <c r="J735" s="64">
        <f>14.6353 * CHOOSE(CONTROL!$C$22, $C$13, 100%, $E$13)</f>
        <v>14.635300000000001</v>
      </c>
      <c r="K735" s="64">
        <f>14.6355 * CHOOSE(CONTROL!$C$22, $C$13, 100%, $E$13)</f>
        <v>14.6355</v>
      </c>
    </row>
    <row r="736" spans="1:11" ht="15">
      <c r="A736" s="13">
        <v>64040</v>
      </c>
      <c r="B736" s="63">
        <f>12.3983 * CHOOSE(CONTROL!$C$22, $C$13, 100%, $E$13)</f>
        <v>12.398300000000001</v>
      </c>
      <c r="C736" s="63">
        <f>12.3983 * CHOOSE(CONTROL!$C$22, $C$13, 100%, $E$13)</f>
        <v>12.398300000000001</v>
      </c>
      <c r="D736" s="63">
        <f>12.4337 * CHOOSE(CONTROL!$C$22, $C$13, 100%, $E$13)</f>
        <v>12.4337</v>
      </c>
      <c r="E736" s="64">
        <f>14.6859 * CHOOSE(CONTROL!$C$22, $C$13, 100%, $E$13)</f>
        <v>14.6859</v>
      </c>
      <c r="F736" s="64">
        <f>14.6859 * CHOOSE(CONTROL!$C$22, $C$13, 100%, $E$13)</f>
        <v>14.6859</v>
      </c>
      <c r="G736" s="64">
        <f>14.688 * CHOOSE(CONTROL!$C$22, $C$13, 100%, $E$13)</f>
        <v>14.688000000000001</v>
      </c>
      <c r="H736" s="64">
        <f>24.0743* CHOOSE(CONTROL!$C$22, $C$13, 100%, $E$13)</f>
        <v>24.074300000000001</v>
      </c>
      <c r="I736" s="64">
        <f>24.0764 * CHOOSE(CONTROL!$C$22, $C$13, 100%, $E$13)</f>
        <v>24.0764</v>
      </c>
      <c r="J736" s="64">
        <f>14.6859 * CHOOSE(CONTROL!$C$22, $C$13, 100%, $E$13)</f>
        <v>14.6859</v>
      </c>
      <c r="K736" s="64">
        <f>14.688 * CHOOSE(CONTROL!$C$22, $C$13, 100%, $E$13)</f>
        <v>14.688000000000001</v>
      </c>
    </row>
    <row r="737" spans="1:11" ht="15">
      <c r="A737" s="13">
        <v>64071</v>
      </c>
      <c r="B737" s="63">
        <f>12.4044 * CHOOSE(CONTROL!$C$22, $C$13, 100%, $E$13)</f>
        <v>12.404400000000001</v>
      </c>
      <c r="C737" s="63">
        <f>12.4044 * CHOOSE(CONTROL!$C$22, $C$13, 100%, $E$13)</f>
        <v>12.404400000000001</v>
      </c>
      <c r="D737" s="63">
        <f>12.4397 * CHOOSE(CONTROL!$C$22, $C$13, 100%, $E$13)</f>
        <v>12.4397</v>
      </c>
      <c r="E737" s="64">
        <f>14.6396 * CHOOSE(CONTROL!$C$22, $C$13, 100%, $E$13)</f>
        <v>14.6396</v>
      </c>
      <c r="F737" s="64">
        <f>14.6396 * CHOOSE(CONTROL!$C$22, $C$13, 100%, $E$13)</f>
        <v>14.6396</v>
      </c>
      <c r="G737" s="64">
        <f>14.6418 * CHOOSE(CONTROL!$C$22, $C$13, 100%, $E$13)</f>
        <v>14.6418</v>
      </c>
      <c r="H737" s="64">
        <f>24.1244* CHOOSE(CONTROL!$C$22, $C$13, 100%, $E$13)</f>
        <v>24.124400000000001</v>
      </c>
      <c r="I737" s="64">
        <f>24.1266 * CHOOSE(CONTROL!$C$22, $C$13, 100%, $E$13)</f>
        <v>24.1266</v>
      </c>
      <c r="J737" s="64">
        <f>14.6396 * CHOOSE(CONTROL!$C$22, $C$13, 100%, $E$13)</f>
        <v>14.6396</v>
      </c>
      <c r="K737" s="64">
        <f>14.6418 * CHOOSE(CONTROL!$C$22, $C$13, 100%, $E$13)</f>
        <v>14.6418</v>
      </c>
    </row>
    <row r="738" spans="1:11" ht="15">
      <c r="A738" s="13">
        <v>64101</v>
      </c>
      <c r="B738" s="63">
        <f>12.6003 * CHOOSE(CONTROL!$C$22, $C$13, 100%, $E$13)</f>
        <v>12.600300000000001</v>
      </c>
      <c r="C738" s="63">
        <f>12.6003 * CHOOSE(CONTROL!$C$22, $C$13, 100%, $E$13)</f>
        <v>12.600300000000001</v>
      </c>
      <c r="D738" s="63">
        <f>12.6356 * CHOOSE(CONTROL!$C$22, $C$13, 100%, $E$13)</f>
        <v>12.6356</v>
      </c>
      <c r="E738" s="64">
        <f>14.9196 * CHOOSE(CONTROL!$C$22, $C$13, 100%, $E$13)</f>
        <v>14.919600000000001</v>
      </c>
      <c r="F738" s="64">
        <f>14.9196 * CHOOSE(CONTROL!$C$22, $C$13, 100%, $E$13)</f>
        <v>14.919600000000001</v>
      </c>
      <c r="G738" s="64">
        <f>14.9218 * CHOOSE(CONTROL!$C$22, $C$13, 100%, $E$13)</f>
        <v>14.921799999999999</v>
      </c>
      <c r="H738" s="64">
        <f>24.1747* CHOOSE(CONTROL!$C$22, $C$13, 100%, $E$13)</f>
        <v>24.174700000000001</v>
      </c>
      <c r="I738" s="64">
        <f>24.1769 * CHOOSE(CONTROL!$C$22, $C$13, 100%, $E$13)</f>
        <v>24.1769</v>
      </c>
      <c r="J738" s="64">
        <f>14.9196 * CHOOSE(CONTROL!$C$22, $C$13, 100%, $E$13)</f>
        <v>14.919600000000001</v>
      </c>
      <c r="K738" s="64">
        <f>14.9218 * CHOOSE(CONTROL!$C$22, $C$13, 100%, $E$13)</f>
        <v>14.921799999999999</v>
      </c>
    </row>
    <row r="739" spans="1:11" ht="15">
      <c r="A739" s="13">
        <v>64132</v>
      </c>
      <c r="B739" s="63">
        <f>12.607 * CHOOSE(CONTROL!$C$22, $C$13, 100%, $E$13)</f>
        <v>12.606999999999999</v>
      </c>
      <c r="C739" s="63">
        <f>12.607 * CHOOSE(CONTROL!$C$22, $C$13, 100%, $E$13)</f>
        <v>12.606999999999999</v>
      </c>
      <c r="D739" s="63">
        <f>12.6423 * CHOOSE(CONTROL!$C$22, $C$13, 100%, $E$13)</f>
        <v>12.642300000000001</v>
      </c>
      <c r="E739" s="64">
        <f>14.7728 * CHOOSE(CONTROL!$C$22, $C$13, 100%, $E$13)</f>
        <v>14.7728</v>
      </c>
      <c r="F739" s="64">
        <f>14.7728 * CHOOSE(CONTROL!$C$22, $C$13, 100%, $E$13)</f>
        <v>14.7728</v>
      </c>
      <c r="G739" s="64">
        <f>14.7749 * CHOOSE(CONTROL!$C$22, $C$13, 100%, $E$13)</f>
        <v>14.774900000000001</v>
      </c>
      <c r="H739" s="64">
        <f>24.225* CHOOSE(CONTROL!$C$22, $C$13, 100%, $E$13)</f>
        <v>24.225000000000001</v>
      </c>
      <c r="I739" s="64">
        <f>24.2272 * CHOOSE(CONTROL!$C$22, $C$13, 100%, $E$13)</f>
        <v>24.2272</v>
      </c>
      <c r="J739" s="64">
        <f>14.7728 * CHOOSE(CONTROL!$C$22, $C$13, 100%, $E$13)</f>
        <v>14.7728</v>
      </c>
      <c r="K739" s="64">
        <f>14.7749 * CHOOSE(CONTROL!$C$22, $C$13, 100%, $E$13)</f>
        <v>14.774900000000001</v>
      </c>
    </row>
    <row r="740" spans="1:11" ht="15">
      <c r="A740" s="13">
        <v>64163</v>
      </c>
      <c r="B740" s="63">
        <f>12.6039 * CHOOSE(CONTROL!$C$22, $C$13, 100%, $E$13)</f>
        <v>12.603899999999999</v>
      </c>
      <c r="C740" s="63">
        <f>12.6039 * CHOOSE(CONTROL!$C$22, $C$13, 100%, $E$13)</f>
        <v>12.603899999999999</v>
      </c>
      <c r="D740" s="63">
        <f>12.6393 * CHOOSE(CONTROL!$C$22, $C$13, 100%, $E$13)</f>
        <v>12.6393</v>
      </c>
      <c r="E740" s="64">
        <f>14.7538 * CHOOSE(CONTROL!$C$22, $C$13, 100%, $E$13)</f>
        <v>14.7538</v>
      </c>
      <c r="F740" s="64">
        <f>14.7538 * CHOOSE(CONTROL!$C$22, $C$13, 100%, $E$13)</f>
        <v>14.7538</v>
      </c>
      <c r="G740" s="64">
        <f>14.756 * CHOOSE(CONTROL!$C$22, $C$13, 100%, $E$13)</f>
        <v>14.756</v>
      </c>
      <c r="H740" s="64">
        <f>24.2755* CHOOSE(CONTROL!$C$22, $C$13, 100%, $E$13)</f>
        <v>24.275500000000001</v>
      </c>
      <c r="I740" s="64">
        <f>24.2777 * CHOOSE(CONTROL!$C$22, $C$13, 100%, $E$13)</f>
        <v>24.277699999999999</v>
      </c>
      <c r="J740" s="64">
        <f>14.7538 * CHOOSE(CONTROL!$C$22, $C$13, 100%, $E$13)</f>
        <v>14.7538</v>
      </c>
      <c r="K740" s="64">
        <f>14.756 * CHOOSE(CONTROL!$C$22, $C$13, 100%, $E$13)</f>
        <v>14.756</v>
      </c>
    </row>
    <row r="741" spans="1:11" ht="15">
      <c r="A741" s="13">
        <v>64193</v>
      </c>
      <c r="B741" s="63">
        <f>12.6274 * CHOOSE(CONTROL!$C$22, $C$13, 100%, $E$13)</f>
        <v>12.6274</v>
      </c>
      <c r="C741" s="63">
        <f>12.6274 * CHOOSE(CONTROL!$C$22, $C$13, 100%, $E$13)</f>
        <v>12.6274</v>
      </c>
      <c r="D741" s="63">
        <f>12.645 * CHOOSE(CONTROL!$C$22, $C$13, 100%, $E$13)</f>
        <v>12.645</v>
      </c>
      <c r="E741" s="64">
        <f>14.8077 * CHOOSE(CONTROL!$C$22, $C$13, 100%, $E$13)</f>
        <v>14.807700000000001</v>
      </c>
      <c r="F741" s="64">
        <f>14.8077 * CHOOSE(CONTROL!$C$22, $C$13, 100%, $E$13)</f>
        <v>14.807700000000001</v>
      </c>
      <c r="G741" s="64">
        <f>14.8079 * CHOOSE(CONTROL!$C$22, $C$13, 100%, $E$13)</f>
        <v>14.8079</v>
      </c>
      <c r="H741" s="64">
        <f>24.3261* CHOOSE(CONTROL!$C$22, $C$13, 100%, $E$13)</f>
        <v>24.3261</v>
      </c>
      <c r="I741" s="64">
        <f>24.3263 * CHOOSE(CONTROL!$C$22, $C$13, 100%, $E$13)</f>
        <v>24.3263</v>
      </c>
      <c r="J741" s="64">
        <f>14.8077 * CHOOSE(CONTROL!$C$22, $C$13, 100%, $E$13)</f>
        <v>14.807700000000001</v>
      </c>
      <c r="K741" s="64">
        <f>14.8079 * CHOOSE(CONTROL!$C$22, $C$13, 100%, $E$13)</f>
        <v>14.8079</v>
      </c>
    </row>
    <row r="742" spans="1:11" ht="15">
      <c r="A742" s="13">
        <v>64224</v>
      </c>
      <c r="B742" s="63">
        <f>12.6304 * CHOOSE(CONTROL!$C$22, $C$13, 100%, $E$13)</f>
        <v>12.6304</v>
      </c>
      <c r="C742" s="63">
        <f>12.6304 * CHOOSE(CONTROL!$C$22, $C$13, 100%, $E$13)</f>
        <v>12.6304</v>
      </c>
      <c r="D742" s="63">
        <f>12.648 * CHOOSE(CONTROL!$C$22, $C$13, 100%, $E$13)</f>
        <v>12.648</v>
      </c>
      <c r="E742" s="64">
        <f>14.8435 * CHOOSE(CONTROL!$C$22, $C$13, 100%, $E$13)</f>
        <v>14.843500000000001</v>
      </c>
      <c r="F742" s="64">
        <f>14.8435 * CHOOSE(CONTROL!$C$22, $C$13, 100%, $E$13)</f>
        <v>14.843500000000001</v>
      </c>
      <c r="G742" s="64">
        <f>14.8437 * CHOOSE(CONTROL!$C$22, $C$13, 100%, $E$13)</f>
        <v>14.8437</v>
      </c>
      <c r="H742" s="64">
        <f>24.3768* CHOOSE(CONTROL!$C$22, $C$13, 100%, $E$13)</f>
        <v>24.376799999999999</v>
      </c>
      <c r="I742" s="64">
        <f>24.3769 * CHOOSE(CONTROL!$C$22, $C$13, 100%, $E$13)</f>
        <v>24.376899999999999</v>
      </c>
      <c r="J742" s="64">
        <f>14.8435 * CHOOSE(CONTROL!$C$22, $C$13, 100%, $E$13)</f>
        <v>14.843500000000001</v>
      </c>
      <c r="K742" s="64">
        <f>14.8437 * CHOOSE(CONTROL!$C$22, $C$13, 100%, $E$13)</f>
        <v>14.8437</v>
      </c>
    </row>
    <row r="743" spans="1:11" ht="15">
      <c r="A743" s="13">
        <v>64254</v>
      </c>
      <c r="B743" s="63">
        <f>12.6304 * CHOOSE(CONTROL!$C$22, $C$13, 100%, $E$13)</f>
        <v>12.6304</v>
      </c>
      <c r="C743" s="63">
        <f>12.6304 * CHOOSE(CONTROL!$C$22, $C$13, 100%, $E$13)</f>
        <v>12.6304</v>
      </c>
      <c r="D743" s="63">
        <f>12.648 * CHOOSE(CONTROL!$C$22, $C$13, 100%, $E$13)</f>
        <v>12.648</v>
      </c>
      <c r="E743" s="64">
        <f>14.7593 * CHOOSE(CONTROL!$C$22, $C$13, 100%, $E$13)</f>
        <v>14.7593</v>
      </c>
      <c r="F743" s="64">
        <f>14.7593 * CHOOSE(CONTROL!$C$22, $C$13, 100%, $E$13)</f>
        <v>14.7593</v>
      </c>
      <c r="G743" s="64">
        <f>14.7595 * CHOOSE(CONTROL!$C$22, $C$13, 100%, $E$13)</f>
        <v>14.759499999999999</v>
      </c>
      <c r="H743" s="64">
        <f>24.4275* CHOOSE(CONTROL!$C$22, $C$13, 100%, $E$13)</f>
        <v>24.427499999999998</v>
      </c>
      <c r="I743" s="64">
        <f>24.4277 * CHOOSE(CONTROL!$C$22, $C$13, 100%, $E$13)</f>
        <v>24.427700000000002</v>
      </c>
      <c r="J743" s="64">
        <f>14.7593 * CHOOSE(CONTROL!$C$22, $C$13, 100%, $E$13)</f>
        <v>14.7593</v>
      </c>
      <c r="K743" s="64">
        <f>14.7595 * CHOOSE(CONTROL!$C$22, $C$13, 100%, $E$13)</f>
        <v>14.759499999999999</v>
      </c>
    </row>
    <row r="744" spans="1:11" ht="15">
      <c r="A744" s="13">
        <v>64285</v>
      </c>
      <c r="B744" s="63">
        <f>12.6449 * CHOOSE(CONTROL!$C$22, $C$13, 100%, $E$13)</f>
        <v>12.6449</v>
      </c>
      <c r="C744" s="63">
        <f>12.6449 * CHOOSE(CONTROL!$C$22, $C$13, 100%, $E$13)</f>
        <v>12.6449</v>
      </c>
      <c r="D744" s="63">
        <f>12.6626 * CHOOSE(CONTROL!$C$22, $C$13, 100%, $E$13)</f>
        <v>12.662599999999999</v>
      </c>
      <c r="E744" s="64">
        <f>14.8352 * CHOOSE(CONTROL!$C$22, $C$13, 100%, $E$13)</f>
        <v>14.8352</v>
      </c>
      <c r="F744" s="64">
        <f>14.8352 * CHOOSE(CONTROL!$C$22, $C$13, 100%, $E$13)</f>
        <v>14.8352</v>
      </c>
      <c r="G744" s="64">
        <f>14.8354 * CHOOSE(CONTROL!$C$22, $C$13, 100%, $E$13)</f>
        <v>14.8354</v>
      </c>
      <c r="H744" s="64">
        <f>24.3206* CHOOSE(CONTROL!$C$22, $C$13, 100%, $E$13)</f>
        <v>24.320599999999999</v>
      </c>
      <c r="I744" s="64">
        <f>24.3207 * CHOOSE(CONTROL!$C$22, $C$13, 100%, $E$13)</f>
        <v>24.320699999999999</v>
      </c>
      <c r="J744" s="64">
        <f>14.8352 * CHOOSE(CONTROL!$C$22, $C$13, 100%, $E$13)</f>
        <v>14.8352</v>
      </c>
      <c r="K744" s="64">
        <f>14.8354 * CHOOSE(CONTROL!$C$22, $C$13, 100%, $E$13)</f>
        <v>14.8354</v>
      </c>
    </row>
    <row r="745" spans="1:11" ht="15">
      <c r="A745" s="13">
        <v>64316</v>
      </c>
      <c r="B745" s="63">
        <f>12.6419 * CHOOSE(CONTROL!$C$22, $C$13, 100%, $E$13)</f>
        <v>12.6419</v>
      </c>
      <c r="C745" s="63">
        <f>12.6419 * CHOOSE(CONTROL!$C$22, $C$13, 100%, $E$13)</f>
        <v>12.6419</v>
      </c>
      <c r="D745" s="63">
        <f>12.6595 * CHOOSE(CONTROL!$C$22, $C$13, 100%, $E$13)</f>
        <v>12.6595</v>
      </c>
      <c r="E745" s="64">
        <f>14.6708 * CHOOSE(CONTROL!$C$22, $C$13, 100%, $E$13)</f>
        <v>14.6708</v>
      </c>
      <c r="F745" s="64">
        <f>14.6708 * CHOOSE(CONTROL!$C$22, $C$13, 100%, $E$13)</f>
        <v>14.6708</v>
      </c>
      <c r="G745" s="64">
        <f>14.6709 * CHOOSE(CONTROL!$C$22, $C$13, 100%, $E$13)</f>
        <v>14.6709</v>
      </c>
      <c r="H745" s="64">
        <f>24.3712* CHOOSE(CONTROL!$C$22, $C$13, 100%, $E$13)</f>
        <v>24.371200000000002</v>
      </c>
      <c r="I745" s="64">
        <f>24.3714 * CHOOSE(CONTROL!$C$22, $C$13, 100%, $E$13)</f>
        <v>24.371400000000001</v>
      </c>
      <c r="J745" s="64">
        <f>14.6708 * CHOOSE(CONTROL!$C$22, $C$13, 100%, $E$13)</f>
        <v>14.6708</v>
      </c>
      <c r="K745" s="64">
        <f>14.6709 * CHOOSE(CONTROL!$C$22, $C$13, 100%, $E$13)</f>
        <v>14.6709</v>
      </c>
    </row>
    <row r="746" spans="1:11" ht="15">
      <c r="A746" s="13">
        <v>64345</v>
      </c>
      <c r="B746" s="63">
        <f>12.6388 * CHOOSE(CONTROL!$C$22, $C$13, 100%, $E$13)</f>
        <v>12.6388</v>
      </c>
      <c r="C746" s="63">
        <f>12.6388 * CHOOSE(CONTROL!$C$22, $C$13, 100%, $E$13)</f>
        <v>12.6388</v>
      </c>
      <c r="D746" s="63">
        <f>12.6565 * CHOOSE(CONTROL!$C$22, $C$13, 100%, $E$13)</f>
        <v>12.656499999999999</v>
      </c>
      <c r="E746" s="64">
        <f>14.7966 * CHOOSE(CONTROL!$C$22, $C$13, 100%, $E$13)</f>
        <v>14.7966</v>
      </c>
      <c r="F746" s="64">
        <f>14.7966 * CHOOSE(CONTROL!$C$22, $C$13, 100%, $E$13)</f>
        <v>14.7966</v>
      </c>
      <c r="G746" s="64">
        <f>14.7968 * CHOOSE(CONTROL!$C$22, $C$13, 100%, $E$13)</f>
        <v>14.796799999999999</v>
      </c>
      <c r="H746" s="64">
        <f>24.422* CHOOSE(CONTROL!$C$22, $C$13, 100%, $E$13)</f>
        <v>24.422000000000001</v>
      </c>
      <c r="I746" s="64">
        <f>24.4222 * CHOOSE(CONTROL!$C$22, $C$13, 100%, $E$13)</f>
        <v>24.4222</v>
      </c>
      <c r="J746" s="64">
        <f>14.7966 * CHOOSE(CONTROL!$C$22, $C$13, 100%, $E$13)</f>
        <v>14.7966</v>
      </c>
      <c r="K746" s="64">
        <f>14.7968 * CHOOSE(CONTROL!$C$22, $C$13, 100%, $E$13)</f>
        <v>14.796799999999999</v>
      </c>
    </row>
    <row r="747" spans="1:11" ht="15">
      <c r="A747" s="13">
        <v>64376</v>
      </c>
      <c r="B747" s="63">
        <f>12.6439 * CHOOSE(CONTROL!$C$22, $C$13, 100%, $E$13)</f>
        <v>12.6439</v>
      </c>
      <c r="C747" s="63">
        <f>12.6439 * CHOOSE(CONTROL!$C$22, $C$13, 100%, $E$13)</f>
        <v>12.6439</v>
      </c>
      <c r="D747" s="63">
        <f>12.6615 * CHOOSE(CONTROL!$C$22, $C$13, 100%, $E$13)</f>
        <v>12.6615</v>
      </c>
      <c r="E747" s="64">
        <f>14.9298 * CHOOSE(CONTROL!$C$22, $C$13, 100%, $E$13)</f>
        <v>14.9298</v>
      </c>
      <c r="F747" s="64">
        <f>14.9298 * CHOOSE(CONTROL!$C$22, $C$13, 100%, $E$13)</f>
        <v>14.9298</v>
      </c>
      <c r="G747" s="64">
        <f>14.93 * CHOOSE(CONTROL!$C$22, $C$13, 100%, $E$13)</f>
        <v>14.93</v>
      </c>
      <c r="H747" s="64">
        <f>24.4729* CHOOSE(CONTROL!$C$22, $C$13, 100%, $E$13)</f>
        <v>24.472899999999999</v>
      </c>
      <c r="I747" s="64">
        <f>24.4731 * CHOOSE(CONTROL!$C$22, $C$13, 100%, $E$13)</f>
        <v>24.473099999999999</v>
      </c>
      <c r="J747" s="64">
        <f>14.9298 * CHOOSE(CONTROL!$C$22, $C$13, 100%, $E$13)</f>
        <v>14.9298</v>
      </c>
      <c r="K747" s="64">
        <f>14.93 * CHOOSE(CONTROL!$C$22, $C$13, 100%, $E$13)</f>
        <v>14.93</v>
      </c>
    </row>
    <row r="748" spans="1:11" ht="15">
      <c r="A748" s="13">
        <v>64406</v>
      </c>
      <c r="B748" s="63">
        <f>12.6439 * CHOOSE(CONTROL!$C$22, $C$13, 100%, $E$13)</f>
        <v>12.6439</v>
      </c>
      <c r="C748" s="63">
        <f>12.6439 * CHOOSE(CONTROL!$C$22, $C$13, 100%, $E$13)</f>
        <v>12.6439</v>
      </c>
      <c r="D748" s="63">
        <f>12.6792 * CHOOSE(CONTROL!$C$22, $C$13, 100%, $E$13)</f>
        <v>12.6792</v>
      </c>
      <c r="E748" s="64">
        <f>14.9813 * CHOOSE(CONTROL!$C$22, $C$13, 100%, $E$13)</f>
        <v>14.981299999999999</v>
      </c>
      <c r="F748" s="64">
        <f>14.9813 * CHOOSE(CONTROL!$C$22, $C$13, 100%, $E$13)</f>
        <v>14.981299999999999</v>
      </c>
      <c r="G748" s="64">
        <f>14.9835 * CHOOSE(CONTROL!$C$22, $C$13, 100%, $E$13)</f>
        <v>14.983499999999999</v>
      </c>
      <c r="H748" s="64">
        <f>24.5239* CHOOSE(CONTROL!$C$22, $C$13, 100%, $E$13)</f>
        <v>24.523900000000001</v>
      </c>
      <c r="I748" s="64">
        <f>24.5261 * CHOOSE(CONTROL!$C$22, $C$13, 100%, $E$13)</f>
        <v>24.5261</v>
      </c>
      <c r="J748" s="64">
        <f>14.9813 * CHOOSE(CONTROL!$C$22, $C$13, 100%, $E$13)</f>
        <v>14.981299999999999</v>
      </c>
      <c r="K748" s="64">
        <f>14.9835 * CHOOSE(CONTROL!$C$22, $C$13, 100%, $E$13)</f>
        <v>14.983499999999999</v>
      </c>
    </row>
    <row r="749" spans="1:11" ht="15">
      <c r="A749" s="13">
        <v>64437</v>
      </c>
      <c r="B749" s="63">
        <f>12.65 * CHOOSE(CONTROL!$C$22, $C$13, 100%, $E$13)</f>
        <v>12.65</v>
      </c>
      <c r="C749" s="63">
        <f>12.65 * CHOOSE(CONTROL!$C$22, $C$13, 100%, $E$13)</f>
        <v>12.65</v>
      </c>
      <c r="D749" s="63">
        <f>12.6853 * CHOOSE(CONTROL!$C$22, $C$13, 100%, $E$13)</f>
        <v>12.6853</v>
      </c>
      <c r="E749" s="64">
        <f>14.934 * CHOOSE(CONTROL!$C$22, $C$13, 100%, $E$13)</f>
        <v>14.933999999999999</v>
      </c>
      <c r="F749" s="64">
        <f>14.934 * CHOOSE(CONTROL!$C$22, $C$13, 100%, $E$13)</f>
        <v>14.933999999999999</v>
      </c>
      <c r="G749" s="64">
        <f>14.9362 * CHOOSE(CONTROL!$C$22, $C$13, 100%, $E$13)</f>
        <v>14.936199999999999</v>
      </c>
      <c r="H749" s="64">
        <f>24.575* CHOOSE(CONTROL!$C$22, $C$13, 100%, $E$13)</f>
        <v>24.574999999999999</v>
      </c>
      <c r="I749" s="64">
        <f>24.5771 * CHOOSE(CONTROL!$C$22, $C$13, 100%, $E$13)</f>
        <v>24.577100000000002</v>
      </c>
      <c r="J749" s="64">
        <f>14.934 * CHOOSE(CONTROL!$C$22, $C$13, 100%, $E$13)</f>
        <v>14.933999999999999</v>
      </c>
      <c r="K749" s="64">
        <f>14.9362 * CHOOSE(CONTROL!$C$22, $C$13, 100%, $E$13)</f>
        <v>14.936199999999999</v>
      </c>
    </row>
    <row r="750" spans="1:11" ht="15">
      <c r="A750" s="13">
        <v>64467</v>
      </c>
      <c r="B750" s="63">
        <f>12.8495 * CHOOSE(CONTROL!$C$22, $C$13, 100%, $E$13)</f>
        <v>12.849500000000001</v>
      </c>
      <c r="C750" s="63">
        <f>12.8495 * CHOOSE(CONTROL!$C$22, $C$13, 100%, $E$13)</f>
        <v>12.849500000000001</v>
      </c>
      <c r="D750" s="63">
        <f>12.8848 * CHOOSE(CONTROL!$C$22, $C$13, 100%, $E$13)</f>
        <v>12.8848</v>
      </c>
      <c r="E750" s="64">
        <f>15.2195 * CHOOSE(CONTROL!$C$22, $C$13, 100%, $E$13)</f>
        <v>15.2195</v>
      </c>
      <c r="F750" s="64">
        <f>15.2195 * CHOOSE(CONTROL!$C$22, $C$13, 100%, $E$13)</f>
        <v>15.2195</v>
      </c>
      <c r="G750" s="64">
        <f>15.2217 * CHOOSE(CONTROL!$C$22, $C$13, 100%, $E$13)</f>
        <v>15.2217</v>
      </c>
      <c r="H750" s="64">
        <f>24.6262* CHOOSE(CONTROL!$C$22, $C$13, 100%, $E$13)</f>
        <v>24.626200000000001</v>
      </c>
      <c r="I750" s="64">
        <f>24.6283 * CHOOSE(CONTROL!$C$22, $C$13, 100%, $E$13)</f>
        <v>24.628299999999999</v>
      </c>
      <c r="J750" s="64">
        <f>15.2195 * CHOOSE(CONTROL!$C$22, $C$13, 100%, $E$13)</f>
        <v>15.2195</v>
      </c>
      <c r="K750" s="64">
        <f>15.2217 * CHOOSE(CONTROL!$C$22, $C$13, 100%, $E$13)</f>
        <v>15.2217</v>
      </c>
    </row>
    <row r="751" spans="1:11" ht="15">
      <c r="A751" s="13">
        <v>64498</v>
      </c>
      <c r="B751" s="63">
        <f>12.8562 * CHOOSE(CONTROL!$C$22, $C$13, 100%, $E$13)</f>
        <v>12.856199999999999</v>
      </c>
      <c r="C751" s="63">
        <f>12.8562 * CHOOSE(CONTROL!$C$22, $C$13, 100%, $E$13)</f>
        <v>12.856199999999999</v>
      </c>
      <c r="D751" s="63">
        <f>12.8915 * CHOOSE(CONTROL!$C$22, $C$13, 100%, $E$13)</f>
        <v>12.891500000000001</v>
      </c>
      <c r="E751" s="64">
        <f>15.0696 * CHOOSE(CONTROL!$C$22, $C$13, 100%, $E$13)</f>
        <v>15.069599999999999</v>
      </c>
      <c r="F751" s="64">
        <f>15.0696 * CHOOSE(CONTROL!$C$22, $C$13, 100%, $E$13)</f>
        <v>15.069599999999999</v>
      </c>
      <c r="G751" s="64">
        <f>15.0718 * CHOOSE(CONTROL!$C$22, $C$13, 100%, $E$13)</f>
        <v>15.0718</v>
      </c>
      <c r="H751" s="64">
        <f>24.6775* CHOOSE(CONTROL!$C$22, $C$13, 100%, $E$13)</f>
        <v>24.677499999999998</v>
      </c>
      <c r="I751" s="64">
        <f>24.6796 * CHOOSE(CONTROL!$C$22, $C$13, 100%, $E$13)</f>
        <v>24.679600000000001</v>
      </c>
      <c r="J751" s="64">
        <f>15.0696 * CHOOSE(CONTROL!$C$22, $C$13, 100%, $E$13)</f>
        <v>15.069599999999999</v>
      </c>
      <c r="K751" s="64">
        <f>15.0718 * CHOOSE(CONTROL!$C$22, $C$13, 100%, $E$13)</f>
        <v>15.0718</v>
      </c>
    </row>
    <row r="752" spans="1:11" ht="15">
      <c r="A752" s="13">
        <v>64529</v>
      </c>
      <c r="B752" s="63">
        <f>12.8532 * CHOOSE(CONTROL!$C$22, $C$13, 100%, $E$13)</f>
        <v>12.853199999999999</v>
      </c>
      <c r="C752" s="63">
        <f>12.8532 * CHOOSE(CONTROL!$C$22, $C$13, 100%, $E$13)</f>
        <v>12.853199999999999</v>
      </c>
      <c r="D752" s="63">
        <f>12.8885 * CHOOSE(CONTROL!$C$22, $C$13, 100%, $E$13)</f>
        <v>12.888500000000001</v>
      </c>
      <c r="E752" s="64">
        <f>15.0503 * CHOOSE(CONTROL!$C$22, $C$13, 100%, $E$13)</f>
        <v>15.0503</v>
      </c>
      <c r="F752" s="64">
        <f>15.0503 * CHOOSE(CONTROL!$C$22, $C$13, 100%, $E$13)</f>
        <v>15.0503</v>
      </c>
      <c r="G752" s="64">
        <f>15.0525 * CHOOSE(CONTROL!$C$22, $C$13, 100%, $E$13)</f>
        <v>15.0525</v>
      </c>
      <c r="H752" s="64">
        <f>24.7289* CHOOSE(CONTROL!$C$22, $C$13, 100%, $E$13)</f>
        <v>24.728899999999999</v>
      </c>
      <c r="I752" s="64">
        <f>24.7311 * CHOOSE(CONTROL!$C$22, $C$13, 100%, $E$13)</f>
        <v>24.731100000000001</v>
      </c>
      <c r="J752" s="64">
        <f>15.0503 * CHOOSE(CONTROL!$C$22, $C$13, 100%, $E$13)</f>
        <v>15.0503</v>
      </c>
      <c r="K752" s="64">
        <f>15.0525 * CHOOSE(CONTROL!$C$22, $C$13, 100%, $E$13)</f>
        <v>15.0525</v>
      </c>
    </row>
    <row r="753" spans="1:11" ht="15">
      <c r="A753" s="13">
        <v>64559</v>
      </c>
      <c r="B753" s="63">
        <f>12.8774 * CHOOSE(CONTROL!$C$22, $C$13, 100%, $E$13)</f>
        <v>12.8774</v>
      </c>
      <c r="C753" s="63">
        <f>12.8774 * CHOOSE(CONTROL!$C$22, $C$13, 100%, $E$13)</f>
        <v>12.8774</v>
      </c>
      <c r="D753" s="63">
        <f>12.895 * CHOOSE(CONTROL!$C$22, $C$13, 100%, $E$13)</f>
        <v>12.895</v>
      </c>
      <c r="E753" s="64">
        <f>15.1056 * CHOOSE(CONTROL!$C$22, $C$13, 100%, $E$13)</f>
        <v>15.105600000000001</v>
      </c>
      <c r="F753" s="64">
        <f>15.1056 * CHOOSE(CONTROL!$C$22, $C$13, 100%, $E$13)</f>
        <v>15.105600000000001</v>
      </c>
      <c r="G753" s="64">
        <f>15.1058 * CHOOSE(CONTROL!$C$22, $C$13, 100%, $E$13)</f>
        <v>15.1058</v>
      </c>
      <c r="H753" s="64">
        <f>24.7804* CHOOSE(CONTROL!$C$22, $C$13, 100%, $E$13)</f>
        <v>24.7804</v>
      </c>
      <c r="I753" s="64">
        <f>24.7806 * CHOOSE(CONTROL!$C$22, $C$13, 100%, $E$13)</f>
        <v>24.7806</v>
      </c>
      <c r="J753" s="64">
        <f>15.1056 * CHOOSE(CONTROL!$C$22, $C$13, 100%, $E$13)</f>
        <v>15.105600000000001</v>
      </c>
      <c r="K753" s="64">
        <f>15.1058 * CHOOSE(CONTROL!$C$22, $C$13, 100%, $E$13)</f>
        <v>15.1058</v>
      </c>
    </row>
    <row r="754" spans="1:11" ht="15">
      <c r="A754" s="13">
        <v>64590</v>
      </c>
      <c r="B754" s="63">
        <f>12.8804 * CHOOSE(CONTROL!$C$22, $C$13, 100%, $E$13)</f>
        <v>12.8804</v>
      </c>
      <c r="C754" s="63">
        <f>12.8804 * CHOOSE(CONTROL!$C$22, $C$13, 100%, $E$13)</f>
        <v>12.8804</v>
      </c>
      <c r="D754" s="63">
        <f>12.8981 * CHOOSE(CONTROL!$C$22, $C$13, 100%, $E$13)</f>
        <v>12.898099999999999</v>
      </c>
      <c r="E754" s="64">
        <f>15.1421 * CHOOSE(CONTROL!$C$22, $C$13, 100%, $E$13)</f>
        <v>15.142099999999999</v>
      </c>
      <c r="F754" s="64">
        <f>15.1421 * CHOOSE(CONTROL!$C$22, $C$13, 100%, $E$13)</f>
        <v>15.142099999999999</v>
      </c>
      <c r="G754" s="64">
        <f>15.1422 * CHOOSE(CONTROL!$C$22, $C$13, 100%, $E$13)</f>
        <v>15.142200000000001</v>
      </c>
      <c r="H754" s="64">
        <f>24.832* CHOOSE(CONTROL!$C$22, $C$13, 100%, $E$13)</f>
        <v>24.832000000000001</v>
      </c>
      <c r="I754" s="64">
        <f>24.8322 * CHOOSE(CONTROL!$C$22, $C$13, 100%, $E$13)</f>
        <v>24.8322</v>
      </c>
      <c r="J754" s="64">
        <f>15.1421 * CHOOSE(CONTROL!$C$22, $C$13, 100%, $E$13)</f>
        <v>15.142099999999999</v>
      </c>
      <c r="K754" s="64">
        <f>15.1422 * CHOOSE(CONTROL!$C$22, $C$13, 100%, $E$13)</f>
        <v>15.142200000000001</v>
      </c>
    </row>
    <row r="755" spans="1:11" ht="15">
      <c r="A755" s="13">
        <v>64620</v>
      </c>
      <c r="B755" s="63">
        <f>12.8804 * CHOOSE(CONTROL!$C$22, $C$13, 100%, $E$13)</f>
        <v>12.8804</v>
      </c>
      <c r="C755" s="63">
        <f>12.8804 * CHOOSE(CONTROL!$C$22, $C$13, 100%, $E$13)</f>
        <v>12.8804</v>
      </c>
      <c r="D755" s="63">
        <f>12.8981 * CHOOSE(CONTROL!$C$22, $C$13, 100%, $E$13)</f>
        <v>12.898099999999999</v>
      </c>
      <c r="E755" s="64">
        <f>15.0562 * CHOOSE(CONTROL!$C$22, $C$13, 100%, $E$13)</f>
        <v>15.0562</v>
      </c>
      <c r="F755" s="64">
        <f>15.0562 * CHOOSE(CONTROL!$C$22, $C$13, 100%, $E$13)</f>
        <v>15.0562</v>
      </c>
      <c r="G755" s="64">
        <f>15.0563 * CHOOSE(CONTROL!$C$22, $C$13, 100%, $E$13)</f>
        <v>15.0563</v>
      </c>
      <c r="H755" s="64">
        <f>24.8838* CHOOSE(CONTROL!$C$22, $C$13, 100%, $E$13)</f>
        <v>24.883800000000001</v>
      </c>
      <c r="I755" s="64">
        <f>24.8839 * CHOOSE(CONTROL!$C$22, $C$13, 100%, $E$13)</f>
        <v>24.883900000000001</v>
      </c>
      <c r="J755" s="64">
        <f>15.0562 * CHOOSE(CONTROL!$C$22, $C$13, 100%, $E$13)</f>
        <v>15.0562</v>
      </c>
      <c r="K755" s="64">
        <f>15.0563 * CHOOSE(CONTROL!$C$22, $C$13, 100%, $E$13)</f>
        <v>15.0563</v>
      </c>
    </row>
    <row r="756" spans="1:11" ht="15">
      <c r="A756" s="13">
        <v>64651</v>
      </c>
      <c r="B756" s="63">
        <f>12.8902 * CHOOSE(CONTROL!$C$22, $C$13, 100%, $E$13)</f>
        <v>12.8902</v>
      </c>
      <c r="C756" s="63">
        <f>12.8902 * CHOOSE(CONTROL!$C$22, $C$13, 100%, $E$13)</f>
        <v>12.8902</v>
      </c>
      <c r="D756" s="63">
        <f>12.9079 * CHOOSE(CONTROL!$C$22, $C$13, 100%, $E$13)</f>
        <v>12.9079</v>
      </c>
      <c r="E756" s="64">
        <f>15.1276 * CHOOSE(CONTROL!$C$22, $C$13, 100%, $E$13)</f>
        <v>15.127599999999999</v>
      </c>
      <c r="F756" s="64">
        <f>15.1276 * CHOOSE(CONTROL!$C$22, $C$13, 100%, $E$13)</f>
        <v>15.127599999999999</v>
      </c>
      <c r="G756" s="64">
        <f>15.1278 * CHOOSE(CONTROL!$C$22, $C$13, 100%, $E$13)</f>
        <v>15.127800000000001</v>
      </c>
      <c r="H756" s="64">
        <f>24.7665* CHOOSE(CONTROL!$C$22, $C$13, 100%, $E$13)</f>
        <v>24.766500000000001</v>
      </c>
      <c r="I756" s="64">
        <f>24.7666 * CHOOSE(CONTROL!$C$22, $C$13, 100%, $E$13)</f>
        <v>24.7666</v>
      </c>
      <c r="J756" s="64">
        <f>15.1276 * CHOOSE(CONTROL!$C$22, $C$13, 100%, $E$13)</f>
        <v>15.127599999999999</v>
      </c>
      <c r="K756" s="64">
        <f>15.1278 * CHOOSE(CONTROL!$C$22, $C$13, 100%, $E$13)</f>
        <v>15.127800000000001</v>
      </c>
    </row>
    <row r="757" spans="1:11" ht="15">
      <c r="A757" s="13">
        <v>64682</v>
      </c>
      <c r="B757" s="63">
        <f>12.8872 * CHOOSE(CONTROL!$C$22, $C$13, 100%, $E$13)</f>
        <v>12.8872</v>
      </c>
      <c r="C757" s="63">
        <f>12.8872 * CHOOSE(CONTROL!$C$22, $C$13, 100%, $E$13)</f>
        <v>12.8872</v>
      </c>
      <c r="D757" s="63">
        <f>12.9048 * CHOOSE(CONTROL!$C$22, $C$13, 100%, $E$13)</f>
        <v>12.9048</v>
      </c>
      <c r="E757" s="64">
        <f>14.96 * CHOOSE(CONTROL!$C$22, $C$13, 100%, $E$13)</f>
        <v>14.96</v>
      </c>
      <c r="F757" s="64">
        <f>14.96 * CHOOSE(CONTROL!$C$22, $C$13, 100%, $E$13)</f>
        <v>14.96</v>
      </c>
      <c r="G757" s="64">
        <f>14.9601 * CHOOSE(CONTROL!$C$22, $C$13, 100%, $E$13)</f>
        <v>14.960100000000001</v>
      </c>
      <c r="H757" s="64">
        <f>24.8181* CHOOSE(CONTROL!$C$22, $C$13, 100%, $E$13)</f>
        <v>24.818100000000001</v>
      </c>
      <c r="I757" s="64">
        <f>24.8182 * CHOOSE(CONTROL!$C$22, $C$13, 100%, $E$13)</f>
        <v>24.818200000000001</v>
      </c>
      <c r="J757" s="64">
        <f>14.96 * CHOOSE(CONTROL!$C$22, $C$13, 100%, $E$13)</f>
        <v>14.96</v>
      </c>
      <c r="K757" s="64">
        <f>14.9601 * CHOOSE(CONTROL!$C$22, $C$13, 100%, $E$13)</f>
        <v>14.960100000000001</v>
      </c>
    </row>
    <row r="758" spans="1:11" ht="15">
      <c r="A758" s="13">
        <v>64710</v>
      </c>
      <c r="B758" s="63">
        <f>12.8841 * CHOOSE(CONTROL!$C$22, $C$13, 100%, $E$13)</f>
        <v>12.8841</v>
      </c>
      <c r="C758" s="63">
        <f>12.8841 * CHOOSE(CONTROL!$C$22, $C$13, 100%, $E$13)</f>
        <v>12.8841</v>
      </c>
      <c r="D758" s="63">
        <f>12.9018 * CHOOSE(CONTROL!$C$22, $C$13, 100%, $E$13)</f>
        <v>12.9018</v>
      </c>
      <c r="E758" s="64">
        <f>15.0883 * CHOOSE(CONTROL!$C$22, $C$13, 100%, $E$13)</f>
        <v>15.0883</v>
      </c>
      <c r="F758" s="64">
        <f>15.0883 * CHOOSE(CONTROL!$C$22, $C$13, 100%, $E$13)</f>
        <v>15.0883</v>
      </c>
      <c r="G758" s="64">
        <f>15.0885 * CHOOSE(CONTROL!$C$22, $C$13, 100%, $E$13)</f>
        <v>15.0885</v>
      </c>
      <c r="H758" s="64">
        <f>24.8698* CHOOSE(CONTROL!$C$22, $C$13, 100%, $E$13)</f>
        <v>24.869800000000001</v>
      </c>
      <c r="I758" s="64">
        <f>24.8699 * CHOOSE(CONTROL!$C$22, $C$13, 100%, $E$13)</f>
        <v>24.869900000000001</v>
      </c>
      <c r="J758" s="64">
        <f>15.0883 * CHOOSE(CONTROL!$C$22, $C$13, 100%, $E$13)</f>
        <v>15.0883</v>
      </c>
      <c r="K758" s="64">
        <f>15.0885 * CHOOSE(CONTROL!$C$22, $C$13, 100%, $E$13)</f>
        <v>15.0885</v>
      </c>
    </row>
    <row r="759" spans="1:11" ht="15">
      <c r="A759" s="13">
        <v>64741</v>
      </c>
      <c r="B759" s="63">
        <f>12.8894 * CHOOSE(CONTROL!$C$22, $C$13, 100%, $E$13)</f>
        <v>12.8894</v>
      </c>
      <c r="C759" s="63">
        <f>12.8894 * CHOOSE(CONTROL!$C$22, $C$13, 100%, $E$13)</f>
        <v>12.8894</v>
      </c>
      <c r="D759" s="63">
        <f>12.9071 * CHOOSE(CONTROL!$C$22, $C$13, 100%, $E$13)</f>
        <v>12.9071</v>
      </c>
      <c r="E759" s="64">
        <f>15.2242 * CHOOSE(CONTROL!$C$22, $C$13, 100%, $E$13)</f>
        <v>15.2242</v>
      </c>
      <c r="F759" s="64">
        <f>15.2242 * CHOOSE(CONTROL!$C$22, $C$13, 100%, $E$13)</f>
        <v>15.2242</v>
      </c>
      <c r="G759" s="64">
        <f>15.2244 * CHOOSE(CONTROL!$C$22, $C$13, 100%, $E$13)</f>
        <v>15.224399999999999</v>
      </c>
      <c r="H759" s="64">
        <f>24.9216* CHOOSE(CONTROL!$C$22, $C$13, 100%, $E$13)</f>
        <v>24.921600000000002</v>
      </c>
      <c r="I759" s="64">
        <f>24.9217 * CHOOSE(CONTROL!$C$22, $C$13, 100%, $E$13)</f>
        <v>24.921700000000001</v>
      </c>
      <c r="J759" s="64">
        <f>15.2242 * CHOOSE(CONTROL!$C$22, $C$13, 100%, $E$13)</f>
        <v>15.2242</v>
      </c>
      <c r="K759" s="64">
        <f>15.2244 * CHOOSE(CONTROL!$C$22, $C$13, 100%, $E$13)</f>
        <v>15.224399999999999</v>
      </c>
    </row>
    <row r="760" spans="1:11" ht="15">
      <c r="A760" s="13">
        <v>64771</v>
      </c>
      <c r="B760" s="63">
        <f>12.8894 * CHOOSE(CONTROL!$C$22, $C$13, 100%, $E$13)</f>
        <v>12.8894</v>
      </c>
      <c r="C760" s="63">
        <f>12.8894 * CHOOSE(CONTROL!$C$22, $C$13, 100%, $E$13)</f>
        <v>12.8894</v>
      </c>
      <c r="D760" s="63">
        <f>12.9247 * CHOOSE(CONTROL!$C$22, $C$13, 100%, $E$13)</f>
        <v>12.9247</v>
      </c>
      <c r="E760" s="64">
        <f>15.2768 * CHOOSE(CONTROL!$C$22, $C$13, 100%, $E$13)</f>
        <v>15.2768</v>
      </c>
      <c r="F760" s="64">
        <f>15.2768 * CHOOSE(CONTROL!$C$22, $C$13, 100%, $E$13)</f>
        <v>15.2768</v>
      </c>
      <c r="G760" s="64">
        <f>15.279 * CHOOSE(CONTROL!$C$22, $C$13, 100%, $E$13)</f>
        <v>15.279</v>
      </c>
      <c r="H760" s="64">
        <f>24.9735* CHOOSE(CONTROL!$C$22, $C$13, 100%, $E$13)</f>
        <v>24.973500000000001</v>
      </c>
      <c r="I760" s="64">
        <f>24.9757 * CHOOSE(CONTROL!$C$22, $C$13, 100%, $E$13)</f>
        <v>24.9757</v>
      </c>
      <c r="J760" s="64">
        <f>15.2768 * CHOOSE(CONTROL!$C$22, $C$13, 100%, $E$13)</f>
        <v>15.2768</v>
      </c>
      <c r="K760" s="64">
        <f>15.279 * CHOOSE(CONTROL!$C$22, $C$13, 100%, $E$13)</f>
        <v>15.279</v>
      </c>
    </row>
    <row r="761" spans="1:11" ht="15">
      <c r="A761" s="13">
        <v>64802</v>
      </c>
      <c r="B761" s="63">
        <f>12.8955 * CHOOSE(CONTROL!$C$22, $C$13, 100%, $E$13)</f>
        <v>12.8955</v>
      </c>
      <c r="C761" s="63">
        <f>12.8955 * CHOOSE(CONTROL!$C$22, $C$13, 100%, $E$13)</f>
        <v>12.8955</v>
      </c>
      <c r="D761" s="63">
        <f>12.9308 * CHOOSE(CONTROL!$C$22, $C$13, 100%, $E$13)</f>
        <v>12.9308</v>
      </c>
      <c r="E761" s="64">
        <f>15.2285 * CHOOSE(CONTROL!$C$22, $C$13, 100%, $E$13)</f>
        <v>15.2285</v>
      </c>
      <c r="F761" s="64">
        <f>15.2285 * CHOOSE(CONTROL!$C$22, $C$13, 100%, $E$13)</f>
        <v>15.2285</v>
      </c>
      <c r="G761" s="64">
        <f>15.2306 * CHOOSE(CONTROL!$C$22, $C$13, 100%, $E$13)</f>
        <v>15.230600000000001</v>
      </c>
      <c r="H761" s="64">
        <f>25.0255* CHOOSE(CONTROL!$C$22, $C$13, 100%, $E$13)</f>
        <v>25.025500000000001</v>
      </c>
      <c r="I761" s="64">
        <f>25.0277 * CHOOSE(CONTROL!$C$22, $C$13, 100%, $E$13)</f>
        <v>25.027699999999999</v>
      </c>
      <c r="J761" s="64">
        <f>15.2285 * CHOOSE(CONTROL!$C$22, $C$13, 100%, $E$13)</f>
        <v>15.2285</v>
      </c>
      <c r="K761" s="64">
        <f>15.2306 * CHOOSE(CONTROL!$C$22, $C$13, 100%, $E$13)</f>
        <v>15.230600000000001</v>
      </c>
    </row>
    <row r="762" spans="1:11" ht="15">
      <c r="A762" s="13">
        <v>64832</v>
      </c>
      <c r="B762" s="63">
        <f>13.0987 * CHOOSE(CONTROL!$C$22, $C$13, 100%, $E$13)</f>
        <v>13.098699999999999</v>
      </c>
      <c r="C762" s="63">
        <f>13.0987 * CHOOSE(CONTROL!$C$22, $C$13, 100%, $E$13)</f>
        <v>13.098699999999999</v>
      </c>
      <c r="D762" s="63">
        <f>13.134 * CHOOSE(CONTROL!$C$22, $C$13, 100%, $E$13)</f>
        <v>13.134</v>
      </c>
      <c r="E762" s="64">
        <f>15.5194 * CHOOSE(CONTROL!$C$22, $C$13, 100%, $E$13)</f>
        <v>15.519399999999999</v>
      </c>
      <c r="F762" s="64">
        <f>15.5194 * CHOOSE(CONTROL!$C$22, $C$13, 100%, $E$13)</f>
        <v>15.519399999999999</v>
      </c>
      <c r="G762" s="64">
        <f>15.5216 * CHOOSE(CONTROL!$C$22, $C$13, 100%, $E$13)</f>
        <v>15.521599999999999</v>
      </c>
      <c r="H762" s="64">
        <f>25.0777* CHOOSE(CONTROL!$C$22, $C$13, 100%, $E$13)</f>
        <v>25.0777</v>
      </c>
      <c r="I762" s="64">
        <f>25.0798 * CHOOSE(CONTROL!$C$22, $C$13, 100%, $E$13)</f>
        <v>25.079799999999999</v>
      </c>
      <c r="J762" s="64">
        <f>15.5194 * CHOOSE(CONTROL!$C$22, $C$13, 100%, $E$13)</f>
        <v>15.519399999999999</v>
      </c>
      <c r="K762" s="64">
        <f>15.5216 * CHOOSE(CONTROL!$C$22, $C$13, 100%, $E$13)</f>
        <v>15.521599999999999</v>
      </c>
    </row>
    <row r="763" spans="1:11" ht="15">
      <c r="A763" s="13">
        <v>64863</v>
      </c>
      <c r="B763" s="63">
        <f>13.1054 * CHOOSE(CONTROL!$C$22, $C$13, 100%, $E$13)</f>
        <v>13.105399999999999</v>
      </c>
      <c r="C763" s="63">
        <f>13.1054 * CHOOSE(CONTROL!$C$22, $C$13, 100%, $E$13)</f>
        <v>13.105399999999999</v>
      </c>
      <c r="D763" s="63">
        <f>13.1407 * CHOOSE(CONTROL!$C$22, $C$13, 100%, $E$13)</f>
        <v>13.140700000000001</v>
      </c>
      <c r="E763" s="64">
        <f>15.3664 * CHOOSE(CONTROL!$C$22, $C$13, 100%, $E$13)</f>
        <v>15.366400000000001</v>
      </c>
      <c r="F763" s="64">
        <f>15.3664 * CHOOSE(CONTROL!$C$22, $C$13, 100%, $E$13)</f>
        <v>15.366400000000001</v>
      </c>
      <c r="G763" s="64">
        <f>15.3686 * CHOOSE(CONTROL!$C$22, $C$13, 100%, $E$13)</f>
        <v>15.368600000000001</v>
      </c>
      <c r="H763" s="64">
        <f>25.1299* CHOOSE(CONTROL!$C$22, $C$13, 100%, $E$13)</f>
        <v>25.129899999999999</v>
      </c>
      <c r="I763" s="64">
        <f>25.1321 * CHOOSE(CONTROL!$C$22, $C$13, 100%, $E$13)</f>
        <v>25.132100000000001</v>
      </c>
      <c r="J763" s="64">
        <f>15.3664 * CHOOSE(CONTROL!$C$22, $C$13, 100%, $E$13)</f>
        <v>15.366400000000001</v>
      </c>
      <c r="K763" s="64">
        <f>15.3686 * CHOOSE(CONTROL!$C$22, $C$13, 100%, $E$13)</f>
        <v>15.368600000000001</v>
      </c>
    </row>
    <row r="764" spans="1:11" ht="15">
      <c r="A764" s="13">
        <v>64894</v>
      </c>
      <c r="B764" s="63">
        <f>13.1024 * CHOOSE(CONTROL!$C$22, $C$13, 100%, $E$13)</f>
        <v>13.102399999999999</v>
      </c>
      <c r="C764" s="63">
        <f>13.1024 * CHOOSE(CONTROL!$C$22, $C$13, 100%, $E$13)</f>
        <v>13.102399999999999</v>
      </c>
      <c r="D764" s="63">
        <f>13.1377 * CHOOSE(CONTROL!$C$22, $C$13, 100%, $E$13)</f>
        <v>13.137700000000001</v>
      </c>
      <c r="E764" s="64">
        <f>15.3468 * CHOOSE(CONTROL!$C$22, $C$13, 100%, $E$13)</f>
        <v>15.3468</v>
      </c>
      <c r="F764" s="64">
        <f>15.3468 * CHOOSE(CONTROL!$C$22, $C$13, 100%, $E$13)</f>
        <v>15.3468</v>
      </c>
      <c r="G764" s="64">
        <f>15.349 * CHOOSE(CONTROL!$C$22, $C$13, 100%, $E$13)</f>
        <v>15.349</v>
      </c>
      <c r="H764" s="64">
        <f>25.1823* CHOOSE(CONTROL!$C$22, $C$13, 100%, $E$13)</f>
        <v>25.182300000000001</v>
      </c>
      <c r="I764" s="64">
        <f>25.1844 * CHOOSE(CONTROL!$C$22, $C$13, 100%, $E$13)</f>
        <v>25.1844</v>
      </c>
      <c r="J764" s="64">
        <f>15.3468 * CHOOSE(CONTROL!$C$22, $C$13, 100%, $E$13)</f>
        <v>15.3468</v>
      </c>
      <c r="K764" s="64">
        <f>15.349 * CHOOSE(CONTROL!$C$22, $C$13, 100%, $E$13)</f>
        <v>15.349</v>
      </c>
    </row>
    <row r="765" spans="1:11" ht="15">
      <c r="A765" s="13">
        <v>64924</v>
      </c>
      <c r="B765" s="63">
        <f>13.1274 * CHOOSE(CONTROL!$C$22, $C$13, 100%, $E$13)</f>
        <v>13.1274</v>
      </c>
      <c r="C765" s="63">
        <f>13.1274 * CHOOSE(CONTROL!$C$22, $C$13, 100%, $E$13)</f>
        <v>13.1274</v>
      </c>
      <c r="D765" s="63">
        <f>13.145 * CHOOSE(CONTROL!$C$22, $C$13, 100%, $E$13)</f>
        <v>13.145</v>
      </c>
      <c r="E765" s="64">
        <f>15.4034 * CHOOSE(CONTROL!$C$22, $C$13, 100%, $E$13)</f>
        <v>15.4034</v>
      </c>
      <c r="F765" s="64">
        <f>15.4034 * CHOOSE(CONTROL!$C$22, $C$13, 100%, $E$13)</f>
        <v>15.4034</v>
      </c>
      <c r="G765" s="64">
        <f>15.4036 * CHOOSE(CONTROL!$C$22, $C$13, 100%, $E$13)</f>
        <v>15.403600000000001</v>
      </c>
      <c r="H765" s="64">
        <f>25.2347* CHOOSE(CONTROL!$C$22, $C$13, 100%, $E$13)</f>
        <v>25.2347</v>
      </c>
      <c r="I765" s="64">
        <f>25.2349 * CHOOSE(CONTROL!$C$22, $C$13, 100%, $E$13)</f>
        <v>25.2349</v>
      </c>
      <c r="J765" s="64">
        <f>15.4034 * CHOOSE(CONTROL!$C$22, $C$13, 100%, $E$13)</f>
        <v>15.4034</v>
      </c>
      <c r="K765" s="64">
        <f>15.4036 * CHOOSE(CONTROL!$C$22, $C$13, 100%, $E$13)</f>
        <v>15.403600000000001</v>
      </c>
    </row>
    <row r="766" spans="1:11" ht="15">
      <c r="A766" s="13">
        <v>64955</v>
      </c>
      <c r="B766" s="63">
        <f>13.1304 * CHOOSE(CONTROL!$C$22, $C$13, 100%, $E$13)</f>
        <v>13.1304</v>
      </c>
      <c r="C766" s="63">
        <f>13.1304 * CHOOSE(CONTROL!$C$22, $C$13, 100%, $E$13)</f>
        <v>13.1304</v>
      </c>
      <c r="D766" s="63">
        <f>13.1481 * CHOOSE(CONTROL!$C$22, $C$13, 100%, $E$13)</f>
        <v>13.148099999999999</v>
      </c>
      <c r="E766" s="64">
        <f>15.4406 * CHOOSE(CONTROL!$C$22, $C$13, 100%, $E$13)</f>
        <v>15.4406</v>
      </c>
      <c r="F766" s="64">
        <f>15.4406 * CHOOSE(CONTROL!$C$22, $C$13, 100%, $E$13)</f>
        <v>15.4406</v>
      </c>
      <c r="G766" s="64">
        <f>15.4408 * CHOOSE(CONTROL!$C$22, $C$13, 100%, $E$13)</f>
        <v>15.440799999999999</v>
      </c>
      <c r="H766" s="64">
        <f>25.2873* CHOOSE(CONTROL!$C$22, $C$13, 100%, $E$13)</f>
        <v>25.287299999999998</v>
      </c>
      <c r="I766" s="64">
        <f>25.2875 * CHOOSE(CONTROL!$C$22, $C$13, 100%, $E$13)</f>
        <v>25.287500000000001</v>
      </c>
      <c r="J766" s="64">
        <f>15.4406 * CHOOSE(CONTROL!$C$22, $C$13, 100%, $E$13)</f>
        <v>15.4406</v>
      </c>
      <c r="K766" s="64">
        <f>15.4408 * CHOOSE(CONTROL!$C$22, $C$13, 100%, $E$13)</f>
        <v>15.440799999999999</v>
      </c>
    </row>
    <row r="767" spans="1:11" ht="15">
      <c r="A767" s="13">
        <v>64985</v>
      </c>
      <c r="B767" s="63">
        <f>13.1304 * CHOOSE(CONTROL!$C$22, $C$13, 100%, $E$13)</f>
        <v>13.1304</v>
      </c>
      <c r="C767" s="63">
        <f>13.1304 * CHOOSE(CONTROL!$C$22, $C$13, 100%, $E$13)</f>
        <v>13.1304</v>
      </c>
      <c r="D767" s="63">
        <f>13.1481 * CHOOSE(CONTROL!$C$22, $C$13, 100%, $E$13)</f>
        <v>13.148099999999999</v>
      </c>
      <c r="E767" s="64">
        <f>15.353 * CHOOSE(CONTROL!$C$22, $C$13, 100%, $E$13)</f>
        <v>15.353</v>
      </c>
      <c r="F767" s="64">
        <f>15.353 * CHOOSE(CONTROL!$C$22, $C$13, 100%, $E$13)</f>
        <v>15.353</v>
      </c>
      <c r="G767" s="64">
        <f>15.3532 * CHOOSE(CONTROL!$C$22, $C$13, 100%, $E$13)</f>
        <v>15.353199999999999</v>
      </c>
      <c r="H767" s="64">
        <f>25.34* CHOOSE(CONTROL!$C$22, $C$13, 100%, $E$13)</f>
        <v>25.34</v>
      </c>
      <c r="I767" s="64">
        <f>25.3401 * CHOOSE(CONTROL!$C$22, $C$13, 100%, $E$13)</f>
        <v>25.3401</v>
      </c>
      <c r="J767" s="64">
        <f>15.353 * CHOOSE(CONTROL!$C$22, $C$13, 100%, $E$13)</f>
        <v>15.353</v>
      </c>
      <c r="K767" s="64">
        <f>15.3532 * CHOOSE(CONTROL!$C$22, $C$13, 100%, $E$13)</f>
        <v>15.353199999999999</v>
      </c>
    </row>
    <row r="768" spans="1:11" ht="15">
      <c r="A768" s="13">
        <v>65016</v>
      </c>
      <c r="B768" s="63">
        <f>13.1355 * CHOOSE(CONTROL!$C$22, $C$13, 100%, $E$13)</f>
        <v>13.1355</v>
      </c>
      <c r="C768" s="63">
        <f>13.1355 * CHOOSE(CONTROL!$C$22, $C$13, 100%, $E$13)</f>
        <v>13.1355</v>
      </c>
      <c r="D768" s="63">
        <f>13.1532 * CHOOSE(CONTROL!$C$22, $C$13, 100%, $E$13)</f>
        <v>13.1532</v>
      </c>
      <c r="E768" s="64">
        <f>15.42 * CHOOSE(CONTROL!$C$22, $C$13, 100%, $E$13)</f>
        <v>15.42</v>
      </c>
      <c r="F768" s="64">
        <f>15.42 * CHOOSE(CONTROL!$C$22, $C$13, 100%, $E$13)</f>
        <v>15.42</v>
      </c>
      <c r="G768" s="64">
        <f>15.4202 * CHOOSE(CONTROL!$C$22, $C$13, 100%, $E$13)</f>
        <v>15.420199999999999</v>
      </c>
      <c r="H768" s="64">
        <f>25.2123* CHOOSE(CONTROL!$C$22, $C$13, 100%, $E$13)</f>
        <v>25.212299999999999</v>
      </c>
      <c r="I768" s="64">
        <f>25.2125 * CHOOSE(CONTROL!$C$22, $C$13, 100%, $E$13)</f>
        <v>25.212499999999999</v>
      </c>
      <c r="J768" s="64">
        <f>15.42 * CHOOSE(CONTROL!$C$22, $C$13, 100%, $E$13)</f>
        <v>15.42</v>
      </c>
      <c r="K768" s="64">
        <f>15.4202 * CHOOSE(CONTROL!$C$22, $C$13, 100%, $E$13)</f>
        <v>15.420199999999999</v>
      </c>
    </row>
    <row r="769" spans="1:11" ht="15">
      <c r="A769" s="13">
        <v>65047</v>
      </c>
      <c r="B769" s="63">
        <f>13.1325 * CHOOSE(CONTROL!$C$22, $C$13, 100%, $E$13)</f>
        <v>13.1325</v>
      </c>
      <c r="C769" s="63">
        <f>13.1325 * CHOOSE(CONTROL!$C$22, $C$13, 100%, $E$13)</f>
        <v>13.1325</v>
      </c>
      <c r="D769" s="63">
        <f>13.1502 * CHOOSE(CONTROL!$C$22, $C$13, 100%, $E$13)</f>
        <v>13.1502</v>
      </c>
      <c r="E769" s="64">
        <f>15.2492 * CHOOSE(CONTROL!$C$22, $C$13, 100%, $E$13)</f>
        <v>15.2492</v>
      </c>
      <c r="F769" s="64">
        <f>15.2492 * CHOOSE(CONTROL!$C$22, $C$13, 100%, $E$13)</f>
        <v>15.2492</v>
      </c>
      <c r="G769" s="64">
        <f>15.2493 * CHOOSE(CONTROL!$C$22, $C$13, 100%, $E$13)</f>
        <v>15.2493</v>
      </c>
      <c r="H769" s="64">
        <f>25.2649* CHOOSE(CONTROL!$C$22, $C$13, 100%, $E$13)</f>
        <v>25.264900000000001</v>
      </c>
      <c r="I769" s="64">
        <f>25.2651 * CHOOSE(CONTROL!$C$22, $C$13, 100%, $E$13)</f>
        <v>25.2651</v>
      </c>
      <c r="J769" s="64">
        <f>15.2492 * CHOOSE(CONTROL!$C$22, $C$13, 100%, $E$13)</f>
        <v>15.2492</v>
      </c>
      <c r="K769" s="64">
        <f>15.2493 * CHOOSE(CONTROL!$C$22, $C$13, 100%, $E$13)</f>
        <v>15.2493</v>
      </c>
    </row>
    <row r="770" spans="1:11" ht="15">
      <c r="A770" s="13">
        <v>65075</v>
      </c>
      <c r="B770" s="63">
        <f>13.1295 * CHOOSE(CONTROL!$C$22, $C$13, 100%, $E$13)</f>
        <v>13.1295</v>
      </c>
      <c r="C770" s="63">
        <f>13.1295 * CHOOSE(CONTROL!$C$22, $C$13, 100%, $E$13)</f>
        <v>13.1295</v>
      </c>
      <c r="D770" s="63">
        <f>13.1471 * CHOOSE(CONTROL!$C$22, $C$13, 100%, $E$13)</f>
        <v>13.1471</v>
      </c>
      <c r="E770" s="64">
        <f>15.3801 * CHOOSE(CONTROL!$C$22, $C$13, 100%, $E$13)</f>
        <v>15.380100000000001</v>
      </c>
      <c r="F770" s="64">
        <f>15.3801 * CHOOSE(CONTROL!$C$22, $C$13, 100%, $E$13)</f>
        <v>15.380100000000001</v>
      </c>
      <c r="G770" s="64">
        <f>15.3802 * CHOOSE(CONTROL!$C$22, $C$13, 100%, $E$13)</f>
        <v>15.3802</v>
      </c>
      <c r="H770" s="64">
        <f>25.3175* CHOOSE(CONTROL!$C$22, $C$13, 100%, $E$13)</f>
        <v>25.317499999999999</v>
      </c>
      <c r="I770" s="64">
        <f>25.3177 * CHOOSE(CONTROL!$C$22, $C$13, 100%, $E$13)</f>
        <v>25.317699999999999</v>
      </c>
      <c r="J770" s="64">
        <f>15.3801 * CHOOSE(CONTROL!$C$22, $C$13, 100%, $E$13)</f>
        <v>15.380100000000001</v>
      </c>
      <c r="K770" s="64">
        <f>15.3802 * CHOOSE(CONTROL!$C$22, $C$13, 100%, $E$13)</f>
        <v>15.3802</v>
      </c>
    </row>
    <row r="771" spans="1:11" ht="15">
      <c r="A771" s="13">
        <v>65106</v>
      </c>
      <c r="B771" s="63">
        <f>13.1349 * CHOOSE(CONTROL!$C$22, $C$13, 100%, $E$13)</f>
        <v>13.1349</v>
      </c>
      <c r="C771" s="63">
        <f>13.1349 * CHOOSE(CONTROL!$C$22, $C$13, 100%, $E$13)</f>
        <v>13.1349</v>
      </c>
      <c r="D771" s="63">
        <f>13.1526 * CHOOSE(CONTROL!$C$22, $C$13, 100%, $E$13)</f>
        <v>13.1526</v>
      </c>
      <c r="E771" s="64">
        <f>15.5187 * CHOOSE(CONTROL!$C$22, $C$13, 100%, $E$13)</f>
        <v>15.518700000000001</v>
      </c>
      <c r="F771" s="64">
        <f>15.5187 * CHOOSE(CONTROL!$C$22, $C$13, 100%, $E$13)</f>
        <v>15.518700000000001</v>
      </c>
      <c r="G771" s="64">
        <f>15.5189 * CHOOSE(CONTROL!$C$22, $C$13, 100%, $E$13)</f>
        <v>15.5189</v>
      </c>
      <c r="H771" s="64">
        <f>25.3703* CHOOSE(CONTROL!$C$22, $C$13, 100%, $E$13)</f>
        <v>25.3703</v>
      </c>
      <c r="I771" s="64">
        <f>25.3704 * CHOOSE(CONTROL!$C$22, $C$13, 100%, $E$13)</f>
        <v>25.3704</v>
      </c>
      <c r="J771" s="64">
        <f>15.5187 * CHOOSE(CONTROL!$C$22, $C$13, 100%, $E$13)</f>
        <v>15.518700000000001</v>
      </c>
      <c r="K771" s="64">
        <f>15.5189 * CHOOSE(CONTROL!$C$22, $C$13, 100%, $E$13)</f>
        <v>15.5189</v>
      </c>
    </row>
    <row r="772" spans="1:11" ht="15">
      <c r="A772" s="13">
        <v>65136</v>
      </c>
      <c r="B772" s="63">
        <f>13.1349 * CHOOSE(CONTROL!$C$22, $C$13, 100%, $E$13)</f>
        <v>13.1349</v>
      </c>
      <c r="C772" s="63">
        <f>13.1349 * CHOOSE(CONTROL!$C$22, $C$13, 100%, $E$13)</f>
        <v>13.1349</v>
      </c>
      <c r="D772" s="63">
        <f>13.1702 * CHOOSE(CONTROL!$C$22, $C$13, 100%, $E$13)</f>
        <v>13.170199999999999</v>
      </c>
      <c r="E772" s="64">
        <f>15.5722 * CHOOSE(CONTROL!$C$22, $C$13, 100%, $E$13)</f>
        <v>15.5722</v>
      </c>
      <c r="F772" s="64">
        <f>15.5722 * CHOOSE(CONTROL!$C$22, $C$13, 100%, $E$13)</f>
        <v>15.5722</v>
      </c>
      <c r="G772" s="64">
        <f>15.5744 * CHOOSE(CONTROL!$C$22, $C$13, 100%, $E$13)</f>
        <v>15.574400000000001</v>
      </c>
      <c r="H772" s="64">
        <f>25.4231* CHOOSE(CONTROL!$C$22, $C$13, 100%, $E$13)</f>
        <v>25.423100000000002</v>
      </c>
      <c r="I772" s="64">
        <f>25.4253 * CHOOSE(CONTROL!$C$22, $C$13, 100%, $E$13)</f>
        <v>25.4253</v>
      </c>
      <c r="J772" s="64">
        <f>15.5722 * CHOOSE(CONTROL!$C$22, $C$13, 100%, $E$13)</f>
        <v>15.5722</v>
      </c>
      <c r="K772" s="64">
        <f>15.5744 * CHOOSE(CONTROL!$C$22, $C$13, 100%, $E$13)</f>
        <v>15.574400000000001</v>
      </c>
    </row>
    <row r="773" spans="1:11" ht="15">
      <c r="A773" s="13">
        <v>65167</v>
      </c>
      <c r="B773" s="63">
        <f>13.141 * CHOOSE(CONTROL!$C$22, $C$13, 100%, $E$13)</f>
        <v>13.141</v>
      </c>
      <c r="C773" s="63">
        <f>13.141 * CHOOSE(CONTROL!$C$22, $C$13, 100%, $E$13)</f>
        <v>13.141</v>
      </c>
      <c r="D773" s="63">
        <f>13.1763 * CHOOSE(CONTROL!$C$22, $C$13, 100%, $E$13)</f>
        <v>13.176299999999999</v>
      </c>
      <c r="E773" s="64">
        <f>15.5229 * CHOOSE(CONTROL!$C$22, $C$13, 100%, $E$13)</f>
        <v>15.5229</v>
      </c>
      <c r="F773" s="64">
        <f>15.5229 * CHOOSE(CONTROL!$C$22, $C$13, 100%, $E$13)</f>
        <v>15.5229</v>
      </c>
      <c r="G773" s="64">
        <f>15.5251 * CHOOSE(CONTROL!$C$22, $C$13, 100%, $E$13)</f>
        <v>15.5251</v>
      </c>
      <c r="H773" s="64">
        <f>25.4761* CHOOSE(CONTROL!$C$22, $C$13, 100%, $E$13)</f>
        <v>25.476099999999999</v>
      </c>
      <c r="I773" s="64">
        <f>25.4783 * CHOOSE(CONTROL!$C$22, $C$13, 100%, $E$13)</f>
        <v>25.478300000000001</v>
      </c>
      <c r="J773" s="64">
        <f>15.5229 * CHOOSE(CONTROL!$C$22, $C$13, 100%, $E$13)</f>
        <v>15.5229</v>
      </c>
      <c r="K773" s="64">
        <f>15.5251 * CHOOSE(CONTROL!$C$22, $C$13, 100%, $E$13)</f>
        <v>15.5251</v>
      </c>
    </row>
    <row r="774" spans="1:11" ht="15">
      <c r="A774" s="13">
        <v>65197</v>
      </c>
      <c r="B774" s="63">
        <f>13.3479 * CHOOSE(CONTROL!$C$22, $C$13, 100%, $E$13)</f>
        <v>13.347899999999999</v>
      </c>
      <c r="C774" s="63">
        <f>13.3479 * CHOOSE(CONTROL!$C$22, $C$13, 100%, $E$13)</f>
        <v>13.347899999999999</v>
      </c>
      <c r="D774" s="63">
        <f>13.3833 * CHOOSE(CONTROL!$C$22, $C$13, 100%, $E$13)</f>
        <v>13.3833</v>
      </c>
      <c r="E774" s="64">
        <f>15.8193 * CHOOSE(CONTROL!$C$22, $C$13, 100%, $E$13)</f>
        <v>15.8193</v>
      </c>
      <c r="F774" s="64">
        <f>15.8193 * CHOOSE(CONTROL!$C$22, $C$13, 100%, $E$13)</f>
        <v>15.8193</v>
      </c>
      <c r="G774" s="64">
        <f>15.8215 * CHOOSE(CONTROL!$C$22, $C$13, 100%, $E$13)</f>
        <v>15.8215</v>
      </c>
      <c r="H774" s="64">
        <f>25.5291* CHOOSE(CONTROL!$C$22, $C$13, 100%, $E$13)</f>
        <v>25.5291</v>
      </c>
      <c r="I774" s="64">
        <f>25.5313 * CHOOSE(CONTROL!$C$22, $C$13, 100%, $E$13)</f>
        <v>25.531300000000002</v>
      </c>
      <c r="J774" s="64">
        <f>15.8193 * CHOOSE(CONTROL!$C$22, $C$13, 100%, $E$13)</f>
        <v>15.8193</v>
      </c>
      <c r="K774" s="64">
        <f>15.8215 * CHOOSE(CONTROL!$C$22, $C$13, 100%, $E$13)</f>
        <v>15.8215</v>
      </c>
    </row>
    <row r="775" spans="1:11" ht="15">
      <c r="A775" s="13">
        <v>65228</v>
      </c>
      <c r="B775" s="63">
        <f>13.3546 * CHOOSE(CONTROL!$C$22, $C$13, 100%, $E$13)</f>
        <v>13.3546</v>
      </c>
      <c r="C775" s="63">
        <f>13.3546 * CHOOSE(CONTROL!$C$22, $C$13, 100%, $E$13)</f>
        <v>13.3546</v>
      </c>
      <c r="D775" s="63">
        <f>13.3899 * CHOOSE(CONTROL!$C$22, $C$13, 100%, $E$13)</f>
        <v>13.389900000000001</v>
      </c>
      <c r="E775" s="64">
        <f>15.6632 * CHOOSE(CONTROL!$C$22, $C$13, 100%, $E$13)</f>
        <v>15.6632</v>
      </c>
      <c r="F775" s="64">
        <f>15.6632 * CHOOSE(CONTROL!$C$22, $C$13, 100%, $E$13)</f>
        <v>15.6632</v>
      </c>
      <c r="G775" s="64">
        <f>15.6654 * CHOOSE(CONTROL!$C$22, $C$13, 100%, $E$13)</f>
        <v>15.6654</v>
      </c>
      <c r="H775" s="64">
        <f>25.5823* CHOOSE(CONTROL!$C$22, $C$13, 100%, $E$13)</f>
        <v>25.5823</v>
      </c>
      <c r="I775" s="64">
        <f>25.5845 * CHOOSE(CONTROL!$C$22, $C$13, 100%, $E$13)</f>
        <v>25.584499999999998</v>
      </c>
      <c r="J775" s="64">
        <f>15.6632 * CHOOSE(CONTROL!$C$22, $C$13, 100%, $E$13)</f>
        <v>15.6632</v>
      </c>
      <c r="K775" s="64">
        <f>15.6654 * CHOOSE(CONTROL!$C$22, $C$13, 100%, $E$13)</f>
        <v>15.6654</v>
      </c>
    </row>
    <row r="776" spans="1:11" ht="15">
      <c r="A776" s="13">
        <v>65259</v>
      </c>
      <c r="B776" s="63">
        <f>13.3516 * CHOOSE(CONTROL!$C$22, $C$13, 100%, $E$13)</f>
        <v>13.351599999999999</v>
      </c>
      <c r="C776" s="63">
        <f>13.3516 * CHOOSE(CONTROL!$C$22, $C$13, 100%, $E$13)</f>
        <v>13.351599999999999</v>
      </c>
      <c r="D776" s="63">
        <f>13.3869 * CHOOSE(CONTROL!$C$22, $C$13, 100%, $E$13)</f>
        <v>13.386900000000001</v>
      </c>
      <c r="E776" s="64">
        <f>15.6433 * CHOOSE(CONTROL!$C$22, $C$13, 100%, $E$13)</f>
        <v>15.6433</v>
      </c>
      <c r="F776" s="64">
        <f>15.6433 * CHOOSE(CONTROL!$C$22, $C$13, 100%, $E$13)</f>
        <v>15.6433</v>
      </c>
      <c r="G776" s="64">
        <f>15.6454 * CHOOSE(CONTROL!$C$22, $C$13, 100%, $E$13)</f>
        <v>15.6454</v>
      </c>
      <c r="H776" s="64">
        <f>25.6356* CHOOSE(CONTROL!$C$22, $C$13, 100%, $E$13)</f>
        <v>25.6356</v>
      </c>
      <c r="I776" s="64">
        <f>25.6378 * CHOOSE(CONTROL!$C$22, $C$13, 100%, $E$13)</f>
        <v>25.637799999999999</v>
      </c>
      <c r="J776" s="64">
        <f>15.6433 * CHOOSE(CONTROL!$C$22, $C$13, 100%, $E$13)</f>
        <v>15.6433</v>
      </c>
      <c r="K776" s="64">
        <f>15.6454 * CHOOSE(CONTROL!$C$22, $C$13, 100%, $E$13)</f>
        <v>15.6454</v>
      </c>
    </row>
    <row r="777" spans="1:11" ht="15">
      <c r="A777" s="13">
        <v>65289</v>
      </c>
      <c r="B777" s="63">
        <f>13.3774 * CHOOSE(CONTROL!$C$22, $C$13, 100%, $E$13)</f>
        <v>13.3774</v>
      </c>
      <c r="C777" s="63">
        <f>13.3774 * CHOOSE(CONTROL!$C$22, $C$13, 100%, $E$13)</f>
        <v>13.3774</v>
      </c>
      <c r="D777" s="63">
        <f>13.3951 * CHOOSE(CONTROL!$C$22, $C$13, 100%, $E$13)</f>
        <v>13.395099999999999</v>
      </c>
      <c r="E777" s="64">
        <f>15.7013 * CHOOSE(CONTROL!$C$22, $C$13, 100%, $E$13)</f>
        <v>15.7013</v>
      </c>
      <c r="F777" s="64">
        <f>15.7013 * CHOOSE(CONTROL!$C$22, $C$13, 100%, $E$13)</f>
        <v>15.7013</v>
      </c>
      <c r="G777" s="64">
        <f>15.7015 * CHOOSE(CONTROL!$C$22, $C$13, 100%, $E$13)</f>
        <v>15.701499999999999</v>
      </c>
      <c r="H777" s="64">
        <f>25.689* CHOOSE(CONTROL!$C$22, $C$13, 100%, $E$13)</f>
        <v>25.689</v>
      </c>
      <c r="I777" s="64">
        <f>25.6892 * CHOOSE(CONTROL!$C$22, $C$13, 100%, $E$13)</f>
        <v>25.6892</v>
      </c>
      <c r="J777" s="64">
        <f>15.7013 * CHOOSE(CONTROL!$C$22, $C$13, 100%, $E$13)</f>
        <v>15.7013</v>
      </c>
      <c r="K777" s="64">
        <f>15.7015 * CHOOSE(CONTROL!$C$22, $C$13, 100%, $E$13)</f>
        <v>15.701499999999999</v>
      </c>
    </row>
    <row r="778" spans="1:11" ht="15">
      <c r="A778" s="13">
        <v>65320</v>
      </c>
      <c r="B778" s="63">
        <f>13.3804 * CHOOSE(CONTROL!$C$22, $C$13, 100%, $E$13)</f>
        <v>13.3804</v>
      </c>
      <c r="C778" s="63">
        <f>13.3804 * CHOOSE(CONTROL!$C$22, $C$13, 100%, $E$13)</f>
        <v>13.3804</v>
      </c>
      <c r="D778" s="63">
        <f>13.3981 * CHOOSE(CONTROL!$C$22, $C$13, 100%, $E$13)</f>
        <v>13.398099999999999</v>
      </c>
      <c r="E778" s="64">
        <f>15.7391 * CHOOSE(CONTROL!$C$22, $C$13, 100%, $E$13)</f>
        <v>15.739100000000001</v>
      </c>
      <c r="F778" s="64">
        <f>15.7391 * CHOOSE(CONTROL!$C$22, $C$13, 100%, $E$13)</f>
        <v>15.739100000000001</v>
      </c>
      <c r="G778" s="64">
        <f>15.7393 * CHOOSE(CONTROL!$C$22, $C$13, 100%, $E$13)</f>
        <v>15.7393</v>
      </c>
      <c r="H778" s="64">
        <f>25.7426* CHOOSE(CONTROL!$C$22, $C$13, 100%, $E$13)</f>
        <v>25.742599999999999</v>
      </c>
      <c r="I778" s="64">
        <f>25.7427 * CHOOSE(CONTROL!$C$22, $C$13, 100%, $E$13)</f>
        <v>25.742699999999999</v>
      </c>
      <c r="J778" s="64">
        <f>15.7391 * CHOOSE(CONTROL!$C$22, $C$13, 100%, $E$13)</f>
        <v>15.739100000000001</v>
      </c>
      <c r="K778" s="64">
        <f>15.7393 * CHOOSE(CONTROL!$C$22, $C$13, 100%, $E$13)</f>
        <v>15.7393</v>
      </c>
    </row>
    <row r="779" spans="1:11" ht="15">
      <c r="A779" s="13">
        <v>65350</v>
      </c>
      <c r="B779" s="63">
        <f>13.3804 * CHOOSE(CONTROL!$C$22, $C$13, 100%, $E$13)</f>
        <v>13.3804</v>
      </c>
      <c r="C779" s="63">
        <f>13.3804 * CHOOSE(CONTROL!$C$22, $C$13, 100%, $E$13)</f>
        <v>13.3804</v>
      </c>
      <c r="D779" s="63">
        <f>13.3981 * CHOOSE(CONTROL!$C$22, $C$13, 100%, $E$13)</f>
        <v>13.398099999999999</v>
      </c>
      <c r="E779" s="64">
        <f>15.6498 * CHOOSE(CONTROL!$C$22, $C$13, 100%, $E$13)</f>
        <v>15.649800000000001</v>
      </c>
      <c r="F779" s="64">
        <f>15.6498 * CHOOSE(CONTROL!$C$22, $C$13, 100%, $E$13)</f>
        <v>15.649800000000001</v>
      </c>
      <c r="G779" s="64">
        <f>15.65 * CHOOSE(CONTROL!$C$22, $C$13, 100%, $E$13)</f>
        <v>15.65</v>
      </c>
      <c r="H779" s="64">
        <f>25.7962* CHOOSE(CONTROL!$C$22, $C$13, 100%, $E$13)</f>
        <v>25.796199999999999</v>
      </c>
      <c r="I779" s="64">
        <f>25.7964 * CHOOSE(CONTROL!$C$22, $C$13, 100%, $E$13)</f>
        <v>25.796399999999998</v>
      </c>
      <c r="J779" s="64">
        <f>15.6498 * CHOOSE(CONTROL!$C$22, $C$13, 100%, $E$13)</f>
        <v>15.649800000000001</v>
      </c>
      <c r="K779" s="64">
        <f>15.65 * CHOOSE(CONTROL!$C$22, $C$13, 100%, $E$13)</f>
        <v>15.65</v>
      </c>
    </row>
    <row r="780" spans="1:11" ht="15">
      <c r="A780" s="13">
        <v>65381</v>
      </c>
      <c r="B780" s="63">
        <f>13.3809 * CHOOSE(CONTROL!$C$22, $C$13, 100%, $E$13)</f>
        <v>13.3809</v>
      </c>
      <c r="C780" s="63">
        <f>13.3809 * CHOOSE(CONTROL!$C$22, $C$13, 100%, $E$13)</f>
        <v>13.3809</v>
      </c>
      <c r="D780" s="63">
        <f>13.3985 * CHOOSE(CONTROL!$C$22, $C$13, 100%, $E$13)</f>
        <v>13.3985</v>
      </c>
      <c r="E780" s="64">
        <f>15.7124 * CHOOSE(CONTROL!$C$22, $C$13, 100%, $E$13)</f>
        <v>15.712400000000001</v>
      </c>
      <c r="F780" s="64">
        <f>15.7124 * CHOOSE(CONTROL!$C$22, $C$13, 100%, $E$13)</f>
        <v>15.712400000000001</v>
      </c>
      <c r="G780" s="64">
        <f>15.7126 * CHOOSE(CONTROL!$C$22, $C$13, 100%, $E$13)</f>
        <v>15.7126</v>
      </c>
      <c r="H780" s="64">
        <f>25.6582* CHOOSE(CONTROL!$C$22, $C$13, 100%, $E$13)</f>
        <v>25.658200000000001</v>
      </c>
      <c r="I780" s="64">
        <f>25.6584 * CHOOSE(CONTROL!$C$22, $C$13, 100%, $E$13)</f>
        <v>25.6584</v>
      </c>
      <c r="J780" s="64">
        <f>15.7124 * CHOOSE(CONTROL!$C$22, $C$13, 100%, $E$13)</f>
        <v>15.712400000000001</v>
      </c>
      <c r="K780" s="64">
        <f>15.7126 * CHOOSE(CONTROL!$C$22, $C$13, 100%, $E$13)</f>
        <v>15.7126</v>
      </c>
    </row>
    <row r="781" spans="1:11" ht="15">
      <c r="A781" s="13">
        <v>65412</v>
      </c>
      <c r="B781" s="63">
        <f>13.3778 * CHOOSE(CONTROL!$C$22, $C$13, 100%, $E$13)</f>
        <v>13.377800000000001</v>
      </c>
      <c r="C781" s="63">
        <f>13.3778 * CHOOSE(CONTROL!$C$22, $C$13, 100%, $E$13)</f>
        <v>13.377800000000001</v>
      </c>
      <c r="D781" s="63">
        <f>13.3955 * CHOOSE(CONTROL!$C$22, $C$13, 100%, $E$13)</f>
        <v>13.3955</v>
      </c>
      <c r="E781" s="64">
        <f>15.5384 * CHOOSE(CONTROL!$C$22, $C$13, 100%, $E$13)</f>
        <v>15.538399999999999</v>
      </c>
      <c r="F781" s="64">
        <f>15.5384 * CHOOSE(CONTROL!$C$22, $C$13, 100%, $E$13)</f>
        <v>15.538399999999999</v>
      </c>
      <c r="G781" s="64">
        <f>15.5385 * CHOOSE(CONTROL!$C$22, $C$13, 100%, $E$13)</f>
        <v>15.538500000000001</v>
      </c>
      <c r="H781" s="64">
        <f>25.7117* CHOOSE(CONTROL!$C$22, $C$13, 100%, $E$13)</f>
        <v>25.7117</v>
      </c>
      <c r="I781" s="64">
        <f>25.7119 * CHOOSE(CONTROL!$C$22, $C$13, 100%, $E$13)</f>
        <v>25.7119</v>
      </c>
      <c r="J781" s="64">
        <f>15.5384 * CHOOSE(CONTROL!$C$22, $C$13, 100%, $E$13)</f>
        <v>15.538399999999999</v>
      </c>
      <c r="K781" s="64">
        <f>15.5385 * CHOOSE(CONTROL!$C$22, $C$13, 100%, $E$13)</f>
        <v>15.538500000000001</v>
      </c>
    </row>
    <row r="782" spans="1:11" ht="15">
      <c r="A782" s="13">
        <v>65440</v>
      </c>
      <c r="B782" s="63">
        <f>13.3748 * CHOOSE(CONTROL!$C$22, $C$13, 100%, $E$13)</f>
        <v>13.3748</v>
      </c>
      <c r="C782" s="63">
        <f>13.3748 * CHOOSE(CONTROL!$C$22, $C$13, 100%, $E$13)</f>
        <v>13.3748</v>
      </c>
      <c r="D782" s="63">
        <f>13.3924 * CHOOSE(CONTROL!$C$22, $C$13, 100%, $E$13)</f>
        <v>13.3924</v>
      </c>
      <c r="E782" s="64">
        <f>15.6718 * CHOOSE(CONTROL!$C$22, $C$13, 100%, $E$13)</f>
        <v>15.671799999999999</v>
      </c>
      <c r="F782" s="64">
        <f>15.6718 * CHOOSE(CONTROL!$C$22, $C$13, 100%, $E$13)</f>
        <v>15.671799999999999</v>
      </c>
      <c r="G782" s="64">
        <f>15.672 * CHOOSE(CONTROL!$C$22, $C$13, 100%, $E$13)</f>
        <v>15.672000000000001</v>
      </c>
      <c r="H782" s="64">
        <f>25.7653* CHOOSE(CONTROL!$C$22, $C$13, 100%, $E$13)</f>
        <v>25.7653</v>
      </c>
      <c r="I782" s="64">
        <f>25.7654 * CHOOSE(CONTROL!$C$22, $C$13, 100%, $E$13)</f>
        <v>25.7654</v>
      </c>
      <c r="J782" s="64">
        <f>15.6718 * CHOOSE(CONTROL!$C$22, $C$13, 100%, $E$13)</f>
        <v>15.671799999999999</v>
      </c>
      <c r="K782" s="64">
        <f>15.672 * CHOOSE(CONTROL!$C$22, $C$13, 100%, $E$13)</f>
        <v>15.672000000000001</v>
      </c>
    </row>
    <row r="783" spans="1:11" ht="15">
      <c r="A783" s="13">
        <v>65471</v>
      </c>
      <c r="B783" s="63">
        <f>13.3804 * CHOOSE(CONTROL!$C$22, $C$13, 100%, $E$13)</f>
        <v>13.3804</v>
      </c>
      <c r="C783" s="63">
        <f>13.3804 * CHOOSE(CONTROL!$C$22, $C$13, 100%, $E$13)</f>
        <v>13.3804</v>
      </c>
      <c r="D783" s="63">
        <f>13.3981 * CHOOSE(CONTROL!$C$22, $C$13, 100%, $E$13)</f>
        <v>13.398099999999999</v>
      </c>
      <c r="E783" s="64">
        <f>15.8131 * CHOOSE(CONTROL!$C$22, $C$13, 100%, $E$13)</f>
        <v>15.8131</v>
      </c>
      <c r="F783" s="64">
        <f>15.8131 * CHOOSE(CONTROL!$C$22, $C$13, 100%, $E$13)</f>
        <v>15.8131</v>
      </c>
      <c r="G783" s="64">
        <f>15.8133 * CHOOSE(CONTROL!$C$22, $C$13, 100%, $E$13)</f>
        <v>15.8133</v>
      </c>
      <c r="H783" s="64">
        <f>25.8189* CHOOSE(CONTROL!$C$22, $C$13, 100%, $E$13)</f>
        <v>25.818899999999999</v>
      </c>
      <c r="I783" s="64">
        <f>25.8191 * CHOOSE(CONTROL!$C$22, $C$13, 100%, $E$13)</f>
        <v>25.819099999999999</v>
      </c>
      <c r="J783" s="64">
        <f>15.8131 * CHOOSE(CONTROL!$C$22, $C$13, 100%, $E$13)</f>
        <v>15.8131</v>
      </c>
      <c r="K783" s="64">
        <f>15.8133 * CHOOSE(CONTROL!$C$22, $C$13, 100%, $E$13)</f>
        <v>15.8133</v>
      </c>
    </row>
    <row r="784" spans="1:11" ht="15">
      <c r="A784" s="13">
        <v>65501</v>
      </c>
      <c r="B784" s="63">
        <f>13.3804 * CHOOSE(CONTROL!$C$22, $C$13, 100%, $E$13)</f>
        <v>13.3804</v>
      </c>
      <c r="C784" s="63">
        <f>13.3804 * CHOOSE(CONTROL!$C$22, $C$13, 100%, $E$13)</f>
        <v>13.3804</v>
      </c>
      <c r="D784" s="63">
        <f>13.4158 * CHOOSE(CONTROL!$C$22, $C$13, 100%, $E$13)</f>
        <v>13.415800000000001</v>
      </c>
      <c r="E784" s="64">
        <f>15.8677 * CHOOSE(CONTROL!$C$22, $C$13, 100%, $E$13)</f>
        <v>15.867699999999999</v>
      </c>
      <c r="F784" s="64">
        <f>15.8677 * CHOOSE(CONTROL!$C$22, $C$13, 100%, $E$13)</f>
        <v>15.867699999999999</v>
      </c>
      <c r="G784" s="64">
        <f>15.8699 * CHOOSE(CONTROL!$C$22, $C$13, 100%, $E$13)</f>
        <v>15.869899999999999</v>
      </c>
      <c r="H784" s="64">
        <f>25.8727* CHOOSE(CONTROL!$C$22, $C$13, 100%, $E$13)</f>
        <v>25.872699999999998</v>
      </c>
      <c r="I784" s="64">
        <f>25.8749 * CHOOSE(CONTROL!$C$22, $C$13, 100%, $E$13)</f>
        <v>25.8749</v>
      </c>
      <c r="J784" s="64">
        <f>15.8677 * CHOOSE(CONTROL!$C$22, $C$13, 100%, $E$13)</f>
        <v>15.867699999999999</v>
      </c>
      <c r="K784" s="64">
        <f>15.8699 * CHOOSE(CONTROL!$C$22, $C$13, 100%, $E$13)</f>
        <v>15.869899999999999</v>
      </c>
    </row>
    <row r="785" spans="1:11" ht="15">
      <c r="A785" s="13">
        <v>65532</v>
      </c>
      <c r="B785" s="63">
        <f>13.3865 * CHOOSE(CONTROL!$C$22, $C$13, 100%, $E$13)</f>
        <v>13.3865</v>
      </c>
      <c r="C785" s="63">
        <f>13.3865 * CHOOSE(CONTROL!$C$22, $C$13, 100%, $E$13)</f>
        <v>13.3865</v>
      </c>
      <c r="D785" s="63">
        <f>13.4218 * CHOOSE(CONTROL!$C$22, $C$13, 100%, $E$13)</f>
        <v>13.421799999999999</v>
      </c>
      <c r="E785" s="64">
        <f>15.8174 * CHOOSE(CONTROL!$C$22, $C$13, 100%, $E$13)</f>
        <v>15.817399999999999</v>
      </c>
      <c r="F785" s="64">
        <f>15.8174 * CHOOSE(CONTROL!$C$22, $C$13, 100%, $E$13)</f>
        <v>15.817399999999999</v>
      </c>
      <c r="G785" s="64">
        <f>15.8195 * CHOOSE(CONTROL!$C$22, $C$13, 100%, $E$13)</f>
        <v>15.8195</v>
      </c>
      <c r="H785" s="64">
        <f>25.9266* CHOOSE(CONTROL!$C$22, $C$13, 100%, $E$13)</f>
        <v>25.926600000000001</v>
      </c>
      <c r="I785" s="64">
        <f>25.9288 * CHOOSE(CONTROL!$C$22, $C$13, 100%, $E$13)</f>
        <v>25.928799999999999</v>
      </c>
      <c r="J785" s="64">
        <f>15.8174 * CHOOSE(CONTROL!$C$22, $C$13, 100%, $E$13)</f>
        <v>15.817399999999999</v>
      </c>
      <c r="K785" s="64">
        <f>15.8195 * CHOOSE(CONTROL!$C$22, $C$13, 100%, $E$13)</f>
        <v>15.8195</v>
      </c>
    </row>
    <row r="786" spans="1:11" ht="15">
      <c r="A786" s="13">
        <v>65562</v>
      </c>
      <c r="B786" s="63">
        <f>13.5972 * CHOOSE(CONTROL!$C$22, $C$13, 100%, $E$13)</f>
        <v>13.597200000000001</v>
      </c>
      <c r="C786" s="63">
        <f>13.5972 * CHOOSE(CONTROL!$C$22, $C$13, 100%, $E$13)</f>
        <v>13.597200000000001</v>
      </c>
      <c r="D786" s="63">
        <f>13.6325 * CHOOSE(CONTROL!$C$22, $C$13, 100%, $E$13)</f>
        <v>13.6325</v>
      </c>
      <c r="E786" s="64">
        <f>16.1192 * CHOOSE(CONTROL!$C$22, $C$13, 100%, $E$13)</f>
        <v>16.119199999999999</v>
      </c>
      <c r="F786" s="64">
        <f>16.1192 * CHOOSE(CONTROL!$C$22, $C$13, 100%, $E$13)</f>
        <v>16.119199999999999</v>
      </c>
      <c r="G786" s="64">
        <f>16.1214 * CHOOSE(CONTROL!$C$22, $C$13, 100%, $E$13)</f>
        <v>16.121400000000001</v>
      </c>
      <c r="H786" s="64">
        <f>25.9806* CHOOSE(CONTROL!$C$22, $C$13, 100%, $E$13)</f>
        <v>25.980599999999999</v>
      </c>
      <c r="I786" s="64">
        <f>25.9828 * CHOOSE(CONTROL!$C$22, $C$13, 100%, $E$13)</f>
        <v>25.982800000000001</v>
      </c>
      <c r="J786" s="64">
        <f>16.1192 * CHOOSE(CONTROL!$C$22, $C$13, 100%, $E$13)</f>
        <v>16.119199999999999</v>
      </c>
      <c r="K786" s="64">
        <f>16.1214 * CHOOSE(CONTROL!$C$22, $C$13, 100%, $E$13)</f>
        <v>16.121400000000001</v>
      </c>
    </row>
    <row r="787" spans="1:11" ht="15">
      <c r="A787" s="13">
        <v>65593</v>
      </c>
      <c r="B787" s="63">
        <f>13.6038 * CHOOSE(CONTROL!$C$22, $C$13, 100%, $E$13)</f>
        <v>13.6038</v>
      </c>
      <c r="C787" s="63">
        <f>13.6038 * CHOOSE(CONTROL!$C$22, $C$13, 100%, $E$13)</f>
        <v>13.6038</v>
      </c>
      <c r="D787" s="63">
        <f>13.6392 * CHOOSE(CONTROL!$C$22, $C$13, 100%, $E$13)</f>
        <v>13.639200000000001</v>
      </c>
      <c r="E787" s="64">
        <f>15.9601 * CHOOSE(CONTROL!$C$22, $C$13, 100%, $E$13)</f>
        <v>15.960100000000001</v>
      </c>
      <c r="F787" s="64">
        <f>15.9601 * CHOOSE(CONTROL!$C$22, $C$13, 100%, $E$13)</f>
        <v>15.960100000000001</v>
      </c>
      <c r="G787" s="64">
        <f>15.9623 * CHOOSE(CONTROL!$C$22, $C$13, 100%, $E$13)</f>
        <v>15.962300000000001</v>
      </c>
      <c r="H787" s="64">
        <f>26.0348* CHOOSE(CONTROL!$C$22, $C$13, 100%, $E$13)</f>
        <v>26.034800000000001</v>
      </c>
      <c r="I787" s="64">
        <f>26.037 * CHOOSE(CONTROL!$C$22, $C$13, 100%, $E$13)</f>
        <v>26.036999999999999</v>
      </c>
      <c r="J787" s="64">
        <f>15.9601 * CHOOSE(CONTROL!$C$22, $C$13, 100%, $E$13)</f>
        <v>15.960100000000001</v>
      </c>
      <c r="K787" s="64">
        <f>15.9623 * CHOOSE(CONTROL!$C$22, $C$13, 100%, $E$13)</f>
        <v>15.962300000000001</v>
      </c>
    </row>
    <row r="788" spans="1:11" ht="15">
      <c r="A788" s="13">
        <v>65624</v>
      </c>
      <c r="B788" s="63">
        <f>13.6008 * CHOOSE(CONTROL!$C$22, $C$13, 100%, $E$13)</f>
        <v>13.6008</v>
      </c>
      <c r="C788" s="63">
        <f>13.6008 * CHOOSE(CONTROL!$C$22, $C$13, 100%, $E$13)</f>
        <v>13.6008</v>
      </c>
      <c r="D788" s="63">
        <f>13.6361 * CHOOSE(CONTROL!$C$22, $C$13, 100%, $E$13)</f>
        <v>13.636100000000001</v>
      </c>
      <c r="E788" s="64">
        <f>15.9398 * CHOOSE(CONTROL!$C$22, $C$13, 100%, $E$13)</f>
        <v>15.9398</v>
      </c>
      <c r="F788" s="64">
        <f>15.9398 * CHOOSE(CONTROL!$C$22, $C$13, 100%, $E$13)</f>
        <v>15.9398</v>
      </c>
      <c r="G788" s="64">
        <f>15.9419 * CHOOSE(CONTROL!$C$22, $C$13, 100%, $E$13)</f>
        <v>15.9419</v>
      </c>
      <c r="H788" s="64">
        <f>26.089* CHOOSE(CONTROL!$C$22, $C$13, 100%, $E$13)</f>
        <v>26.088999999999999</v>
      </c>
      <c r="I788" s="64">
        <f>26.0912 * CHOOSE(CONTROL!$C$22, $C$13, 100%, $E$13)</f>
        <v>26.091200000000001</v>
      </c>
      <c r="J788" s="64">
        <f>15.9398 * CHOOSE(CONTROL!$C$22, $C$13, 100%, $E$13)</f>
        <v>15.9398</v>
      </c>
      <c r="K788" s="64">
        <f>15.9419 * CHOOSE(CONTROL!$C$22, $C$13, 100%, $E$13)</f>
        <v>15.9419</v>
      </c>
    </row>
    <row r="789" spans="1:11" ht="15">
      <c r="A789" s="13">
        <v>65654</v>
      </c>
      <c r="B789" s="63">
        <f>13.6274 * CHOOSE(CONTROL!$C$22, $C$13, 100%, $E$13)</f>
        <v>13.6274</v>
      </c>
      <c r="C789" s="63">
        <f>13.6274 * CHOOSE(CONTROL!$C$22, $C$13, 100%, $E$13)</f>
        <v>13.6274</v>
      </c>
      <c r="D789" s="63">
        <f>13.6451 * CHOOSE(CONTROL!$C$22, $C$13, 100%, $E$13)</f>
        <v>13.645099999999999</v>
      </c>
      <c r="E789" s="64">
        <f>15.9991 * CHOOSE(CONTROL!$C$22, $C$13, 100%, $E$13)</f>
        <v>15.9991</v>
      </c>
      <c r="F789" s="64">
        <f>15.9991 * CHOOSE(CONTROL!$C$22, $C$13, 100%, $E$13)</f>
        <v>15.9991</v>
      </c>
      <c r="G789" s="64">
        <f>15.9993 * CHOOSE(CONTROL!$C$22, $C$13, 100%, $E$13)</f>
        <v>15.9993</v>
      </c>
      <c r="H789" s="64">
        <f>26.1434* CHOOSE(CONTROL!$C$22, $C$13, 100%, $E$13)</f>
        <v>26.1434</v>
      </c>
      <c r="I789" s="64">
        <f>26.1435 * CHOOSE(CONTROL!$C$22, $C$13, 100%, $E$13)</f>
        <v>26.1435</v>
      </c>
      <c r="J789" s="64">
        <f>15.9991 * CHOOSE(CONTROL!$C$22, $C$13, 100%, $E$13)</f>
        <v>15.9991</v>
      </c>
      <c r="K789" s="64">
        <f>15.9993 * CHOOSE(CONTROL!$C$22, $C$13, 100%, $E$13)</f>
        <v>15.9993</v>
      </c>
    </row>
    <row r="790" spans="1:11" ht="15">
      <c r="A790" s="13">
        <v>65685</v>
      </c>
      <c r="B790" s="63">
        <f>13.6305 * CHOOSE(CONTROL!$C$22, $C$13, 100%, $E$13)</f>
        <v>13.6305</v>
      </c>
      <c r="C790" s="63">
        <f>13.6305 * CHOOSE(CONTROL!$C$22, $C$13, 100%, $E$13)</f>
        <v>13.6305</v>
      </c>
      <c r="D790" s="63">
        <f>13.6481 * CHOOSE(CONTROL!$C$22, $C$13, 100%, $E$13)</f>
        <v>13.648099999999999</v>
      </c>
      <c r="E790" s="64">
        <f>16.0376 * CHOOSE(CONTROL!$C$22, $C$13, 100%, $E$13)</f>
        <v>16.037600000000001</v>
      </c>
      <c r="F790" s="64">
        <f>16.0376 * CHOOSE(CONTROL!$C$22, $C$13, 100%, $E$13)</f>
        <v>16.037600000000001</v>
      </c>
      <c r="G790" s="64">
        <f>16.0378 * CHOOSE(CONTROL!$C$22, $C$13, 100%, $E$13)</f>
        <v>16.037800000000001</v>
      </c>
      <c r="H790" s="64">
        <f>26.1978* CHOOSE(CONTROL!$C$22, $C$13, 100%, $E$13)</f>
        <v>26.197800000000001</v>
      </c>
      <c r="I790" s="64">
        <f>26.198 * CHOOSE(CONTROL!$C$22, $C$13, 100%, $E$13)</f>
        <v>26.198</v>
      </c>
      <c r="J790" s="64">
        <f>16.0376 * CHOOSE(CONTROL!$C$22, $C$13, 100%, $E$13)</f>
        <v>16.037600000000001</v>
      </c>
      <c r="K790" s="64">
        <f>16.0378 * CHOOSE(CONTROL!$C$22, $C$13, 100%, $E$13)</f>
        <v>16.037800000000001</v>
      </c>
    </row>
    <row r="791" spans="1:11" ht="15">
      <c r="A791" s="13">
        <v>65715</v>
      </c>
      <c r="B791" s="63">
        <f>13.6305 * CHOOSE(CONTROL!$C$22, $C$13, 100%, $E$13)</f>
        <v>13.6305</v>
      </c>
      <c r="C791" s="63">
        <f>13.6305 * CHOOSE(CONTROL!$C$22, $C$13, 100%, $E$13)</f>
        <v>13.6305</v>
      </c>
      <c r="D791" s="63">
        <f>13.6481 * CHOOSE(CONTROL!$C$22, $C$13, 100%, $E$13)</f>
        <v>13.648099999999999</v>
      </c>
      <c r="E791" s="64">
        <f>15.9467 * CHOOSE(CONTROL!$C$22, $C$13, 100%, $E$13)</f>
        <v>15.9467</v>
      </c>
      <c r="F791" s="64">
        <f>15.9467 * CHOOSE(CONTROL!$C$22, $C$13, 100%, $E$13)</f>
        <v>15.9467</v>
      </c>
      <c r="G791" s="64">
        <f>15.9468 * CHOOSE(CONTROL!$C$22, $C$13, 100%, $E$13)</f>
        <v>15.9468</v>
      </c>
      <c r="H791" s="64">
        <f>26.2524* CHOOSE(CONTROL!$C$22, $C$13, 100%, $E$13)</f>
        <v>26.252400000000002</v>
      </c>
      <c r="I791" s="64">
        <f>26.2526 * CHOOSE(CONTROL!$C$22, $C$13, 100%, $E$13)</f>
        <v>26.252600000000001</v>
      </c>
      <c r="J791" s="64">
        <f>15.9467 * CHOOSE(CONTROL!$C$22, $C$13, 100%, $E$13)</f>
        <v>15.9467</v>
      </c>
      <c r="K791" s="64">
        <f>15.9468 * CHOOSE(CONTROL!$C$22, $C$13, 100%, $E$13)</f>
        <v>15.9468</v>
      </c>
    </row>
    <row r="792" spans="1:11" ht="15">
      <c r="A792" s="13">
        <v>65746</v>
      </c>
      <c r="B792" s="63">
        <f>13.6262 * CHOOSE(CONTROL!$C$22, $C$13, 100%, $E$13)</f>
        <v>13.626200000000001</v>
      </c>
      <c r="C792" s="63">
        <f>13.6262 * CHOOSE(CONTROL!$C$22, $C$13, 100%, $E$13)</f>
        <v>13.626200000000001</v>
      </c>
      <c r="D792" s="63">
        <f>13.6438 * CHOOSE(CONTROL!$C$22, $C$13, 100%, $E$13)</f>
        <v>13.643800000000001</v>
      </c>
      <c r="E792" s="64">
        <f>16.0048 * CHOOSE(CONTROL!$C$22, $C$13, 100%, $E$13)</f>
        <v>16.004799999999999</v>
      </c>
      <c r="F792" s="64">
        <f>16.0048 * CHOOSE(CONTROL!$C$22, $C$13, 100%, $E$13)</f>
        <v>16.004799999999999</v>
      </c>
      <c r="G792" s="64">
        <f>16.005 * CHOOSE(CONTROL!$C$22, $C$13, 100%, $E$13)</f>
        <v>16.004999999999999</v>
      </c>
      <c r="H792" s="64">
        <f>26.1041* CHOOSE(CONTROL!$C$22, $C$13, 100%, $E$13)</f>
        <v>26.104099999999999</v>
      </c>
      <c r="I792" s="64">
        <f>26.1043 * CHOOSE(CONTROL!$C$22, $C$13, 100%, $E$13)</f>
        <v>26.104299999999999</v>
      </c>
      <c r="J792" s="64">
        <f>16.0048 * CHOOSE(CONTROL!$C$22, $C$13, 100%, $E$13)</f>
        <v>16.004799999999999</v>
      </c>
      <c r="K792" s="64">
        <f>16.005 * CHOOSE(CONTROL!$C$22, $C$13, 100%, $E$13)</f>
        <v>16.004999999999999</v>
      </c>
    </row>
    <row r="793" spans="1:11" ht="15">
      <c r="A793" s="13">
        <v>65777</v>
      </c>
      <c r="B793" s="63">
        <f>13.6231 * CHOOSE(CONTROL!$C$22, $C$13, 100%, $E$13)</f>
        <v>13.623100000000001</v>
      </c>
      <c r="C793" s="63">
        <f>13.6231 * CHOOSE(CONTROL!$C$22, $C$13, 100%, $E$13)</f>
        <v>13.623100000000001</v>
      </c>
      <c r="D793" s="63">
        <f>13.6408 * CHOOSE(CONTROL!$C$22, $C$13, 100%, $E$13)</f>
        <v>13.6408</v>
      </c>
      <c r="E793" s="64">
        <f>15.8276 * CHOOSE(CONTROL!$C$22, $C$13, 100%, $E$13)</f>
        <v>15.8276</v>
      </c>
      <c r="F793" s="64">
        <f>15.8276 * CHOOSE(CONTROL!$C$22, $C$13, 100%, $E$13)</f>
        <v>15.8276</v>
      </c>
      <c r="G793" s="64">
        <f>15.8278 * CHOOSE(CONTROL!$C$22, $C$13, 100%, $E$13)</f>
        <v>15.8278</v>
      </c>
      <c r="H793" s="64">
        <f>26.1585* CHOOSE(CONTROL!$C$22, $C$13, 100%, $E$13)</f>
        <v>26.1585</v>
      </c>
      <c r="I793" s="64">
        <f>26.1587 * CHOOSE(CONTROL!$C$22, $C$13, 100%, $E$13)</f>
        <v>26.1587</v>
      </c>
      <c r="J793" s="64">
        <f>15.8276 * CHOOSE(CONTROL!$C$22, $C$13, 100%, $E$13)</f>
        <v>15.8276</v>
      </c>
      <c r="K793" s="64">
        <f>15.8278 * CHOOSE(CONTROL!$C$22, $C$13, 100%, $E$13)</f>
        <v>15.8278</v>
      </c>
    </row>
    <row r="794" spans="1:11" ht="15">
      <c r="A794" s="13">
        <v>65806</v>
      </c>
      <c r="B794" s="63">
        <f>13.6201 * CHOOSE(CONTROL!$C$22, $C$13, 100%, $E$13)</f>
        <v>13.620100000000001</v>
      </c>
      <c r="C794" s="63">
        <f>13.6201 * CHOOSE(CONTROL!$C$22, $C$13, 100%, $E$13)</f>
        <v>13.620100000000001</v>
      </c>
      <c r="D794" s="63">
        <f>13.6378 * CHOOSE(CONTROL!$C$22, $C$13, 100%, $E$13)</f>
        <v>13.6378</v>
      </c>
      <c r="E794" s="64">
        <f>15.9635 * CHOOSE(CONTROL!$C$22, $C$13, 100%, $E$13)</f>
        <v>15.9635</v>
      </c>
      <c r="F794" s="64">
        <f>15.9635 * CHOOSE(CONTROL!$C$22, $C$13, 100%, $E$13)</f>
        <v>15.9635</v>
      </c>
      <c r="G794" s="64">
        <f>15.9637 * CHOOSE(CONTROL!$C$22, $C$13, 100%, $E$13)</f>
        <v>15.963699999999999</v>
      </c>
      <c r="H794" s="64">
        <f>26.213* CHOOSE(CONTROL!$C$22, $C$13, 100%, $E$13)</f>
        <v>26.213000000000001</v>
      </c>
      <c r="I794" s="64">
        <f>26.2132 * CHOOSE(CONTROL!$C$22, $C$13, 100%, $E$13)</f>
        <v>26.213200000000001</v>
      </c>
      <c r="J794" s="64">
        <f>15.9635 * CHOOSE(CONTROL!$C$22, $C$13, 100%, $E$13)</f>
        <v>15.9635</v>
      </c>
      <c r="K794" s="64">
        <f>15.9637 * CHOOSE(CONTROL!$C$22, $C$13, 100%, $E$13)</f>
        <v>15.963699999999999</v>
      </c>
    </row>
    <row r="795" spans="1:11" ht="15">
      <c r="A795" s="13">
        <v>65837</v>
      </c>
      <c r="B795" s="63">
        <f>13.626 * CHOOSE(CONTROL!$C$22, $C$13, 100%, $E$13)</f>
        <v>13.625999999999999</v>
      </c>
      <c r="C795" s="63">
        <f>13.626 * CHOOSE(CONTROL!$C$22, $C$13, 100%, $E$13)</f>
        <v>13.625999999999999</v>
      </c>
      <c r="D795" s="63">
        <f>13.6436 * CHOOSE(CONTROL!$C$22, $C$13, 100%, $E$13)</f>
        <v>13.643599999999999</v>
      </c>
      <c r="E795" s="64">
        <f>16.1076 * CHOOSE(CONTROL!$C$22, $C$13, 100%, $E$13)</f>
        <v>16.107600000000001</v>
      </c>
      <c r="F795" s="64">
        <f>16.1076 * CHOOSE(CONTROL!$C$22, $C$13, 100%, $E$13)</f>
        <v>16.107600000000001</v>
      </c>
      <c r="G795" s="64">
        <f>16.1077 * CHOOSE(CONTROL!$C$22, $C$13, 100%, $E$13)</f>
        <v>16.107700000000001</v>
      </c>
      <c r="H795" s="64">
        <f>26.2676* CHOOSE(CONTROL!$C$22, $C$13, 100%, $E$13)</f>
        <v>26.267600000000002</v>
      </c>
      <c r="I795" s="64">
        <f>26.2678 * CHOOSE(CONTROL!$C$22, $C$13, 100%, $E$13)</f>
        <v>26.267800000000001</v>
      </c>
      <c r="J795" s="64">
        <f>16.1076 * CHOOSE(CONTROL!$C$22, $C$13, 100%, $E$13)</f>
        <v>16.107600000000001</v>
      </c>
      <c r="K795" s="64">
        <f>16.1077 * CHOOSE(CONTROL!$C$22, $C$13, 100%, $E$13)</f>
        <v>16.107700000000001</v>
      </c>
    </row>
    <row r="796" spans="1:11" ht="15">
      <c r="A796" s="13">
        <v>65867</v>
      </c>
      <c r="B796" s="63">
        <f>13.626 * CHOOSE(CONTROL!$C$22, $C$13, 100%, $E$13)</f>
        <v>13.625999999999999</v>
      </c>
      <c r="C796" s="63">
        <f>13.626 * CHOOSE(CONTROL!$C$22, $C$13, 100%, $E$13)</f>
        <v>13.625999999999999</v>
      </c>
      <c r="D796" s="63">
        <f>13.6613 * CHOOSE(CONTROL!$C$22, $C$13, 100%, $E$13)</f>
        <v>13.661300000000001</v>
      </c>
      <c r="E796" s="64">
        <f>16.1632 * CHOOSE(CONTROL!$C$22, $C$13, 100%, $E$13)</f>
        <v>16.1632</v>
      </c>
      <c r="F796" s="64">
        <f>16.1632 * CHOOSE(CONTROL!$C$22, $C$13, 100%, $E$13)</f>
        <v>16.1632</v>
      </c>
      <c r="G796" s="64">
        <f>16.1654 * CHOOSE(CONTROL!$C$22, $C$13, 100%, $E$13)</f>
        <v>16.165400000000002</v>
      </c>
      <c r="H796" s="64">
        <f>26.3223* CHOOSE(CONTROL!$C$22, $C$13, 100%, $E$13)</f>
        <v>26.322299999999998</v>
      </c>
      <c r="I796" s="64">
        <f>26.3245 * CHOOSE(CONTROL!$C$22, $C$13, 100%, $E$13)</f>
        <v>26.3245</v>
      </c>
      <c r="J796" s="64">
        <f>16.1632 * CHOOSE(CONTROL!$C$22, $C$13, 100%, $E$13)</f>
        <v>16.1632</v>
      </c>
      <c r="K796" s="64">
        <f>16.1654 * CHOOSE(CONTROL!$C$22, $C$13, 100%, $E$13)</f>
        <v>16.165400000000002</v>
      </c>
    </row>
    <row r="797" spans="1:11" ht="15">
      <c r="A797" s="13">
        <v>65898</v>
      </c>
      <c r="B797" s="63">
        <f>13.6321 * CHOOSE(CONTROL!$C$22, $C$13, 100%, $E$13)</f>
        <v>13.632099999999999</v>
      </c>
      <c r="C797" s="63">
        <f>13.6321 * CHOOSE(CONTROL!$C$22, $C$13, 100%, $E$13)</f>
        <v>13.632099999999999</v>
      </c>
      <c r="D797" s="63">
        <f>13.6674 * CHOOSE(CONTROL!$C$22, $C$13, 100%, $E$13)</f>
        <v>13.667400000000001</v>
      </c>
      <c r="E797" s="64">
        <f>16.1118 * CHOOSE(CONTROL!$C$22, $C$13, 100%, $E$13)</f>
        <v>16.111799999999999</v>
      </c>
      <c r="F797" s="64">
        <f>16.1118 * CHOOSE(CONTROL!$C$22, $C$13, 100%, $E$13)</f>
        <v>16.111799999999999</v>
      </c>
      <c r="G797" s="64">
        <f>16.114 * CHOOSE(CONTROL!$C$22, $C$13, 100%, $E$13)</f>
        <v>16.114000000000001</v>
      </c>
      <c r="H797" s="64">
        <f>26.3772* CHOOSE(CONTROL!$C$22, $C$13, 100%, $E$13)</f>
        <v>26.377199999999998</v>
      </c>
      <c r="I797" s="64">
        <f>26.3794 * CHOOSE(CONTROL!$C$22, $C$13, 100%, $E$13)</f>
        <v>26.3794</v>
      </c>
      <c r="J797" s="64">
        <f>16.1118 * CHOOSE(CONTROL!$C$22, $C$13, 100%, $E$13)</f>
        <v>16.111799999999999</v>
      </c>
      <c r="K797" s="64">
        <f>16.114 * CHOOSE(CONTROL!$C$22, $C$13, 100%, $E$13)</f>
        <v>16.114000000000001</v>
      </c>
    </row>
    <row r="798" spans="1:11" ht="15">
      <c r="A798" s="13">
        <v>65928</v>
      </c>
      <c r="B798" s="63">
        <f>13.8464 * CHOOSE(CONTROL!$C$22, $C$13, 100%, $E$13)</f>
        <v>13.846399999999999</v>
      </c>
      <c r="C798" s="63">
        <f>13.8464 * CHOOSE(CONTROL!$C$22, $C$13, 100%, $E$13)</f>
        <v>13.846399999999999</v>
      </c>
      <c r="D798" s="63">
        <f>13.8817 * CHOOSE(CONTROL!$C$22, $C$13, 100%, $E$13)</f>
        <v>13.8817</v>
      </c>
      <c r="E798" s="64">
        <f>16.4191 * CHOOSE(CONTROL!$C$22, $C$13, 100%, $E$13)</f>
        <v>16.4191</v>
      </c>
      <c r="F798" s="64">
        <f>16.4191 * CHOOSE(CONTROL!$C$22, $C$13, 100%, $E$13)</f>
        <v>16.4191</v>
      </c>
      <c r="G798" s="64">
        <f>16.4212 * CHOOSE(CONTROL!$C$22, $C$13, 100%, $E$13)</f>
        <v>16.421199999999999</v>
      </c>
      <c r="H798" s="64">
        <f>26.4321* CHOOSE(CONTROL!$C$22, $C$13, 100%, $E$13)</f>
        <v>26.432099999999998</v>
      </c>
      <c r="I798" s="64">
        <f>26.4343 * CHOOSE(CONTROL!$C$22, $C$13, 100%, $E$13)</f>
        <v>26.4343</v>
      </c>
      <c r="J798" s="64">
        <f>16.4191 * CHOOSE(CONTROL!$C$22, $C$13, 100%, $E$13)</f>
        <v>16.4191</v>
      </c>
      <c r="K798" s="64">
        <f>16.4212 * CHOOSE(CONTROL!$C$22, $C$13, 100%, $E$13)</f>
        <v>16.421199999999999</v>
      </c>
    </row>
    <row r="799" spans="1:11" ht="15">
      <c r="A799" s="13">
        <v>65959</v>
      </c>
      <c r="B799" s="63">
        <f>13.8531 * CHOOSE(CONTROL!$C$22, $C$13, 100%, $E$13)</f>
        <v>13.8531</v>
      </c>
      <c r="C799" s="63">
        <f>13.8531 * CHOOSE(CONTROL!$C$22, $C$13, 100%, $E$13)</f>
        <v>13.8531</v>
      </c>
      <c r="D799" s="63">
        <f>13.8884 * CHOOSE(CONTROL!$C$22, $C$13, 100%, $E$13)</f>
        <v>13.888400000000001</v>
      </c>
      <c r="E799" s="64">
        <f>16.2569 * CHOOSE(CONTROL!$C$22, $C$13, 100%, $E$13)</f>
        <v>16.256900000000002</v>
      </c>
      <c r="F799" s="64">
        <f>16.2569 * CHOOSE(CONTROL!$C$22, $C$13, 100%, $E$13)</f>
        <v>16.256900000000002</v>
      </c>
      <c r="G799" s="64">
        <f>16.2591 * CHOOSE(CONTROL!$C$22, $C$13, 100%, $E$13)</f>
        <v>16.2591</v>
      </c>
      <c r="H799" s="64">
        <f>26.4872* CHOOSE(CONTROL!$C$22, $C$13, 100%, $E$13)</f>
        <v>26.487200000000001</v>
      </c>
      <c r="I799" s="64">
        <f>26.4894 * CHOOSE(CONTROL!$C$22, $C$13, 100%, $E$13)</f>
        <v>26.4894</v>
      </c>
      <c r="J799" s="64">
        <f>16.2569 * CHOOSE(CONTROL!$C$22, $C$13, 100%, $E$13)</f>
        <v>16.256900000000002</v>
      </c>
      <c r="K799" s="64">
        <f>16.2591 * CHOOSE(CONTROL!$C$22, $C$13, 100%, $E$13)</f>
        <v>16.2591</v>
      </c>
    </row>
    <row r="800" spans="1:11" ht="15">
      <c r="A800" s="13">
        <v>65990</v>
      </c>
      <c r="B800" s="63">
        <f>13.85 * CHOOSE(CONTROL!$C$22, $C$13, 100%, $E$13)</f>
        <v>13.85</v>
      </c>
      <c r="C800" s="63">
        <f>13.85 * CHOOSE(CONTROL!$C$22, $C$13, 100%, $E$13)</f>
        <v>13.85</v>
      </c>
      <c r="D800" s="63">
        <f>13.8853 * CHOOSE(CONTROL!$C$22, $C$13, 100%, $E$13)</f>
        <v>13.885300000000001</v>
      </c>
      <c r="E800" s="64">
        <f>16.2362 * CHOOSE(CONTROL!$C$22, $C$13, 100%, $E$13)</f>
        <v>16.2362</v>
      </c>
      <c r="F800" s="64">
        <f>16.2362 * CHOOSE(CONTROL!$C$22, $C$13, 100%, $E$13)</f>
        <v>16.2362</v>
      </c>
      <c r="G800" s="64">
        <f>16.2384 * CHOOSE(CONTROL!$C$22, $C$13, 100%, $E$13)</f>
        <v>16.238399999999999</v>
      </c>
      <c r="H800" s="64">
        <f>26.5424* CHOOSE(CONTROL!$C$22, $C$13, 100%, $E$13)</f>
        <v>26.542400000000001</v>
      </c>
      <c r="I800" s="64">
        <f>26.5446 * CHOOSE(CONTROL!$C$22, $C$13, 100%, $E$13)</f>
        <v>26.544599999999999</v>
      </c>
      <c r="J800" s="64">
        <f>16.2362 * CHOOSE(CONTROL!$C$22, $C$13, 100%, $E$13)</f>
        <v>16.2362</v>
      </c>
      <c r="K800" s="64">
        <f>16.2384 * CHOOSE(CONTROL!$C$22, $C$13, 100%, $E$13)</f>
        <v>16.238399999999999</v>
      </c>
    </row>
    <row r="801" spans="1:11" ht="15">
      <c r="A801" s="13">
        <v>66020</v>
      </c>
      <c r="B801" s="63">
        <f>13.8774 * CHOOSE(CONTROL!$C$22, $C$13, 100%, $E$13)</f>
        <v>13.8774</v>
      </c>
      <c r="C801" s="63">
        <f>13.8774 * CHOOSE(CONTROL!$C$22, $C$13, 100%, $E$13)</f>
        <v>13.8774</v>
      </c>
      <c r="D801" s="63">
        <f>13.8951 * CHOOSE(CONTROL!$C$22, $C$13, 100%, $E$13)</f>
        <v>13.895099999999999</v>
      </c>
      <c r="E801" s="64">
        <f>16.297 * CHOOSE(CONTROL!$C$22, $C$13, 100%, $E$13)</f>
        <v>16.297000000000001</v>
      </c>
      <c r="F801" s="64">
        <f>16.297 * CHOOSE(CONTROL!$C$22, $C$13, 100%, $E$13)</f>
        <v>16.297000000000001</v>
      </c>
      <c r="G801" s="64">
        <f>16.2971 * CHOOSE(CONTROL!$C$22, $C$13, 100%, $E$13)</f>
        <v>16.2971</v>
      </c>
      <c r="H801" s="64">
        <f>26.5977* CHOOSE(CONTROL!$C$22, $C$13, 100%, $E$13)</f>
        <v>26.5977</v>
      </c>
      <c r="I801" s="64">
        <f>26.5979 * CHOOSE(CONTROL!$C$22, $C$13, 100%, $E$13)</f>
        <v>26.597899999999999</v>
      </c>
      <c r="J801" s="64">
        <f>16.297 * CHOOSE(CONTROL!$C$22, $C$13, 100%, $E$13)</f>
        <v>16.297000000000001</v>
      </c>
      <c r="K801" s="64">
        <f>16.2971 * CHOOSE(CONTROL!$C$22, $C$13, 100%, $E$13)</f>
        <v>16.2971</v>
      </c>
    </row>
    <row r="802" spans="1:11" ht="15">
      <c r="A802" s="13">
        <v>66051</v>
      </c>
      <c r="B802" s="63">
        <f>13.8805 * CHOOSE(CONTROL!$C$22, $C$13, 100%, $E$13)</f>
        <v>13.8805</v>
      </c>
      <c r="C802" s="63">
        <f>13.8805 * CHOOSE(CONTROL!$C$22, $C$13, 100%, $E$13)</f>
        <v>13.8805</v>
      </c>
      <c r="D802" s="63">
        <f>13.8981 * CHOOSE(CONTROL!$C$22, $C$13, 100%, $E$13)</f>
        <v>13.898099999999999</v>
      </c>
      <c r="E802" s="64">
        <f>16.3362 * CHOOSE(CONTROL!$C$22, $C$13, 100%, $E$13)</f>
        <v>16.336200000000002</v>
      </c>
      <c r="F802" s="64">
        <f>16.3362 * CHOOSE(CONTROL!$C$22, $C$13, 100%, $E$13)</f>
        <v>16.336200000000002</v>
      </c>
      <c r="G802" s="64">
        <f>16.3363 * CHOOSE(CONTROL!$C$22, $C$13, 100%, $E$13)</f>
        <v>16.336300000000001</v>
      </c>
      <c r="H802" s="64">
        <f>26.6531* CHOOSE(CONTROL!$C$22, $C$13, 100%, $E$13)</f>
        <v>26.653099999999998</v>
      </c>
      <c r="I802" s="64">
        <f>26.6533 * CHOOSE(CONTROL!$C$22, $C$13, 100%, $E$13)</f>
        <v>26.653300000000002</v>
      </c>
      <c r="J802" s="64">
        <f>16.3362 * CHOOSE(CONTROL!$C$22, $C$13, 100%, $E$13)</f>
        <v>16.336200000000002</v>
      </c>
      <c r="K802" s="64">
        <f>16.3363 * CHOOSE(CONTROL!$C$22, $C$13, 100%, $E$13)</f>
        <v>16.336300000000001</v>
      </c>
    </row>
    <row r="803" spans="1:11" ht="15">
      <c r="A803" s="13">
        <v>66081</v>
      </c>
      <c r="B803" s="63">
        <f>13.8805 * CHOOSE(CONTROL!$C$22, $C$13, 100%, $E$13)</f>
        <v>13.8805</v>
      </c>
      <c r="C803" s="63">
        <f>13.8805 * CHOOSE(CONTROL!$C$22, $C$13, 100%, $E$13)</f>
        <v>13.8805</v>
      </c>
      <c r="D803" s="63">
        <f>13.8981 * CHOOSE(CONTROL!$C$22, $C$13, 100%, $E$13)</f>
        <v>13.898099999999999</v>
      </c>
      <c r="E803" s="64">
        <f>16.2435 * CHOOSE(CONTROL!$C$22, $C$13, 100%, $E$13)</f>
        <v>16.243500000000001</v>
      </c>
      <c r="F803" s="64">
        <f>16.2435 * CHOOSE(CONTROL!$C$22, $C$13, 100%, $E$13)</f>
        <v>16.243500000000001</v>
      </c>
      <c r="G803" s="64">
        <f>16.2437 * CHOOSE(CONTROL!$C$22, $C$13, 100%, $E$13)</f>
        <v>16.2437</v>
      </c>
      <c r="H803" s="64">
        <f>26.7086* CHOOSE(CONTROL!$C$22, $C$13, 100%, $E$13)</f>
        <v>26.708600000000001</v>
      </c>
      <c r="I803" s="64">
        <f>26.7088 * CHOOSE(CONTROL!$C$22, $C$13, 100%, $E$13)</f>
        <v>26.7088</v>
      </c>
      <c r="J803" s="64">
        <f>16.2435 * CHOOSE(CONTROL!$C$22, $C$13, 100%, $E$13)</f>
        <v>16.243500000000001</v>
      </c>
      <c r="K803" s="64">
        <f>16.2437 * CHOOSE(CONTROL!$C$22, $C$13, 100%, $E$13)</f>
        <v>16.2437</v>
      </c>
    </row>
    <row r="804" spans="1:11" ht="15">
      <c r="A804" s="13">
        <v>66112</v>
      </c>
      <c r="B804" s="63">
        <f>13.8715 * CHOOSE(CONTROL!$C$22, $C$13, 100%, $E$13)</f>
        <v>13.871499999999999</v>
      </c>
      <c r="C804" s="63">
        <f>13.8715 * CHOOSE(CONTROL!$C$22, $C$13, 100%, $E$13)</f>
        <v>13.871499999999999</v>
      </c>
      <c r="D804" s="63">
        <f>13.8892 * CHOOSE(CONTROL!$C$22, $C$13, 100%, $E$13)</f>
        <v>13.889200000000001</v>
      </c>
      <c r="E804" s="64">
        <f>16.2972 * CHOOSE(CONTROL!$C$22, $C$13, 100%, $E$13)</f>
        <v>16.2972</v>
      </c>
      <c r="F804" s="64">
        <f>16.2972 * CHOOSE(CONTROL!$C$22, $C$13, 100%, $E$13)</f>
        <v>16.2972</v>
      </c>
      <c r="G804" s="64">
        <f>16.2974 * CHOOSE(CONTROL!$C$22, $C$13, 100%, $E$13)</f>
        <v>16.2974</v>
      </c>
      <c r="H804" s="64">
        <f>26.55* CHOOSE(CONTROL!$C$22, $C$13, 100%, $E$13)</f>
        <v>26.55</v>
      </c>
      <c r="I804" s="64">
        <f>26.5502 * CHOOSE(CONTROL!$C$22, $C$13, 100%, $E$13)</f>
        <v>26.5502</v>
      </c>
      <c r="J804" s="64">
        <f>16.2972 * CHOOSE(CONTROL!$C$22, $C$13, 100%, $E$13)</f>
        <v>16.2972</v>
      </c>
      <c r="K804" s="64">
        <f>16.2974 * CHOOSE(CONTROL!$C$22, $C$13, 100%, $E$13)</f>
        <v>16.2974</v>
      </c>
    </row>
    <row r="805" spans="1:11" ht="15">
      <c r="A805" s="13">
        <v>66143</v>
      </c>
      <c r="B805" s="63">
        <f>13.8685 * CHOOSE(CONTROL!$C$22, $C$13, 100%, $E$13)</f>
        <v>13.868499999999999</v>
      </c>
      <c r="C805" s="63">
        <f>13.8685 * CHOOSE(CONTROL!$C$22, $C$13, 100%, $E$13)</f>
        <v>13.868499999999999</v>
      </c>
      <c r="D805" s="63">
        <f>13.8861 * CHOOSE(CONTROL!$C$22, $C$13, 100%, $E$13)</f>
        <v>13.886100000000001</v>
      </c>
      <c r="E805" s="64">
        <f>16.1168 * CHOOSE(CONTROL!$C$22, $C$13, 100%, $E$13)</f>
        <v>16.116800000000001</v>
      </c>
      <c r="F805" s="64">
        <f>16.1168 * CHOOSE(CONTROL!$C$22, $C$13, 100%, $E$13)</f>
        <v>16.116800000000001</v>
      </c>
      <c r="G805" s="64">
        <f>16.117 * CHOOSE(CONTROL!$C$22, $C$13, 100%, $E$13)</f>
        <v>16.117000000000001</v>
      </c>
      <c r="H805" s="64">
        <f>26.6053* CHOOSE(CONTROL!$C$22, $C$13, 100%, $E$13)</f>
        <v>26.6053</v>
      </c>
      <c r="I805" s="64">
        <f>26.6055 * CHOOSE(CONTROL!$C$22, $C$13, 100%, $E$13)</f>
        <v>26.605499999999999</v>
      </c>
      <c r="J805" s="64">
        <f>16.1168 * CHOOSE(CONTROL!$C$22, $C$13, 100%, $E$13)</f>
        <v>16.116800000000001</v>
      </c>
      <c r="K805" s="64">
        <f>16.117 * CHOOSE(CONTROL!$C$22, $C$13, 100%, $E$13)</f>
        <v>16.117000000000001</v>
      </c>
    </row>
    <row r="806" spans="1:11" ht="15">
      <c r="A806" s="13">
        <v>66171</v>
      </c>
      <c r="B806" s="63">
        <f>13.8654 * CHOOSE(CONTROL!$C$22, $C$13, 100%, $E$13)</f>
        <v>13.865399999999999</v>
      </c>
      <c r="C806" s="63">
        <f>13.8654 * CHOOSE(CONTROL!$C$22, $C$13, 100%, $E$13)</f>
        <v>13.865399999999999</v>
      </c>
      <c r="D806" s="63">
        <f>13.8831 * CHOOSE(CONTROL!$C$22, $C$13, 100%, $E$13)</f>
        <v>13.883100000000001</v>
      </c>
      <c r="E806" s="64">
        <f>16.2553 * CHOOSE(CONTROL!$C$22, $C$13, 100%, $E$13)</f>
        <v>16.255299999999998</v>
      </c>
      <c r="F806" s="64">
        <f>16.2553 * CHOOSE(CONTROL!$C$22, $C$13, 100%, $E$13)</f>
        <v>16.255299999999998</v>
      </c>
      <c r="G806" s="64">
        <f>16.2554 * CHOOSE(CONTROL!$C$22, $C$13, 100%, $E$13)</f>
        <v>16.255400000000002</v>
      </c>
      <c r="H806" s="64">
        <f>26.6608* CHOOSE(CONTROL!$C$22, $C$13, 100%, $E$13)</f>
        <v>26.660799999999998</v>
      </c>
      <c r="I806" s="64">
        <f>26.6609 * CHOOSE(CONTROL!$C$22, $C$13, 100%, $E$13)</f>
        <v>26.660900000000002</v>
      </c>
      <c r="J806" s="64">
        <f>16.2553 * CHOOSE(CONTROL!$C$22, $C$13, 100%, $E$13)</f>
        <v>16.255299999999998</v>
      </c>
      <c r="K806" s="64">
        <f>16.2554 * CHOOSE(CONTROL!$C$22, $C$13, 100%, $E$13)</f>
        <v>16.255400000000002</v>
      </c>
    </row>
    <row r="807" spans="1:11" ht="15">
      <c r="A807" s="13">
        <v>66202</v>
      </c>
      <c r="B807" s="63">
        <f>13.8715 * CHOOSE(CONTROL!$C$22, $C$13, 100%, $E$13)</f>
        <v>13.871499999999999</v>
      </c>
      <c r="C807" s="63">
        <f>13.8715 * CHOOSE(CONTROL!$C$22, $C$13, 100%, $E$13)</f>
        <v>13.871499999999999</v>
      </c>
      <c r="D807" s="63">
        <f>13.8892 * CHOOSE(CONTROL!$C$22, $C$13, 100%, $E$13)</f>
        <v>13.889200000000001</v>
      </c>
      <c r="E807" s="64">
        <f>16.402 * CHOOSE(CONTROL!$C$22, $C$13, 100%, $E$13)</f>
        <v>16.402000000000001</v>
      </c>
      <c r="F807" s="64">
        <f>16.402 * CHOOSE(CONTROL!$C$22, $C$13, 100%, $E$13)</f>
        <v>16.402000000000001</v>
      </c>
      <c r="G807" s="64">
        <f>16.4022 * CHOOSE(CONTROL!$C$22, $C$13, 100%, $E$13)</f>
        <v>16.402200000000001</v>
      </c>
      <c r="H807" s="64">
        <f>26.7163* CHOOSE(CONTROL!$C$22, $C$13, 100%, $E$13)</f>
        <v>26.7163</v>
      </c>
      <c r="I807" s="64">
        <f>26.7165 * CHOOSE(CONTROL!$C$22, $C$13, 100%, $E$13)</f>
        <v>26.7165</v>
      </c>
      <c r="J807" s="64">
        <f>16.402 * CHOOSE(CONTROL!$C$22, $C$13, 100%, $E$13)</f>
        <v>16.402000000000001</v>
      </c>
      <c r="K807" s="64">
        <f>16.4022 * CHOOSE(CONTROL!$C$22, $C$13, 100%, $E$13)</f>
        <v>16.402200000000001</v>
      </c>
    </row>
    <row r="808" spans="1:11" ht="15">
      <c r="A808" s="13">
        <v>66232</v>
      </c>
      <c r="B808" s="63">
        <f>13.8715 * CHOOSE(CONTROL!$C$22, $C$13, 100%, $E$13)</f>
        <v>13.871499999999999</v>
      </c>
      <c r="C808" s="63">
        <f>13.8715 * CHOOSE(CONTROL!$C$22, $C$13, 100%, $E$13)</f>
        <v>13.871499999999999</v>
      </c>
      <c r="D808" s="63">
        <f>13.9068 * CHOOSE(CONTROL!$C$22, $C$13, 100%, $E$13)</f>
        <v>13.9068</v>
      </c>
      <c r="E808" s="64">
        <f>16.4586 * CHOOSE(CONTROL!$C$22, $C$13, 100%, $E$13)</f>
        <v>16.458600000000001</v>
      </c>
      <c r="F808" s="64">
        <f>16.4586 * CHOOSE(CONTROL!$C$22, $C$13, 100%, $E$13)</f>
        <v>16.458600000000001</v>
      </c>
      <c r="G808" s="64">
        <f>16.4608 * CHOOSE(CONTROL!$C$22, $C$13, 100%, $E$13)</f>
        <v>16.460799999999999</v>
      </c>
      <c r="H808" s="64">
        <f>26.772* CHOOSE(CONTROL!$C$22, $C$13, 100%, $E$13)</f>
        <v>26.771999999999998</v>
      </c>
      <c r="I808" s="64">
        <f>26.7741 * CHOOSE(CONTROL!$C$22, $C$13, 100%, $E$13)</f>
        <v>26.774100000000001</v>
      </c>
      <c r="J808" s="64">
        <f>16.4586 * CHOOSE(CONTROL!$C$22, $C$13, 100%, $E$13)</f>
        <v>16.458600000000001</v>
      </c>
      <c r="K808" s="64">
        <f>16.4608 * CHOOSE(CONTROL!$C$22, $C$13, 100%, $E$13)</f>
        <v>16.460799999999999</v>
      </c>
    </row>
    <row r="809" spans="1:11" ht="15">
      <c r="A809" s="13">
        <v>66263</v>
      </c>
      <c r="B809" s="63">
        <f>13.8776 * CHOOSE(CONTROL!$C$22, $C$13, 100%, $E$13)</f>
        <v>13.877599999999999</v>
      </c>
      <c r="C809" s="63">
        <f>13.8776 * CHOOSE(CONTROL!$C$22, $C$13, 100%, $E$13)</f>
        <v>13.877599999999999</v>
      </c>
      <c r="D809" s="63">
        <f>13.9129 * CHOOSE(CONTROL!$C$22, $C$13, 100%, $E$13)</f>
        <v>13.9129</v>
      </c>
      <c r="E809" s="64">
        <f>16.4063 * CHOOSE(CONTROL!$C$22, $C$13, 100%, $E$13)</f>
        <v>16.406300000000002</v>
      </c>
      <c r="F809" s="64">
        <f>16.4063 * CHOOSE(CONTROL!$C$22, $C$13, 100%, $E$13)</f>
        <v>16.406300000000002</v>
      </c>
      <c r="G809" s="64">
        <f>16.4084 * CHOOSE(CONTROL!$C$22, $C$13, 100%, $E$13)</f>
        <v>16.4084</v>
      </c>
      <c r="H809" s="64">
        <f>26.8277* CHOOSE(CONTROL!$C$22, $C$13, 100%, $E$13)</f>
        <v>26.8277</v>
      </c>
      <c r="I809" s="64">
        <f>26.8299 * CHOOSE(CONTROL!$C$22, $C$13, 100%, $E$13)</f>
        <v>26.829899999999999</v>
      </c>
      <c r="J809" s="64">
        <f>16.4063 * CHOOSE(CONTROL!$C$22, $C$13, 100%, $E$13)</f>
        <v>16.406300000000002</v>
      </c>
      <c r="K809" s="64">
        <f>16.4084 * CHOOSE(CONTROL!$C$22, $C$13, 100%, $E$13)</f>
        <v>16.4084</v>
      </c>
    </row>
    <row r="810" spans="1:11" ht="15">
      <c r="A810" s="13">
        <v>66293</v>
      </c>
      <c r="B810" s="63">
        <f>14.0956 * CHOOSE(CONTROL!$C$22, $C$13, 100%, $E$13)</f>
        <v>14.095599999999999</v>
      </c>
      <c r="C810" s="63">
        <f>14.0956 * CHOOSE(CONTROL!$C$22, $C$13, 100%, $E$13)</f>
        <v>14.095599999999999</v>
      </c>
      <c r="D810" s="63">
        <f>14.1309 * CHOOSE(CONTROL!$C$22, $C$13, 100%, $E$13)</f>
        <v>14.1309</v>
      </c>
      <c r="E810" s="64">
        <f>16.7189 * CHOOSE(CONTROL!$C$22, $C$13, 100%, $E$13)</f>
        <v>16.718900000000001</v>
      </c>
      <c r="F810" s="64">
        <f>16.7189 * CHOOSE(CONTROL!$C$22, $C$13, 100%, $E$13)</f>
        <v>16.718900000000001</v>
      </c>
      <c r="G810" s="64">
        <f>16.7211 * CHOOSE(CONTROL!$C$22, $C$13, 100%, $E$13)</f>
        <v>16.7211</v>
      </c>
      <c r="H810" s="64">
        <f>26.8836* CHOOSE(CONTROL!$C$22, $C$13, 100%, $E$13)</f>
        <v>26.883600000000001</v>
      </c>
      <c r="I810" s="64">
        <f>26.8858 * CHOOSE(CONTROL!$C$22, $C$13, 100%, $E$13)</f>
        <v>26.8858</v>
      </c>
      <c r="J810" s="64">
        <f>16.7189 * CHOOSE(CONTROL!$C$22, $C$13, 100%, $E$13)</f>
        <v>16.718900000000001</v>
      </c>
      <c r="K810" s="64">
        <f>16.7211 * CHOOSE(CONTROL!$C$22, $C$13, 100%, $E$13)</f>
        <v>16.7211</v>
      </c>
    </row>
    <row r="811" spans="1:11" ht="15">
      <c r="A811" s="13">
        <v>66324</v>
      </c>
      <c r="B811" s="63">
        <f>14.1023 * CHOOSE(CONTROL!$C$22, $C$13, 100%, $E$13)</f>
        <v>14.1023</v>
      </c>
      <c r="C811" s="63">
        <f>14.1023 * CHOOSE(CONTROL!$C$22, $C$13, 100%, $E$13)</f>
        <v>14.1023</v>
      </c>
      <c r="D811" s="63">
        <f>14.1376 * CHOOSE(CONTROL!$C$22, $C$13, 100%, $E$13)</f>
        <v>14.137600000000001</v>
      </c>
      <c r="E811" s="64">
        <f>16.5537 * CHOOSE(CONTROL!$C$22, $C$13, 100%, $E$13)</f>
        <v>16.553699999999999</v>
      </c>
      <c r="F811" s="64">
        <f>16.5537 * CHOOSE(CONTROL!$C$22, $C$13, 100%, $E$13)</f>
        <v>16.553699999999999</v>
      </c>
      <c r="G811" s="64">
        <f>16.5559 * CHOOSE(CONTROL!$C$22, $C$13, 100%, $E$13)</f>
        <v>16.555900000000001</v>
      </c>
      <c r="H811" s="64">
        <f>26.9396* CHOOSE(CONTROL!$C$22, $C$13, 100%, $E$13)</f>
        <v>26.939599999999999</v>
      </c>
      <c r="I811" s="64">
        <f>26.9418 * CHOOSE(CONTROL!$C$22, $C$13, 100%, $E$13)</f>
        <v>26.941800000000001</v>
      </c>
      <c r="J811" s="64">
        <f>16.5537 * CHOOSE(CONTROL!$C$22, $C$13, 100%, $E$13)</f>
        <v>16.553699999999999</v>
      </c>
      <c r="K811" s="64">
        <f>16.5559 * CHOOSE(CONTROL!$C$22, $C$13, 100%, $E$13)</f>
        <v>16.555900000000001</v>
      </c>
    </row>
    <row r="812" spans="1:11" ht="15">
      <c r="A812" s="13">
        <v>66355</v>
      </c>
      <c r="B812" s="63">
        <f>14.0992 * CHOOSE(CONTROL!$C$22, $C$13, 100%, $E$13)</f>
        <v>14.0992</v>
      </c>
      <c r="C812" s="63">
        <f>14.0992 * CHOOSE(CONTROL!$C$22, $C$13, 100%, $E$13)</f>
        <v>14.0992</v>
      </c>
      <c r="D812" s="63">
        <f>14.1345 * CHOOSE(CONTROL!$C$22, $C$13, 100%, $E$13)</f>
        <v>14.134499999999999</v>
      </c>
      <c r="E812" s="64">
        <f>16.5327 * CHOOSE(CONTROL!$C$22, $C$13, 100%, $E$13)</f>
        <v>16.532699999999998</v>
      </c>
      <c r="F812" s="64">
        <f>16.5327 * CHOOSE(CONTROL!$C$22, $C$13, 100%, $E$13)</f>
        <v>16.532699999999998</v>
      </c>
      <c r="G812" s="64">
        <f>16.5349 * CHOOSE(CONTROL!$C$22, $C$13, 100%, $E$13)</f>
        <v>16.5349</v>
      </c>
      <c r="H812" s="64">
        <f>26.9958* CHOOSE(CONTROL!$C$22, $C$13, 100%, $E$13)</f>
        <v>26.995799999999999</v>
      </c>
      <c r="I812" s="64">
        <f>26.9979 * CHOOSE(CONTROL!$C$22, $C$13, 100%, $E$13)</f>
        <v>26.997900000000001</v>
      </c>
      <c r="J812" s="64">
        <f>16.5327 * CHOOSE(CONTROL!$C$22, $C$13, 100%, $E$13)</f>
        <v>16.532699999999998</v>
      </c>
      <c r="K812" s="64">
        <f>16.5349 * CHOOSE(CONTROL!$C$22, $C$13, 100%, $E$13)</f>
        <v>16.5349</v>
      </c>
    </row>
    <row r="813" spans="1:11" ht="15">
      <c r="A813" s="13">
        <v>66385</v>
      </c>
      <c r="B813" s="63">
        <f>14.1275 * CHOOSE(CONTROL!$C$22, $C$13, 100%, $E$13)</f>
        <v>14.1275</v>
      </c>
      <c r="C813" s="63">
        <f>14.1275 * CHOOSE(CONTROL!$C$22, $C$13, 100%, $E$13)</f>
        <v>14.1275</v>
      </c>
      <c r="D813" s="63">
        <f>14.1451 * CHOOSE(CONTROL!$C$22, $C$13, 100%, $E$13)</f>
        <v>14.145099999999999</v>
      </c>
      <c r="E813" s="64">
        <f>16.5948 * CHOOSE(CONTROL!$C$22, $C$13, 100%, $E$13)</f>
        <v>16.594799999999999</v>
      </c>
      <c r="F813" s="64">
        <f>16.5948 * CHOOSE(CONTROL!$C$22, $C$13, 100%, $E$13)</f>
        <v>16.594799999999999</v>
      </c>
      <c r="G813" s="64">
        <f>16.595 * CHOOSE(CONTROL!$C$22, $C$13, 100%, $E$13)</f>
        <v>16.594999999999999</v>
      </c>
      <c r="H813" s="64">
        <f>27.052* CHOOSE(CONTROL!$C$22, $C$13, 100%, $E$13)</f>
        <v>27.052</v>
      </c>
      <c r="I813" s="64">
        <f>27.0522 * CHOOSE(CONTROL!$C$22, $C$13, 100%, $E$13)</f>
        <v>27.052199999999999</v>
      </c>
      <c r="J813" s="64">
        <f>16.5948 * CHOOSE(CONTROL!$C$22, $C$13, 100%, $E$13)</f>
        <v>16.594799999999999</v>
      </c>
      <c r="K813" s="64">
        <f>16.595 * CHOOSE(CONTROL!$C$22, $C$13, 100%, $E$13)</f>
        <v>16.594999999999999</v>
      </c>
    </row>
    <row r="814" spans="1:11" ht="15">
      <c r="A814" s="13">
        <v>66416</v>
      </c>
      <c r="B814" s="63">
        <f>14.1305 * CHOOSE(CONTROL!$C$22, $C$13, 100%, $E$13)</f>
        <v>14.1305</v>
      </c>
      <c r="C814" s="63">
        <f>14.1305 * CHOOSE(CONTROL!$C$22, $C$13, 100%, $E$13)</f>
        <v>14.1305</v>
      </c>
      <c r="D814" s="63">
        <f>14.1482 * CHOOSE(CONTROL!$C$22, $C$13, 100%, $E$13)</f>
        <v>14.148199999999999</v>
      </c>
      <c r="E814" s="64">
        <f>16.6347 * CHOOSE(CONTROL!$C$22, $C$13, 100%, $E$13)</f>
        <v>16.634699999999999</v>
      </c>
      <c r="F814" s="64">
        <f>16.6347 * CHOOSE(CONTROL!$C$22, $C$13, 100%, $E$13)</f>
        <v>16.634699999999999</v>
      </c>
      <c r="G814" s="64">
        <f>16.6349 * CHOOSE(CONTROL!$C$22, $C$13, 100%, $E$13)</f>
        <v>16.634899999999998</v>
      </c>
      <c r="H814" s="64">
        <f>27.1084* CHOOSE(CONTROL!$C$22, $C$13, 100%, $E$13)</f>
        <v>27.1084</v>
      </c>
      <c r="I814" s="64">
        <f>27.1085 * CHOOSE(CONTROL!$C$22, $C$13, 100%, $E$13)</f>
        <v>27.108499999999999</v>
      </c>
      <c r="J814" s="64">
        <f>16.6347 * CHOOSE(CONTROL!$C$22, $C$13, 100%, $E$13)</f>
        <v>16.634699999999999</v>
      </c>
      <c r="K814" s="64">
        <f>16.6349 * CHOOSE(CONTROL!$C$22, $C$13, 100%, $E$13)</f>
        <v>16.634899999999998</v>
      </c>
    </row>
    <row r="815" spans="1:11" ht="15">
      <c r="A815" s="13">
        <v>66446</v>
      </c>
      <c r="B815" s="63">
        <f>14.1305 * CHOOSE(CONTROL!$C$22, $C$13, 100%, $E$13)</f>
        <v>14.1305</v>
      </c>
      <c r="C815" s="63">
        <f>14.1305 * CHOOSE(CONTROL!$C$22, $C$13, 100%, $E$13)</f>
        <v>14.1305</v>
      </c>
      <c r="D815" s="63">
        <f>14.1482 * CHOOSE(CONTROL!$C$22, $C$13, 100%, $E$13)</f>
        <v>14.148199999999999</v>
      </c>
      <c r="E815" s="64">
        <f>16.5403 * CHOOSE(CONTROL!$C$22, $C$13, 100%, $E$13)</f>
        <v>16.540299999999998</v>
      </c>
      <c r="F815" s="64">
        <f>16.5403 * CHOOSE(CONTROL!$C$22, $C$13, 100%, $E$13)</f>
        <v>16.540299999999998</v>
      </c>
      <c r="G815" s="64">
        <f>16.5405 * CHOOSE(CONTROL!$C$22, $C$13, 100%, $E$13)</f>
        <v>16.540500000000002</v>
      </c>
      <c r="H815" s="64">
        <f>27.1648* CHOOSE(CONTROL!$C$22, $C$13, 100%, $E$13)</f>
        <v>27.1648</v>
      </c>
      <c r="I815" s="64">
        <f>27.165 * CHOOSE(CONTROL!$C$22, $C$13, 100%, $E$13)</f>
        <v>27.164999999999999</v>
      </c>
      <c r="J815" s="64">
        <f>16.5403 * CHOOSE(CONTROL!$C$22, $C$13, 100%, $E$13)</f>
        <v>16.540299999999998</v>
      </c>
      <c r="K815" s="64">
        <f>16.5405 * CHOOSE(CONTROL!$C$22, $C$13, 100%, $E$13)</f>
        <v>16.540500000000002</v>
      </c>
    </row>
    <row r="816" spans="1:11" ht="15">
      <c r="A816" s="13">
        <v>66477</v>
      </c>
      <c r="B816" s="63">
        <f>14.1168 * CHOOSE(CONTROL!$C$22, $C$13, 100%, $E$13)</f>
        <v>14.1168</v>
      </c>
      <c r="C816" s="63">
        <f>14.1168 * CHOOSE(CONTROL!$C$22, $C$13, 100%, $E$13)</f>
        <v>14.1168</v>
      </c>
      <c r="D816" s="63">
        <f>14.1345 * CHOOSE(CONTROL!$C$22, $C$13, 100%, $E$13)</f>
        <v>14.134499999999999</v>
      </c>
      <c r="E816" s="64">
        <f>16.5897 * CHOOSE(CONTROL!$C$22, $C$13, 100%, $E$13)</f>
        <v>16.589700000000001</v>
      </c>
      <c r="F816" s="64">
        <f>16.5897 * CHOOSE(CONTROL!$C$22, $C$13, 100%, $E$13)</f>
        <v>16.589700000000001</v>
      </c>
      <c r="G816" s="64">
        <f>16.5898 * CHOOSE(CONTROL!$C$22, $C$13, 100%, $E$13)</f>
        <v>16.5898</v>
      </c>
      <c r="H816" s="64">
        <f>26.9959* CHOOSE(CONTROL!$C$22, $C$13, 100%, $E$13)</f>
        <v>26.995899999999999</v>
      </c>
      <c r="I816" s="64">
        <f>26.9961 * CHOOSE(CONTROL!$C$22, $C$13, 100%, $E$13)</f>
        <v>26.996099999999998</v>
      </c>
      <c r="J816" s="64">
        <f>16.5897 * CHOOSE(CONTROL!$C$22, $C$13, 100%, $E$13)</f>
        <v>16.589700000000001</v>
      </c>
      <c r="K816" s="64">
        <f>16.5898 * CHOOSE(CONTROL!$C$22, $C$13, 100%, $E$13)</f>
        <v>16.5898</v>
      </c>
    </row>
    <row r="817" spans="1:11" ht="15">
      <c r="A817" s="13">
        <v>66508</v>
      </c>
      <c r="B817" s="63">
        <f>14.1138 * CHOOSE(CONTROL!$C$22, $C$13, 100%, $E$13)</f>
        <v>14.113799999999999</v>
      </c>
      <c r="C817" s="63">
        <f>14.1138 * CHOOSE(CONTROL!$C$22, $C$13, 100%, $E$13)</f>
        <v>14.113799999999999</v>
      </c>
      <c r="D817" s="63">
        <f>14.1314 * CHOOSE(CONTROL!$C$22, $C$13, 100%, $E$13)</f>
        <v>14.131399999999999</v>
      </c>
      <c r="E817" s="64">
        <f>16.406 * CHOOSE(CONTROL!$C$22, $C$13, 100%, $E$13)</f>
        <v>16.405999999999999</v>
      </c>
      <c r="F817" s="64">
        <f>16.406 * CHOOSE(CONTROL!$C$22, $C$13, 100%, $E$13)</f>
        <v>16.405999999999999</v>
      </c>
      <c r="G817" s="64">
        <f>16.4062 * CHOOSE(CONTROL!$C$22, $C$13, 100%, $E$13)</f>
        <v>16.406199999999998</v>
      </c>
      <c r="H817" s="64">
        <f>27.0522* CHOOSE(CONTROL!$C$22, $C$13, 100%, $E$13)</f>
        <v>27.052199999999999</v>
      </c>
      <c r="I817" s="64">
        <f>27.0523 * CHOOSE(CONTROL!$C$22, $C$13, 100%, $E$13)</f>
        <v>27.052299999999999</v>
      </c>
      <c r="J817" s="64">
        <f>16.406 * CHOOSE(CONTROL!$C$22, $C$13, 100%, $E$13)</f>
        <v>16.405999999999999</v>
      </c>
      <c r="K817" s="64">
        <f>16.4062 * CHOOSE(CONTROL!$C$22, $C$13, 100%, $E$13)</f>
        <v>16.406199999999998</v>
      </c>
    </row>
    <row r="818" spans="1:11" ht="15">
      <c r="A818" s="13">
        <v>66536</v>
      </c>
      <c r="B818" s="63">
        <f>14.1107 * CHOOSE(CONTROL!$C$22, $C$13, 100%, $E$13)</f>
        <v>14.1107</v>
      </c>
      <c r="C818" s="63">
        <f>14.1107 * CHOOSE(CONTROL!$C$22, $C$13, 100%, $E$13)</f>
        <v>14.1107</v>
      </c>
      <c r="D818" s="63">
        <f>14.1284 * CHOOSE(CONTROL!$C$22, $C$13, 100%, $E$13)</f>
        <v>14.128399999999999</v>
      </c>
      <c r="E818" s="64">
        <f>16.547 * CHOOSE(CONTROL!$C$22, $C$13, 100%, $E$13)</f>
        <v>16.547000000000001</v>
      </c>
      <c r="F818" s="64">
        <f>16.547 * CHOOSE(CONTROL!$C$22, $C$13, 100%, $E$13)</f>
        <v>16.547000000000001</v>
      </c>
      <c r="G818" s="64">
        <f>16.5472 * CHOOSE(CONTROL!$C$22, $C$13, 100%, $E$13)</f>
        <v>16.5472</v>
      </c>
      <c r="H818" s="64">
        <f>27.1085* CHOOSE(CONTROL!$C$22, $C$13, 100%, $E$13)</f>
        <v>27.108499999999999</v>
      </c>
      <c r="I818" s="64">
        <f>27.1087 * CHOOSE(CONTROL!$C$22, $C$13, 100%, $E$13)</f>
        <v>27.108699999999999</v>
      </c>
      <c r="J818" s="64">
        <f>16.547 * CHOOSE(CONTROL!$C$22, $C$13, 100%, $E$13)</f>
        <v>16.547000000000001</v>
      </c>
      <c r="K818" s="64">
        <f>16.5472 * CHOOSE(CONTROL!$C$22, $C$13, 100%, $E$13)</f>
        <v>16.5472</v>
      </c>
    </row>
    <row r="819" spans="1:11" ht="15">
      <c r="A819" s="13">
        <v>66567</v>
      </c>
      <c r="B819" s="63">
        <f>14.117 * CHOOSE(CONTROL!$C$22, $C$13, 100%, $E$13)</f>
        <v>14.117000000000001</v>
      </c>
      <c r="C819" s="63">
        <f>14.117 * CHOOSE(CONTROL!$C$22, $C$13, 100%, $E$13)</f>
        <v>14.117000000000001</v>
      </c>
      <c r="D819" s="63">
        <f>14.1347 * CHOOSE(CONTROL!$C$22, $C$13, 100%, $E$13)</f>
        <v>14.1347</v>
      </c>
      <c r="E819" s="64">
        <f>16.6965 * CHOOSE(CONTROL!$C$22, $C$13, 100%, $E$13)</f>
        <v>16.6965</v>
      </c>
      <c r="F819" s="64">
        <f>16.6965 * CHOOSE(CONTROL!$C$22, $C$13, 100%, $E$13)</f>
        <v>16.6965</v>
      </c>
      <c r="G819" s="64">
        <f>16.6966 * CHOOSE(CONTROL!$C$22, $C$13, 100%, $E$13)</f>
        <v>16.6966</v>
      </c>
      <c r="H819" s="64">
        <f>27.165* CHOOSE(CONTROL!$C$22, $C$13, 100%, $E$13)</f>
        <v>27.164999999999999</v>
      </c>
      <c r="I819" s="64">
        <f>27.1652 * CHOOSE(CONTROL!$C$22, $C$13, 100%, $E$13)</f>
        <v>27.165199999999999</v>
      </c>
      <c r="J819" s="64">
        <f>16.6965 * CHOOSE(CONTROL!$C$22, $C$13, 100%, $E$13)</f>
        <v>16.6965</v>
      </c>
      <c r="K819" s="64">
        <f>16.6966 * CHOOSE(CONTROL!$C$22, $C$13, 100%, $E$13)</f>
        <v>16.6966</v>
      </c>
    </row>
    <row r="820" spans="1:11" ht="15">
      <c r="A820" s="13">
        <v>66597</v>
      </c>
      <c r="B820" s="63">
        <f>14.117 * CHOOSE(CONTROL!$C$22, $C$13, 100%, $E$13)</f>
        <v>14.117000000000001</v>
      </c>
      <c r="C820" s="63">
        <f>14.117 * CHOOSE(CONTROL!$C$22, $C$13, 100%, $E$13)</f>
        <v>14.117000000000001</v>
      </c>
      <c r="D820" s="63">
        <f>14.1523 * CHOOSE(CONTROL!$C$22, $C$13, 100%, $E$13)</f>
        <v>14.1523</v>
      </c>
      <c r="E820" s="64">
        <f>16.7541 * CHOOSE(CONTROL!$C$22, $C$13, 100%, $E$13)</f>
        <v>16.754100000000001</v>
      </c>
      <c r="F820" s="64">
        <f>16.7541 * CHOOSE(CONTROL!$C$22, $C$13, 100%, $E$13)</f>
        <v>16.754100000000001</v>
      </c>
      <c r="G820" s="64">
        <f>16.7563 * CHOOSE(CONTROL!$C$22, $C$13, 100%, $E$13)</f>
        <v>16.7563</v>
      </c>
      <c r="H820" s="64">
        <f>27.2216* CHOOSE(CONTROL!$C$22, $C$13, 100%, $E$13)</f>
        <v>27.221599999999999</v>
      </c>
      <c r="I820" s="64">
        <f>27.2238 * CHOOSE(CONTROL!$C$22, $C$13, 100%, $E$13)</f>
        <v>27.223800000000001</v>
      </c>
      <c r="J820" s="64">
        <f>16.7541 * CHOOSE(CONTROL!$C$22, $C$13, 100%, $E$13)</f>
        <v>16.754100000000001</v>
      </c>
      <c r="K820" s="64">
        <f>16.7563 * CHOOSE(CONTROL!$C$22, $C$13, 100%, $E$13)</f>
        <v>16.7563</v>
      </c>
    </row>
    <row r="821" spans="1:11" ht="15">
      <c r="A821" s="13">
        <v>66628</v>
      </c>
      <c r="B821" s="63">
        <f>14.1231 * CHOOSE(CONTROL!$C$22, $C$13, 100%, $E$13)</f>
        <v>14.123100000000001</v>
      </c>
      <c r="C821" s="63">
        <f>14.1231 * CHOOSE(CONTROL!$C$22, $C$13, 100%, $E$13)</f>
        <v>14.123100000000001</v>
      </c>
      <c r="D821" s="63">
        <f>14.1584 * CHOOSE(CONTROL!$C$22, $C$13, 100%, $E$13)</f>
        <v>14.1584</v>
      </c>
      <c r="E821" s="64">
        <f>16.7007 * CHOOSE(CONTROL!$C$22, $C$13, 100%, $E$13)</f>
        <v>16.700700000000001</v>
      </c>
      <c r="F821" s="64">
        <f>16.7007 * CHOOSE(CONTROL!$C$22, $C$13, 100%, $E$13)</f>
        <v>16.700700000000001</v>
      </c>
      <c r="G821" s="64">
        <f>16.7029 * CHOOSE(CONTROL!$C$22, $C$13, 100%, $E$13)</f>
        <v>16.7029</v>
      </c>
      <c r="H821" s="64">
        <f>27.2783* CHOOSE(CONTROL!$C$22, $C$13, 100%, $E$13)</f>
        <v>27.278300000000002</v>
      </c>
      <c r="I821" s="64">
        <f>27.2805 * CHOOSE(CONTROL!$C$22, $C$13, 100%, $E$13)</f>
        <v>27.2805</v>
      </c>
      <c r="J821" s="64">
        <f>16.7007 * CHOOSE(CONTROL!$C$22, $C$13, 100%, $E$13)</f>
        <v>16.700700000000001</v>
      </c>
      <c r="K821" s="64">
        <f>16.7029 * CHOOSE(CONTROL!$C$22, $C$13, 100%, $E$13)</f>
        <v>16.7029</v>
      </c>
    </row>
    <row r="822" spans="1:11" ht="15">
      <c r="A822" s="13">
        <v>66658</v>
      </c>
      <c r="B822" s="63">
        <f>14.3448 * CHOOSE(CONTROL!$C$22, $C$13, 100%, $E$13)</f>
        <v>14.344799999999999</v>
      </c>
      <c r="C822" s="63">
        <f>14.3448 * CHOOSE(CONTROL!$C$22, $C$13, 100%, $E$13)</f>
        <v>14.344799999999999</v>
      </c>
      <c r="D822" s="63">
        <f>14.3801 * CHOOSE(CONTROL!$C$22, $C$13, 100%, $E$13)</f>
        <v>14.380100000000001</v>
      </c>
      <c r="E822" s="64">
        <f>17.0188 * CHOOSE(CONTROL!$C$22, $C$13, 100%, $E$13)</f>
        <v>17.018799999999999</v>
      </c>
      <c r="F822" s="64">
        <f>17.0188 * CHOOSE(CONTROL!$C$22, $C$13, 100%, $E$13)</f>
        <v>17.018799999999999</v>
      </c>
      <c r="G822" s="64">
        <f>17.021 * CHOOSE(CONTROL!$C$22, $C$13, 100%, $E$13)</f>
        <v>17.021000000000001</v>
      </c>
      <c r="H822" s="64">
        <f>27.3351* CHOOSE(CONTROL!$C$22, $C$13, 100%, $E$13)</f>
        <v>27.335100000000001</v>
      </c>
      <c r="I822" s="64">
        <f>27.3373 * CHOOSE(CONTROL!$C$22, $C$13, 100%, $E$13)</f>
        <v>27.337299999999999</v>
      </c>
      <c r="J822" s="64">
        <f>17.0188 * CHOOSE(CONTROL!$C$22, $C$13, 100%, $E$13)</f>
        <v>17.018799999999999</v>
      </c>
      <c r="K822" s="64">
        <f>17.021 * CHOOSE(CONTROL!$C$22, $C$13, 100%, $E$13)</f>
        <v>17.021000000000001</v>
      </c>
    </row>
    <row r="823" spans="1:11" ht="15">
      <c r="A823" s="13">
        <v>66689</v>
      </c>
      <c r="B823" s="63">
        <f>14.3515 * CHOOSE(CONTROL!$C$22, $C$13, 100%, $E$13)</f>
        <v>14.3515</v>
      </c>
      <c r="C823" s="63">
        <f>14.3515 * CHOOSE(CONTROL!$C$22, $C$13, 100%, $E$13)</f>
        <v>14.3515</v>
      </c>
      <c r="D823" s="63">
        <f>14.3868 * CHOOSE(CONTROL!$C$22, $C$13, 100%, $E$13)</f>
        <v>14.386799999999999</v>
      </c>
      <c r="E823" s="64">
        <f>16.8506 * CHOOSE(CONTROL!$C$22, $C$13, 100%, $E$13)</f>
        <v>16.8506</v>
      </c>
      <c r="F823" s="64">
        <f>16.8506 * CHOOSE(CONTROL!$C$22, $C$13, 100%, $E$13)</f>
        <v>16.8506</v>
      </c>
      <c r="G823" s="64">
        <f>16.8527 * CHOOSE(CONTROL!$C$22, $C$13, 100%, $E$13)</f>
        <v>16.852699999999999</v>
      </c>
      <c r="H823" s="64">
        <f>27.3921* CHOOSE(CONTROL!$C$22, $C$13, 100%, $E$13)</f>
        <v>27.392099999999999</v>
      </c>
      <c r="I823" s="64">
        <f>27.3943 * CHOOSE(CONTROL!$C$22, $C$13, 100%, $E$13)</f>
        <v>27.394300000000001</v>
      </c>
      <c r="J823" s="64">
        <f>16.8506 * CHOOSE(CONTROL!$C$22, $C$13, 100%, $E$13)</f>
        <v>16.8506</v>
      </c>
      <c r="K823" s="64">
        <f>16.8527 * CHOOSE(CONTROL!$C$22, $C$13, 100%, $E$13)</f>
        <v>16.852699999999999</v>
      </c>
    </row>
    <row r="824" spans="1:11" ht="15">
      <c r="A824" s="13">
        <v>66720</v>
      </c>
      <c r="B824" s="63">
        <f>14.3484 * CHOOSE(CONTROL!$C$22, $C$13, 100%, $E$13)</f>
        <v>14.3484</v>
      </c>
      <c r="C824" s="63">
        <f>14.3484 * CHOOSE(CONTROL!$C$22, $C$13, 100%, $E$13)</f>
        <v>14.3484</v>
      </c>
      <c r="D824" s="63">
        <f>14.3838 * CHOOSE(CONTROL!$C$22, $C$13, 100%, $E$13)</f>
        <v>14.383800000000001</v>
      </c>
      <c r="E824" s="64">
        <f>16.8292 * CHOOSE(CONTROL!$C$22, $C$13, 100%, $E$13)</f>
        <v>16.8292</v>
      </c>
      <c r="F824" s="64">
        <f>16.8292 * CHOOSE(CONTROL!$C$22, $C$13, 100%, $E$13)</f>
        <v>16.8292</v>
      </c>
      <c r="G824" s="64">
        <f>16.8314 * CHOOSE(CONTROL!$C$22, $C$13, 100%, $E$13)</f>
        <v>16.831399999999999</v>
      </c>
      <c r="H824" s="64">
        <f>27.4491* CHOOSE(CONTROL!$C$22, $C$13, 100%, $E$13)</f>
        <v>27.449100000000001</v>
      </c>
      <c r="I824" s="64">
        <f>27.4513 * CHOOSE(CONTROL!$C$22, $C$13, 100%, $E$13)</f>
        <v>27.4513</v>
      </c>
      <c r="J824" s="64">
        <f>16.8292 * CHOOSE(CONTROL!$C$22, $C$13, 100%, $E$13)</f>
        <v>16.8292</v>
      </c>
      <c r="K824" s="64">
        <f>16.8314 * CHOOSE(CONTROL!$C$22, $C$13, 100%, $E$13)</f>
        <v>16.831399999999999</v>
      </c>
    </row>
    <row r="825" spans="1:11" ht="15">
      <c r="A825" s="13">
        <v>66750</v>
      </c>
      <c r="B825" s="63">
        <f>14.3775 * CHOOSE(CONTROL!$C$22, $C$13, 100%, $E$13)</f>
        <v>14.3775</v>
      </c>
      <c r="C825" s="63">
        <f>14.3775 * CHOOSE(CONTROL!$C$22, $C$13, 100%, $E$13)</f>
        <v>14.3775</v>
      </c>
      <c r="D825" s="63">
        <f>14.3951 * CHOOSE(CONTROL!$C$22, $C$13, 100%, $E$13)</f>
        <v>14.395099999999999</v>
      </c>
      <c r="E825" s="64">
        <f>16.8927 * CHOOSE(CONTROL!$C$22, $C$13, 100%, $E$13)</f>
        <v>16.892700000000001</v>
      </c>
      <c r="F825" s="64">
        <f>16.8927 * CHOOSE(CONTROL!$C$22, $C$13, 100%, $E$13)</f>
        <v>16.892700000000001</v>
      </c>
      <c r="G825" s="64">
        <f>16.8928 * CHOOSE(CONTROL!$C$22, $C$13, 100%, $E$13)</f>
        <v>16.892800000000001</v>
      </c>
      <c r="H825" s="64">
        <f>27.5063* CHOOSE(CONTROL!$C$22, $C$13, 100%, $E$13)</f>
        <v>27.5063</v>
      </c>
      <c r="I825" s="64">
        <f>27.5065 * CHOOSE(CONTROL!$C$22, $C$13, 100%, $E$13)</f>
        <v>27.506499999999999</v>
      </c>
      <c r="J825" s="64">
        <f>16.8927 * CHOOSE(CONTROL!$C$22, $C$13, 100%, $E$13)</f>
        <v>16.892700000000001</v>
      </c>
      <c r="K825" s="64">
        <f>16.8928 * CHOOSE(CONTROL!$C$22, $C$13, 100%, $E$13)</f>
        <v>16.892800000000001</v>
      </c>
    </row>
    <row r="826" spans="1:11" ht="15">
      <c r="A826" s="13">
        <v>66781</v>
      </c>
      <c r="B826" s="63">
        <f>14.3805 * CHOOSE(CONTROL!$C$22, $C$13, 100%, $E$13)</f>
        <v>14.3805</v>
      </c>
      <c r="C826" s="63">
        <f>14.3805 * CHOOSE(CONTROL!$C$22, $C$13, 100%, $E$13)</f>
        <v>14.3805</v>
      </c>
      <c r="D826" s="63">
        <f>14.3982 * CHOOSE(CONTROL!$C$22, $C$13, 100%, $E$13)</f>
        <v>14.398199999999999</v>
      </c>
      <c r="E826" s="64">
        <f>16.9332 * CHOOSE(CONTROL!$C$22, $C$13, 100%, $E$13)</f>
        <v>16.933199999999999</v>
      </c>
      <c r="F826" s="64">
        <f>16.9332 * CHOOSE(CONTROL!$C$22, $C$13, 100%, $E$13)</f>
        <v>16.933199999999999</v>
      </c>
      <c r="G826" s="64">
        <f>16.9334 * CHOOSE(CONTROL!$C$22, $C$13, 100%, $E$13)</f>
        <v>16.933399999999999</v>
      </c>
      <c r="H826" s="64">
        <f>27.5636* CHOOSE(CONTROL!$C$22, $C$13, 100%, $E$13)</f>
        <v>27.563600000000001</v>
      </c>
      <c r="I826" s="64">
        <f>27.5638 * CHOOSE(CONTROL!$C$22, $C$13, 100%, $E$13)</f>
        <v>27.563800000000001</v>
      </c>
      <c r="J826" s="64">
        <f>16.9332 * CHOOSE(CONTROL!$C$22, $C$13, 100%, $E$13)</f>
        <v>16.933199999999999</v>
      </c>
      <c r="K826" s="64">
        <f>16.9334 * CHOOSE(CONTROL!$C$22, $C$13, 100%, $E$13)</f>
        <v>16.933399999999999</v>
      </c>
    </row>
    <row r="827" spans="1:11" ht="15">
      <c r="A827" s="13">
        <v>66811</v>
      </c>
      <c r="B827" s="63">
        <f>14.3805 * CHOOSE(CONTROL!$C$22, $C$13, 100%, $E$13)</f>
        <v>14.3805</v>
      </c>
      <c r="C827" s="63">
        <f>14.3805 * CHOOSE(CONTROL!$C$22, $C$13, 100%, $E$13)</f>
        <v>14.3805</v>
      </c>
      <c r="D827" s="63">
        <f>14.3982 * CHOOSE(CONTROL!$C$22, $C$13, 100%, $E$13)</f>
        <v>14.398199999999999</v>
      </c>
      <c r="E827" s="64">
        <f>16.8371 * CHOOSE(CONTROL!$C$22, $C$13, 100%, $E$13)</f>
        <v>16.8371</v>
      </c>
      <c r="F827" s="64">
        <f>16.8371 * CHOOSE(CONTROL!$C$22, $C$13, 100%, $E$13)</f>
        <v>16.8371</v>
      </c>
      <c r="G827" s="64">
        <f>16.8373 * CHOOSE(CONTROL!$C$22, $C$13, 100%, $E$13)</f>
        <v>16.837299999999999</v>
      </c>
      <c r="H827" s="64">
        <f>27.6211* CHOOSE(CONTROL!$C$22, $C$13, 100%, $E$13)</f>
        <v>27.621099999999998</v>
      </c>
      <c r="I827" s="64">
        <f>27.6212 * CHOOSE(CONTROL!$C$22, $C$13, 100%, $E$13)</f>
        <v>27.621200000000002</v>
      </c>
      <c r="J827" s="64">
        <f>16.8371 * CHOOSE(CONTROL!$C$22, $C$13, 100%, $E$13)</f>
        <v>16.8371</v>
      </c>
      <c r="K827" s="64">
        <f>16.8373 * CHOOSE(CONTROL!$C$22, $C$13, 100%, $E$13)</f>
        <v>16.837299999999999</v>
      </c>
    </row>
    <row r="828" spans="1:11" ht="15">
      <c r="A828" s="13">
        <v>66842</v>
      </c>
      <c r="B828" s="63">
        <f>14.3621 * CHOOSE(CONTROL!$C$22, $C$13, 100%, $E$13)</f>
        <v>14.3621</v>
      </c>
      <c r="C828" s="63">
        <f>14.3621 * CHOOSE(CONTROL!$C$22, $C$13, 100%, $E$13)</f>
        <v>14.3621</v>
      </c>
      <c r="D828" s="63">
        <f>14.3798 * CHOOSE(CONTROL!$C$22, $C$13, 100%, $E$13)</f>
        <v>14.379799999999999</v>
      </c>
      <c r="E828" s="64">
        <f>16.8821 * CHOOSE(CONTROL!$C$22, $C$13, 100%, $E$13)</f>
        <v>16.882100000000001</v>
      </c>
      <c r="F828" s="64">
        <f>16.8821 * CHOOSE(CONTROL!$C$22, $C$13, 100%, $E$13)</f>
        <v>16.882100000000001</v>
      </c>
      <c r="G828" s="64">
        <f>16.8822 * CHOOSE(CONTROL!$C$22, $C$13, 100%, $E$13)</f>
        <v>16.882200000000001</v>
      </c>
      <c r="H828" s="64">
        <f>27.4418* CHOOSE(CONTROL!$C$22, $C$13, 100%, $E$13)</f>
        <v>27.441800000000001</v>
      </c>
      <c r="I828" s="64">
        <f>27.442 * CHOOSE(CONTROL!$C$22, $C$13, 100%, $E$13)</f>
        <v>27.442</v>
      </c>
      <c r="J828" s="64">
        <f>16.8821 * CHOOSE(CONTROL!$C$22, $C$13, 100%, $E$13)</f>
        <v>16.882100000000001</v>
      </c>
      <c r="K828" s="64">
        <f>16.8822 * CHOOSE(CONTROL!$C$22, $C$13, 100%, $E$13)</f>
        <v>16.882200000000001</v>
      </c>
    </row>
    <row r="829" spans="1:11" ht="15">
      <c r="A829" s="13">
        <v>66873</v>
      </c>
      <c r="B829" s="63">
        <f>14.3591 * CHOOSE(CONTROL!$C$22, $C$13, 100%, $E$13)</f>
        <v>14.3591</v>
      </c>
      <c r="C829" s="63">
        <f>14.3591 * CHOOSE(CONTROL!$C$22, $C$13, 100%, $E$13)</f>
        <v>14.3591</v>
      </c>
      <c r="D829" s="63">
        <f>14.3768 * CHOOSE(CONTROL!$C$22, $C$13, 100%, $E$13)</f>
        <v>14.376799999999999</v>
      </c>
      <c r="E829" s="64">
        <f>16.6952 * CHOOSE(CONTROL!$C$22, $C$13, 100%, $E$13)</f>
        <v>16.6952</v>
      </c>
      <c r="F829" s="64">
        <f>16.6952 * CHOOSE(CONTROL!$C$22, $C$13, 100%, $E$13)</f>
        <v>16.6952</v>
      </c>
      <c r="G829" s="64">
        <f>16.6954 * CHOOSE(CONTROL!$C$22, $C$13, 100%, $E$13)</f>
        <v>16.695399999999999</v>
      </c>
      <c r="H829" s="64">
        <f>27.499* CHOOSE(CONTROL!$C$22, $C$13, 100%, $E$13)</f>
        <v>27.498999999999999</v>
      </c>
      <c r="I829" s="64">
        <f>27.4992 * CHOOSE(CONTROL!$C$22, $C$13, 100%, $E$13)</f>
        <v>27.499199999999998</v>
      </c>
      <c r="J829" s="64">
        <f>16.6952 * CHOOSE(CONTROL!$C$22, $C$13, 100%, $E$13)</f>
        <v>16.6952</v>
      </c>
      <c r="K829" s="64">
        <f>16.6954 * CHOOSE(CONTROL!$C$22, $C$13, 100%, $E$13)</f>
        <v>16.695399999999999</v>
      </c>
    </row>
    <row r="830" spans="1:11" ht="15">
      <c r="A830" s="13">
        <v>66901</v>
      </c>
      <c r="B830" s="63">
        <f>14.3561 * CHOOSE(CONTROL!$C$22, $C$13, 100%, $E$13)</f>
        <v>14.3561</v>
      </c>
      <c r="C830" s="63">
        <f>14.3561 * CHOOSE(CONTROL!$C$22, $C$13, 100%, $E$13)</f>
        <v>14.3561</v>
      </c>
      <c r="D830" s="63">
        <f>14.3737 * CHOOSE(CONTROL!$C$22, $C$13, 100%, $E$13)</f>
        <v>14.373699999999999</v>
      </c>
      <c r="E830" s="64">
        <f>16.8387 * CHOOSE(CONTROL!$C$22, $C$13, 100%, $E$13)</f>
        <v>16.838699999999999</v>
      </c>
      <c r="F830" s="64">
        <f>16.8387 * CHOOSE(CONTROL!$C$22, $C$13, 100%, $E$13)</f>
        <v>16.838699999999999</v>
      </c>
      <c r="G830" s="64">
        <f>16.8389 * CHOOSE(CONTROL!$C$22, $C$13, 100%, $E$13)</f>
        <v>16.838899999999999</v>
      </c>
      <c r="H830" s="64">
        <f>27.5563* CHOOSE(CONTROL!$C$22, $C$13, 100%, $E$13)</f>
        <v>27.5563</v>
      </c>
      <c r="I830" s="64">
        <f>27.5564 * CHOOSE(CONTROL!$C$22, $C$13, 100%, $E$13)</f>
        <v>27.5564</v>
      </c>
      <c r="J830" s="64">
        <f>16.8387 * CHOOSE(CONTROL!$C$22, $C$13, 100%, $E$13)</f>
        <v>16.838699999999999</v>
      </c>
      <c r="K830" s="64">
        <f>16.8389 * CHOOSE(CONTROL!$C$22, $C$13, 100%, $E$13)</f>
        <v>16.838899999999999</v>
      </c>
    </row>
    <row r="831" spans="1:11" ht="15">
      <c r="A831" s="13">
        <v>66932</v>
      </c>
      <c r="B831" s="63">
        <f>14.3625 * CHOOSE(CONTROL!$C$22, $C$13, 100%, $E$13)</f>
        <v>14.362500000000001</v>
      </c>
      <c r="C831" s="63">
        <f>14.3625 * CHOOSE(CONTROL!$C$22, $C$13, 100%, $E$13)</f>
        <v>14.362500000000001</v>
      </c>
      <c r="D831" s="63">
        <f>14.3802 * CHOOSE(CONTROL!$C$22, $C$13, 100%, $E$13)</f>
        <v>14.3802</v>
      </c>
      <c r="E831" s="64">
        <f>16.9909 * CHOOSE(CONTROL!$C$22, $C$13, 100%, $E$13)</f>
        <v>16.9909</v>
      </c>
      <c r="F831" s="64">
        <f>16.9909 * CHOOSE(CONTROL!$C$22, $C$13, 100%, $E$13)</f>
        <v>16.9909</v>
      </c>
      <c r="G831" s="64">
        <f>16.9911 * CHOOSE(CONTROL!$C$22, $C$13, 100%, $E$13)</f>
        <v>16.991099999999999</v>
      </c>
      <c r="H831" s="64">
        <f>27.6137* CHOOSE(CONTROL!$C$22, $C$13, 100%, $E$13)</f>
        <v>27.613700000000001</v>
      </c>
      <c r="I831" s="64">
        <f>27.6138 * CHOOSE(CONTROL!$C$22, $C$13, 100%, $E$13)</f>
        <v>27.613800000000001</v>
      </c>
      <c r="J831" s="64">
        <f>16.9909 * CHOOSE(CONTROL!$C$22, $C$13, 100%, $E$13)</f>
        <v>16.9909</v>
      </c>
      <c r="K831" s="64">
        <f>16.9911 * CHOOSE(CONTROL!$C$22, $C$13, 100%, $E$13)</f>
        <v>16.991099999999999</v>
      </c>
    </row>
    <row r="832" spans="1:11" ht="15">
      <c r="A832" s="13">
        <v>66962</v>
      </c>
      <c r="B832" s="63">
        <f>14.3625 * CHOOSE(CONTROL!$C$22, $C$13, 100%, $E$13)</f>
        <v>14.362500000000001</v>
      </c>
      <c r="C832" s="63">
        <f>14.3625 * CHOOSE(CONTROL!$C$22, $C$13, 100%, $E$13)</f>
        <v>14.362500000000001</v>
      </c>
      <c r="D832" s="63">
        <f>14.3979 * CHOOSE(CONTROL!$C$22, $C$13, 100%, $E$13)</f>
        <v>14.3979</v>
      </c>
      <c r="E832" s="64">
        <f>17.0496 * CHOOSE(CONTROL!$C$22, $C$13, 100%, $E$13)</f>
        <v>17.049600000000002</v>
      </c>
      <c r="F832" s="64">
        <f>17.0496 * CHOOSE(CONTROL!$C$22, $C$13, 100%, $E$13)</f>
        <v>17.049600000000002</v>
      </c>
      <c r="G832" s="64">
        <f>17.0517 * CHOOSE(CONTROL!$C$22, $C$13, 100%, $E$13)</f>
        <v>17.0517</v>
      </c>
      <c r="H832" s="64">
        <f>27.6712* CHOOSE(CONTROL!$C$22, $C$13, 100%, $E$13)</f>
        <v>27.671199999999999</v>
      </c>
      <c r="I832" s="64">
        <f>27.6734 * CHOOSE(CONTROL!$C$22, $C$13, 100%, $E$13)</f>
        <v>27.673400000000001</v>
      </c>
      <c r="J832" s="64">
        <f>17.0496 * CHOOSE(CONTROL!$C$22, $C$13, 100%, $E$13)</f>
        <v>17.049600000000002</v>
      </c>
      <c r="K832" s="64">
        <f>17.0517 * CHOOSE(CONTROL!$C$22, $C$13, 100%, $E$13)</f>
        <v>17.0517</v>
      </c>
    </row>
    <row r="833" spans="1:11" ht="15">
      <c r="A833" s="13">
        <v>66993</v>
      </c>
      <c r="B833" s="63">
        <f>14.3686 * CHOOSE(CONTROL!$C$22, $C$13, 100%, $E$13)</f>
        <v>14.368600000000001</v>
      </c>
      <c r="C833" s="63">
        <f>14.3686 * CHOOSE(CONTROL!$C$22, $C$13, 100%, $E$13)</f>
        <v>14.368600000000001</v>
      </c>
      <c r="D833" s="63">
        <f>14.4039 * CHOOSE(CONTROL!$C$22, $C$13, 100%, $E$13)</f>
        <v>14.4039</v>
      </c>
      <c r="E833" s="64">
        <f>16.9951 * CHOOSE(CONTROL!$C$22, $C$13, 100%, $E$13)</f>
        <v>16.995100000000001</v>
      </c>
      <c r="F833" s="64">
        <f>16.9951 * CHOOSE(CONTROL!$C$22, $C$13, 100%, $E$13)</f>
        <v>16.995100000000001</v>
      </c>
      <c r="G833" s="64">
        <f>16.9973 * CHOOSE(CONTROL!$C$22, $C$13, 100%, $E$13)</f>
        <v>16.997299999999999</v>
      </c>
      <c r="H833" s="64">
        <f>27.7288* CHOOSE(CONTROL!$C$22, $C$13, 100%, $E$13)</f>
        <v>27.7288</v>
      </c>
      <c r="I833" s="64">
        <f>27.731 * CHOOSE(CONTROL!$C$22, $C$13, 100%, $E$13)</f>
        <v>27.731000000000002</v>
      </c>
      <c r="J833" s="64">
        <f>16.9951 * CHOOSE(CONTROL!$C$22, $C$13, 100%, $E$13)</f>
        <v>16.995100000000001</v>
      </c>
      <c r="K833" s="64">
        <f>16.9973 * CHOOSE(CONTROL!$C$22, $C$13, 100%, $E$13)</f>
        <v>16.997299999999999</v>
      </c>
    </row>
    <row r="834" spans="1:11" ht="15">
      <c r="A834" s="13">
        <v>67023</v>
      </c>
      <c r="B834" s="63">
        <f>14.594 * CHOOSE(CONTROL!$C$22, $C$13, 100%, $E$13)</f>
        <v>14.593999999999999</v>
      </c>
      <c r="C834" s="63">
        <f>14.594 * CHOOSE(CONTROL!$C$22, $C$13, 100%, $E$13)</f>
        <v>14.593999999999999</v>
      </c>
      <c r="D834" s="63">
        <f>14.6293 * CHOOSE(CONTROL!$C$22, $C$13, 100%, $E$13)</f>
        <v>14.629300000000001</v>
      </c>
      <c r="E834" s="64">
        <f>17.3187 * CHOOSE(CONTROL!$C$22, $C$13, 100%, $E$13)</f>
        <v>17.3187</v>
      </c>
      <c r="F834" s="64">
        <f>17.3187 * CHOOSE(CONTROL!$C$22, $C$13, 100%, $E$13)</f>
        <v>17.3187</v>
      </c>
      <c r="G834" s="64">
        <f>17.3209 * CHOOSE(CONTROL!$C$22, $C$13, 100%, $E$13)</f>
        <v>17.320900000000002</v>
      </c>
      <c r="H834" s="64">
        <f>27.7866* CHOOSE(CONTROL!$C$22, $C$13, 100%, $E$13)</f>
        <v>27.7866</v>
      </c>
      <c r="I834" s="64">
        <f>27.7888 * CHOOSE(CONTROL!$C$22, $C$13, 100%, $E$13)</f>
        <v>27.788799999999998</v>
      </c>
      <c r="J834" s="64">
        <f>17.3187 * CHOOSE(CONTROL!$C$22, $C$13, 100%, $E$13)</f>
        <v>17.3187</v>
      </c>
      <c r="K834" s="64">
        <f>17.3209 * CHOOSE(CONTROL!$C$22, $C$13, 100%, $E$13)</f>
        <v>17.320900000000002</v>
      </c>
    </row>
    <row r="835" spans="1:11" ht="15">
      <c r="A835" s="13">
        <v>67054</v>
      </c>
      <c r="B835" s="63">
        <f>14.6007 * CHOOSE(CONTROL!$C$22, $C$13, 100%, $E$13)</f>
        <v>14.6007</v>
      </c>
      <c r="C835" s="63">
        <f>14.6007 * CHOOSE(CONTROL!$C$22, $C$13, 100%, $E$13)</f>
        <v>14.6007</v>
      </c>
      <c r="D835" s="63">
        <f>14.636 * CHOOSE(CONTROL!$C$22, $C$13, 100%, $E$13)</f>
        <v>14.635999999999999</v>
      </c>
      <c r="E835" s="64">
        <f>17.1474 * CHOOSE(CONTROL!$C$22, $C$13, 100%, $E$13)</f>
        <v>17.147400000000001</v>
      </c>
      <c r="F835" s="64">
        <f>17.1474 * CHOOSE(CONTROL!$C$22, $C$13, 100%, $E$13)</f>
        <v>17.147400000000001</v>
      </c>
      <c r="G835" s="64">
        <f>17.1496 * CHOOSE(CONTROL!$C$22, $C$13, 100%, $E$13)</f>
        <v>17.1496</v>
      </c>
      <c r="H835" s="64">
        <f>27.8445* CHOOSE(CONTROL!$C$22, $C$13, 100%, $E$13)</f>
        <v>27.8445</v>
      </c>
      <c r="I835" s="64">
        <f>27.8467 * CHOOSE(CONTROL!$C$22, $C$13, 100%, $E$13)</f>
        <v>27.846699999999998</v>
      </c>
      <c r="J835" s="64">
        <f>17.1474 * CHOOSE(CONTROL!$C$22, $C$13, 100%, $E$13)</f>
        <v>17.147400000000001</v>
      </c>
      <c r="K835" s="64">
        <f>17.1496 * CHOOSE(CONTROL!$C$22, $C$13, 100%, $E$13)</f>
        <v>17.1496</v>
      </c>
    </row>
    <row r="836" spans="1:11" ht="15">
      <c r="A836" s="13">
        <v>67085</v>
      </c>
      <c r="B836" s="63">
        <f>14.5977 * CHOOSE(CONTROL!$C$22, $C$13, 100%, $E$13)</f>
        <v>14.5977</v>
      </c>
      <c r="C836" s="63">
        <f>14.5977 * CHOOSE(CONTROL!$C$22, $C$13, 100%, $E$13)</f>
        <v>14.5977</v>
      </c>
      <c r="D836" s="63">
        <f>14.633 * CHOOSE(CONTROL!$C$22, $C$13, 100%, $E$13)</f>
        <v>14.632999999999999</v>
      </c>
      <c r="E836" s="64">
        <f>17.1257 * CHOOSE(CONTROL!$C$22, $C$13, 100%, $E$13)</f>
        <v>17.125699999999998</v>
      </c>
      <c r="F836" s="64">
        <f>17.1257 * CHOOSE(CONTROL!$C$22, $C$13, 100%, $E$13)</f>
        <v>17.125699999999998</v>
      </c>
      <c r="G836" s="64">
        <f>17.1279 * CHOOSE(CONTROL!$C$22, $C$13, 100%, $E$13)</f>
        <v>17.1279</v>
      </c>
      <c r="H836" s="64">
        <f>27.9025* CHOOSE(CONTROL!$C$22, $C$13, 100%, $E$13)</f>
        <v>27.9025</v>
      </c>
      <c r="I836" s="64">
        <f>27.9047 * CHOOSE(CONTROL!$C$22, $C$13, 100%, $E$13)</f>
        <v>27.904699999999998</v>
      </c>
      <c r="J836" s="64">
        <f>17.1257 * CHOOSE(CONTROL!$C$22, $C$13, 100%, $E$13)</f>
        <v>17.125699999999998</v>
      </c>
      <c r="K836" s="64">
        <f>17.1279 * CHOOSE(CONTROL!$C$22, $C$13, 100%, $E$13)</f>
        <v>17.1279</v>
      </c>
    </row>
    <row r="837" spans="1:11" ht="15">
      <c r="A837" s="13">
        <v>67115</v>
      </c>
      <c r="B837" s="63">
        <f>14.6275 * CHOOSE(CONTROL!$C$22, $C$13, 100%, $E$13)</f>
        <v>14.6275</v>
      </c>
      <c r="C837" s="63">
        <f>14.6275 * CHOOSE(CONTROL!$C$22, $C$13, 100%, $E$13)</f>
        <v>14.6275</v>
      </c>
      <c r="D837" s="63">
        <f>14.6452 * CHOOSE(CONTROL!$C$22, $C$13, 100%, $E$13)</f>
        <v>14.645200000000001</v>
      </c>
      <c r="E837" s="64">
        <f>17.1905 * CHOOSE(CONTROL!$C$22, $C$13, 100%, $E$13)</f>
        <v>17.1905</v>
      </c>
      <c r="F837" s="64">
        <f>17.1905 * CHOOSE(CONTROL!$C$22, $C$13, 100%, $E$13)</f>
        <v>17.1905</v>
      </c>
      <c r="G837" s="64">
        <f>17.1907 * CHOOSE(CONTROL!$C$22, $C$13, 100%, $E$13)</f>
        <v>17.1907</v>
      </c>
      <c r="H837" s="64">
        <f>27.9606* CHOOSE(CONTROL!$C$22, $C$13, 100%, $E$13)</f>
        <v>27.960599999999999</v>
      </c>
      <c r="I837" s="64">
        <f>27.9608 * CHOOSE(CONTROL!$C$22, $C$13, 100%, $E$13)</f>
        <v>27.960799999999999</v>
      </c>
      <c r="J837" s="64">
        <f>17.1905 * CHOOSE(CONTROL!$C$22, $C$13, 100%, $E$13)</f>
        <v>17.1905</v>
      </c>
      <c r="K837" s="64">
        <f>17.1907 * CHOOSE(CONTROL!$C$22, $C$13, 100%, $E$13)</f>
        <v>17.1907</v>
      </c>
    </row>
    <row r="838" spans="1:11" ht="15">
      <c r="A838" s="13">
        <v>67146</v>
      </c>
      <c r="B838" s="63">
        <f>14.6305 * CHOOSE(CONTROL!$C$22, $C$13, 100%, $E$13)</f>
        <v>14.6305</v>
      </c>
      <c r="C838" s="63">
        <f>14.6305 * CHOOSE(CONTROL!$C$22, $C$13, 100%, $E$13)</f>
        <v>14.6305</v>
      </c>
      <c r="D838" s="63">
        <f>14.6482 * CHOOSE(CONTROL!$C$22, $C$13, 100%, $E$13)</f>
        <v>14.648199999999999</v>
      </c>
      <c r="E838" s="64">
        <f>17.2317 * CHOOSE(CONTROL!$C$22, $C$13, 100%, $E$13)</f>
        <v>17.2317</v>
      </c>
      <c r="F838" s="64">
        <f>17.2317 * CHOOSE(CONTROL!$C$22, $C$13, 100%, $E$13)</f>
        <v>17.2317</v>
      </c>
      <c r="G838" s="64">
        <f>17.2319 * CHOOSE(CONTROL!$C$22, $C$13, 100%, $E$13)</f>
        <v>17.2319</v>
      </c>
      <c r="H838" s="64">
        <f>28.0189* CHOOSE(CONTROL!$C$22, $C$13, 100%, $E$13)</f>
        <v>28.018899999999999</v>
      </c>
      <c r="I838" s="64">
        <f>28.0191 * CHOOSE(CONTROL!$C$22, $C$13, 100%, $E$13)</f>
        <v>28.019100000000002</v>
      </c>
      <c r="J838" s="64">
        <f>17.2317 * CHOOSE(CONTROL!$C$22, $C$13, 100%, $E$13)</f>
        <v>17.2317</v>
      </c>
      <c r="K838" s="64">
        <f>17.2319 * CHOOSE(CONTROL!$C$22, $C$13, 100%, $E$13)</f>
        <v>17.2319</v>
      </c>
    </row>
    <row r="839" spans="1:11" ht="15">
      <c r="A839" s="13">
        <v>67176</v>
      </c>
      <c r="B839" s="63">
        <f>14.6305 * CHOOSE(CONTROL!$C$22, $C$13, 100%, $E$13)</f>
        <v>14.6305</v>
      </c>
      <c r="C839" s="63">
        <f>14.6305 * CHOOSE(CONTROL!$C$22, $C$13, 100%, $E$13)</f>
        <v>14.6305</v>
      </c>
      <c r="D839" s="63">
        <f>14.6482 * CHOOSE(CONTROL!$C$22, $C$13, 100%, $E$13)</f>
        <v>14.648199999999999</v>
      </c>
      <c r="E839" s="64">
        <f>17.134 * CHOOSE(CONTROL!$C$22, $C$13, 100%, $E$13)</f>
        <v>17.134</v>
      </c>
      <c r="F839" s="64">
        <f>17.134 * CHOOSE(CONTROL!$C$22, $C$13, 100%, $E$13)</f>
        <v>17.134</v>
      </c>
      <c r="G839" s="64">
        <f>17.1342 * CHOOSE(CONTROL!$C$22, $C$13, 100%, $E$13)</f>
        <v>17.1342</v>
      </c>
      <c r="H839" s="64">
        <f>28.0773* CHOOSE(CONTROL!$C$22, $C$13, 100%, $E$13)</f>
        <v>28.077300000000001</v>
      </c>
      <c r="I839" s="64">
        <f>28.0774 * CHOOSE(CONTROL!$C$22, $C$13, 100%, $E$13)</f>
        <v>28.077400000000001</v>
      </c>
      <c r="J839" s="64">
        <f>17.134 * CHOOSE(CONTROL!$C$22, $C$13, 100%, $E$13)</f>
        <v>17.134</v>
      </c>
      <c r="K839" s="64">
        <f>17.1342 * CHOOSE(CONTROL!$C$22, $C$13, 100%, $E$13)</f>
        <v>17.1342</v>
      </c>
    </row>
    <row r="840" spans="1:11" ht="15">
      <c r="A840" s="13">
        <v>67207</v>
      </c>
      <c r="B840" s="63">
        <f>14.6075 * CHOOSE(CONTROL!$C$22, $C$13, 100%, $E$13)</f>
        <v>14.6075</v>
      </c>
      <c r="C840" s="63">
        <f>14.6075 * CHOOSE(CONTROL!$C$22, $C$13, 100%, $E$13)</f>
        <v>14.6075</v>
      </c>
      <c r="D840" s="63">
        <f>14.6251 * CHOOSE(CONTROL!$C$22, $C$13, 100%, $E$13)</f>
        <v>14.6251</v>
      </c>
      <c r="E840" s="64">
        <f>17.1745 * CHOOSE(CONTROL!$C$22, $C$13, 100%, $E$13)</f>
        <v>17.174499999999998</v>
      </c>
      <c r="F840" s="64">
        <f>17.1745 * CHOOSE(CONTROL!$C$22, $C$13, 100%, $E$13)</f>
        <v>17.174499999999998</v>
      </c>
      <c r="G840" s="64">
        <f>17.1747 * CHOOSE(CONTROL!$C$22, $C$13, 100%, $E$13)</f>
        <v>17.174700000000001</v>
      </c>
      <c r="H840" s="64">
        <f>27.8877* CHOOSE(CONTROL!$C$22, $C$13, 100%, $E$13)</f>
        <v>27.887699999999999</v>
      </c>
      <c r="I840" s="64">
        <f>27.8879 * CHOOSE(CONTROL!$C$22, $C$13, 100%, $E$13)</f>
        <v>27.887899999999998</v>
      </c>
      <c r="J840" s="64">
        <f>17.1745 * CHOOSE(CONTROL!$C$22, $C$13, 100%, $E$13)</f>
        <v>17.174499999999998</v>
      </c>
      <c r="K840" s="64">
        <f>17.1747 * CHOOSE(CONTROL!$C$22, $C$13, 100%, $E$13)</f>
        <v>17.174700000000001</v>
      </c>
    </row>
    <row r="841" spans="1:11" ht="15">
      <c r="A841" s="13">
        <v>67238</v>
      </c>
      <c r="B841" s="63">
        <f>14.6044 * CHOOSE(CONTROL!$C$22, $C$13, 100%, $E$13)</f>
        <v>14.6044</v>
      </c>
      <c r="C841" s="63">
        <f>14.6044 * CHOOSE(CONTROL!$C$22, $C$13, 100%, $E$13)</f>
        <v>14.6044</v>
      </c>
      <c r="D841" s="63">
        <f>14.6221 * CHOOSE(CONTROL!$C$22, $C$13, 100%, $E$13)</f>
        <v>14.6221</v>
      </c>
      <c r="E841" s="64">
        <f>16.9844 * CHOOSE(CONTROL!$C$22, $C$13, 100%, $E$13)</f>
        <v>16.984400000000001</v>
      </c>
      <c r="F841" s="64">
        <f>16.9844 * CHOOSE(CONTROL!$C$22, $C$13, 100%, $E$13)</f>
        <v>16.984400000000001</v>
      </c>
      <c r="G841" s="64">
        <f>16.9846 * CHOOSE(CONTROL!$C$22, $C$13, 100%, $E$13)</f>
        <v>16.9846</v>
      </c>
      <c r="H841" s="64">
        <f>27.9458* CHOOSE(CONTROL!$C$22, $C$13, 100%, $E$13)</f>
        <v>27.945799999999998</v>
      </c>
      <c r="I841" s="64">
        <f>27.946 * CHOOSE(CONTROL!$C$22, $C$13, 100%, $E$13)</f>
        <v>27.946000000000002</v>
      </c>
      <c r="J841" s="64">
        <f>16.9844 * CHOOSE(CONTROL!$C$22, $C$13, 100%, $E$13)</f>
        <v>16.984400000000001</v>
      </c>
      <c r="K841" s="64">
        <f>16.9846 * CHOOSE(CONTROL!$C$22, $C$13, 100%, $E$13)</f>
        <v>16.9846</v>
      </c>
    </row>
    <row r="842" spans="1:11" ht="15">
      <c r="A842" s="13">
        <v>67267</v>
      </c>
      <c r="B842" s="63">
        <f>14.6014 * CHOOSE(CONTROL!$C$22, $C$13, 100%, $E$13)</f>
        <v>14.6014</v>
      </c>
      <c r="C842" s="63">
        <f>14.6014 * CHOOSE(CONTROL!$C$22, $C$13, 100%, $E$13)</f>
        <v>14.6014</v>
      </c>
      <c r="D842" s="63">
        <f>14.619 * CHOOSE(CONTROL!$C$22, $C$13, 100%, $E$13)</f>
        <v>14.619</v>
      </c>
      <c r="E842" s="64">
        <f>17.1305 * CHOOSE(CONTROL!$C$22, $C$13, 100%, $E$13)</f>
        <v>17.130500000000001</v>
      </c>
      <c r="F842" s="64">
        <f>17.1305 * CHOOSE(CONTROL!$C$22, $C$13, 100%, $E$13)</f>
        <v>17.130500000000001</v>
      </c>
      <c r="G842" s="64">
        <f>17.1306 * CHOOSE(CONTROL!$C$22, $C$13, 100%, $E$13)</f>
        <v>17.130600000000001</v>
      </c>
      <c r="H842" s="64">
        <f>28.004* CHOOSE(CONTROL!$C$22, $C$13, 100%, $E$13)</f>
        <v>28.004000000000001</v>
      </c>
      <c r="I842" s="64">
        <f>28.0042 * CHOOSE(CONTROL!$C$22, $C$13, 100%, $E$13)</f>
        <v>28.004200000000001</v>
      </c>
      <c r="J842" s="64">
        <f>17.1305 * CHOOSE(CONTROL!$C$22, $C$13, 100%, $E$13)</f>
        <v>17.130500000000001</v>
      </c>
      <c r="K842" s="64">
        <f>17.1306 * CHOOSE(CONTROL!$C$22, $C$13, 100%, $E$13)</f>
        <v>17.130600000000001</v>
      </c>
    </row>
    <row r="843" spans="1:11" ht="15">
      <c r="A843" s="13">
        <v>67298</v>
      </c>
      <c r="B843" s="63">
        <f>14.6081 * CHOOSE(CONTROL!$C$22, $C$13, 100%, $E$13)</f>
        <v>14.6081</v>
      </c>
      <c r="C843" s="63">
        <f>14.6081 * CHOOSE(CONTROL!$C$22, $C$13, 100%, $E$13)</f>
        <v>14.6081</v>
      </c>
      <c r="D843" s="63">
        <f>14.6257 * CHOOSE(CONTROL!$C$22, $C$13, 100%, $E$13)</f>
        <v>14.6257</v>
      </c>
      <c r="E843" s="64">
        <f>17.2854 * CHOOSE(CONTROL!$C$22, $C$13, 100%, $E$13)</f>
        <v>17.285399999999999</v>
      </c>
      <c r="F843" s="64">
        <f>17.2854 * CHOOSE(CONTROL!$C$22, $C$13, 100%, $E$13)</f>
        <v>17.285399999999999</v>
      </c>
      <c r="G843" s="64">
        <f>17.2855 * CHOOSE(CONTROL!$C$22, $C$13, 100%, $E$13)</f>
        <v>17.285499999999999</v>
      </c>
      <c r="H843" s="64">
        <f>28.0624* CHOOSE(CONTROL!$C$22, $C$13, 100%, $E$13)</f>
        <v>28.0624</v>
      </c>
      <c r="I843" s="64">
        <f>28.0625 * CHOOSE(CONTROL!$C$22, $C$13, 100%, $E$13)</f>
        <v>28.0625</v>
      </c>
      <c r="J843" s="64">
        <f>17.2854 * CHOOSE(CONTROL!$C$22, $C$13, 100%, $E$13)</f>
        <v>17.285399999999999</v>
      </c>
      <c r="K843" s="64">
        <f>17.2855 * CHOOSE(CONTROL!$C$22, $C$13, 100%, $E$13)</f>
        <v>17.285499999999999</v>
      </c>
    </row>
    <row r="844" spans="1:11" ht="15">
      <c r="A844" s="13">
        <v>67328</v>
      </c>
      <c r="B844" s="63">
        <f>14.6081 * CHOOSE(CONTROL!$C$22, $C$13, 100%, $E$13)</f>
        <v>14.6081</v>
      </c>
      <c r="C844" s="63">
        <f>14.6081 * CHOOSE(CONTROL!$C$22, $C$13, 100%, $E$13)</f>
        <v>14.6081</v>
      </c>
      <c r="D844" s="63">
        <f>14.6434 * CHOOSE(CONTROL!$C$22, $C$13, 100%, $E$13)</f>
        <v>14.6434</v>
      </c>
      <c r="E844" s="64">
        <f>17.345 * CHOOSE(CONTROL!$C$22, $C$13, 100%, $E$13)</f>
        <v>17.344999999999999</v>
      </c>
      <c r="F844" s="64">
        <f>17.345 * CHOOSE(CONTROL!$C$22, $C$13, 100%, $E$13)</f>
        <v>17.344999999999999</v>
      </c>
      <c r="G844" s="64">
        <f>17.3472 * CHOOSE(CONTROL!$C$22, $C$13, 100%, $E$13)</f>
        <v>17.347200000000001</v>
      </c>
      <c r="H844" s="64">
        <f>28.1208* CHOOSE(CONTROL!$C$22, $C$13, 100%, $E$13)</f>
        <v>28.120799999999999</v>
      </c>
      <c r="I844" s="64">
        <f>28.123 * CHOOSE(CONTROL!$C$22, $C$13, 100%, $E$13)</f>
        <v>28.123000000000001</v>
      </c>
      <c r="J844" s="64">
        <f>17.345 * CHOOSE(CONTROL!$C$22, $C$13, 100%, $E$13)</f>
        <v>17.344999999999999</v>
      </c>
      <c r="K844" s="64">
        <f>17.3472 * CHOOSE(CONTROL!$C$22, $C$13, 100%, $E$13)</f>
        <v>17.347200000000001</v>
      </c>
    </row>
    <row r="845" spans="1:11" ht="15">
      <c r="A845" s="13">
        <v>67359</v>
      </c>
      <c r="B845" s="63">
        <f>14.6142 * CHOOSE(CONTROL!$C$22, $C$13, 100%, $E$13)</f>
        <v>14.6142</v>
      </c>
      <c r="C845" s="63">
        <f>14.6142 * CHOOSE(CONTROL!$C$22, $C$13, 100%, $E$13)</f>
        <v>14.6142</v>
      </c>
      <c r="D845" s="63">
        <f>14.6495 * CHOOSE(CONTROL!$C$22, $C$13, 100%, $E$13)</f>
        <v>14.6495</v>
      </c>
      <c r="E845" s="64">
        <f>17.2896 * CHOOSE(CONTROL!$C$22, $C$13, 100%, $E$13)</f>
        <v>17.2896</v>
      </c>
      <c r="F845" s="64">
        <f>17.2896 * CHOOSE(CONTROL!$C$22, $C$13, 100%, $E$13)</f>
        <v>17.2896</v>
      </c>
      <c r="G845" s="64">
        <f>17.2918 * CHOOSE(CONTROL!$C$22, $C$13, 100%, $E$13)</f>
        <v>17.291799999999999</v>
      </c>
      <c r="H845" s="64">
        <f>28.1794* CHOOSE(CONTROL!$C$22, $C$13, 100%, $E$13)</f>
        <v>28.179400000000001</v>
      </c>
      <c r="I845" s="64">
        <f>28.1816 * CHOOSE(CONTROL!$C$22, $C$13, 100%, $E$13)</f>
        <v>28.1816</v>
      </c>
      <c r="J845" s="64">
        <f>17.2896 * CHOOSE(CONTROL!$C$22, $C$13, 100%, $E$13)</f>
        <v>17.2896</v>
      </c>
      <c r="K845" s="64">
        <f>17.2918 * CHOOSE(CONTROL!$C$22, $C$13, 100%, $E$13)</f>
        <v>17.291799999999999</v>
      </c>
    </row>
    <row r="846" spans="1:11" ht="15">
      <c r="A846" s="13">
        <v>67389</v>
      </c>
      <c r="B846" s="63">
        <f>14.8432 * CHOOSE(CONTROL!$C$22, $C$13, 100%, $E$13)</f>
        <v>14.8432</v>
      </c>
      <c r="C846" s="63">
        <f>14.8432 * CHOOSE(CONTROL!$C$22, $C$13, 100%, $E$13)</f>
        <v>14.8432</v>
      </c>
      <c r="D846" s="63">
        <f>14.8785 * CHOOSE(CONTROL!$C$22, $C$13, 100%, $E$13)</f>
        <v>14.878500000000001</v>
      </c>
      <c r="E846" s="64">
        <f>17.6186 * CHOOSE(CONTROL!$C$22, $C$13, 100%, $E$13)</f>
        <v>17.618600000000001</v>
      </c>
      <c r="F846" s="64">
        <f>17.6186 * CHOOSE(CONTROL!$C$22, $C$13, 100%, $E$13)</f>
        <v>17.618600000000001</v>
      </c>
      <c r="G846" s="64">
        <f>17.6208 * CHOOSE(CONTROL!$C$22, $C$13, 100%, $E$13)</f>
        <v>17.620799999999999</v>
      </c>
      <c r="H846" s="64">
        <f>28.2381* CHOOSE(CONTROL!$C$22, $C$13, 100%, $E$13)</f>
        <v>28.238099999999999</v>
      </c>
      <c r="I846" s="64">
        <f>28.2403 * CHOOSE(CONTROL!$C$22, $C$13, 100%, $E$13)</f>
        <v>28.240300000000001</v>
      </c>
      <c r="J846" s="64">
        <f>17.6186 * CHOOSE(CONTROL!$C$22, $C$13, 100%, $E$13)</f>
        <v>17.618600000000001</v>
      </c>
      <c r="K846" s="64">
        <f>17.6208 * CHOOSE(CONTROL!$C$22, $C$13, 100%, $E$13)</f>
        <v>17.620799999999999</v>
      </c>
    </row>
    <row r="847" spans="1:11" ht="15">
      <c r="A847" s="13">
        <v>67420</v>
      </c>
      <c r="B847" s="63">
        <f>14.8499 * CHOOSE(CONTROL!$C$22, $C$13, 100%, $E$13)</f>
        <v>14.8499</v>
      </c>
      <c r="C847" s="63">
        <f>14.8499 * CHOOSE(CONTROL!$C$22, $C$13, 100%, $E$13)</f>
        <v>14.8499</v>
      </c>
      <c r="D847" s="63">
        <f>14.8852 * CHOOSE(CONTROL!$C$22, $C$13, 100%, $E$13)</f>
        <v>14.885199999999999</v>
      </c>
      <c r="E847" s="64">
        <f>17.4442 * CHOOSE(CONTROL!$C$22, $C$13, 100%, $E$13)</f>
        <v>17.444199999999999</v>
      </c>
      <c r="F847" s="64">
        <f>17.4442 * CHOOSE(CONTROL!$C$22, $C$13, 100%, $E$13)</f>
        <v>17.444199999999999</v>
      </c>
      <c r="G847" s="64">
        <f>17.4464 * CHOOSE(CONTROL!$C$22, $C$13, 100%, $E$13)</f>
        <v>17.446400000000001</v>
      </c>
      <c r="H847" s="64">
        <f>28.2969* CHOOSE(CONTROL!$C$22, $C$13, 100%, $E$13)</f>
        <v>28.296900000000001</v>
      </c>
      <c r="I847" s="64">
        <f>28.2991 * CHOOSE(CONTROL!$C$22, $C$13, 100%, $E$13)</f>
        <v>28.299099999999999</v>
      </c>
      <c r="J847" s="64">
        <f>17.4442 * CHOOSE(CONTROL!$C$22, $C$13, 100%, $E$13)</f>
        <v>17.444199999999999</v>
      </c>
      <c r="K847" s="64">
        <f>17.4464 * CHOOSE(CONTROL!$C$22, $C$13, 100%, $E$13)</f>
        <v>17.446400000000001</v>
      </c>
    </row>
    <row r="848" spans="1:11" ht="15">
      <c r="A848" s="13">
        <v>67451</v>
      </c>
      <c r="B848" s="63">
        <f>14.8469 * CHOOSE(CONTROL!$C$22, $C$13, 100%, $E$13)</f>
        <v>14.8469</v>
      </c>
      <c r="C848" s="63">
        <f>14.8469 * CHOOSE(CONTROL!$C$22, $C$13, 100%, $E$13)</f>
        <v>14.8469</v>
      </c>
      <c r="D848" s="63">
        <f>14.8822 * CHOOSE(CONTROL!$C$22, $C$13, 100%, $E$13)</f>
        <v>14.882199999999999</v>
      </c>
      <c r="E848" s="64">
        <f>17.4222 * CHOOSE(CONTROL!$C$22, $C$13, 100%, $E$13)</f>
        <v>17.4222</v>
      </c>
      <c r="F848" s="64">
        <f>17.4222 * CHOOSE(CONTROL!$C$22, $C$13, 100%, $E$13)</f>
        <v>17.4222</v>
      </c>
      <c r="G848" s="64">
        <f>17.4244 * CHOOSE(CONTROL!$C$22, $C$13, 100%, $E$13)</f>
        <v>17.424399999999999</v>
      </c>
      <c r="H848" s="64">
        <f>28.3559* CHOOSE(CONTROL!$C$22, $C$13, 100%, $E$13)</f>
        <v>28.355899999999998</v>
      </c>
      <c r="I848" s="64">
        <f>28.3581 * CHOOSE(CONTROL!$C$22, $C$13, 100%, $E$13)</f>
        <v>28.3581</v>
      </c>
      <c r="J848" s="64">
        <f>17.4222 * CHOOSE(CONTROL!$C$22, $C$13, 100%, $E$13)</f>
        <v>17.4222</v>
      </c>
      <c r="K848" s="64">
        <f>17.4244 * CHOOSE(CONTROL!$C$22, $C$13, 100%, $E$13)</f>
        <v>17.424399999999999</v>
      </c>
    </row>
    <row r="849" spans="1:11" ht="15">
      <c r="A849" s="13">
        <v>67481</v>
      </c>
      <c r="B849" s="63">
        <f>14.8775 * CHOOSE(CONTROL!$C$22, $C$13, 100%, $E$13)</f>
        <v>14.8775</v>
      </c>
      <c r="C849" s="63">
        <f>14.8775 * CHOOSE(CONTROL!$C$22, $C$13, 100%, $E$13)</f>
        <v>14.8775</v>
      </c>
      <c r="D849" s="63">
        <f>14.8952 * CHOOSE(CONTROL!$C$22, $C$13, 100%, $E$13)</f>
        <v>14.895200000000001</v>
      </c>
      <c r="E849" s="64">
        <f>17.4884 * CHOOSE(CONTROL!$C$22, $C$13, 100%, $E$13)</f>
        <v>17.488399999999999</v>
      </c>
      <c r="F849" s="64">
        <f>17.4884 * CHOOSE(CONTROL!$C$22, $C$13, 100%, $E$13)</f>
        <v>17.488399999999999</v>
      </c>
      <c r="G849" s="64">
        <f>17.4885 * CHOOSE(CONTROL!$C$22, $C$13, 100%, $E$13)</f>
        <v>17.488499999999998</v>
      </c>
      <c r="H849" s="64">
        <f>28.415* CHOOSE(CONTROL!$C$22, $C$13, 100%, $E$13)</f>
        <v>28.414999999999999</v>
      </c>
      <c r="I849" s="64">
        <f>28.4151 * CHOOSE(CONTROL!$C$22, $C$13, 100%, $E$13)</f>
        <v>28.415099999999999</v>
      </c>
      <c r="J849" s="64">
        <f>17.4884 * CHOOSE(CONTROL!$C$22, $C$13, 100%, $E$13)</f>
        <v>17.488399999999999</v>
      </c>
      <c r="K849" s="64">
        <f>17.4885 * CHOOSE(CONTROL!$C$22, $C$13, 100%, $E$13)</f>
        <v>17.488499999999998</v>
      </c>
    </row>
    <row r="850" spans="1:11" ht="15">
      <c r="A850" s="13">
        <v>67512</v>
      </c>
      <c r="B850" s="63">
        <f>14.8806 * CHOOSE(CONTROL!$C$22, $C$13, 100%, $E$13)</f>
        <v>14.880599999999999</v>
      </c>
      <c r="C850" s="63">
        <f>14.8806 * CHOOSE(CONTROL!$C$22, $C$13, 100%, $E$13)</f>
        <v>14.880599999999999</v>
      </c>
      <c r="D850" s="63">
        <f>14.8982 * CHOOSE(CONTROL!$C$22, $C$13, 100%, $E$13)</f>
        <v>14.898199999999999</v>
      </c>
      <c r="E850" s="64">
        <f>17.5303 * CHOOSE(CONTROL!$C$22, $C$13, 100%, $E$13)</f>
        <v>17.5303</v>
      </c>
      <c r="F850" s="64">
        <f>17.5303 * CHOOSE(CONTROL!$C$22, $C$13, 100%, $E$13)</f>
        <v>17.5303</v>
      </c>
      <c r="G850" s="64">
        <f>17.5304 * CHOOSE(CONTROL!$C$22, $C$13, 100%, $E$13)</f>
        <v>17.5304</v>
      </c>
      <c r="H850" s="64">
        <f>28.4742* CHOOSE(CONTROL!$C$22, $C$13, 100%, $E$13)</f>
        <v>28.4742</v>
      </c>
      <c r="I850" s="64">
        <f>28.4743 * CHOOSE(CONTROL!$C$22, $C$13, 100%, $E$13)</f>
        <v>28.474299999999999</v>
      </c>
      <c r="J850" s="64">
        <f>17.5303 * CHOOSE(CONTROL!$C$22, $C$13, 100%, $E$13)</f>
        <v>17.5303</v>
      </c>
      <c r="K850" s="64">
        <f>17.5304 * CHOOSE(CONTROL!$C$22, $C$13, 100%, $E$13)</f>
        <v>17.5304</v>
      </c>
    </row>
    <row r="851" spans="1:11" ht="15">
      <c r="A851" s="13">
        <v>67542</v>
      </c>
      <c r="B851" s="63">
        <f>14.8806 * CHOOSE(CONTROL!$C$22, $C$13, 100%, $E$13)</f>
        <v>14.880599999999999</v>
      </c>
      <c r="C851" s="63">
        <f>14.8806 * CHOOSE(CONTROL!$C$22, $C$13, 100%, $E$13)</f>
        <v>14.880599999999999</v>
      </c>
      <c r="D851" s="63">
        <f>14.8982 * CHOOSE(CONTROL!$C$22, $C$13, 100%, $E$13)</f>
        <v>14.898199999999999</v>
      </c>
      <c r="E851" s="64">
        <f>17.4308 * CHOOSE(CONTROL!$C$22, $C$13, 100%, $E$13)</f>
        <v>17.430800000000001</v>
      </c>
      <c r="F851" s="64">
        <f>17.4308 * CHOOSE(CONTROL!$C$22, $C$13, 100%, $E$13)</f>
        <v>17.430800000000001</v>
      </c>
      <c r="G851" s="64">
        <f>17.431 * CHOOSE(CONTROL!$C$22, $C$13, 100%, $E$13)</f>
        <v>17.431000000000001</v>
      </c>
      <c r="H851" s="64">
        <f>28.5335* CHOOSE(CONTROL!$C$22, $C$13, 100%, $E$13)</f>
        <v>28.5335</v>
      </c>
      <c r="I851" s="64">
        <f>28.5337 * CHOOSE(CONTROL!$C$22, $C$13, 100%, $E$13)</f>
        <v>28.5337</v>
      </c>
      <c r="J851" s="64">
        <f>17.4308 * CHOOSE(CONTROL!$C$22, $C$13, 100%, $E$13)</f>
        <v>17.430800000000001</v>
      </c>
      <c r="K851" s="64">
        <f>17.431 * CHOOSE(CONTROL!$C$22, $C$13, 100%, $E$13)</f>
        <v>17.431000000000001</v>
      </c>
    </row>
    <row r="852" spans="1:11" ht="15">
      <c r="A852" s="13">
        <v>67573</v>
      </c>
      <c r="B852" s="63">
        <f>14.8528 * CHOOSE(CONTROL!$C$22, $C$13, 100%, $E$13)</f>
        <v>14.8528</v>
      </c>
      <c r="C852" s="63">
        <f>14.8528 * CHOOSE(CONTROL!$C$22, $C$13, 100%, $E$13)</f>
        <v>14.8528</v>
      </c>
      <c r="D852" s="63">
        <f>14.8704 * CHOOSE(CONTROL!$C$22, $C$13, 100%, $E$13)</f>
        <v>14.8704</v>
      </c>
      <c r="E852" s="64">
        <f>17.4669 * CHOOSE(CONTROL!$C$22, $C$13, 100%, $E$13)</f>
        <v>17.466899999999999</v>
      </c>
      <c r="F852" s="64">
        <f>17.4669 * CHOOSE(CONTROL!$C$22, $C$13, 100%, $E$13)</f>
        <v>17.466899999999999</v>
      </c>
      <c r="G852" s="64">
        <f>17.4671 * CHOOSE(CONTROL!$C$22, $C$13, 100%, $E$13)</f>
        <v>17.467099999999999</v>
      </c>
      <c r="H852" s="64">
        <f>28.3336* CHOOSE(CONTROL!$C$22, $C$13, 100%, $E$13)</f>
        <v>28.333600000000001</v>
      </c>
      <c r="I852" s="64">
        <f>28.3338 * CHOOSE(CONTROL!$C$22, $C$13, 100%, $E$13)</f>
        <v>28.3338</v>
      </c>
      <c r="J852" s="64">
        <f>17.4669 * CHOOSE(CONTROL!$C$22, $C$13, 100%, $E$13)</f>
        <v>17.466899999999999</v>
      </c>
      <c r="K852" s="64">
        <f>17.4671 * CHOOSE(CONTROL!$C$22, $C$13, 100%, $E$13)</f>
        <v>17.467099999999999</v>
      </c>
    </row>
    <row r="853" spans="1:11" ht="15">
      <c r="A853" s="13">
        <v>67604</v>
      </c>
      <c r="B853" s="63">
        <f>14.8497 * CHOOSE(CONTROL!$C$22, $C$13, 100%, $E$13)</f>
        <v>14.8497</v>
      </c>
      <c r="C853" s="63">
        <f>14.8497 * CHOOSE(CONTROL!$C$22, $C$13, 100%, $E$13)</f>
        <v>14.8497</v>
      </c>
      <c r="D853" s="63">
        <f>14.8674 * CHOOSE(CONTROL!$C$22, $C$13, 100%, $E$13)</f>
        <v>14.8674</v>
      </c>
      <c r="E853" s="64">
        <f>17.2736 * CHOOSE(CONTROL!$C$22, $C$13, 100%, $E$13)</f>
        <v>17.273599999999998</v>
      </c>
      <c r="F853" s="64">
        <f>17.2736 * CHOOSE(CONTROL!$C$22, $C$13, 100%, $E$13)</f>
        <v>17.273599999999998</v>
      </c>
      <c r="G853" s="64">
        <f>17.2738 * CHOOSE(CONTROL!$C$22, $C$13, 100%, $E$13)</f>
        <v>17.273800000000001</v>
      </c>
      <c r="H853" s="64">
        <f>28.3926* CHOOSE(CONTROL!$C$22, $C$13, 100%, $E$13)</f>
        <v>28.392600000000002</v>
      </c>
      <c r="I853" s="64">
        <f>28.3928 * CHOOSE(CONTROL!$C$22, $C$13, 100%, $E$13)</f>
        <v>28.392800000000001</v>
      </c>
      <c r="J853" s="64">
        <f>17.2736 * CHOOSE(CONTROL!$C$22, $C$13, 100%, $E$13)</f>
        <v>17.273599999999998</v>
      </c>
      <c r="K853" s="64">
        <f>17.2738 * CHOOSE(CONTROL!$C$22, $C$13, 100%, $E$13)</f>
        <v>17.273800000000001</v>
      </c>
    </row>
    <row r="854" spans="1:11" ht="15">
      <c r="A854" s="13">
        <v>67632</v>
      </c>
      <c r="B854" s="63">
        <f>14.8467 * CHOOSE(CONTROL!$C$22, $C$13, 100%, $E$13)</f>
        <v>14.8467</v>
      </c>
      <c r="C854" s="63">
        <f>14.8467 * CHOOSE(CONTROL!$C$22, $C$13, 100%, $E$13)</f>
        <v>14.8467</v>
      </c>
      <c r="D854" s="63">
        <f>14.8644 * CHOOSE(CONTROL!$C$22, $C$13, 100%, $E$13)</f>
        <v>14.8644</v>
      </c>
      <c r="E854" s="64">
        <f>17.4222 * CHOOSE(CONTROL!$C$22, $C$13, 100%, $E$13)</f>
        <v>17.4222</v>
      </c>
      <c r="F854" s="64">
        <f>17.4222 * CHOOSE(CONTROL!$C$22, $C$13, 100%, $E$13)</f>
        <v>17.4222</v>
      </c>
      <c r="G854" s="64">
        <f>17.4224 * CHOOSE(CONTROL!$C$22, $C$13, 100%, $E$13)</f>
        <v>17.4224</v>
      </c>
      <c r="H854" s="64">
        <f>28.4518* CHOOSE(CONTROL!$C$22, $C$13, 100%, $E$13)</f>
        <v>28.451799999999999</v>
      </c>
      <c r="I854" s="64">
        <f>28.4519 * CHOOSE(CONTROL!$C$22, $C$13, 100%, $E$13)</f>
        <v>28.451899999999998</v>
      </c>
      <c r="J854" s="64">
        <f>17.4222 * CHOOSE(CONTROL!$C$22, $C$13, 100%, $E$13)</f>
        <v>17.4222</v>
      </c>
      <c r="K854" s="64">
        <f>17.4224 * CHOOSE(CONTROL!$C$22, $C$13, 100%, $E$13)</f>
        <v>17.4224</v>
      </c>
    </row>
    <row r="855" spans="1:11" ht="15">
      <c r="A855" s="13">
        <v>67663</v>
      </c>
      <c r="B855" s="63">
        <f>14.8536 * CHOOSE(CONTROL!$C$22, $C$13, 100%, $E$13)</f>
        <v>14.8536</v>
      </c>
      <c r="C855" s="63">
        <f>14.8536 * CHOOSE(CONTROL!$C$22, $C$13, 100%, $E$13)</f>
        <v>14.8536</v>
      </c>
      <c r="D855" s="63">
        <f>14.8713 * CHOOSE(CONTROL!$C$22, $C$13, 100%, $E$13)</f>
        <v>14.8713</v>
      </c>
      <c r="E855" s="64">
        <f>17.5798 * CHOOSE(CONTROL!$C$22, $C$13, 100%, $E$13)</f>
        <v>17.579799999999999</v>
      </c>
      <c r="F855" s="64">
        <f>17.5798 * CHOOSE(CONTROL!$C$22, $C$13, 100%, $E$13)</f>
        <v>17.579799999999999</v>
      </c>
      <c r="G855" s="64">
        <f>17.58 * CHOOSE(CONTROL!$C$22, $C$13, 100%, $E$13)</f>
        <v>17.579999999999998</v>
      </c>
      <c r="H855" s="64">
        <f>28.511* CHOOSE(CONTROL!$C$22, $C$13, 100%, $E$13)</f>
        <v>28.510999999999999</v>
      </c>
      <c r="I855" s="64">
        <f>28.5112 * CHOOSE(CONTROL!$C$22, $C$13, 100%, $E$13)</f>
        <v>28.511199999999999</v>
      </c>
      <c r="J855" s="64">
        <f>17.5798 * CHOOSE(CONTROL!$C$22, $C$13, 100%, $E$13)</f>
        <v>17.579799999999999</v>
      </c>
      <c r="K855" s="64">
        <f>17.58 * CHOOSE(CONTROL!$C$22, $C$13, 100%, $E$13)</f>
        <v>17.579999999999998</v>
      </c>
    </row>
    <row r="856" spans="1:11" ht="15">
      <c r="A856" s="13">
        <v>67693</v>
      </c>
      <c r="B856" s="63">
        <f>14.8536 * CHOOSE(CONTROL!$C$22, $C$13, 100%, $E$13)</f>
        <v>14.8536</v>
      </c>
      <c r="C856" s="63">
        <f>14.8536 * CHOOSE(CONTROL!$C$22, $C$13, 100%, $E$13)</f>
        <v>14.8536</v>
      </c>
      <c r="D856" s="63">
        <f>14.8889 * CHOOSE(CONTROL!$C$22, $C$13, 100%, $E$13)</f>
        <v>14.8889</v>
      </c>
      <c r="E856" s="64">
        <f>17.6405 * CHOOSE(CONTROL!$C$22, $C$13, 100%, $E$13)</f>
        <v>17.640499999999999</v>
      </c>
      <c r="F856" s="64">
        <f>17.6405 * CHOOSE(CONTROL!$C$22, $C$13, 100%, $E$13)</f>
        <v>17.640499999999999</v>
      </c>
      <c r="G856" s="64">
        <f>17.6427 * CHOOSE(CONTROL!$C$22, $C$13, 100%, $E$13)</f>
        <v>17.642700000000001</v>
      </c>
      <c r="H856" s="64">
        <f>28.5704* CHOOSE(CONTROL!$C$22, $C$13, 100%, $E$13)</f>
        <v>28.570399999999999</v>
      </c>
      <c r="I856" s="64">
        <f>28.5726 * CHOOSE(CONTROL!$C$22, $C$13, 100%, $E$13)</f>
        <v>28.572600000000001</v>
      </c>
      <c r="J856" s="64">
        <f>17.6405 * CHOOSE(CONTROL!$C$22, $C$13, 100%, $E$13)</f>
        <v>17.640499999999999</v>
      </c>
      <c r="K856" s="64">
        <f>17.6427 * CHOOSE(CONTROL!$C$22, $C$13, 100%, $E$13)</f>
        <v>17.642700000000001</v>
      </c>
    </row>
    <row r="857" spans="1:11" ht="15">
      <c r="A857" s="13">
        <v>67724</v>
      </c>
      <c r="B857" s="63">
        <f>14.8597 * CHOOSE(CONTROL!$C$22, $C$13, 100%, $E$13)</f>
        <v>14.8597</v>
      </c>
      <c r="C857" s="63">
        <f>14.8597 * CHOOSE(CONTROL!$C$22, $C$13, 100%, $E$13)</f>
        <v>14.8597</v>
      </c>
      <c r="D857" s="63">
        <f>14.895 * CHOOSE(CONTROL!$C$22, $C$13, 100%, $E$13)</f>
        <v>14.895</v>
      </c>
      <c r="E857" s="64">
        <f>17.584 * CHOOSE(CONTROL!$C$22, $C$13, 100%, $E$13)</f>
        <v>17.584</v>
      </c>
      <c r="F857" s="64">
        <f>17.584 * CHOOSE(CONTROL!$C$22, $C$13, 100%, $E$13)</f>
        <v>17.584</v>
      </c>
      <c r="G857" s="64">
        <f>17.5862 * CHOOSE(CONTROL!$C$22, $C$13, 100%, $E$13)</f>
        <v>17.586200000000002</v>
      </c>
      <c r="H857" s="64">
        <f>28.63* CHOOSE(CONTROL!$C$22, $C$13, 100%, $E$13)</f>
        <v>28.63</v>
      </c>
      <c r="I857" s="64">
        <f>28.6321 * CHOOSE(CONTROL!$C$22, $C$13, 100%, $E$13)</f>
        <v>28.632100000000001</v>
      </c>
      <c r="J857" s="64">
        <f>17.584 * CHOOSE(CONTROL!$C$22, $C$13, 100%, $E$13)</f>
        <v>17.584</v>
      </c>
      <c r="K857" s="64">
        <f>17.5862 * CHOOSE(CONTROL!$C$22, $C$13, 100%, $E$13)</f>
        <v>17.586200000000002</v>
      </c>
    </row>
    <row r="858" spans="1:11" ht="15">
      <c r="A858" s="13">
        <v>67754</v>
      </c>
      <c r="B858" s="63">
        <f>15.0924 * CHOOSE(CONTROL!$C$22, $C$13, 100%, $E$13)</f>
        <v>15.0924</v>
      </c>
      <c r="C858" s="63">
        <f>15.0924 * CHOOSE(CONTROL!$C$22, $C$13, 100%, $E$13)</f>
        <v>15.0924</v>
      </c>
      <c r="D858" s="63">
        <f>15.1278 * CHOOSE(CONTROL!$C$22, $C$13, 100%, $E$13)</f>
        <v>15.127800000000001</v>
      </c>
      <c r="E858" s="64">
        <f>17.9185 * CHOOSE(CONTROL!$C$22, $C$13, 100%, $E$13)</f>
        <v>17.918500000000002</v>
      </c>
      <c r="F858" s="64">
        <f>17.9185 * CHOOSE(CONTROL!$C$22, $C$13, 100%, $E$13)</f>
        <v>17.918500000000002</v>
      </c>
      <c r="G858" s="64">
        <f>17.9207 * CHOOSE(CONTROL!$C$22, $C$13, 100%, $E$13)</f>
        <v>17.9207</v>
      </c>
      <c r="H858" s="64">
        <f>28.6896* CHOOSE(CONTROL!$C$22, $C$13, 100%, $E$13)</f>
        <v>28.689599999999999</v>
      </c>
      <c r="I858" s="64">
        <f>28.6918 * CHOOSE(CONTROL!$C$22, $C$13, 100%, $E$13)</f>
        <v>28.691800000000001</v>
      </c>
      <c r="J858" s="64">
        <f>17.9185 * CHOOSE(CONTROL!$C$22, $C$13, 100%, $E$13)</f>
        <v>17.918500000000002</v>
      </c>
      <c r="K858" s="64">
        <f>17.9207 * CHOOSE(CONTROL!$C$22, $C$13, 100%, $E$13)</f>
        <v>17.9207</v>
      </c>
    </row>
    <row r="859" spans="1:11" ht="15">
      <c r="A859" s="13">
        <v>67785</v>
      </c>
      <c r="B859" s="63">
        <f>15.0991 * CHOOSE(CONTROL!$C$22, $C$13, 100%, $E$13)</f>
        <v>15.0991</v>
      </c>
      <c r="C859" s="63">
        <f>15.0991 * CHOOSE(CONTROL!$C$22, $C$13, 100%, $E$13)</f>
        <v>15.0991</v>
      </c>
      <c r="D859" s="63">
        <f>15.1344 * CHOOSE(CONTROL!$C$22, $C$13, 100%, $E$13)</f>
        <v>15.134399999999999</v>
      </c>
      <c r="E859" s="64">
        <f>17.7411 * CHOOSE(CONTROL!$C$22, $C$13, 100%, $E$13)</f>
        <v>17.741099999999999</v>
      </c>
      <c r="F859" s="64">
        <f>17.7411 * CHOOSE(CONTROL!$C$22, $C$13, 100%, $E$13)</f>
        <v>17.741099999999999</v>
      </c>
      <c r="G859" s="64">
        <f>17.7432 * CHOOSE(CONTROL!$C$22, $C$13, 100%, $E$13)</f>
        <v>17.743200000000002</v>
      </c>
      <c r="H859" s="64">
        <f>28.7494* CHOOSE(CONTROL!$C$22, $C$13, 100%, $E$13)</f>
        <v>28.749400000000001</v>
      </c>
      <c r="I859" s="64">
        <f>28.7516 * CHOOSE(CONTROL!$C$22, $C$13, 100%, $E$13)</f>
        <v>28.7516</v>
      </c>
      <c r="J859" s="64">
        <f>17.7411 * CHOOSE(CONTROL!$C$22, $C$13, 100%, $E$13)</f>
        <v>17.741099999999999</v>
      </c>
      <c r="K859" s="64">
        <f>17.7432 * CHOOSE(CONTROL!$C$22, $C$13, 100%, $E$13)</f>
        <v>17.743200000000002</v>
      </c>
    </row>
    <row r="860" spans="1:11" ht="15">
      <c r="A860" s="13">
        <v>67816</v>
      </c>
      <c r="B860" s="63">
        <f>15.0961 * CHOOSE(CONTROL!$C$22, $C$13, 100%, $E$13)</f>
        <v>15.0961</v>
      </c>
      <c r="C860" s="63">
        <f>15.0961 * CHOOSE(CONTROL!$C$22, $C$13, 100%, $E$13)</f>
        <v>15.0961</v>
      </c>
      <c r="D860" s="63">
        <f>15.1314 * CHOOSE(CONTROL!$C$22, $C$13, 100%, $E$13)</f>
        <v>15.131399999999999</v>
      </c>
      <c r="E860" s="64">
        <f>17.7187 * CHOOSE(CONTROL!$C$22, $C$13, 100%, $E$13)</f>
        <v>17.718699999999998</v>
      </c>
      <c r="F860" s="64">
        <f>17.7187 * CHOOSE(CONTROL!$C$22, $C$13, 100%, $E$13)</f>
        <v>17.718699999999998</v>
      </c>
      <c r="G860" s="64">
        <f>17.7209 * CHOOSE(CONTROL!$C$22, $C$13, 100%, $E$13)</f>
        <v>17.7209</v>
      </c>
      <c r="H860" s="64">
        <f>28.8093* CHOOSE(CONTROL!$C$22, $C$13, 100%, $E$13)</f>
        <v>28.8093</v>
      </c>
      <c r="I860" s="64">
        <f>28.8115 * CHOOSE(CONTROL!$C$22, $C$13, 100%, $E$13)</f>
        <v>28.811499999999999</v>
      </c>
      <c r="J860" s="64">
        <f>17.7187 * CHOOSE(CONTROL!$C$22, $C$13, 100%, $E$13)</f>
        <v>17.718699999999998</v>
      </c>
      <c r="K860" s="64">
        <f>17.7209 * CHOOSE(CONTROL!$C$22, $C$13, 100%, $E$13)</f>
        <v>17.7209</v>
      </c>
    </row>
    <row r="861" spans="1:11" ht="15">
      <c r="A861" s="13">
        <v>67846</v>
      </c>
      <c r="B861" s="63">
        <f>15.1275 * CHOOSE(CONTROL!$C$22, $C$13, 100%, $E$13)</f>
        <v>15.1275</v>
      </c>
      <c r="C861" s="63">
        <f>15.1275 * CHOOSE(CONTROL!$C$22, $C$13, 100%, $E$13)</f>
        <v>15.1275</v>
      </c>
      <c r="D861" s="63">
        <f>15.1452 * CHOOSE(CONTROL!$C$22, $C$13, 100%, $E$13)</f>
        <v>15.145200000000001</v>
      </c>
      <c r="E861" s="64">
        <f>17.7862 * CHOOSE(CONTROL!$C$22, $C$13, 100%, $E$13)</f>
        <v>17.786200000000001</v>
      </c>
      <c r="F861" s="64">
        <f>17.7862 * CHOOSE(CONTROL!$C$22, $C$13, 100%, $E$13)</f>
        <v>17.786200000000001</v>
      </c>
      <c r="G861" s="64">
        <f>17.7864 * CHOOSE(CONTROL!$C$22, $C$13, 100%, $E$13)</f>
        <v>17.7864</v>
      </c>
      <c r="H861" s="64">
        <f>28.8693* CHOOSE(CONTROL!$C$22, $C$13, 100%, $E$13)</f>
        <v>28.869299999999999</v>
      </c>
      <c r="I861" s="64">
        <f>28.8695 * CHOOSE(CONTROL!$C$22, $C$13, 100%, $E$13)</f>
        <v>28.869499999999999</v>
      </c>
      <c r="J861" s="64">
        <f>17.7862 * CHOOSE(CONTROL!$C$22, $C$13, 100%, $E$13)</f>
        <v>17.786200000000001</v>
      </c>
      <c r="K861" s="64">
        <f>17.7864 * CHOOSE(CONTROL!$C$22, $C$13, 100%, $E$13)</f>
        <v>17.7864</v>
      </c>
    </row>
    <row r="862" spans="1:11" ht="15">
      <c r="A862" s="13">
        <v>67877</v>
      </c>
      <c r="B862" s="63">
        <f>15.1306 * CHOOSE(CONTROL!$C$22, $C$13, 100%, $E$13)</f>
        <v>15.130599999999999</v>
      </c>
      <c r="C862" s="63">
        <f>15.1306 * CHOOSE(CONTROL!$C$22, $C$13, 100%, $E$13)</f>
        <v>15.130599999999999</v>
      </c>
      <c r="D862" s="63">
        <f>15.1482 * CHOOSE(CONTROL!$C$22, $C$13, 100%, $E$13)</f>
        <v>15.148199999999999</v>
      </c>
      <c r="E862" s="64">
        <f>17.8288 * CHOOSE(CONTROL!$C$22, $C$13, 100%, $E$13)</f>
        <v>17.828800000000001</v>
      </c>
      <c r="F862" s="64">
        <f>17.8288 * CHOOSE(CONTROL!$C$22, $C$13, 100%, $E$13)</f>
        <v>17.828800000000001</v>
      </c>
      <c r="G862" s="64">
        <f>17.829 * CHOOSE(CONTROL!$C$22, $C$13, 100%, $E$13)</f>
        <v>17.829000000000001</v>
      </c>
      <c r="H862" s="64">
        <f>28.9294* CHOOSE(CONTROL!$C$22, $C$13, 100%, $E$13)</f>
        <v>28.929400000000001</v>
      </c>
      <c r="I862" s="64">
        <f>28.9296 * CHOOSE(CONTROL!$C$22, $C$13, 100%, $E$13)</f>
        <v>28.929600000000001</v>
      </c>
      <c r="J862" s="64">
        <f>17.8288 * CHOOSE(CONTROL!$C$22, $C$13, 100%, $E$13)</f>
        <v>17.828800000000001</v>
      </c>
      <c r="K862" s="64">
        <f>17.829 * CHOOSE(CONTROL!$C$22, $C$13, 100%, $E$13)</f>
        <v>17.829000000000001</v>
      </c>
    </row>
    <row r="863" spans="1:11" ht="15">
      <c r="A863" s="13">
        <v>67907</v>
      </c>
      <c r="B863" s="63">
        <f>15.1306 * CHOOSE(CONTROL!$C$22, $C$13, 100%, $E$13)</f>
        <v>15.130599999999999</v>
      </c>
      <c r="C863" s="63">
        <f>15.1306 * CHOOSE(CONTROL!$C$22, $C$13, 100%, $E$13)</f>
        <v>15.130599999999999</v>
      </c>
      <c r="D863" s="63">
        <f>15.1482 * CHOOSE(CONTROL!$C$22, $C$13, 100%, $E$13)</f>
        <v>15.148199999999999</v>
      </c>
      <c r="E863" s="64">
        <f>17.7276 * CHOOSE(CONTROL!$C$22, $C$13, 100%, $E$13)</f>
        <v>17.727599999999999</v>
      </c>
      <c r="F863" s="64">
        <f>17.7276 * CHOOSE(CONTROL!$C$22, $C$13, 100%, $E$13)</f>
        <v>17.727599999999999</v>
      </c>
      <c r="G863" s="64">
        <f>17.7278 * CHOOSE(CONTROL!$C$22, $C$13, 100%, $E$13)</f>
        <v>17.727799999999998</v>
      </c>
      <c r="H863" s="64">
        <f>28.9897* CHOOSE(CONTROL!$C$22, $C$13, 100%, $E$13)</f>
        <v>28.989699999999999</v>
      </c>
      <c r="I863" s="64">
        <f>28.9899 * CHOOSE(CONTROL!$C$22, $C$13, 100%, $E$13)</f>
        <v>28.989899999999999</v>
      </c>
      <c r="J863" s="64">
        <f>17.7276 * CHOOSE(CONTROL!$C$22, $C$13, 100%, $E$13)</f>
        <v>17.727599999999999</v>
      </c>
      <c r="K863" s="64">
        <f>17.7278 * CHOOSE(CONTROL!$C$22, $C$13, 100%, $E$13)</f>
        <v>17.727799999999998</v>
      </c>
    </row>
    <row r="864" spans="1:11" ht="15">
      <c r="A864" s="13">
        <v>67938</v>
      </c>
      <c r="B864" s="63">
        <f>15.0981 * CHOOSE(CONTROL!$C$22, $C$13, 100%, $E$13)</f>
        <v>15.098100000000001</v>
      </c>
      <c r="C864" s="63">
        <f>15.0981 * CHOOSE(CONTROL!$C$22, $C$13, 100%, $E$13)</f>
        <v>15.098100000000001</v>
      </c>
      <c r="D864" s="63">
        <f>15.1157 * CHOOSE(CONTROL!$C$22, $C$13, 100%, $E$13)</f>
        <v>15.1157</v>
      </c>
      <c r="E864" s="64">
        <f>17.7593 * CHOOSE(CONTROL!$C$22, $C$13, 100%, $E$13)</f>
        <v>17.7593</v>
      </c>
      <c r="F864" s="64">
        <f>17.7593 * CHOOSE(CONTROL!$C$22, $C$13, 100%, $E$13)</f>
        <v>17.7593</v>
      </c>
      <c r="G864" s="64">
        <f>17.7595 * CHOOSE(CONTROL!$C$22, $C$13, 100%, $E$13)</f>
        <v>17.759499999999999</v>
      </c>
      <c r="H864" s="64">
        <f>28.7795* CHOOSE(CONTROL!$C$22, $C$13, 100%, $E$13)</f>
        <v>28.779499999999999</v>
      </c>
      <c r="I864" s="64">
        <f>28.7797 * CHOOSE(CONTROL!$C$22, $C$13, 100%, $E$13)</f>
        <v>28.779699999999998</v>
      </c>
      <c r="J864" s="64">
        <f>17.7593 * CHOOSE(CONTROL!$C$22, $C$13, 100%, $E$13)</f>
        <v>17.7593</v>
      </c>
      <c r="K864" s="64">
        <f>17.7595 * CHOOSE(CONTROL!$C$22, $C$13, 100%, $E$13)</f>
        <v>17.759499999999999</v>
      </c>
    </row>
    <row r="865" spans="1:11" ht="15">
      <c r="A865" s="13">
        <v>67969</v>
      </c>
      <c r="B865" s="63">
        <f>15.0951 * CHOOSE(CONTROL!$C$22, $C$13, 100%, $E$13)</f>
        <v>15.0951</v>
      </c>
      <c r="C865" s="63">
        <f>15.0951 * CHOOSE(CONTROL!$C$22, $C$13, 100%, $E$13)</f>
        <v>15.0951</v>
      </c>
      <c r="D865" s="63">
        <f>15.1127 * CHOOSE(CONTROL!$C$22, $C$13, 100%, $E$13)</f>
        <v>15.1127</v>
      </c>
      <c r="E865" s="64">
        <f>17.5628 * CHOOSE(CONTROL!$C$22, $C$13, 100%, $E$13)</f>
        <v>17.562799999999999</v>
      </c>
      <c r="F865" s="64">
        <f>17.5628 * CHOOSE(CONTROL!$C$22, $C$13, 100%, $E$13)</f>
        <v>17.562799999999999</v>
      </c>
      <c r="G865" s="64">
        <f>17.563 * CHOOSE(CONTROL!$C$22, $C$13, 100%, $E$13)</f>
        <v>17.562999999999999</v>
      </c>
      <c r="H865" s="64">
        <f>28.8394* CHOOSE(CONTROL!$C$22, $C$13, 100%, $E$13)</f>
        <v>28.839400000000001</v>
      </c>
      <c r="I865" s="64">
        <f>28.8396 * CHOOSE(CONTROL!$C$22, $C$13, 100%, $E$13)</f>
        <v>28.839600000000001</v>
      </c>
      <c r="J865" s="64">
        <f>17.5628 * CHOOSE(CONTROL!$C$22, $C$13, 100%, $E$13)</f>
        <v>17.562799999999999</v>
      </c>
      <c r="K865" s="64">
        <f>17.563 * CHOOSE(CONTROL!$C$22, $C$13, 100%, $E$13)</f>
        <v>17.562999999999999</v>
      </c>
    </row>
    <row r="866" spans="1:11" ht="15">
      <c r="A866" s="13">
        <v>67997</v>
      </c>
      <c r="B866" s="63">
        <f>15.092 * CHOOSE(CONTROL!$C$22, $C$13, 100%, $E$13)</f>
        <v>15.092000000000001</v>
      </c>
      <c r="C866" s="63">
        <f>15.092 * CHOOSE(CONTROL!$C$22, $C$13, 100%, $E$13)</f>
        <v>15.092000000000001</v>
      </c>
      <c r="D866" s="63">
        <f>15.1097 * CHOOSE(CONTROL!$C$22, $C$13, 100%, $E$13)</f>
        <v>15.1097</v>
      </c>
      <c r="E866" s="64">
        <f>17.7139 * CHOOSE(CONTROL!$C$22, $C$13, 100%, $E$13)</f>
        <v>17.713899999999999</v>
      </c>
      <c r="F866" s="64">
        <f>17.7139 * CHOOSE(CONTROL!$C$22, $C$13, 100%, $E$13)</f>
        <v>17.713899999999999</v>
      </c>
      <c r="G866" s="64">
        <f>17.7141 * CHOOSE(CONTROL!$C$22, $C$13, 100%, $E$13)</f>
        <v>17.714099999999998</v>
      </c>
      <c r="H866" s="64">
        <f>28.8995* CHOOSE(CONTROL!$C$22, $C$13, 100%, $E$13)</f>
        <v>28.8995</v>
      </c>
      <c r="I866" s="64">
        <f>28.8997 * CHOOSE(CONTROL!$C$22, $C$13, 100%, $E$13)</f>
        <v>28.899699999999999</v>
      </c>
      <c r="J866" s="64">
        <f>17.7139 * CHOOSE(CONTROL!$C$22, $C$13, 100%, $E$13)</f>
        <v>17.713899999999999</v>
      </c>
      <c r="K866" s="64">
        <f>17.7141 * CHOOSE(CONTROL!$C$22, $C$13, 100%, $E$13)</f>
        <v>17.714099999999998</v>
      </c>
    </row>
    <row r="867" spans="1:11" ht="15">
      <c r="A867" s="13">
        <v>68028</v>
      </c>
      <c r="B867" s="63">
        <f>15.0991 * CHOOSE(CONTROL!$C$22, $C$13, 100%, $E$13)</f>
        <v>15.0991</v>
      </c>
      <c r="C867" s="63">
        <f>15.0991 * CHOOSE(CONTROL!$C$22, $C$13, 100%, $E$13)</f>
        <v>15.0991</v>
      </c>
      <c r="D867" s="63">
        <f>15.1168 * CHOOSE(CONTROL!$C$22, $C$13, 100%, $E$13)</f>
        <v>15.1168</v>
      </c>
      <c r="E867" s="64">
        <f>17.8742 * CHOOSE(CONTROL!$C$22, $C$13, 100%, $E$13)</f>
        <v>17.874199999999998</v>
      </c>
      <c r="F867" s="64">
        <f>17.8742 * CHOOSE(CONTROL!$C$22, $C$13, 100%, $E$13)</f>
        <v>17.874199999999998</v>
      </c>
      <c r="G867" s="64">
        <f>17.8744 * CHOOSE(CONTROL!$C$22, $C$13, 100%, $E$13)</f>
        <v>17.874400000000001</v>
      </c>
      <c r="H867" s="64">
        <f>28.9597* CHOOSE(CONTROL!$C$22, $C$13, 100%, $E$13)</f>
        <v>28.959700000000002</v>
      </c>
      <c r="I867" s="64">
        <f>28.9599 * CHOOSE(CONTROL!$C$22, $C$13, 100%, $E$13)</f>
        <v>28.959900000000001</v>
      </c>
      <c r="J867" s="64">
        <f>17.8742 * CHOOSE(CONTROL!$C$22, $C$13, 100%, $E$13)</f>
        <v>17.874199999999998</v>
      </c>
      <c r="K867" s="64">
        <f>17.8744 * CHOOSE(CONTROL!$C$22, $C$13, 100%, $E$13)</f>
        <v>17.874400000000001</v>
      </c>
    </row>
    <row r="868" spans="1:11" ht="15">
      <c r="A868" s="13">
        <v>68058</v>
      </c>
      <c r="B868" s="63">
        <f>15.0991 * CHOOSE(CONTROL!$C$22, $C$13, 100%, $E$13)</f>
        <v>15.0991</v>
      </c>
      <c r="C868" s="63">
        <f>15.0991 * CHOOSE(CONTROL!$C$22, $C$13, 100%, $E$13)</f>
        <v>15.0991</v>
      </c>
      <c r="D868" s="63">
        <f>15.1344 * CHOOSE(CONTROL!$C$22, $C$13, 100%, $E$13)</f>
        <v>15.134399999999999</v>
      </c>
      <c r="E868" s="64">
        <f>17.936 * CHOOSE(CONTROL!$C$22, $C$13, 100%, $E$13)</f>
        <v>17.936</v>
      </c>
      <c r="F868" s="64">
        <f>17.936 * CHOOSE(CONTROL!$C$22, $C$13, 100%, $E$13)</f>
        <v>17.936</v>
      </c>
      <c r="G868" s="64">
        <f>17.9381 * CHOOSE(CONTROL!$C$22, $C$13, 100%, $E$13)</f>
        <v>17.938099999999999</v>
      </c>
      <c r="H868" s="64">
        <f>29.0201* CHOOSE(CONTROL!$C$22, $C$13, 100%, $E$13)</f>
        <v>29.020099999999999</v>
      </c>
      <c r="I868" s="64">
        <f>29.0222 * CHOOSE(CONTROL!$C$22, $C$13, 100%, $E$13)</f>
        <v>29.022200000000002</v>
      </c>
      <c r="J868" s="64">
        <f>17.936 * CHOOSE(CONTROL!$C$22, $C$13, 100%, $E$13)</f>
        <v>17.936</v>
      </c>
      <c r="K868" s="64">
        <f>17.9381 * CHOOSE(CONTROL!$C$22, $C$13, 100%, $E$13)</f>
        <v>17.938099999999999</v>
      </c>
    </row>
    <row r="869" spans="1:11" ht="15">
      <c r="A869" s="13">
        <v>68089</v>
      </c>
      <c r="B869" s="63">
        <f>15.1052 * CHOOSE(CONTROL!$C$22, $C$13, 100%, $E$13)</f>
        <v>15.1052</v>
      </c>
      <c r="C869" s="63">
        <f>15.1052 * CHOOSE(CONTROL!$C$22, $C$13, 100%, $E$13)</f>
        <v>15.1052</v>
      </c>
      <c r="D869" s="63">
        <f>15.1405 * CHOOSE(CONTROL!$C$22, $C$13, 100%, $E$13)</f>
        <v>15.140499999999999</v>
      </c>
      <c r="E869" s="64">
        <f>17.8785 * CHOOSE(CONTROL!$C$22, $C$13, 100%, $E$13)</f>
        <v>17.878499999999999</v>
      </c>
      <c r="F869" s="64">
        <f>17.8785 * CHOOSE(CONTROL!$C$22, $C$13, 100%, $E$13)</f>
        <v>17.878499999999999</v>
      </c>
      <c r="G869" s="64">
        <f>17.8807 * CHOOSE(CONTROL!$C$22, $C$13, 100%, $E$13)</f>
        <v>17.880700000000001</v>
      </c>
      <c r="H869" s="64">
        <f>29.0805* CHOOSE(CONTROL!$C$22, $C$13, 100%, $E$13)</f>
        <v>29.080500000000001</v>
      </c>
      <c r="I869" s="64">
        <f>29.0827 * CHOOSE(CONTROL!$C$22, $C$13, 100%, $E$13)</f>
        <v>29.082699999999999</v>
      </c>
      <c r="J869" s="64">
        <f>17.8785 * CHOOSE(CONTROL!$C$22, $C$13, 100%, $E$13)</f>
        <v>17.878499999999999</v>
      </c>
      <c r="K869" s="64">
        <f>17.8807 * CHOOSE(CONTROL!$C$22, $C$13, 100%, $E$13)</f>
        <v>17.880700000000001</v>
      </c>
    </row>
    <row r="870" spans="1:11" ht="15">
      <c r="A870" s="13">
        <v>68119</v>
      </c>
      <c r="B870" s="63">
        <f>15.3417 * CHOOSE(CONTROL!$C$22, $C$13, 100%, $E$13)</f>
        <v>15.341699999999999</v>
      </c>
      <c r="C870" s="63">
        <f>15.3417 * CHOOSE(CONTROL!$C$22, $C$13, 100%, $E$13)</f>
        <v>15.341699999999999</v>
      </c>
      <c r="D870" s="63">
        <f>15.377 * CHOOSE(CONTROL!$C$22, $C$13, 100%, $E$13)</f>
        <v>15.377000000000001</v>
      </c>
      <c r="E870" s="64">
        <f>18.2184 * CHOOSE(CONTROL!$C$22, $C$13, 100%, $E$13)</f>
        <v>18.218399999999999</v>
      </c>
      <c r="F870" s="64">
        <f>18.2184 * CHOOSE(CONTROL!$C$22, $C$13, 100%, $E$13)</f>
        <v>18.218399999999999</v>
      </c>
      <c r="G870" s="64">
        <f>18.2205 * CHOOSE(CONTROL!$C$22, $C$13, 100%, $E$13)</f>
        <v>18.220500000000001</v>
      </c>
      <c r="H870" s="64">
        <f>29.1411* CHOOSE(CONTROL!$C$22, $C$13, 100%, $E$13)</f>
        <v>29.141100000000002</v>
      </c>
      <c r="I870" s="64">
        <f>29.1433 * CHOOSE(CONTROL!$C$22, $C$13, 100%, $E$13)</f>
        <v>29.1433</v>
      </c>
      <c r="J870" s="64">
        <f>18.2184 * CHOOSE(CONTROL!$C$22, $C$13, 100%, $E$13)</f>
        <v>18.218399999999999</v>
      </c>
      <c r="K870" s="64">
        <f>18.2205 * CHOOSE(CONTROL!$C$22, $C$13, 100%, $E$13)</f>
        <v>18.220500000000001</v>
      </c>
    </row>
    <row r="871" spans="1:11" ht="15">
      <c r="A871" s="13">
        <v>68150</v>
      </c>
      <c r="B871" s="63">
        <f>15.3483 * CHOOSE(CONTROL!$C$22, $C$13, 100%, $E$13)</f>
        <v>15.3483</v>
      </c>
      <c r="C871" s="63">
        <f>15.3483 * CHOOSE(CONTROL!$C$22, $C$13, 100%, $E$13)</f>
        <v>15.3483</v>
      </c>
      <c r="D871" s="63">
        <f>15.3837 * CHOOSE(CONTROL!$C$22, $C$13, 100%, $E$13)</f>
        <v>15.383699999999999</v>
      </c>
      <c r="E871" s="64">
        <f>18.0379 * CHOOSE(CONTROL!$C$22, $C$13, 100%, $E$13)</f>
        <v>18.0379</v>
      </c>
      <c r="F871" s="64">
        <f>18.0379 * CHOOSE(CONTROL!$C$22, $C$13, 100%, $E$13)</f>
        <v>18.0379</v>
      </c>
      <c r="G871" s="64">
        <f>18.0401 * CHOOSE(CONTROL!$C$22, $C$13, 100%, $E$13)</f>
        <v>18.040099999999999</v>
      </c>
      <c r="H871" s="64">
        <f>29.2018* CHOOSE(CONTROL!$C$22, $C$13, 100%, $E$13)</f>
        <v>29.201799999999999</v>
      </c>
      <c r="I871" s="64">
        <f>29.204 * CHOOSE(CONTROL!$C$22, $C$13, 100%, $E$13)</f>
        <v>29.204000000000001</v>
      </c>
      <c r="J871" s="64">
        <f>18.0379 * CHOOSE(CONTROL!$C$22, $C$13, 100%, $E$13)</f>
        <v>18.0379</v>
      </c>
      <c r="K871" s="64">
        <f>18.0401 * CHOOSE(CONTROL!$C$22, $C$13, 100%, $E$13)</f>
        <v>18.040099999999999</v>
      </c>
    </row>
    <row r="872" spans="1:11" ht="15">
      <c r="A872" s="13">
        <v>68181</v>
      </c>
      <c r="B872" s="63">
        <f>15.3453 * CHOOSE(CONTROL!$C$22, $C$13, 100%, $E$13)</f>
        <v>15.3453</v>
      </c>
      <c r="C872" s="63">
        <f>15.3453 * CHOOSE(CONTROL!$C$22, $C$13, 100%, $E$13)</f>
        <v>15.3453</v>
      </c>
      <c r="D872" s="63">
        <f>15.3806 * CHOOSE(CONTROL!$C$22, $C$13, 100%, $E$13)</f>
        <v>15.380599999999999</v>
      </c>
      <c r="E872" s="64">
        <f>18.0152 * CHOOSE(CONTROL!$C$22, $C$13, 100%, $E$13)</f>
        <v>18.0152</v>
      </c>
      <c r="F872" s="64">
        <f>18.0152 * CHOOSE(CONTROL!$C$22, $C$13, 100%, $E$13)</f>
        <v>18.0152</v>
      </c>
      <c r="G872" s="64">
        <f>18.0174 * CHOOSE(CONTROL!$C$22, $C$13, 100%, $E$13)</f>
        <v>18.017399999999999</v>
      </c>
      <c r="H872" s="64">
        <f>29.2626* CHOOSE(CONTROL!$C$22, $C$13, 100%, $E$13)</f>
        <v>29.262599999999999</v>
      </c>
      <c r="I872" s="64">
        <f>29.2648 * CHOOSE(CONTROL!$C$22, $C$13, 100%, $E$13)</f>
        <v>29.264800000000001</v>
      </c>
      <c r="J872" s="64">
        <f>18.0152 * CHOOSE(CONTROL!$C$22, $C$13, 100%, $E$13)</f>
        <v>18.0152</v>
      </c>
      <c r="K872" s="64">
        <f>18.0174 * CHOOSE(CONTROL!$C$22, $C$13, 100%, $E$13)</f>
        <v>18.017399999999999</v>
      </c>
    </row>
    <row r="873" spans="1:11" ht="15">
      <c r="A873" s="13">
        <v>68211</v>
      </c>
      <c r="B873" s="63">
        <f>15.3775 * CHOOSE(CONTROL!$C$22, $C$13, 100%, $E$13)</f>
        <v>15.3775</v>
      </c>
      <c r="C873" s="63">
        <f>15.3775 * CHOOSE(CONTROL!$C$22, $C$13, 100%, $E$13)</f>
        <v>15.3775</v>
      </c>
      <c r="D873" s="63">
        <f>15.3952 * CHOOSE(CONTROL!$C$22, $C$13, 100%, $E$13)</f>
        <v>15.395200000000001</v>
      </c>
      <c r="E873" s="64">
        <f>18.0841 * CHOOSE(CONTROL!$C$22, $C$13, 100%, $E$13)</f>
        <v>18.084099999999999</v>
      </c>
      <c r="F873" s="64">
        <f>18.0841 * CHOOSE(CONTROL!$C$22, $C$13, 100%, $E$13)</f>
        <v>18.084099999999999</v>
      </c>
      <c r="G873" s="64">
        <f>18.0842 * CHOOSE(CONTROL!$C$22, $C$13, 100%, $E$13)</f>
        <v>18.084199999999999</v>
      </c>
      <c r="H873" s="64">
        <f>29.3236* CHOOSE(CONTROL!$C$22, $C$13, 100%, $E$13)</f>
        <v>29.323599999999999</v>
      </c>
      <c r="I873" s="64">
        <f>29.3238 * CHOOSE(CONTROL!$C$22, $C$13, 100%, $E$13)</f>
        <v>29.323799999999999</v>
      </c>
      <c r="J873" s="64">
        <f>18.0841 * CHOOSE(CONTROL!$C$22, $C$13, 100%, $E$13)</f>
        <v>18.084099999999999</v>
      </c>
      <c r="K873" s="64">
        <f>18.0842 * CHOOSE(CONTROL!$C$22, $C$13, 100%, $E$13)</f>
        <v>18.084199999999999</v>
      </c>
    </row>
    <row r="874" spans="1:11" ht="15">
      <c r="A874" s="13">
        <v>68242</v>
      </c>
      <c r="B874" s="63">
        <f>15.3806 * CHOOSE(CONTROL!$C$22, $C$13, 100%, $E$13)</f>
        <v>15.380599999999999</v>
      </c>
      <c r="C874" s="63">
        <f>15.3806 * CHOOSE(CONTROL!$C$22, $C$13, 100%, $E$13)</f>
        <v>15.380599999999999</v>
      </c>
      <c r="D874" s="63">
        <f>15.3982 * CHOOSE(CONTROL!$C$22, $C$13, 100%, $E$13)</f>
        <v>15.398199999999999</v>
      </c>
      <c r="E874" s="64">
        <f>18.1273 * CHOOSE(CONTROL!$C$22, $C$13, 100%, $E$13)</f>
        <v>18.127300000000002</v>
      </c>
      <c r="F874" s="64">
        <f>18.1273 * CHOOSE(CONTROL!$C$22, $C$13, 100%, $E$13)</f>
        <v>18.127300000000002</v>
      </c>
      <c r="G874" s="64">
        <f>18.1275 * CHOOSE(CONTROL!$C$22, $C$13, 100%, $E$13)</f>
        <v>18.127500000000001</v>
      </c>
      <c r="H874" s="64">
        <f>29.3847* CHOOSE(CONTROL!$C$22, $C$13, 100%, $E$13)</f>
        <v>29.384699999999999</v>
      </c>
      <c r="I874" s="64">
        <f>29.3849 * CHOOSE(CONTROL!$C$22, $C$13, 100%, $E$13)</f>
        <v>29.384899999999998</v>
      </c>
      <c r="J874" s="64">
        <f>18.1273 * CHOOSE(CONTROL!$C$22, $C$13, 100%, $E$13)</f>
        <v>18.127300000000002</v>
      </c>
      <c r="K874" s="64">
        <f>18.1275 * CHOOSE(CONTROL!$C$22, $C$13, 100%, $E$13)</f>
        <v>18.127500000000001</v>
      </c>
    </row>
    <row r="875" spans="1:11" ht="15">
      <c r="A875" s="13">
        <v>68272</v>
      </c>
      <c r="B875" s="63">
        <f>15.3806 * CHOOSE(CONTROL!$C$22, $C$13, 100%, $E$13)</f>
        <v>15.380599999999999</v>
      </c>
      <c r="C875" s="63">
        <f>15.3806 * CHOOSE(CONTROL!$C$22, $C$13, 100%, $E$13)</f>
        <v>15.380599999999999</v>
      </c>
      <c r="D875" s="63">
        <f>15.3982 * CHOOSE(CONTROL!$C$22, $C$13, 100%, $E$13)</f>
        <v>15.398199999999999</v>
      </c>
      <c r="E875" s="64">
        <f>18.0245 * CHOOSE(CONTROL!$C$22, $C$13, 100%, $E$13)</f>
        <v>18.0245</v>
      </c>
      <c r="F875" s="64">
        <f>18.0245 * CHOOSE(CONTROL!$C$22, $C$13, 100%, $E$13)</f>
        <v>18.0245</v>
      </c>
      <c r="G875" s="64">
        <f>18.0246 * CHOOSE(CONTROL!$C$22, $C$13, 100%, $E$13)</f>
        <v>18.0246</v>
      </c>
      <c r="H875" s="64">
        <f>29.4459* CHOOSE(CONTROL!$C$22, $C$13, 100%, $E$13)</f>
        <v>29.445900000000002</v>
      </c>
      <c r="I875" s="64">
        <f>29.4461 * CHOOSE(CONTROL!$C$22, $C$13, 100%, $E$13)</f>
        <v>29.446100000000001</v>
      </c>
      <c r="J875" s="64">
        <f>18.0245 * CHOOSE(CONTROL!$C$22, $C$13, 100%, $E$13)</f>
        <v>18.0245</v>
      </c>
      <c r="K875" s="64">
        <f>18.0246 * CHOOSE(CONTROL!$C$22, $C$13, 100%, $E$13)</f>
        <v>18.0246</v>
      </c>
    </row>
    <row r="876" spans="1:11" ht="15">
      <c r="A876" s="13">
        <v>68303</v>
      </c>
      <c r="B876" s="63">
        <f>15.3434 * CHOOSE(CONTROL!$C$22, $C$13, 100%, $E$13)</f>
        <v>15.343400000000001</v>
      </c>
      <c r="C876" s="63">
        <f>15.3434 * CHOOSE(CONTROL!$C$22, $C$13, 100%, $E$13)</f>
        <v>15.343400000000001</v>
      </c>
      <c r="D876" s="63">
        <f>15.3611 * CHOOSE(CONTROL!$C$22, $C$13, 100%, $E$13)</f>
        <v>15.3611</v>
      </c>
      <c r="E876" s="64">
        <f>18.0517 * CHOOSE(CONTROL!$C$22, $C$13, 100%, $E$13)</f>
        <v>18.0517</v>
      </c>
      <c r="F876" s="64">
        <f>18.0517 * CHOOSE(CONTROL!$C$22, $C$13, 100%, $E$13)</f>
        <v>18.0517</v>
      </c>
      <c r="G876" s="64">
        <f>18.0519 * CHOOSE(CONTROL!$C$22, $C$13, 100%, $E$13)</f>
        <v>18.0519</v>
      </c>
      <c r="H876" s="64">
        <f>29.2254* CHOOSE(CONTROL!$C$22, $C$13, 100%, $E$13)</f>
        <v>29.2254</v>
      </c>
      <c r="I876" s="64">
        <f>29.2255 * CHOOSE(CONTROL!$C$22, $C$13, 100%, $E$13)</f>
        <v>29.2255</v>
      </c>
      <c r="J876" s="64">
        <f>18.0517 * CHOOSE(CONTROL!$C$22, $C$13, 100%, $E$13)</f>
        <v>18.0517</v>
      </c>
      <c r="K876" s="64">
        <f>18.0519 * CHOOSE(CONTROL!$C$22, $C$13, 100%, $E$13)</f>
        <v>18.0519</v>
      </c>
    </row>
    <row r="877" spans="1:11" ht="15">
      <c r="A877" s="13">
        <v>68334</v>
      </c>
      <c r="B877" s="63">
        <f>15.3404 * CHOOSE(CONTROL!$C$22, $C$13, 100%, $E$13)</f>
        <v>15.340400000000001</v>
      </c>
      <c r="C877" s="63">
        <f>15.3404 * CHOOSE(CONTROL!$C$22, $C$13, 100%, $E$13)</f>
        <v>15.340400000000001</v>
      </c>
      <c r="D877" s="63">
        <f>15.358 * CHOOSE(CONTROL!$C$22, $C$13, 100%, $E$13)</f>
        <v>15.358000000000001</v>
      </c>
      <c r="E877" s="64">
        <f>17.852 * CHOOSE(CONTROL!$C$22, $C$13, 100%, $E$13)</f>
        <v>17.852</v>
      </c>
      <c r="F877" s="64">
        <f>17.852 * CHOOSE(CONTROL!$C$22, $C$13, 100%, $E$13)</f>
        <v>17.852</v>
      </c>
      <c r="G877" s="64">
        <f>17.8522 * CHOOSE(CONTROL!$C$22, $C$13, 100%, $E$13)</f>
        <v>17.8522</v>
      </c>
      <c r="H877" s="64">
        <f>29.2863* CHOOSE(CONTROL!$C$22, $C$13, 100%, $E$13)</f>
        <v>29.286300000000001</v>
      </c>
      <c r="I877" s="64">
        <f>29.2864 * CHOOSE(CONTROL!$C$22, $C$13, 100%, $E$13)</f>
        <v>29.2864</v>
      </c>
      <c r="J877" s="64">
        <f>17.852 * CHOOSE(CONTROL!$C$22, $C$13, 100%, $E$13)</f>
        <v>17.852</v>
      </c>
      <c r="K877" s="64">
        <f>17.8522 * CHOOSE(CONTROL!$C$22, $C$13, 100%, $E$13)</f>
        <v>17.8522</v>
      </c>
    </row>
    <row r="878" spans="1:11" ht="15">
      <c r="A878" s="13">
        <v>68362</v>
      </c>
      <c r="B878" s="63">
        <f>15.3373 * CHOOSE(CONTROL!$C$22, $C$13, 100%, $E$13)</f>
        <v>15.337300000000001</v>
      </c>
      <c r="C878" s="63">
        <f>15.3373 * CHOOSE(CONTROL!$C$22, $C$13, 100%, $E$13)</f>
        <v>15.337300000000001</v>
      </c>
      <c r="D878" s="63">
        <f>15.355 * CHOOSE(CONTROL!$C$22, $C$13, 100%, $E$13)</f>
        <v>15.355</v>
      </c>
      <c r="E878" s="64">
        <f>18.0057 * CHOOSE(CONTROL!$C$22, $C$13, 100%, $E$13)</f>
        <v>18.005700000000001</v>
      </c>
      <c r="F878" s="64">
        <f>18.0057 * CHOOSE(CONTROL!$C$22, $C$13, 100%, $E$13)</f>
        <v>18.005700000000001</v>
      </c>
      <c r="G878" s="64">
        <f>18.0058 * CHOOSE(CONTROL!$C$22, $C$13, 100%, $E$13)</f>
        <v>18.005800000000001</v>
      </c>
      <c r="H878" s="64">
        <f>29.3473* CHOOSE(CONTROL!$C$22, $C$13, 100%, $E$13)</f>
        <v>29.347300000000001</v>
      </c>
      <c r="I878" s="64">
        <f>29.3474 * CHOOSE(CONTROL!$C$22, $C$13, 100%, $E$13)</f>
        <v>29.3474</v>
      </c>
      <c r="J878" s="64">
        <f>18.0057 * CHOOSE(CONTROL!$C$22, $C$13, 100%, $E$13)</f>
        <v>18.005700000000001</v>
      </c>
      <c r="K878" s="64">
        <f>18.0058 * CHOOSE(CONTROL!$C$22, $C$13, 100%, $E$13)</f>
        <v>18.005800000000001</v>
      </c>
    </row>
    <row r="879" spans="1:11" ht="15">
      <c r="A879" s="13">
        <v>68393</v>
      </c>
      <c r="B879" s="63">
        <f>15.3446 * CHOOSE(CONTROL!$C$22, $C$13, 100%, $E$13)</f>
        <v>15.3446</v>
      </c>
      <c r="C879" s="63">
        <f>15.3446 * CHOOSE(CONTROL!$C$22, $C$13, 100%, $E$13)</f>
        <v>15.3446</v>
      </c>
      <c r="D879" s="63">
        <f>15.3623 * CHOOSE(CONTROL!$C$22, $C$13, 100%, $E$13)</f>
        <v>15.362299999999999</v>
      </c>
      <c r="E879" s="64">
        <f>18.1687 * CHOOSE(CONTROL!$C$22, $C$13, 100%, $E$13)</f>
        <v>18.168700000000001</v>
      </c>
      <c r="F879" s="64">
        <f>18.1687 * CHOOSE(CONTROL!$C$22, $C$13, 100%, $E$13)</f>
        <v>18.168700000000001</v>
      </c>
      <c r="G879" s="64">
        <f>18.1689 * CHOOSE(CONTROL!$C$22, $C$13, 100%, $E$13)</f>
        <v>18.168900000000001</v>
      </c>
      <c r="H879" s="64">
        <f>29.4084* CHOOSE(CONTROL!$C$22, $C$13, 100%, $E$13)</f>
        <v>29.4084</v>
      </c>
      <c r="I879" s="64">
        <f>29.4086 * CHOOSE(CONTROL!$C$22, $C$13, 100%, $E$13)</f>
        <v>29.4086</v>
      </c>
      <c r="J879" s="64">
        <f>18.1687 * CHOOSE(CONTROL!$C$22, $C$13, 100%, $E$13)</f>
        <v>18.168700000000001</v>
      </c>
      <c r="K879" s="64">
        <f>18.1689 * CHOOSE(CONTROL!$C$22, $C$13, 100%, $E$13)</f>
        <v>18.168900000000001</v>
      </c>
    </row>
    <row r="880" spans="1:11" ht="15">
      <c r="A880" s="13">
        <v>68423</v>
      </c>
      <c r="B880" s="63">
        <f>15.3446 * CHOOSE(CONTROL!$C$22, $C$13, 100%, $E$13)</f>
        <v>15.3446</v>
      </c>
      <c r="C880" s="63">
        <f>15.3446 * CHOOSE(CONTROL!$C$22, $C$13, 100%, $E$13)</f>
        <v>15.3446</v>
      </c>
      <c r="D880" s="63">
        <f>15.38 * CHOOSE(CONTROL!$C$22, $C$13, 100%, $E$13)</f>
        <v>15.38</v>
      </c>
      <c r="E880" s="64">
        <f>18.2314 * CHOOSE(CONTROL!$C$22, $C$13, 100%, $E$13)</f>
        <v>18.231400000000001</v>
      </c>
      <c r="F880" s="64">
        <f>18.2314 * CHOOSE(CONTROL!$C$22, $C$13, 100%, $E$13)</f>
        <v>18.231400000000001</v>
      </c>
      <c r="G880" s="64">
        <f>18.2336 * CHOOSE(CONTROL!$C$22, $C$13, 100%, $E$13)</f>
        <v>18.233599999999999</v>
      </c>
      <c r="H880" s="64">
        <f>29.4697* CHOOSE(CONTROL!$C$22, $C$13, 100%, $E$13)</f>
        <v>29.4697</v>
      </c>
      <c r="I880" s="64">
        <f>29.4719 * CHOOSE(CONTROL!$C$22, $C$13, 100%, $E$13)</f>
        <v>29.471900000000002</v>
      </c>
      <c r="J880" s="64">
        <f>18.2314 * CHOOSE(CONTROL!$C$22, $C$13, 100%, $E$13)</f>
        <v>18.231400000000001</v>
      </c>
      <c r="K880" s="64">
        <f>18.2336 * CHOOSE(CONTROL!$C$22, $C$13, 100%, $E$13)</f>
        <v>18.233599999999999</v>
      </c>
    </row>
    <row r="881" spans="1:11" ht="15">
      <c r="A881" s="13">
        <v>68454</v>
      </c>
      <c r="B881" s="63">
        <f>15.3507 * CHOOSE(CONTROL!$C$22, $C$13, 100%, $E$13)</f>
        <v>15.3507</v>
      </c>
      <c r="C881" s="63">
        <f>15.3507 * CHOOSE(CONTROL!$C$22, $C$13, 100%, $E$13)</f>
        <v>15.3507</v>
      </c>
      <c r="D881" s="63">
        <f>15.386 * CHOOSE(CONTROL!$C$22, $C$13, 100%, $E$13)</f>
        <v>15.385999999999999</v>
      </c>
      <c r="E881" s="64">
        <f>18.1729 * CHOOSE(CONTROL!$C$22, $C$13, 100%, $E$13)</f>
        <v>18.172899999999998</v>
      </c>
      <c r="F881" s="64">
        <f>18.1729 * CHOOSE(CONTROL!$C$22, $C$13, 100%, $E$13)</f>
        <v>18.172899999999998</v>
      </c>
      <c r="G881" s="64">
        <f>18.1751 * CHOOSE(CONTROL!$C$22, $C$13, 100%, $E$13)</f>
        <v>18.1751</v>
      </c>
      <c r="H881" s="64">
        <f>29.5311* CHOOSE(CONTROL!$C$22, $C$13, 100%, $E$13)</f>
        <v>29.531099999999999</v>
      </c>
      <c r="I881" s="64">
        <f>29.5333 * CHOOSE(CONTROL!$C$22, $C$13, 100%, $E$13)</f>
        <v>29.533300000000001</v>
      </c>
      <c r="J881" s="64">
        <f>18.1729 * CHOOSE(CONTROL!$C$22, $C$13, 100%, $E$13)</f>
        <v>18.172899999999998</v>
      </c>
      <c r="K881" s="64">
        <f>18.1751 * CHOOSE(CONTROL!$C$22, $C$13, 100%, $E$13)</f>
        <v>18.1751</v>
      </c>
    </row>
    <row r="882" spans="1:11" ht="15">
      <c r="A882" s="13">
        <v>68484</v>
      </c>
      <c r="B882" s="63">
        <f>15.5909 * CHOOSE(CONTROL!$C$22, $C$13, 100%, $E$13)</f>
        <v>15.5909</v>
      </c>
      <c r="C882" s="63">
        <f>15.5909 * CHOOSE(CONTROL!$C$22, $C$13, 100%, $E$13)</f>
        <v>15.5909</v>
      </c>
      <c r="D882" s="63">
        <f>15.6262 * CHOOSE(CONTROL!$C$22, $C$13, 100%, $E$13)</f>
        <v>15.626200000000001</v>
      </c>
      <c r="E882" s="64">
        <f>18.5182 * CHOOSE(CONTROL!$C$22, $C$13, 100%, $E$13)</f>
        <v>18.5182</v>
      </c>
      <c r="F882" s="64">
        <f>18.5182 * CHOOSE(CONTROL!$C$22, $C$13, 100%, $E$13)</f>
        <v>18.5182</v>
      </c>
      <c r="G882" s="64">
        <f>18.5204 * CHOOSE(CONTROL!$C$22, $C$13, 100%, $E$13)</f>
        <v>18.520399999999999</v>
      </c>
      <c r="H882" s="64">
        <f>29.5926* CHOOSE(CONTROL!$C$22, $C$13, 100%, $E$13)</f>
        <v>29.592600000000001</v>
      </c>
      <c r="I882" s="64">
        <f>29.5948 * CHOOSE(CONTROL!$C$22, $C$13, 100%, $E$13)</f>
        <v>29.594799999999999</v>
      </c>
      <c r="J882" s="64">
        <f>18.5182 * CHOOSE(CONTROL!$C$22, $C$13, 100%, $E$13)</f>
        <v>18.5182</v>
      </c>
      <c r="K882" s="64">
        <f>18.5204 * CHOOSE(CONTROL!$C$22, $C$13, 100%, $E$13)</f>
        <v>18.520399999999999</v>
      </c>
    </row>
    <row r="883" spans="1:11" ht="15">
      <c r="A883" s="13">
        <v>68515</v>
      </c>
      <c r="B883" s="63">
        <f>15.5976 * CHOOSE(CONTROL!$C$22, $C$13, 100%, $E$13)</f>
        <v>15.5976</v>
      </c>
      <c r="C883" s="63">
        <f>15.5976 * CHOOSE(CONTROL!$C$22, $C$13, 100%, $E$13)</f>
        <v>15.5976</v>
      </c>
      <c r="D883" s="63">
        <f>15.6329 * CHOOSE(CONTROL!$C$22, $C$13, 100%, $E$13)</f>
        <v>15.632899999999999</v>
      </c>
      <c r="E883" s="64">
        <f>18.3347 * CHOOSE(CONTROL!$C$22, $C$13, 100%, $E$13)</f>
        <v>18.334700000000002</v>
      </c>
      <c r="F883" s="64">
        <f>18.3347 * CHOOSE(CONTROL!$C$22, $C$13, 100%, $E$13)</f>
        <v>18.334700000000002</v>
      </c>
      <c r="G883" s="64">
        <f>18.3369 * CHOOSE(CONTROL!$C$22, $C$13, 100%, $E$13)</f>
        <v>18.3369</v>
      </c>
      <c r="H883" s="64">
        <f>29.6542* CHOOSE(CONTROL!$C$22, $C$13, 100%, $E$13)</f>
        <v>29.654199999999999</v>
      </c>
      <c r="I883" s="64">
        <f>29.6564 * CHOOSE(CONTROL!$C$22, $C$13, 100%, $E$13)</f>
        <v>29.656400000000001</v>
      </c>
      <c r="J883" s="64">
        <f>18.3347 * CHOOSE(CONTROL!$C$22, $C$13, 100%, $E$13)</f>
        <v>18.334700000000002</v>
      </c>
      <c r="K883" s="64">
        <f>18.3369 * CHOOSE(CONTROL!$C$22, $C$13, 100%, $E$13)</f>
        <v>18.3369</v>
      </c>
    </row>
    <row r="884" spans="1:11" ht="15">
      <c r="A884" s="13">
        <v>68546</v>
      </c>
      <c r="B884" s="63">
        <f>15.5945 * CHOOSE(CONTROL!$C$22, $C$13, 100%, $E$13)</f>
        <v>15.5945</v>
      </c>
      <c r="C884" s="63">
        <f>15.5945 * CHOOSE(CONTROL!$C$22, $C$13, 100%, $E$13)</f>
        <v>15.5945</v>
      </c>
      <c r="D884" s="63">
        <f>15.6298 * CHOOSE(CONTROL!$C$22, $C$13, 100%, $E$13)</f>
        <v>15.629799999999999</v>
      </c>
      <c r="E884" s="64">
        <f>18.3117 * CHOOSE(CONTROL!$C$22, $C$13, 100%, $E$13)</f>
        <v>18.311699999999998</v>
      </c>
      <c r="F884" s="64">
        <f>18.3117 * CHOOSE(CONTROL!$C$22, $C$13, 100%, $E$13)</f>
        <v>18.311699999999998</v>
      </c>
      <c r="G884" s="64">
        <f>18.3139 * CHOOSE(CONTROL!$C$22, $C$13, 100%, $E$13)</f>
        <v>18.3139</v>
      </c>
      <c r="H884" s="64">
        <f>29.716* CHOOSE(CONTROL!$C$22, $C$13, 100%, $E$13)</f>
        <v>29.716000000000001</v>
      </c>
      <c r="I884" s="64">
        <f>29.7182 * CHOOSE(CONTROL!$C$22, $C$13, 100%, $E$13)</f>
        <v>29.7182</v>
      </c>
      <c r="J884" s="64">
        <f>18.3117 * CHOOSE(CONTROL!$C$22, $C$13, 100%, $E$13)</f>
        <v>18.311699999999998</v>
      </c>
      <c r="K884" s="64">
        <f>18.3139 * CHOOSE(CONTROL!$C$22, $C$13, 100%, $E$13)</f>
        <v>18.3139</v>
      </c>
    </row>
    <row r="885" spans="1:11" ht="15">
      <c r="A885" s="13">
        <v>68576</v>
      </c>
      <c r="B885" s="63">
        <f>15.6276 * CHOOSE(CONTROL!$C$22, $C$13, 100%, $E$13)</f>
        <v>15.627599999999999</v>
      </c>
      <c r="C885" s="63">
        <f>15.6276 * CHOOSE(CONTROL!$C$22, $C$13, 100%, $E$13)</f>
        <v>15.627599999999999</v>
      </c>
      <c r="D885" s="63">
        <f>15.6452 * CHOOSE(CONTROL!$C$22, $C$13, 100%, $E$13)</f>
        <v>15.645200000000001</v>
      </c>
      <c r="E885" s="64">
        <f>18.3819 * CHOOSE(CONTROL!$C$22, $C$13, 100%, $E$13)</f>
        <v>18.381900000000002</v>
      </c>
      <c r="F885" s="64">
        <f>18.3819 * CHOOSE(CONTROL!$C$22, $C$13, 100%, $E$13)</f>
        <v>18.381900000000002</v>
      </c>
      <c r="G885" s="64">
        <f>18.3821 * CHOOSE(CONTROL!$C$22, $C$13, 100%, $E$13)</f>
        <v>18.382100000000001</v>
      </c>
      <c r="H885" s="64">
        <f>29.7779* CHOOSE(CONTROL!$C$22, $C$13, 100%, $E$13)</f>
        <v>29.777899999999999</v>
      </c>
      <c r="I885" s="64">
        <f>29.7781 * CHOOSE(CONTROL!$C$22, $C$13, 100%, $E$13)</f>
        <v>29.778099999999998</v>
      </c>
      <c r="J885" s="64">
        <f>18.3819 * CHOOSE(CONTROL!$C$22, $C$13, 100%, $E$13)</f>
        <v>18.381900000000002</v>
      </c>
      <c r="K885" s="64">
        <f>18.3821 * CHOOSE(CONTROL!$C$22, $C$13, 100%, $E$13)</f>
        <v>18.382100000000001</v>
      </c>
    </row>
    <row r="886" spans="1:11" ht="15">
      <c r="A886" s="13">
        <v>68607</v>
      </c>
      <c r="B886" s="63">
        <f>15.6306 * CHOOSE(CONTROL!$C$22, $C$13, 100%, $E$13)</f>
        <v>15.630599999999999</v>
      </c>
      <c r="C886" s="63">
        <f>15.6306 * CHOOSE(CONTROL!$C$22, $C$13, 100%, $E$13)</f>
        <v>15.630599999999999</v>
      </c>
      <c r="D886" s="63">
        <f>15.6483 * CHOOSE(CONTROL!$C$22, $C$13, 100%, $E$13)</f>
        <v>15.648300000000001</v>
      </c>
      <c r="E886" s="64">
        <f>18.4258 * CHOOSE(CONTROL!$C$22, $C$13, 100%, $E$13)</f>
        <v>18.425799999999999</v>
      </c>
      <c r="F886" s="64">
        <f>18.4258 * CHOOSE(CONTROL!$C$22, $C$13, 100%, $E$13)</f>
        <v>18.425799999999999</v>
      </c>
      <c r="G886" s="64">
        <f>18.426 * CHOOSE(CONTROL!$C$22, $C$13, 100%, $E$13)</f>
        <v>18.425999999999998</v>
      </c>
      <c r="H886" s="64">
        <f>29.84* CHOOSE(CONTROL!$C$22, $C$13, 100%, $E$13)</f>
        <v>29.84</v>
      </c>
      <c r="I886" s="64">
        <f>29.8401 * CHOOSE(CONTROL!$C$22, $C$13, 100%, $E$13)</f>
        <v>29.8401</v>
      </c>
      <c r="J886" s="64">
        <f>18.4258 * CHOOSE(CONTROL!$C$22, $C$13, 100%, $E$13)</f>
        <v>18.425799999999999</v>
      </c>
      <c r="K886" s="64">
        <f>18.426 * CHOOSE(CONTROL!$C$22, $C$13, 100%, $E$13)</f>
        <v>18.425999999999998</v>
      </c>
    </row>
    <row r="887" spans="1:11" ht="15">
      <c r="A887" s="13">
        <v>68637</v>
      </c>
      <c r="B887" s="63">
        <f>15.6306 * CHOOSE(CONTROL!$C$22, $C$13, 100%, $E$13)</f>
        <v>15.630599999999999</v>
      </c>
      <c r="C887" s="63">
        <f>15.6306 * CHOOSE(CONTROL!$C$22, $C$13, 100%, $E$13)</f>
        <v>15.630599999999999</v>
      </c>
      <c r="D887" s="63">
        <f>15.6483 * CHOOSE(CONTROL!$C$22, $C$13, 100%, $E$13)</f>
        <v>15.648300000000001</v>
      </c>
      <c r="E887" s="64">
        <f>18.3213 * CHOOSE(CONTROL!$C$22, $C$13, 100%, $E$13)</f>
        <v>18.321300000000001</v>
      </c>
      <c r="F887" s="64">
        <f>18.3213 * CHOOSE(CONTROL!$C$22, $C$13, 100%, $E$13)</f>
        <v>18.321300000000001</v>
      </c>
      <c r="G887" s="64">
        <f>18.3215 * CHOOSE(CONTROL!$C$22, $C$13, 100%, $E$13)</f>
        <v>18.3215</v>
      </c>
      <c r="H887" s="64">
        <f>29.9021* CHOOSE(CONTROL!$C$22, $C$13, 100%, $E$13)</f>
        <v>29.902100000000001</v>
      </c>
      <c r="I887" s="64">
        <f>29.9023 * CHOOSE(CONTROL!$C$22, $C$13, 100%, $E$13)</f>
        <v>29.9023</v>
      </c>
      <c r="J887" s="64">
        <f>18.3213 * CHOOSE(CONTROL!$C$22, $C$13, 100%, $E$13)</f>
        <v>18.321300000000001</v>
      </c>
      <c r="K887" s="64">
        <f>18.3215 * CHOOSE(CONTROL!$C$22, $C$13, 100%, $E$13)</f>
        <v>18.3215</v>
      </c>
    </row>
    <row r="888" spans="1:11" ht="15">
      <c r="A888" s="13">
        <v>68668</v>
      </c>
      <c r="B888" s="63">
        <f>15.5887 * CHOOSE(CONTROL!$C$22, $C$13, 100%, $E$13)</f>
        <v>15.588699999999999</v>
      </c>
      <c r="C888" s="63">
        <f>15.5887 * CHOOSE(CONTROL!$C$22, $C$13, 100%, $E$13)</f>
        <v>15.588699999999999</v>
      </c>
      <c r="D888" s="63">
        <f>15.6064 * CHOOSE(CONTROL!$C$22, $C$13, 100%, $E$13)</f>
        <v>15.606400000000001</v>
      </c>
      <c r="E888" s="64">
        <f>18.3441 * CHOOSE(CONTROL!$C$22, $C$13, 100%, $E$13)</f>
        <v>18.344100000000001</v>
      </c>
      <c r="F888" s="64">
        <f>18.3441 * CHOOSE(CONTROL!$C$22, $C$13, 100%, $E$13)</f>
        <v>18.344100000000001</v>
      </c>
      <c r="G888" s="64">
        <f>18.3443 * CHOOSE(CONTROL!$C$22, $C$13, 100%, $E$13)</f>
        <v>18.3443</v>
      </c>
      <c r="H888" s="64">
        <f>29.6713* CHOOSE(CONTROL!$C$22, $C$13, 100%, $E$13)</f>
        <v>29.671299999999999</v>
      </c>
      <c r="I888" s="64">
        <f>29.6714 * CHOOSE(CONTROL!$C$22, $C$13, 100%, $E$13)</f>
        <v>29.671399999999998</v>
      </c>
      <c r="J888" s="64">
        <f>18.3441 * CHOOSE(CONTROL!$C$22, $C$13, 100%, $E$13)</f>
        <v>18.344100000000001</v>
      </c>
      <c r="K888" s="64">
        <f>18.3443 * CHOOSE(CONTROL!$C$22, $C$13, 100%, $E$13)</f>
        <v>18.3443</v>
      </c>
    </row>
    <row r="889" spans="1:11" ht="15">
      <c r="A889" s="13">
        <v>68699</v>
      </c>
      <c r="B889" s="63">
        <f>15.5857 * CHOOSE(CONTROL!$C$22, $C$13, 100%, $E$13)</f>
        <v>15.585699999999999</v>
      </c>
      <c r="C889" s="63">
        <f>15.5857 * CHOOSE(CONTROL!$C$22, $C$13, 100%, $E$13)</f>
        <v>15.585699999999999</v>
      </c>
      <c r="D889" s="63">
        <f>15.6033 * CHOOSE(CONTROL!$C$22, $C$13, 100%, $E$13)</f>
        <v>15.603300000000001</v>
      </c>
      <c r="E889" s="64">
        <f>18.1412 * CHOOSE(CONTROL!$C$22, $C$13, 100%, $E$13)</f>
        <v>18.141200000000001</v>
      </c>
      <c r="F889" s="64">
        <f>18.1412 * CHOOSE(CONTROL!$C$22, $C$13, 100%, $E$13)</f>
        <v>18.141200000000001</v>
      </c>
      <c r="G889" s="64">
        <f>18.1414 * CHOOSE(CONTROL!$C$22, $C$13, 100%, $E$13)</f>
        <v>18.141400000000001</v>
      </c>
      <c r="H889" s="64">
        <f>29.7331* CHOOSE(CONTROL!$C$22, $C$13, 100%, $E$13)</f>
        <v>29.7331</v>
      </c>
      <c r="I889" s="64">
        <f>29.7333 * CHOOSE(CONTROL!$C$22, $C$13, 100%, $E$13)</f>
        <v>29.7333</v>
      </c>
      <c r="J889" s="64">
        <f>18.1412 * CHOOSE(CONTROL!$C$22, $C$13, 100%, $E$13)</f>
        <v>18.141200000000001</v>
      </c>
      <c r="K889" s="64">
        <f>18.1414 * CHOOSE(CONTROL!$C$22, $C$13, 100%, $E$13)</f>
        <v>18.141400000000001</v>
      </c>
    </row>
    <row r="890" spans="1:11" ht="15">
      <c r="A890" s="13">
        <v>68728</v>
      </c>
      <c r="B890" s="63">
        <f>15.5826 * CHOOSE(CONTROL!$C$22, $C$13, 100%, $E$13)</f>
        <v>15.582599999999999</v>
      </c>
      <c r="C890" s="63">
        <f>15.5826 * CHOOSE(CONTROL!$C$22, $C$13, 100%, $E$13)</f>
        <v>15.582599999999999</v>
      </c>
      <c r="D890" s="63">
        <f>15.6003 * CHOOSE(CONTROL!$C$22, $C$13, 100%, $E$13)</f>
        <v>15.600300000000001</v>
      </c>
      <c r="E890" s="64">
        <f>18.2974 * CHOOSE(CONTROL!$C$22, $C$13, 100%, $E$13)</f>
        <v>18.2974</v>
      </c>
      <c r="F890" s="64">
        <f>18.2974 * CHOOSE(CONTROL!$C$22, $C$13, 100%, $E$13)</f>
        <v>18.2974</v>
      </c>
      <c r="G890" s="64">
        <f>18.2976 * CHOOSE(CONTROL!$C$22, $C$13, 100%, $E$13)</f>
        <v>18.297599999999999</v>
      </c>
      <c r="H890" s="64">
        <f>29.795* CHOOSE(CONTROL!$C$22, $C$13, 100%, $E$13)</f>
        <v>29.795000000000002</v>
      </c>
      <c r="I890" s="64">
        <f>29.7952 * CHOOSE(CONTROL!$C$22, $C$13, 100%, $E$13)</f>
        <v>29.795200000000001</v>
      </c>
      <c r="J890" s="64">
        <f>18.2974 * CHOOSE(CONTROL!$C$22, $C$13, 100%, $E$13)</f>
        <v>18.2974</v>
      </c>
      <c r="K890" s="64">
        <f>18.2976 * CHOOSE(CONTROL!$C$22, $C$13, 100%, $E$13)</f>
        <v>18.297599999999999</v>
      </c>
    </row>
    <row r="891" spans="1:11" ht="15">
      <c r="A891" s="13">
        <v>68759</v>
      </c>
      <c r="B891" s="63">
        <f>15.5902 * CHOOSE(CONTROL!$C$22, $C$13, 100%, $E$13)</f>
        <v>15.590199999999999</v>
      </c>
      <c r="C891" s="63">
        <f>15.5902 * CHOOSE(CONTROL!$C$22, $C$13, 100%, $E$13)</f>
        <v>15.590199999999999</v>
      </c>
      <c r="D891" s="63">
        <f>15.6078 * CHOOSE(CONTROL!$C$22, $C$13, 100%, $E$13)</f>
        <v>15.607799999999999</v>
      </c>
      <c r="E891" s="64">
        <f>18.4631 * CHOOSE(CONTROL!$C$22, $C$13, 100%, $E$13)</f>
        <v>18.463100000000001</v>
      </c>
      <c r="F891" s="64">
        <f>18.4631 * CHOOSE(CONTROL!$C$22, $C$13, 100%, $E$13)</f>
        <v>18.463100000000001</v>
      </c>
      <c r="G891" s="64">
        <f>18.4633 * CHOOSE(CONTROL!$C$22, $C$13, 100%, $E$13)</f>
        <v>18.4633</v>
      </c>
      <c r="H891" s="64">
        <f>29.8571* CHOOSE(CONTROL!$C$22, $C$13, 100%, $E$13)</f>
        <v>29.857099999999999</v>
      </c>
      <c r="I891" s="64">
        <f>29.8573 * CHOOSE(CONTROL!$C$22, $C$13, 100%, $E$13)</f>
        <v>29.857299999999999</v>
      </c>
      <c r="J891" s="64">
        <f>18.4631 * CHOOSE(CONTROL!$C$22, $C$13, 100%, $E$13)</f>
        <v>18.463100000000001</v>
      </c>
      <c r="K891" s="64">
        <f>18.4633 * CHOOSE(CONTROL!$C$22, $C$13, 100%, $E$13)</f>
        <v>18.4633</v>
      </c>
    </row>
    <row r="892" spans="1:11" ht="15">
      <c r="A892" s="13">
        <v>68789</v>
      </c>
      <c r="B892" s="63">
        <f>15.5902 * CHOOSE(CONTROL!$C$22, $C$13, 100%, $E$13)</f>
        <v>15.590199999999999</v>
      </c>
      <c r="C892" s="63">
        <f>15.5902 * CHOOSE(CONTROL!$C$22, $C$13, 100%, $E$13)</f>
        <v>15.590199999999999</v>
      </c>
      <c r="D892" s="63">
        <f>15.6255 * CHOOSE(CONTROL!$C$22, $C$13, 100%, $E$13)</f>
        <v>15.625500000000001</v>
      </c>
      <c r="E892" s="64">
        <f>18.5269 * CHOOSE(CONTROL!$C$22, $C$13, 100%, $E$13)</f>
        <v>18.526900000000001</v>
      </c>
      <c r="F892" s="64">
        <f>18.5269 * CHOOSE(CONTROL!$C$22, $C$13, 100%, $E$13)</f>
        <v>18.526900000000001</v>
      </c>
      <c r="G892" s="64">
        <f>18.5291 * CHOOSE(CONTROL!$C$22, $C$13, 100%, $E$13)</f>
        <v>18.5291</v>
      </c>
      <c r="H892" s="64">
        <f>29.9193* CHOOSE(CONTROL!$C$22, $C$13, 100%, $E$13)</f>
        <v>29.9193</v>
      </c>
      <c r="I892" s="64">
        <f>29.9215 * CHOOSE(CONTROL!$C$22, $C$13, 100%, $E$13)</f>
        <v>29.921500000000002</v>
      </c>
      <c r="J892" s="64">
        <f>18.5269 * CHOOSE(CONTROL!$C$22, $C$13, 100%, $E$13)</f>
        <v>18.526900000000001</v>
      </c>
      <c r="K892" s="64">
        <f>18.5291 * CHOOSE(CONTROL!$C$22, $C$13, 100%, $E$13)</f>
        <v>18.5291</v>
      </c>
    </row>
    <row r="893" spans="1:11" ht="15">
      <c r="A893" s="13">
        <v>68820</v>
      </c>
      <c r="B893" s="63">
        <f>15.5963 * CHOOSE(CONTROL!$C$22, $C$13, 100%, $E$13)</f>
        <v>15.596299999999999</v>
      </c>
      <c r="C893" s="63">
        <f>15.5963 * CHOOSE(CONTROL!$C$22, $C$13, 100%, $E$13)</f>
        <v>15.596299999999999</v>
      </c>
      <c r="D893" s="63">
        <f>15.6316 * CHOOSE(CONTROL!$C$22, $C$13, 100%, $E$13)</f>
        <v>15.631600000000001</v>
      </c>
      <c r="E893" s="64">
        <f>18.4674 * CHOOSE(CONTROL!$C$22, $C$13, 100%, $E$13)</f>
        <v>18.467400000000001</v>
      </c>
      <c r="F893" s="64">
        <f>18.4674 * CHOOSE(CONTROL!$C$22, $C$13, 100%, $E$13)</f>
        <v>18.467400000000001</v>
      </c>
      <c r="G893" s="64">
        <f>18.4696 * CHOOSE(CONTROL!$C$22, $C$13, 100%, $E$13)</f>
        <v>18.4696</v>
      </c>
      <c r="H893" s="64">
        <f>29.9816* CHOOSE(CONTROL!$C$22, $C$13, 100%, $E$13)</f>
        <v>29.9816</v>
      </c>
      <c r="I893" s="64">
        <f>29.9838 * CHOOSE(CONTROL!$C$22, $C$13, 100%, $E$13)</f>
        <v>29.983799999999999</v>
      </c>
      <c r="J893" s="64">
        <f>18.4674 * CHOOSE(CONTROL!$C$22, $C$13, 100%, $E$13)</f>
        <v>18.467400000000001</v>
      </c>
      <c r="K893" s="64">
        <f>18.4696 * CHOOSE(CONTROL!$C$22, $C$13, 100%, $E$13)</f>
        <v>18.4696</v>
      </c>
    </row>
    <row r="894" spans="1:11" ht="15">
      <c r="A894" s="13">
        <v>68850</v>
      </c>
      <c r="B894" s="63">
        <f>15.8401 * CHOOSE(CONTROL!$C$22, $C$13, 100%, $E$13)</f>
        <v>15.8401</v>
      </c>
      <c r="C894" s="63">
        <f>15.8401 * CHOOSE(CONTROL!$C$22, $C$13, 100%, $E$13)</f>
        <v>15.8401</v>
      </c>
      <c r="D894" s="63">
        <f>15.8754 * CHOOSE(CONTROL!$C$22, $C$13, 100%, $E$13)</f>
        <v>15.875400000000001</v>
      </c>
      <c r="E894" s="64">
        <f>18.8181 * CHOOSE(CONTROL!$C$22, $C$13, 100%, $E$13)</f>
        <v>18.818100000000001</v>
      </c>
      <c r="F894" s="64">
        <f>18.8181 * CHOOSE(CONTROL!$C$22, $C$13, 100%, $E$13)</f>
        <v>18.818100000000001</v>
      </c>
      <c r="G894" s="64">
        <f>18.8203 * CHOOSE(CONTROL!$C$22, $C$13, 100%, $E$13)</f>
        <v>18.8203</v>
      </c>
      <c r="H894" s="64">
        <f>30.0441* CHOOSE(CONTROL!$C$22, $C$13, 100%, $E$13)</f>
        <v>30.0441</v>
      </c>
      <c r="I894" s="64">
        <f>30.0463 * CHOOSE(CONTROL!$C$22, $C$13, 100%, $E$13)</f>
        <v>30.046299999999999</v>
      </c>
      <c r="J894" s="64">
        <f>18.8181 * CHOOSE(CONTROL!$C$22, $C$13, 100%, $E$13)</f>
        <v>18.818100000000001</v>
      </c>
      <c r="K894" s="64">
        <f>18.8203 * CHOOSE(CONTROL!$C$22, $C$13, 100%, $E$13)</f>
        <v>18.8203</v>
      </c>
    </row>
    <row r="895" spans="1:11" ht="15">
      <c r="A895" s="13">
        <v>68881</v>
      </c>
      <c r="B895" s="63">
        <f>15.8468 * CHOOSE(CONTROL!$C$22, $C$13, 100%, $E$13)</f>
        <v>15.8468</v>
      </c>
      <c r="C895" s="63">
        <f>15.8468 * CHOOSE(CONTROL!$C$22, $C$13, 100%, $E$13)</f>
        <v>15.8468</v>
      </c>
      <c r="D895" s="63">
        <f>15.8821 * CHOOSE(CONTROL!$C$22, $C$13, 100%, $E$13)</f>
        <v>15.882099999999999</v>
      </c>
      <c r="E895" s="64">
        <f>18.6315 * CHOOSE(CONTROL!$C$22, $C$13, 100%, $E$13)</f>
        <v>18.631499999999999</v>
      </c>
      <c r="F895" s="64">
        <f>18.6315 * CHOOSE(CONTROL!$C$22, $C$13, 100%, $E$13)</f>
        <v>18.631499999999999</v>
      </c>
      <c r="G895" s="64">
        <f>18.6337 * CHOOSE(CONTROL!$C$22, $C$13, 100%, $E$13)</f>
        <v>18.633700000000001</v>
      </c>
      <c r="H895" s="64">
        <f>30.1067* CHOOSE(CONTROL!$C$22, $C$13, 100%, $E$13)</f>
        <v>30.1067</v>
      </c>
      <c r="I895" s="64">
        <f>30.1089 * CHOOSE(CONTROL!$C$22, $C$13, 100%, $E$13)</f>
        <v>30.108899999999998</v>
      </c>
      <c r="J895" s="64">
        <f>18.6315 * CHOOSE(CONTROL!$C$22, $C$13, 100%, $E$13)</f>
        <v>18.631499999999999</v>
      </c>
      <c r="K895" s="64">
        <f>18.6337 * CHOOSE(CONTROL!$C$22, $C$13, 100%, $E$13)</f>
        <v>18.633700000000001</v>
      </c>
    </row>
    <row r="896" spans="1:11" ht="15">
      <c r="A896" s="13">
        <v>68912</v>
      </c>
      <c r="B896" s="63">
        <f>15.8437 * CHOOSE(CONTROL!$C$22, $C$13, 100%, $E$13)</f>
        <v>15.8437</v>
      </c>
      <c r="C896" s="63">
        <f>15.8437 * CHOOSE(CONTROL!$C$22, $C$13, 100%, $E$13)</f>
        <v>15.8437</v>
      </c>
      <c r="D896" s="63">
        <f>15.8791 * CHOOSE(CONTROL!$C$22, $C$13, 100%, $E$13)</f>
        <v>15.879099999999999</v>
      </c>
      <c r="E896" s="64">
        <f>18.6082 * CHOOSE(CONTROL!$C$22, $C$13, 100%, $E$13)</f>
        <v>18.6082</v>
      </c>
      <c r="F896" s="64">
        <f>18.6082 * CHOOSE(CONTROL!$C$22, $C$13, 100%, $E$13)</f>
        <v>18.6082</v>
      </c>
      <c r="G896" s="64">
        <f>18.6104 * CHOOSE(CONTROL!$C$22, $C$13, 100%, $E$13)</f>
        <v>18.610399999999998</v>
      </c>
      <c r="H896" s="64">
        <f>30.1694* CHOOSE(CONTROL!$C$22, $C$13, 100%, $E$13)</f>
        <v>30.1694</v>
      </c>
      <c r="I896" s="64">
        <f>30.1716 * CHOOSE(CONTROL!$C$22, $C$13, 100%, $E$13)</f>
        <v>30.171600000000002</v>
      </c>
      <c r="J896" s="64">
        <f>18.6082 * CHOOSE(CONTROL!$C$22, $C$13, 100%, $E$13)</f>
        <v>18.6082</v>
      </c>
      <c r="K896" s="64">
        <f>18.6104 * CHOOSE(CONTROL!$C$22, $C$13, 100%, $E$13)</f>
        <v>18.610399999999998</v>
      </c>
    </row>
    <row r="897" spans="1:11" ht="15">
      <c r="A897" s="13">
        <v>68942</v>
      </c>
      <c r="B897" s="63">
        <f>15.8776 * CHOOSE(CONTROL!$C$22, $C$13, 100%, $E$13)</f>
        <v>15.877599999999999</v>
      </c>
      <c r="C897" s="63">
        <f>15.8776 * CHOOSE(CONTROL!$C$22, $C$13, 100%, $E$13)</f>
        <v>15.877599999999999</v>
      </c>
      <c r="D897" s="63">
        <f>15.8952 * CHOOSE(CONTROL!$C$22, $C$13, 100%, $E$13)</f>
        <v>15.895200000000001</v>
      </c>
      <c r="E897" s="64">
        <f>18.6798 * CHOOSE(CONTROL!$C$22, $C$13, 100%, $E$13)</f>
        <v>18.6798</v>
      </c>
      <c r="F897" s="64">
        <f>18.6798 * CHOOSE(CONTROL!$C$22, $C$13, 100%, $E$13)</f>
        <v>18.6798</v>
      </c>
      <c r="G897" s="64">
        <f>18.6799 * CHOOSE(CONTROL!$C$22, $C$13, 100%, $E$13)</f>
        <v>18.6799</v>
      </c>
      <c r="H897" s="64">
        <f>30.2323* CHOOSE(CONTROL!$C$22, $C$13, 100%, $E$13)</f>
        <v>30.232299999999999</v>
      </c>
      <c r="I897" s="64">
        <f>30.2324 * CHOOSE(CONTROL!$C$22, $C$13, 100%, $E$13)</f>
        <v>30.232399999999998</v>
      </c>
      <c r="J897" s="64">
        <f>18.6798 * CHOOSE(CONTROL!$C$22, $C$13, 100%, $E$13)</f>
        <v>18.6798</v>
      </c>
      <c r="K897" s="64">
        <f>18.6799 * CHOOSE(CONTROL!$C$22, $C$13, 100%, $E$13)</f>
        <v>18.6799</v>
      </c>
    </row>
    <row r="898" spans="1:11" ht="15">
      <c r="A898" s="13">
        <v>68973</v>
      </c>
      <c r="B898" s="63">
        <f>15.8806 * CHOOSE(CONTROL!$C$22, $C$13, 100%, $E$13)</f>
        <v>15.880599999999999</v>
      </c>
      <c r="C898" s="63">
        <f>15.8806 * CHOOSE(CONTROL!$C$22, $C$13, 100%, $E$13)</f>
        <v>15.880599999999999</v>
      </c>
      <c r="D898" s="63">
        <f>15.8983 * CHOOSE(CONTROL!$C$22, $C$13, 100%, $E$13)</f>
        <v>15.898300000000001</v>
      </c>
      <c r="E898" s="64">
        <f>18.7244 * CHOOSE(CONTROL!$C$22, $C$13, 100%, $E$13)</f>
        <v>18.724399999999999</v>
      </c>
      <c r="F898" s="64">
        <f>18.7244 * CHOOSE(CONTROL!$C$22, $C$13, 100%, $E$13)</f>
        <v>18.724399999999999</v>
      </c>
      <c r="G898" s="64">
        <f>18.7245 * CHOOSE(CONTROL!$C$22, $C$13, 100%, $E$13)</f>
        <v>18.724499999999999</v>
      </c>
      <c r="H898" s="64">
        <f>30.2952* CHOOSE(CONTROL!$C$22, $C$13, 100%, $E$13)</f>
        <v>30.295200000000001</v>
      </c>
      <c r="I898" s="64">
        <f>30.2954 * CHOOSE(CONTROL!$C$22, $C$13, 100%, $E$13)</f>
        <v>30.295400000000001</v>
      </c>
      <c r="J898" s="64">
        <f>18.7244 * CHOOSE(CONTROL!$C$22, $C$13, 100%, $E$13)</f>
        <v>18.724399999999999</v>
      </c>
      <c r="K898" s="64">
        <f>18.7245 * CHOOSE(CONTROL!$C$22, $C$13, 100%, $E$13)</f>
        <v>18.724499999999999</v>
      </c>
    </row>
    <row r="899" spans="1:11" ht="15">
      <c r="A899" s="13">
        <v>69003</v>
      </c>
      <c r="B899" s="63">
        <f>15.8806 * CHOOSE(CONTROL!$C$22, $C$13, 100%, $E$13)</f>
        <v>15.880599999999999</v>
      </c>
      <c r="C899" s="63">
        <f>15.8806 * CHOOSE(CONTROL!$C$22, $C$13, 100%, $E$13)</f>
        <v>15.880599999999999</v>
      </c>
      <c r="D899" s="63">
        <f>15.8983 * CHOOSE(CONTROL!$C$22, $C$13, 100%, $E$13)</f>
        <v>15.898300000000001</v>
      </c>
      <c r="E899" s="64">
        <f>18.6181 * CHOOSE(CONTROL!$C$22, $C$13, 100%, $E$13)</f>
        <v>18.618099999999998</v>
      </c>
      <c r="F899" s="64">
        <f>18.6181 * CHOOSE(CONTROL!$C$22, $C$13, 100%, $E$13)</f>
        <v>18.618099999999998</v>
      </c>
      <c r="G899" s="64">
        <f>18.6183 * CHOOSE(CONTROL!$C$22, $C$13, 100%, $E$13)</f>
        <v>18.618300000000001</v>
      </c>
      <c r="H899" s="64">
        <f>30.3584* CHOOSE(CONTROL!$C$22, $C$13, 100%, $E$13)</f>
        <v>30.3584</v>
      </c>
      <c r="I899" s="64">
        <f>30.3585 * CHOOSE(CONTROL!$C$22, $C$13, 100%, $E$13)</f>
        <v>30.358499999999999</v>
      </c>
      <c r="J899" s="64">
        <f>18.6181 * CHOOSE(CONTROL!$C$22, $C$13, 100%, $E$13)</f>
        <v>18.618099999999998</v>
      </c>
      <c r="K899" s="64">
        <f>18.6183 * CHOOSE(CONTROL!$C$22, $C$13, 100%, $E$13)</f>
        <v>18.618300000000001</v>
      </c>
    </row>
    <row r="900" spans="1:11" ht="15">
      <c r="A900" s="13">
        <v>69034</v>
      </c>
      <c r="B900" s="63">
        <f>15.834 * CHOOSE(CONTROL!$C$22, $C$13, 100%, $E$13)</f>
        <v>15.834</v>
      </c>
      <c r="C900" s="63">
        <f>15.834 * CHOOSE(CONTROL!$C$22, $C$13, 100%, $E$13)</f>
        <v>15.834</v>
      </c>
      <c r="D900" s="63">
        <f>15.8517 * CHOOSE(CONTROL!$C$22, $C$13, 100%, $E$13)</f>
        <v>15.851699999999999</v>
      </c>
      <c r="E900" s="64">
        <f>18.6365 * CHOOSE(CONTROL!$C$22, $C$13, 100%, $E$13)</f>
        <v>18.636500000000002</v>
      </c>
      <c r="F900" s="64">
        <f>18.6365 * CHOOSE(CONTROL!$C$22, $C$13, 100%, $E$13)</f>
        <v>18.636500000000002</v>
      </c>
      <c r="G900" s="64">
        <f>18.6367 * CHOOSE(CONTROL!$C$22, $C$13, 100%, $E$13)</f>
        <v>18.636700000000001</v>
      </c>
      <c r="H900" s="64">
        <f>30.1172* CHOOSE(CONTROL!$C$22, $C$13, 100%, $E$13)</f>
        <v>30.1172</v>
      </c>
      <c r="I900" s="64">
        <f>30.1173 * CHOOSE(CONTROL!$C$22, $C$13, 100%, $E$13)</f>
        <v>30.1173</v>
      </c>
      <c r="J900" s="64">
        <f>18.6365 * CHOOSE(CONTROL!$C$22, $C$13, 100%, $E$13)</f>
        <v>18.636500000000002</v>
      </c>
      <c r="K900" s="64">
        <f>18.6367 * CHOOSE(CONTROL!$C$22, $C$13, 100%, $E$13)</f>
        <v>18.636700000000001</v>
      </c>
    </row>
    <row r="901" spans="1:11" ht="15">
      <c r="A901" s="13">
        <v>69065</v>
      </c>
      <c r="B901" s="63">
        <f>15.831 * CHOOSE(CONTROL!$C$22, $C$13, 100%, $E$13)</f>
        <v>15.831</v>
      </c>
      <c r="C901" s="63">
        <f>15.831 * CHOOSE(CONTROL!$C$22, $C$13, 100%, $E$13)</f>
        <v>15.831</v>
      </c>
      <c r="D901" s="63">
        <f>15.8487 * CHOOSE(CONTROL!$C$22, $C$13, 100%, $E$13)</f>
        <v>15.848699999999999</v>
      </c>
      <c r="E901" s="64">
        <f>18.4304 * CHOOSE(CONTROL!$C$22, $C$13, 100%, $E$13)</f>
        <v>18.430399999999999</v>
      </c>
      <c r="F901" s="64">
        <f>18.4304 * CHOOSE(CONTROL!$C$22, $C$13, 100%, $E$13)</f>
        <v>18.430399999999999</v>
      </c>
      <c r="G901" s="64">
        <f>18.4306 * CHOOSE(CONTROL!$C$22, $C$13, 100%, $E$13)</f>
        <v>18.430599999999998</v>
      </c>
      <c r="H901" s="64">
        <f>30.1799* CHOOSE(CONTROL!$C$22, $C$13, 100%, $E$13)</f>
        <v>30.1799</v>
      </c>
      <c r="I901" s="64">
        <f>30.1801 * CHOOSE(CONTROL!$C$22, $C$13, 100%, $E$13)</f>
        <v>30.180099999999999</v>
      </c>
      <c r="J901" s="64">
        <f>18.4304 * CHOOSE(CONTROL!$C$22, $C$13, 100%, $E$13)</f>
        <v>18.430399999999999</v>
      </c>
      <c r="K901" s="64">
        <f>18.4306 * CHOOSE(CONTROL!$C$22, $C$13, 100%, $E$13)</f>
        <v>18.430599999999998</v>
      </c>
    </row>
    <row r="902" spans="1:11" ht="15">
      <c r="A902" s="13">
        <v>69093</v>
      </c>
      <c r="B902" s="63">
        <f>15.828 * CHOOSE(CONTROL!$C$22, $C$13, 100%, $E$13)</f>
        <v>15.827999999999999</v>
      </c>
      <c r="C902" s="63">
        <f>15.828 * CHOOSE(CONTROL!$C$22, $C$13, 100%, $E$13)</f>
        <v>15.827999999999999</v>
      </c>
      <c r="D902" s="63">
        <f>15.8456 * CHOOSE(CONTROL!$C$22, $C$13, 100%, $E$13)</f>
        <v>15.845599999999999</v>
      </c>
      <c r="E902" s="64">
        <f>18.5891 * CHOOSE(CONTROL!$C$22, $C$13, 100%, $E$13)</f>
        <v>18.589099999999998</v>
      </c>
      <c r="F902" s="64">
        <f>18.5891 * CHOOSE(CONTROL!$C$22, $C$13, 100%, $E$13)</f>
        <v>18.589099999999998</v>
      </c>
      <c r="G902" s="64">
        <f>18.5893 * CHOOSE(CONTROL!$C$22, $C$13, 100%, $E$13)</f>
        <v>18.589300000000001</v>
      </c>
      <c r="H902" s="64">
        <f>30.2428* CHOOSE(CONTROL!$C$22, $C$13, 100%, $E$13)</f>
        <v>30.242799999999999</v>
      </c>
      <c r="I902" s="64">
        <f>30.2429 * CHOOSE(CONTROL!$C$22, $C$13, 100%, $E$13)</f>
        <v>30.242899999999999</v>
      </c>
      <c r="J902" s="64">
        <f>18.5891 * CHOOSE(CONTROL!$C$22, $C$13, 100%, $E$13)</f>
        <v>18.589099999999998</v>
      </c>
      <c r="K902" s="64">
        <f>18.5893 * CHOOSE(CONTROL!$C$22, $C$13, 100%, $E$13)</f>
        <v>18.589300000000001</v>
      </c>
    </row>
    <row r="903" spans="1:11" ht="15">
      <c r="A903" s="13">
        <v>69124</v>
      </c>
      <c r="B903" s="63">
        <f>15.8357 * CHOOSE(CONTROL!$C$22, $C$13, 100%, $E$13)</f>
        <v>15.835699999999999</v>
      </c>
      <c r="C903" s="63">
        <f>15.8357 * CHOOSE(CONTROL!$C$22, $C$13, 100%, $E$13)</f>
        <v>15.835699999999999</v>
      </c>
      <c r="D903" s="63">
        <f>15.8534 * CHOOSE(CONTROL!$C$22, $C$13, 100%, $E$13)</f>
        <v>15.853400000000001</v>
      </c>
      <c r="E903" s="64">
        <f>18.7576 * CHOOSE(CONTROL!$C$22, $C$13, 100%, $E$13)</f>
        <v>18.7576</v>
      </c>
      <c r="F903" s="64">
        <f>18.7576 * CHOOSE(CONTROL!$C$22, $C$13, 100%, $E$13)</f>
        <v>18.7576</v>
      </c>
      <c r="G903" s="64">
        <f>18.7578 * CHOOSE(CONTROL!$C$22, $C$13, 100%, $E$13)</f>
        <v>18.7578</v>
      </c>
      <c r="H903" s="64">
        <f>30.3058* CHOOSE(CONTROL!$C$22, $C$13, 100%, $E$13)</f>
        <v>30.305800000000001</v>
      </c>
      <c r="I903" s="64">
        <f>30.306 * CHOOSE(CONTROL!$C$22, $C$13, 100%, $E$13)</f>
        <v>30.306000000000001</v>
      </c>
      <c r="J903" s="64">
        <f>18.7576 * CHOOSE(CONTROL!$C$22, $C$13, 100%, $E$13)</f>
        <v>18.7576</v>
      </c>
      <c r="K903" s="64">
        <f>18.7578 * CHOOSE(CONTROL!$C$22, $C$13, 100%, $E$13)</f>
        <v>18.7578</v>
      </c>
    </row>
    <row r="904" spans="1:11" ht="15">
      <c r="A904" s="13">
        <v>69154</v>
      </c>
      <c r="B904" s="63">
        <f>15.8357 * CHOOSE(CONTROL!$C$22, $C$13, 100%, $E$13)</f>
        <v>15.835699999999999</v>
      </c>
      <c r="C904" s="63">
        <f>15.8357 * CHOOSE(CONTROL!$C$22, $C$13, 100%, $E$13)</f>
        <v>15.835699999999999</v>
      </c>
      <c r="D904" s="63">
        <f>15.871 * CHOOSE(CONTROL!$C$22, $C$13, 100%, $E$13)</f>
        <v>15.871</v>
      </c>
      <c r="E904" s="64">
        <f>18.8224 * CHOOSE(CONTROL!$C$22, $C$13, 100%, $E$13)</f>
        <v>18.822399999999998</v>
      </c>
      <c r="F904" s="64">
        <f>18.8224 * CHOOSE(CONTROL!$C$22, $C$13, 100%, $E$13)</f>
        <v>18.822399999999998</v>
      </c>
      <c r="G904" s="64">
        <f>18.8245 * CHOOSE(CONTROL!$C$22, $C$13, 100%, $E$13)</f>
        <v>18.8245</v>
      </c>
      <c r="H904" s="64">
        <f>30.3689* CHOOSE(CONTROL!$C$22, $C$13, 100%, $E$13)</f>
        <v>30.3689</v>
      </c>
      <c r="I904" s="64">
        <f>30.3711 * CHOOSE(CONTROL!$C$22, $C$13, 100%, $E$13)</f>
        <v>30.371099999999998</v>
      </c>
      <c r="J904" s="64">
        <f>18.8224 * CHOOSE(CONTROL!$C$22, $C$13, 100%, $E$13)</f>
        <v>18.822399999999998</v>
      </c>
      <c r="K904" s="64">
        <f>18.8245 * CHOOSE(CONTROL!$C$22, $C$13, 100%, $E$13)</f>
        <v>18.8245</v>
      </c>
    </row>
    <row r="905" spans="1:11" ht="15">
      <c r="A905" s="13">
        <v>69185</v>
      </c>
      <c r="B905" s="63">
        <f>15.8418 * CHOOSE(CONTROL!$C$22, $C$13, 100%, $E$13)</f>
        <v>15.841799999999999</v>
      </c>
      <c r="C905" s="63">
        <f>15.8418 * CHOOSE(CONTROL!$C$22, $C$13, 100%, $E$13)</f>
        <v>15.841799999999999</v>
      </c>
      <c r="D905" s="63">
        <f>15.8771 * CHOOSE(CONTROL!$C$22, $C$13, 100%, $E$13)</f>
        <v>15.8771</v>
      </c>
      <c r="E905" s="64">
        <f>18.7618 * CHOOSE(CONTROL!$C$22, $C$13, 100%, $E$13)</f>
        <v>18.761800000000001</v>
      </c>
      <c r="F905" s="64">
        <f>18.7618 * CHOOSE(CONTROL!$C$22, $C$13, 100%, $E$13)</f>
        <v>18.761800000000001</v>
      </c>
      <c r="G905" s="64">
        <f>18.764 * CHOOSE(CONTROL!$C$22, $C$13, 100%, $E$13)</f>
        <v>18.763999999999999</v>
      </c>
      <c r="H905" s="64">
        <f>30.4322* CHOOSE(CONTROL!$C$22, $C$13, 100%, $E$13)</f>
        <v>30.432200000000002</v>
      </c>
      <c r="I905" s="64">
        <f>30.4344 * CHOOSE(CONTROL!$C$22, $C$13, 100%, $E$13)</f>
        <v>30.4344</v>
      </c>
      <c r="J905" s="64">
        <f>18.7618 * CHOOSE(CONTROL!$C$22, $C$13, 100%, $E$13)</f>
        <v>18.761800000000001</v>
      </c>
      <c r="K905" s="64">
        <f>18.764 * CHOOSE(CONTROL!$C$22, $C$13, 100%, $E$13)</f>
        <v>18.763999999999999</v>
      </c>
    </row>
    <row r="906" spans="1:11" ht="15">
      <c r="A906" s="13">
        <v>69215</v>
      </c>
      <c r="B906" s="63">
        <f>16.0893 * CHOOSE(CONTROL!$C$22, $C$13, 100%, $E$13)</f>
        <v>16.089300000000001</v>
      </c>
      <c r="C906" s="63">
        <f>16.0893 * CHOOSE(CONTROL!$C$22, $C$13, 100%, $E$13)</f>
        <v>16.089300000000001</v>
      </c>
      <c r="D906" s="63">
        <f>16.1246 * CHOOSE(CONTROL!$C$22, $C$13, 100%, $E$13)</f>
        <v>16.124600000000001</v>
      </c>
      <c r="E906" s="64">
        <f>19.118 * CHOOSE(CONTROL!$C$22, $C$13, 100%, $E$13)</f>
        <v>19.117999999999999</v>
      </c>
      <c r="F906" s="64">
        <f>19.118 * CHOOSE(CONTROL!$C$22, $C$13, 100%, $E$13)</f>
        <v>19.117999999999999</v>
      </c>
      <c r="G906" s="64">
        <f>19.1202 * CHOOSE(CONTROL!$C$22, $C$13, 100%, $E$13)</f>
        <v>19.120200000000001</v>
      </c>
      <c r="H906" s="64">
        <f>30.4956* CHOOSE(CONTROL!$C$22, $C$13, 100%, $E$13)</f>
        <v>30.4956</v>
      </c>
      <c r="I906" s="64">
        <f>30.4978 * CHOOSE(CONTROL!$C$22, $C$13, 100%, $E$13)</f>
        <v>30.497800000000002</v>
      </c>
      <c r="J906" s="64">
        <f>19.118 * CHOOSE(CONTROL!$C$22, $C$13, 100%, $E$13)</f>
        <v>19.117999999999999</v>
      </c>
      <c r="K906" s="64">
        <f>19.1202 * CHOOSE(CONTROL!$C$22, $C$13, 100%, $E$13)</f>
        <v>19.120200000000001</v>
      </c>
    </row>
    <row r="907" spans="1:11" ht="15">
      <c r="A907" s="13">
        <v>69246</v>
      </c>
      <c r="B907" s="63">
        <f>16.096 * CHOOSE(CONTROL!$C$22, $C$13, 100%, $E$13)</f>
        <v>16.096</v>
      </c>
      <c r="C907" s="63">
        <f>16.096 * CHOOSE(CONTROL!$C$22, $C$13, 100%, $E$13)</f>
        <v>16.096</v>
      </c>
      <c r="D907" s="63">
        <f>16.1313 * CHOOSE(CONTROL!$C$22, $C$13, 100%, $E$13)</f>
        <v>16.1313</v>
      </c>
      <c r="E907" s="64">
        <f>18.9284 * CHOOSE(CONTROL!$C$22, $C$13, 100%, $E$13)</f>
        <v>18.9284</v>
      </c>
      <c r="F907" s="64">
        <f>18.9284 * CHOOSE(CONTROL!$C$22, $C$13, 100%, $E$13)</f>
        <v>18.9284</v>
      </c>
      <c r="G907" s="64">
        <f>18.9306 * CHOOSE(CONTROL!$C$22, $C$13, 100%, $E$13)</f>
        <v>18.930599999999998</v>
      </c>
      <c r="H907" s="64">
        <f>30.5591* CHOOSE(CONTROL!$C$22, $C$13, 100%, $E$13)</f>
        <v>30.559100000000001</v>
      </c>
      <c r="I907" s="64">
        <f>30.5613 * CHOOSE(CONTROL!$C$22, $C$13, 100%, $E$13)</f>
        <v>30.561299999999999</v>
      </c>
      <c r="J907" s="64">
        <f>18.9284 * CHOOSE(CONTROL!$C$22, $C$13, 100%, $E$13)</f>
        <v>18.9284</v>
      </c>
      <c r="K907" s="64">
        <f>18.9306 * CHOOSE(CONTROL!$C$22, $C$13, 100%, $E$13)</f>
        <v>18.930599999999998</v>
      </c>
    </row>
    <row r="908" spans="1:11" ht="15">
      <c r="A908" s="13">
        <v>69277</v>
      </c>
      <c r="B908" s="63">
        <f>16.093 * CHOOSE(CONTROL!$C$22, $C$13, 100%, $E$13)</f>
        <v>16.093</v>
      </c>
      <c r="C908" s="63">
        <f>16.093 * CHOOSE(CONTROL!$C$22, $C$13, 100%, $E$13)</f>
        <v>16.093</v>
      </c>
      <c r="D908" s="63">
        <f>16.1283 * CHOOSE(CONTROL!$C$22, $C$13, 100%, $E$13)</f>
        <v>16.128299999999999</v>
      </c>
      <c r="E908" s="64">
        <f>18.9047 * CHOOSE(CONTROL!$C$22, $C$13, 100%, $E$13)</f>
        <v>18.904699999999998</v>
      </c>
      <c r="F908" s="64">
        <f>18.9047 * CHOOSE(CONTROL!$C$22, $C$13, 100%, $E$13)</f>
        <v>18.904699999999998</v>
      </c>
      <c r="G908" s="64">
        <f>18.9068 * CHOOSE(CONTROL!$C$22, $C$13, 100%, $E$13)</f>
        <v>18.9068</v>
      </c>
      <c r="H908" s="64">
        <f>30.6228* CHOOSE(CONTROL!$C$22, $C$13, 100%, $E$13)</f>
        <v>30.622800000000002</v>
      </c>
      <c r="I908" s="64">
        <f>30.625 * CHOOSE(CONTROL!$C$22, $C$13, 100%, $E$13)</f>
        <v>30.625</v>
      </c>
      <c r="J908" s="64">
        <f>18.9047 * CHOOSE(CONTROL!$C$22, $C$13, 100%, $E$13)</f>
        <v>18.904699999999998</v>
      </c>
      <c r="K908" s="64">
        <f>18.9068 * CHOOSE(CONTROL!$C$22, $C$13, 100%, $E$13)</f>
        <v>18.9068</v>
      </c>
    </row>
    <row r="909" spans="1:11" ht="15">
      <c r="A909" s="13">
        <v>69307</v>
      </c>
      <c r="B909" s="63">
        <f>16.1276 * CHOOSE(CONTROL!$C$22, $C$13, 100%, $E$13)</f>
        <v>16.127600000000001</v>
      </c>
      <c r="C909" s="63">
        <f>16.1276 * CHOOSE(CONTROL!$C$22, $C$13, 100%, $E$13)</f>
        <v>16.127600000000001</v>
      </c>
      <c r="D909" s="63">
        <f>16.1453 * CHOOSE(CONTROL!$C$22, $C$13, 100%, $E$13)</f>
        <v>16.145299999999999</v>
      </c>
      <c r="E909" s="64">
        <f>18.9776 * CHOOSE(CONTROL!$C$22, $C$13, 100%, $E$13)</f>
        <v>18.977599999999999</v>
      </c>
      <c r="F909" s="64">
        <f>18.9776 * CHOOSE(CONTROL!$C$22, $C$13, 100%, $E$13)</f>
        <v>18.977599999999999</v>
      </c>
      <c r="G909" s="64">
        <f>18.9778 * CHOOSE(CONTROL!$C$22, $C$13, 100%, $E$13)</f>
        <v>18.977799999999998</v>
      </c>
      <c r="H909" s="64">
        <f>30.6866* CHOOSE(CONTROL!$C$22, $C$13, 100%, $E$13)</f>
        <v>30.686599999999999</v>
      </c>
      <c r="I909" s="64">
        <f>30.6868 * CHOOSE(CONTROL!$C$22, $C$13, 100%, $E$13)</f>
        <v>30.686800000000002</v>
      </c>
      <c r="J909" s="64">
        <f>18.9776 * CHOOSE(CONTROL!$C$22, $C$13, 100%, $E$13)</f>
        <v>18.977599999999999</v>
      </c>
      <c r="K909" s="64">
        <f>18.9778 * CHOOSE(CONTROL!$C$22, $C$13, 100%, $E$13)</f>
        <v>18.977799999999998</v>
      </c>
    </row>
    <row r="910" spans="1:11" ht="15">
      <c r="A910" s="13">
        <v>69338</v>
      </c>
      <c r="B910" s="63">
        <f>16.1306 * CHOOSE(CONTROL!$C$22, $C$13, 100%, $E$13)</f>
        <v>16.130600000000001</v>
      </c>
      <c r="C910" s="63">
        <f>16.1306 * CHOOSE(CONTROL!$C$22, $C$13, 100%, $E$13)</f>
        <v>16.130600000000001</v>
      </c>
      <c r="D910" s="63">
        <f>16.1483 * CHOOSE(CONTROL!$C$22, $C$13, 100%, $E$13)</f>
        <v>16.148299999999999</v>
      </c>
      <c r="E910" s="64">
        <f>19.0229 * CHOOSE(CONTROL!$C$22, $C$13, 100%, $E$13)</f>
        <v>19.0229</v>
      </c>
      <c r="F910" s="64">
        <f>19.0229 * CHOOSE(CONTROL!$C$22, $C$13, 100%, $E$13)</f>
        <v>19.0229</v>
      </c>
      <c r="G910" s="64">
        <f>19.0231 * CHOOSE(CONTROL!$C$22, $C$13, 100%, $E$13)</f>
        <v>19.023099999999999</v>
      </c>
      <c r="H910" s="64">
        <f>30.7505* CHOOSE(CONTROL!$C$22, $C$13, 100%, $E$13)</f>
        <v>30.750499999999999</v>
      </c>
      <c r="I910" s="64">
        <f>30.7507 * CHOOSE(CONTROL!$C$22, $C$13, 100%, $E$13)</f>
        <v>30.750699999999998</v>
      </c>
      <c r="J910" s="64">
        <f>19.0229 * CHOOSE(CONTROL!$C$22, $C$13, 100%, $E$13)</f>
        <v>19.0229</v>
      </c>
      <c r="K910" s="64">
        <f>19.0231 * CHOOSE(CONTROL!$C$22, $C$13, 100%, $E$13)</f>
        <v>19.023099999999999</v>
      </c>
    </row>
    <row r="911" spans="1:11" ht="15">
      <c r="A911" s="13">
        <v>69368</v>
      </c>
      <c r="B911" s="63">
        <f>16.1306 * CHOOSE(CONTROL!$C$22, $C$13, 100%, $E$13)</f>
        <v>16.130600000000001</v>
      </c>
      <c r="C911" s="63">
        <f>16.1306 * CHOOSE(CONTROL!$C$22, $C$13, 100%, $E$13)</f>
        <v>16.130600000000001</v>
      </c>
      <c r="D911" s="63">
        <f>16.1483 * CHOOSE(CONTROL!$C$22, $C$13, 100%, $E$13)</f>
        <v>16.148299999999999</v>
      </c>
      <c r="E911" s="64">
        <f>18.915 * CHOOSE(CONTROL!$C$22, $C$13, 100%, $E$13)</f>
        <v>18.914999999999999</v>
      </c>
      <c r="F911" s="64">
        <f>18.915 * CHOOSE(CONTROL!$C$22, $C$13, 100%, $E$13)</f>
        <v>18.914999999999999</v>
      </c>
      <c r="G911" s="64">
        <f>18.9151 * CHOOSE(CONTROL!$C$22, $C$13, 100%, $E$13)</f>
        <v>18.915099999999999</v>
      </c>
      <c r="H911" s="64">
        <f>30.8146* CHOOSE(CONTROL!$C$22, $C$13, 100%, $E$13)</f>
        <v>30.814599999999999</v>
      </c>
      <c r="I911" s="64">
        <f>30.8147 * CHOOSE(CONTROL!$C$22, $C$13, 100%, $E$13)</f>
        <v>30.814699999999998</v>
      </c>
      <c r="J911" s="64">
        <f>18.915 * CHOOSE(CONTROL!$C$22, $C$13, 100%, $E$13)</f>
        <v>18.914999999999999</v>
      </c>
      <c r="K911" s="64">
        <f>18.9151 * CHOOSE(CONTROL!$C$22, $C$13, 100%, $E$13)</f>
        <v>18.915099999999999</v>
      </c>
    </row>
    <row r="912" spans="1:11" ht="15">
      <c r="A912" s="13">
        <v>69399</v>
      </c>
      <c r="B912" s="63">
        <f>16.0794 * CHOOSE(CONTROL!$C$22, $C$13, 100%, $E$13)</f>
        <v>16.0794</v>
      </c>
      <c r="C912" s="63">
        <f>16.0794 * CHOOSE(CONTROL!$C$22, $C$13, 100%, $E$13)</f>
        <v>16.0794</v>
      </c>
      <c r="D912" s="63">
        <f>16.097 * CHOOSE(CONTROL!$C$22, $C$13, 100%, $E$13)</f>
        <v>16.097000000000001</v>
      </c>
      <c r="E912" s="64">
        <f>18.9289 * CHOOSE(CONTROL!$C$22, $C$13, 100%, $E$13)</f>
        <v>18.928899999999999</v>
      </c>
      <c r="F912" s="64">
        <f>18.9289 * CHOOSE(CONTROL!$C$22, $C$13, 100%, $E$13)</f>
        <v>18.928899999999999</v>
      </c>
      <c r="G912" s="64">
        <f>18.9291 * CHOOSE(CONTROL!$C$22, $C$13, 100%, $E$13)</f>
        <v>18.929099999999998</v>
      </c>
      <c r="H912" s="64">
        <f>30.563* CHOOSE(CONTROL!$C$22, $C$13, 100%, $E$13)</f>
        <v>30.562999999999999</v>
      </c>
      <c r="I912" s="64">
        <f>30.5632 * CHOOSE(CONTROL!$C$22, $C$13, 100%, $E$13)</f>
        <v>30.563199999999998</v>
      </c>
      <c r="J912" s="64">
        <f>18.9289 * CHOOSE(CONTROL!$C$22, $C$13, 100%, $E$13)</f>
        <v>18.928899999999999</v>
      </c>
      <c r="K912" s="64">
        <f>18.9291 * CHOOSE(CONTROL!$C$22, $C$13, 100%, $E$13)</f>
        <v>18.929099999999998</v>
      </c>
    </row>
    <row r="913" spans="1:11" ht="15">
      <c r="A913" s="13">
        <v>69430</v>
      </c>
      <c r="B913" s="63">
        <f>16.0763 * CHOOSE(CONTROL!$C$22, $C$13, 100%, $E$13)</f>
        <v>16.0763</v>
      </c>
      <c r="C913" s="63">
        <f>16.0763 * CHOOSE(CONTROL!$C$22, $C$13, 100%, $E$13)</f>
        <v>16.0763</v>
      </c>
      <c r="D913" s="63">
        <f>16.094 * CHOOSE(CONTROL!$C$22, $C$13, 100%, $E$13)</f>
        <v>16.094000000000001</v>
      </c>
      <c r="E913" s="64">
        <f>18.7196 * CHOOSE(CONTROL!$C$22, $C$13, 100%, $E$13)</f>
        <v>18.7196</v>
      </c>
      <c r="F913" s="64">
        <f>18.7196 * CHOOSE(CONTROL!$C$22, $C$13, 100%, $E$13)</f>
        <v>18.7196</v>
      </c>
      <c r="G913" s="64">
        <f>18.7198 * CHOOSE(CONTROL!$C$22, $C$13, 100%, $E$13)</f>
        <v>18.719799999999999</v>
      </c>
      <c r="H913" s="64">
        <f>30.6267* CHOOSE(CONTROL!$C$22, $C$13, 100%, $E$13)</f>
        <v>30.6267</v>
      </c>
      <c r="I913" s="64">
        <f>30.6269 * CHOOSE(CONTROL!$C$22, $C$13, 100%, $E$13)</f>
        <v>30.626899999999999</v>
      </c>
      <c r="J913" s="64">
        <f>18.7196 * CHOOSE(CONTROL!$C$22, $C$13, 100%, $E$13)</f>
        <v>18.7196</v>
      </c>
      <c r="K913" s="64">
        <f>18.7198 * CHOOSE(CONTROL!$C$22, $C$13, 100%, $E$13)</f>
        <v>18.719799999999999</v>
      </c>
    </row>
    <row r="914" spans="1:11" ht="15">
      <c r="A914" s="13">
        <v>69458</v>
      </c>
      <c r="B914" s="63">
        <f>16.0733 * CHOOSE(CONTROL!$C$22, $C$13, 100%, $E$13)</f>
        <v>16.0733</v>
      </c>
      <c r="C914" s="63">
        <f>16.0733 * CHOOSE(CONTROL!$C$22, $C$13, 100%, $E$13)</f>
        <v>16.0733</v>
      </c>
      <c r="D914" s="63">
        <f>16.0909 * CHOOSE(CONTROL!$C$22, $C$13, 100%, $E$13)</f>
        <v>16.090900000000001</v>
      </c>
      <c r="E914" s="64">
        <f>18.8809 * CHOOSE(CONTROL!$C$22, $C$13, 100%, $E$13)</f>
        <v>18.8809</v>
      </c>
      <c r="F914" s="64">
        <f>18.8809 * CHOOSE(CONTROL!$C$22, $C$13, 100%, $E$13)</f>
        <v>18.8809</v>
      </c>
      <c r="G914" s="64">
        <f>18.881 * CHOOSE(CONTROL!$C$22, $C$13, 100%, $E$13)</f>
        <v>18.881</v>
      </c>
      <c r="H914" s="64">
        <f>30.6905* CHOOSE(CONTROL!$C$22, $C$13, 100%, $E$13)</f>
        <v>30.6905</v>
      </c>
      <c r="I914" s="64">
        <f>30.6907 * CHOOSE(CONTROL!$C$22, $C$13, 100%, $E$13)</f>
        <v>30.6907</v>
      </c>
      <c r="J914" s="64">
        <f>18.8809 * CHOOSE(CONTROL!$C$22, $C$13, 100%, $E$13)</f>
        <v>18.8809</v>
      </c>
      <c r="K914" s="64">
        <f>18.881 * CHOOSE(CONTROL!$C$22, $C$13, 100%, $E$13)</f>
        <v>18.881</v>
      </c>
    </row>
    <row r="915" spans="1:11" ht="15">
      <c r="A915" s="13">
        <v>69489</v>
      </c>
      <c r="B915" s="63">
        <f>16.0812 * CHOOSE(CONTROL!$C$22, $C$13, 100%, $E$13)</f>
        <v>16.081199999999999</v>
      </c>
      <c r="C915" s="63">
        <f>16.0812 * CHOOSE(CONTROL!$C$22, $C$13, 100%, $E$13)</f>
        <v>16.081199999999999</v>
      </c>
      <c r="D915" s="63">
        <f>16.0989 * CHOOSE(CONTROL!$C$22, $C$13, 100%, $E$13)</f>
        <v>16.0989</v>
      </c>
      <c r="E915" s="64">
        <f>19.052 * CHOOSE(CONTROL!$C$22, $C$13, 100%, $E$13)</f>
        <v>19.052</v>
      </c>
      <c r="F915" s="64">
        <f>19.052 * CHOOSE(CONTROL!$C$22, $C$13, 100%, $E$13)</f>
        <v>19.052</v>
      </c>
      <c r="G915" s="64">
        <f>19.0522 * CHOOSE(CONTROL!$C$22, $C$13, 100%, $E$13)</f>
        <v>19.052199999999999</v>
      </c>
      <c r="H915" s="64">
        <f>30.7545* CHOOSE(CONTROL!$C$22, $C$13, 100%, $E$13)</f>
        <v>30.7545</v>
      </c>
      <c r="I915" s="64">
        <f>30.7546 * CHOOSE(CONTROL!$C$22, $C$13, 100%, $E$13)</f>
        <v>30.7546</v>
      </c>
      <c r="J915" s="64">
        <f>19.052 * CHOOSE(CONTROL!$C$22, $C$13, 100%, $E$13)</f>
        <v>19.052</v>
      </c>
      <c r="K915" s="64">
        <f>19.0522 * CHOOSE(CONTROL!$C$22, $C$13, 100%, $E$13)</f>
        <v>19.052199999999999</v>
      </c>
    </row>
    <row r="916" spans="1:11" ht="15">
      <c r="A916" s="13">
        <v>69519</v>
      </c>
      <c r="B916" s="63">
        <f>16.0812 * CHOOSE(CONTROL!$C$22, $C$13, 100%, $E$13)</f>
        <v>16.081199999999999</v>
      </c>
      <c r="C916" s="63">
        <f>16.0812 * CHOOSE(CONTROL!$C$22, $C$13, 100%, $E$13)</f>
        <v>16.081199999999999</v>
      </c>
      <c r="D916" s="63">
        <f>16.1165 * CHOOSE(CONTROL!$C$22, $C$13, 100%, $E$13)</f>
        <v>16.116499999999998</v>
      </c>
      <c r="E916" s="64">
        <f>19.1178 * CHOOSE(CONTROL!$C$22, $C$13, 100%, $E$13)</f>
        <v>19.117799999999999</v>
      </c>
      <c r="F916" s="64">
        <f>19.1178 * CHOOSE(CONTROL!$C$22, $C$13, 100%, $E$13)</f>
        <v>19.117799999999999</v>
      </c>
      <c r="G916" s="64">
        <f>19.12 * CHOOSE(CONTROL!$C$22, $C$13, 100%, $E$13)</f>
        <v>19.12</v>
      </c>
      <c r="H916" s="64">
        <f>30.8185* CHOOSE(CONTROL!$C$22, $C$13, 100%, $E$13)</f>
        <v>30.8185</v>
      </c>
      <c r="I916" s="64">
        <f>30.8207 * CHOOSE(CONTROL!$C$22, $C$13, 100%, $E$13)</f>
        <v>30.820699999999999</v>
      </c>
      <c r="J916" s="64">
        <f>19.1178 * CHOOSE(CONTROL!$C$22, $C$13, 100%, $E$13)</f>
        <v>19.117799999999999</v>
      </c>
      <c r="K916" s="64">
        <f>19.12 * CHOOSE(CONTROL!$C$22, $C$13, 100%, $E$13)</f>
        <v>19.12</v>
      </c>
    </row>
    <row r="917" spans="1:11" ht="15">
      <c r="A917" s="13">
        <v>69550</v>
      </c>
      <c r="B917" s="63">
        <f>16.0873 * CHOOSE(CONTROL!$C$22, $C$13, 100%, $E$13)</f>
        <v>16.087299999999999</v>
      </c>
      <c r="C917" s="63">
        <f>16.0873 * CHOOSE(CONTROL!$C$22, $C$13, 100%, $E$13)</f>
        <v>16.087299999999999</v>
      </c>
      <c r="D917" s="63">
        <f>16.1226 * CHOOSE(CONTROL!$C$22, $C$13, 100%, $E$13)</f>
        <v>16.122599999999998</v>
      </c>
      <c r="E917" s="64">
        <f>19.0563 * CHOOSE(CONTROL!$C$22, $C$13, 100%, $E$13)</f>
        <v>19.0563</v>
      </c>
      <c r="F917" s="64">
        <f>19.0563 * CHOOSE(CONTROL!$C$22, $C$13, 100%, $E$13)</f>
        <v>19.0563</v>
      </c>
      <c r="G917" s="64">
        <f>19.0585 * CHOOSE(CONTROL!$C$22, $C$13, 100%, $E$13)</f>
        <v>19.058499999999999</v>
      </c>
      <c r="H917" s="64">
        <f>30.8827* CHOOSE(CONTROL!$C$22, $C$13, 100%, $E$13)</f>
        <v>30.8827</v>
      </c>
      <c r="I917" s="64">
        <f>30.8849 * CHOOSE(CONTROL!$C$22, $C$13, 100%, $E$13)</f>
        <v>30.884899999999998</v>
      </c>
      <c r="J917" s="64">
        <f>19.0563 * CHOOSE(CONTROL!$C$22, $C$13, 100%, $E$13)</f>
        <v>19.0563</v>
      </c>
      <c r="K917" s="64">
        <f>19.0585 * CHOOSE(CONTROL!$C$22, $C$13, 100%, $E$13)</f>
        <v>19.058499999999999</v>
      </c>
    </row>
    <row r="918" spans="1:11" ht="15">
      <c r="A918" s="13">
        <v>69580</v>
      </c>
      <c r="B918" s="63">
        <f>16.3385 * CHOOSE(CONTROL!$C$22, $C$13, 100%, $E$13)</f>
        <v>16.3385</v>
      </c>
      <c r="C918" s="63">
        <f>16.3385 * CHOOSE(CONTROL!$C$22, $C$13, 100%, $E$13)</f>
        <v>16.3385</v>
      </c>
      <c r="D918" s="63">
        <f>16.3738 * CHOOSE(CONTROL!$C$22, $C$13, 100%, $E$13)</f>
        <v>16.373799999999999</v>
      </c>
      <c r="E918" s="64">
        <f>19.4179 * CHOOSE(CONTROL!$C$22, $C$13, 100%, $E$13)</f>
        <v>19.417899999999999</v>
      </c>
      <c r="F918" s="64">
        <f>19.4179 * CHOOSE(CONTROL!$C$22, $C$13, 100%, $E$13)</f>
        <v>19.417899999999999</v>
      </c>
      <c r="G918" s="64">
        <f>19.4201 * CHOOSE(CONTROL!$C$22, $C$13, 100%, $E$13)</f>
        <v>19.420100000000001</v>
      </c>
      <c r="H918" s="64">
        <f>30.9471* CHOOSE(CONTROL!$C$22, $C$13, 100%, $E$13)</f>
        <v>30.947099999999999</v>
      </c>
      <c r="I918" s="64">
        <f>30.9493 * CHOOSE(CONTROL!$C$22, $C$13, 100%, $E$13)</f>
        <v>30.949300000000001</v>
      </c>
      <c r="J918" s="64">
        <f>19.4179 * CHOOSE(CONTROL!$C$22, $C$13, 100%, $E$13)</f>
        <v>19.417899999999999</v>
      </c>
      <c r="K918" s="64">
        <f>19.4201 * CHOOSE(CONTROL!$C$22, $C$13, 100%, $E$13)</f>
        <v>19.420100000000001</v>
      </c>
    </row>
    <row r="919" spans="1:11" ht="15">
      <c r="A919" s="13">
        <v>69611</v>
      </c>
      <c r="B919" s="63">
        <f>16.3452 * CHOOSE(CONTROL!$C$22, $C$13, 100%, $E$13)</f>
        <v>16.345199999999998</v>
      </c>
      <c r="C919" s="63">
        <f>16.3452 * CHOOSE(CONTROL!$C$22, $C$13, 100%, $E$13)</f>
        <v>16.345199999999998</v>
      </c>
      <c r="D919" s="63">
        <f>16.3805 * CHOOSE(CONTROL!$C$22, $C$13, 100%, $E$13)</f>
        <v>16.380500000000001</v>
      </c>
      <c r="E919" s="64">
        <f>19.2252 * CHOOSE(CONTROL!$C$22, $C$13, 100%, $E$13)</f>
        <v>19.225200000000001</v>
      </c>
      <c r="F919" s="64">
        <f>19.2252 * CHOOSE(CONTROL!$C$22, $C$13, 100%, $E$13)</f>
        <v>19.225200000000001</v>
      </c>
      <c r="G919" s="64">
        <f>19.2274 * CHOOSE(CONTROL!$C$22, $C$13, 100%, $E$13)</f>
        <v>19.227399999999999</v>
      </c>
      <c r="H919" s="64">
        <f>31.0115* CHOOSE(CONTROL!$C$22, $C$13, 100%, $E$13)</f>
        <v>31.011500000000002</v>
      </c>
      <c r="I919" s="64">
        <f>31.0137 * CHOOSE(CONTROL!$C$22, $C$13, 100%, $E$13)</f>
        <v>31.0137</v>
      </c>
      <c r="J919" s="64">
        <f>19.2252 * CHOOSE(CONTROL!$C$22, $C$13, 100%, $E$13)</f>
        <v>19.225200000000001</v>
      </c>
      <c r="K919" s="64">
        <f>19.2274 * CHOOSE(CONTROL!$C$22, $C$13, 100%, $E$13)</f>
        <v>19.227399999999999</v>
      </c>
    </row>
    <row r="920" spans="1:11" ht="15">
      <c r="A920" s="13">
        <v>69642</v>
      </c>
      <c r="B920" s="63">
        <f>16.3422 * CHOOSE(CONTROL!$C$22, $C$13, 100%, $E$13)</f>
        <v>16.342199999999998</v>
      </c>
      <c r="C920" s="63">
        <f>16.3422 * CHOOSE(CONTROL!$C$22, $C$13, 100%, $E$13)</f>
        <v>16.342199999999998</v>
      </c>
      <c r="D920" s="63">
        <f>16.3775 * CHOOSE(CONTROL!$C$22, $C$13, 100%, $E$13)</f>
        <v>16.377500000000001</v>
      </c>
      <c r="E920" s="64">
        <f>19.2012 * CHOOSE(CONTROL!$C$22, $C$13, 100%, $E$13)</f>
        <v>19.2012</v>
      </c>
      <c r="F920" s="64">
        <f>19.2012 * CHOOSE(CONTROL!$C$22, $C$13, 100%, $E$13)</f>
        <v>19.2012</v>
      </c>
      <c r="G920" s="64">
        <f>19.2033 * CHOOSE(CONTROL!$C$22, $C$13, 100%, $E$13)</f>
        <v>19.203299999999999</v>
      </c>
      <c r="H920" s="64">
        <f>31.0762* CHOOSE(CONTROL!$C$22, $C$13, 100%, $E$13)</f>
        <v>31.0762</v>
      </c>
      <c r="I920" s="64">
        <f>31.0783 * CHOOSE(CONTROL!$C$22, $C$13, 100%, $E$13)</f>
        <v>31.078299999999999</v>
      </c>
      <c r="J920" s="64">
        <f>19.2012 * CHOOSE(CONTROL!$C$22, $C$13, 100%, $E$13)</f>
        <v>19.2012</v>
      </c>
      <c r="K920" s="64">
        <f>19.2033 * CHOOSE(CONTROL!$C$22, $C$13, 100%, $E$13)</f>
        <v>19.203299999999999</v>
      </c>
    </row>
    <row r="921" spans="1:11" ht="15">
      <c r="A921" s="13">
        <v>69672</v>
      </c>
      <c r="B921" s="63">
        <f>16.3776 * CHOOSE(CONTROL!$C$22, $C$13, 100%, $E$13)</f>
        <v>16.377600000000001</v>
      </c>
      <c r="C921" s="63">
        <f>16.3776 * CHOOSE(CONTROL!$C$22, $C$13, 100%, $E$13)</f>
        <v>16.377600000000001</v>
      </c>
      <c r="D921" s="63">
        <f>16.3953 * CHOOSE(CONTROL!$C$22, $C$13, 100%, $E$13)</f>
        <v>16.395299999999999</v>
      </c>
      <c r="E921" s="64">
        <f>19.2754 * CHOOSE(CONTROL!$C$22, $C$13, 100%, $E$13)</f>
        <v>19.275400000000001</v>
      </c>
      <c r="F921" s="64">
        <f>19.2754 * CHOOSE(CONTROL!$C$22, $C$13, 100%, $E$13)</f>
        <v>19.275400000000001</v>
      </c>
      <c r="G921" s="64">
        <f>19.2756 * CHOOSE(CONTROL!$C$22, $C$13, 100%, $E$13)</f>
        <v>19.275600000000001</v>
      </c>
      <c r="H921" s="64">
        <f>31.1409* CHOOSE(CONTROL!$C$22, $C$13, 100%, $E$13)</f>
        <v>31.140899999999998</v>
      </c>
      <c r="I921" s="64">
        <f>31.1411 * CHOOSE(CONTROL!$C$22, $C$13, 100%, $E$13)</f>
        <v>31.141100000000002</v>
      </c>
      <c r="J921" s="64">
        <f>19.2754 * CHOOSE(CONTROL!$C$22, $C$13, 100%, $E$13)</f>
        <v>19.275400000000001</v>
      </c>
      <c r="K921" s="64">
        <f>19.2756 * CHOOSE(CONTROL!$C$22, $C$13, 100%, $E$13)</f>
        <v>19.275600000000001</v>
      </c>
    </row>
    <row r="922" spans="1:11" ht="15">
      <c r="A922" s="13">
        <v>69703</v>
      </c>
      <c r="B922" s="63">
        <f>16.3807 * CHOOSE(CONTROL!$C$22, $C$13, 100%, $E$13)</f>
        <v>16.380700000000001</v>
      </c>
      <c r="C922" s="63">
        <f>16.3807 * CHOOSE(CONTROL!$C$22, $C$13, 100%, $E$13)</f>
        <v>16.380700000000001</v>
      </c>
      <c r="D922" s="63">
        <f>16.3983 * CHOOSE(CONTROL!$C$22, $C$13, 100%, $E$13)</f>
        <v>16.398299999999999</v>
      </c>
      <c r="E922" s="64">
        <f>19.3214 * CHOOSE(CONTROL!$C$22, $C$13, 100%, $E$13)</f>
        <v>19.321400000000001</v>
      </c>
      <c r="F922" s="64">
        <f>19.3214 * CHOOSE(CONTROL!$C$22, $C$13, 100%, $E$13)</f>
        <v>19.321400000000001</v>
      </c>
      <c r="G922" s="64">
        <f>19.3216 * CHOOSE(CONTROL!$C$22, $C$13, 100%, $E$13)</f>
        <v>19.3216</v>
      </c>
      <c r="H922" s="64">
        <f>31.2058* CHOOSE(CONTROL!$C$22, $C$13, 100%, $E$13)</f>
        <v>31.2058</v>
      </c>
      <c r="I922" s="64">
        <f>31.206 * CHOOSE(CONTROL!$C$22, $C$13, 100%, $E$13)</f>
        <v>31.206</v>
      </c>
      <c r="J922" s="64">
        <f>19.3214 * CHOOSE(CONTROL!$C$22, $C$13, 100%, $E$13)</f>
        <v>19.321400000000001</v>
      </c>
      <c r="K922" s="64">
        <f>19.3216 * CHOOSE(CONTROL!$C$22, $C$13, 100%, $E$13)</f>
        <v>19.3216</v>
      </c>
    </row>
    <row r="923" spans="1:11" ht="15">
      <c r="A923" s="13">
        <v>69733</v>
      </c>
      <c r="B923" s="63">
        <f>16.3807 * CHOOSE(CONTROL!$C$22, $C$13, 100%, $E$13)</f>
        <v>16.380700000000001</v>
      </c>
      <c r="C923" s="63">
        <f>16.3807 * CHOOSE(CONTROL!$C$22, $C$13, 100%, $E$13)</f>
        <v>16.380700000000001</v>
      </c>
      <c r="D923" s="63">
        <f>16.3983 * CHOOSE(CONTROL!$C$22, $C$13, 100%, $E$13)</f>
        <v>16.398299999999999</v>
      </c>
      <c r="E923" s="64">
        <f>19.2118 * CHOOSE(CONTROL!$C$22, $C$13, 100%, $E$13)</f>
        <v>19.2118</v>
      </c>
      <c r="F923" s="64">
        <f>19.2118 * CHOOSE(CONTROL!$C$22, $C$13, 100%, $E$13)</f>
        <v>19.2118</v>
      </c>
      <c r="G923" s="64">
        <f>19.212 * CHOOSE(CONTROL!$C$22, $C$13, 100%, $E$13)</f>
        <v>19.212</v>
      </c>
      <c r="H923" s="64">
        <f>31.2708* CHOOSE(CONTROL!$C$22, $C$13, 100%, $E$13)</f>
        <v>31.270800000000001</v>
      </c>
      <c r="I923" s="64">
        <f>31.271 * CHOOSE(CONTROL!$C$22, $C$13, 100%, $E$13)</f>
        <v>31.271000000000001</v>
      </c>
      <c r="J923" s="64">
        <f>19.2118 * CHOOSE(CONTROL!$C$22, $C$13, 100%, $E$13)</f>
        <v>19.2118</v>
      </c>
      <c r="K923" s="64">
        <f>19.212 * CHOOSE(CONTROL!$C$22, $C$13, 100%, $E$13)</f>
        <v>19.212</v>
      </c>
    </row>
    <row r="924" spans="1:11" ht="15">
      <c r="A924" s="13">
        <v>69764</v>
      </c>
      <c r="B924" s="63">
        <f>16.3247 * CHOOSE(CONTROL!$C$22, $C$13, 100%, $E$13)</f>
        <v>16.3247</v>
      </c>
      <c r="C924" s="63">
        <f>16.3247 * CHOOSE(CONTROL!$C$22, $C$13, 100%, $E$13)</f>
        <v>16.3247</v>
      </c>
      <c r="D924" s="63">
        <f>16.3423 * CHOOSE(CONTROL!$C$22, $C$13, 100%, $E$13)</f>
        <v>16.342300000000002</v>
      </c>
      <c r="E924" s="64">
        <f>19.2214 * CHOOSE(CONTROL!$C$22, $C$13, 100%, $E$13)</f>
        <v>19.221399999999999</v>
      </c>
      <c r="F924" s="64">
        <f>19.2214 * CHOOSE(CONTROL!$C$22, $C$13, 100%, $E$13)</f>
        <v>19.221399999999999</v>
      </c>
      <c r="G924" s="64">
        <f>19.2215 * CHOOSE(CONTROL!$C$22, $C$13, 100%, $E$13)</f>
        <v>19.221499999999999</v>
      </c>
      <c r="H924" s="64">
        <f>31.0089* CHOOSE(CONTROL!$C$22, $C$13, 100%, $E$13)</f>
        <v>31.008900000000001</v>
      </c>
      <c r="I924" s="64">
        <f>31.0091 * CHOOSE(CONTROL!$C$22, $C$13, 100%, $E$13)</f>
        <v>31.0091</v>
      </c>
      <c r="J924" s="64">
        <f>19.2214 * CHOOSE(CONTROL!$C$22, $C$13, 100%, $E$13)</f>
        <v>19.221399999999999</v>
      </c>
      <c r="K924" s="64">
        <f>19.2215 * CHOOSE(CONTROL!$C$22, $C$13, 100%, $E$13)</f>
        <v>19.221499999999999</v>
      </c>
    </row>
    <row r="925" spans="1:11" ht="15">
      <c r="A925" s="13">
        <v>69795</v>
      </c>
      <c r="B925" s="63">
        <f>16.3216 * CHOOSE(CONTROL!$C$22, $C$13, 100%, $E$13)</f>
        <v>16.3216</v>
      </c>
      <c r="C925" s="63">
        <f>16.3216 * CHOOSE(CONTROL!$C$22, $C$13, 100%, $E$13)</f>
        <v>16.3216</v>
      </c>
      <c r="D925" s="63">
        <f>16.3393 * CHOOSE(CONTROL!$C$22, $C$13, 100%, $E$13)</f>
        <v>16.339300000000001</v>
      </c>
      <c r="E925" s="64">
        <f>19.0088 * CHOOSE(CONTROL!$C$22, $C$13, 100%, $E$13)</f>
        <v>19.008800000000001</v>
      </c>
      <c r="F925" s="64">
        <f>19.0088 * CHOOSE(CONTROL!$C$22, $C$13, 100%, $E$13)</f>
        <v>19.008800000000001</v>
      </c>
      <c r="G925" s="64">
        <f>19.009 * CHOOSE(CONTROL!$C$22, $C$13, 100%, $E$13)</f>
        <v>19.009</v>
      </c>
      <c r="H925" s="64">
        <f>31.0735* CHOOSE(CONTROL!$C$22, $C$13, 100%, $E$13)</f>
        <v>31.073499999999999</v>
      </c>
      <c r="I925" s="64">
        <f>31.0737 * CHOOSE(CONTROL!$C$22, $C$13, 100%, $E$13)</f>
        <v>31.073699999999999</v>
      </c>
      <c r="J925" s="64">
        <f>19.0088 * CHOOSE(CONTROL!$C$22, $C$13, 100%, $E$13)</f>
        <v>19.008800000000001</v>
      </c>
      <c r="K925" s="64">
        <f>19.009 * CHOOSE(CONTROL!$C$22, $C$13, 100%, $E$13)</f>
        <v>19.009</v>
      </c>
    </row>
    <row r="926" spans="1:11" ht="15">
      <c r="A926" s="13">
        <v>69823</v>
      </c>
      <c r="B926" s="63">
        <f>16.3186 * CHOOSE(CONTROL!$C$22, $C$13, 100%, $E$13)</f>
        <v>16.3186</v>
      </c>
      <c r="C926" s="63">
        <f>16.3186 * CHOOSE(CONTROL!$C$22, $C$13, 100%, $E$13)</f>
        <v>16.3186</v>
      </c>
      <c r="D926" s="63">
        <f>16.3363 * CHOOSE(CONTROL!$C$22, $C$13, 100%, $E$13)</f>
        <v>16.336300000000001</v>
      </c>
      <c r="E926" s="64">
        <f>19.1726 * CHOOSE(CONTROL!$C$22, $C$13, 100%, $E$13)</f>
        <v>19.172599999999999</v>
      </c>
      <c r="F926" s="64">
        <f>19.1726 * CHOOSE(CONTROL!$C$22, $C$13, 100%, $E$13)</f>
        <v>19.172599999999999</v>
      </c>
      <c r="G926" s="64">
        <f>19.1728 * CHOOSE(CONTROL!$C$22, $C$13, 100%, $E$13)</f>
        <v>19.172799999999999</v>
      </c>
      <c r="H926" s="64">
        <f>31.1383* CHOOSE(CONTROL!$C$22, $C$13, 100%, $E$13)</f>
        <v>31.138300000000001</v>
      </c>
      <c r="I926" s="64">
        <f>31.1384 * CHOOSE(CONTROL!$C$22, $C$13, 100%, $E$13)</f>
        <v>31.138400000000001</v>
      </c>
      <c r="J926" s="64">
        <f>19.1726 * CHOOSE(CONTROL!$C$22, $C$13, 100%, $E$13)</f>
        <v>19.172599999999999</v>
      </c>
      <c r="K926" s="64">
        <f>19.1728 * CHOOSE(CONTROL!$C$22, $C$13, 100%, $E$13)</f>
        <v>19.172799999999999</v>
      </c>
    </row>
    <row r="927" spans="1:11" ht="15">
      <c r="A927" s="13">
        <v>69854</v>
      </c>
      <c r="B927" s="63">
        <f>16.3267 * CHOOSE(CONTROL!$C$22, $C$13, 100%, $E$13)</f>
        <v>16.326699999999999</v>
      </c>
      <c r="C927" s="63">
        <f>16.3267 * CHOOSE(CONTROL!$C$22, $C$13, 100%, $E$13)</f>
        <v>16.326699999999999</v>
      </c>
      <c r="D927" s="63">
        <f>16.3444 * CHOOSE(CONTROL!$C$22, $C$13, 100%, $E$13)</f>
        <v>16.3444</v>
      </c>
      <c r="E927" s="64">
        <f>19.3465 * CHOOSE(CONTROL!$C$22, $C$13, 100%, $E$13)</f>
        <v>19.346499999999999</v>
      </c>
      <c r="F927" s="64">
        <f>19.3465 * CHOOSE(CONTROL!$C$22, $C$13, 100%, $E$13)</f>
        <v>19.346499999999999</v>
      </c>
      <c r="G927" s="64">
        <f>19.3467 * CHOOSE(CONTROL!$C$22, $C$13, 100%, $E$13)</f>
        <v>19.346699999999998</v>
      </c>
      <c r="H927" s="64">
        <f>31.2031* CHOOSE(CONTROL!$C$22, $C$13, 100%, $E$13)</f>
        <v>31.203099999999999</v>
      </c>
      <c r="I927" s="64">
        <f>31.2033 * CHOOSE(CONTROL!$C$22, $C$13, 100%, $E$13)</f>
        <v>31.203299999999999</v>
      </c>
      <c r="J927" s="64">
        <f>19.3465 * CHOOSE(CONTROL!$C$22, $C$13, 100%, $E$13)</f>
        <v>19.346499999999999</v>
      </c>
      <c r="K927" s="64">
        <f>19.3467 * CHOOSE(CONTROL!$C$22, $C$13, 100%, $E$13)</f>
        <v>19.346699999999998</v>
      </c>
    </row>
    <row r="928" spans="1:11" ht="15">
      <c r="A928" s="13">
        <v>69884</v>
      </c>
      <c r="B928" s="63">
        <f>16.3267 * CHOOSE(CONTROL!$C$22, $C$13, 100%, $E$13)</f>
        <v>16.326699999999999</v>
      </c>
      <c r="C928" s="63">
        <f>16.3267 * CHOOSE(CONTROL!$C$22, $C$13, 100%, $E$13)</f>
        <v>16.326699999999999</v>
      </c>
      <c r="D928" s="63">
        <f>16.3621 * CHOOSE(CONTROL!$C$22, $C$13, 100%, $E$13)</f>
        <v>16.362100000000002</v>
      </c>
      <c r="E928" s="64">
        <f>19.4133 * CHOOSE(CONTROL!$C$22, $C$13, 100%, $E$13)</f>
        <v>19.4133</v>
      </c>
      <c r="F928" s="64">
        <f>19.4133 * CHOOSE(CONTROL!$C$22, $C$13, 100%, $E$13)</f>
        <v>19.4133</v>
      </c>
      <c r="G928" s="64">
        <f>19.4155 * CHOOSE(CONTROL!$C$22, $C$13, 100%, $E$13)</f>
        <v>19.415500000000002</v>
      </c>
      <c r="H928" s="64">
        <f>31.2681* CHOOSE(CONTROL!$C$22, $C$13, 100%, $E$13)</f>
        <v>31.2681</v>
      </c>
      <c r="I928" s="64">
        <f>31.2703 * CHOOSE(CONTROL!$C$22, $C$13, 100%, $E$13)</f>
        <v>31.270299999999999</v>
      </c>
      <c r="J928" s="64">
        <f>19.4133 * CHOOSE(CONTROL!$C$22, $C$13, 100%, $E$13)</f>
        <v>19.4133</v>
      </c>
      <c r="K928" s="64">
        <f>19.4155 * CHOOSE(CONTROL!$C$22, $C$13, 100%, $E$13)</f>
        <v>19.415500000000002</v>
      </c>
    </row>
    <row r="929" spans="1:11" ht="15">
      <c r="A929" s="13">
        <v>69915</v>
      </c>
      <c r="B929" s="63">
        <f>16.3328 * CHOOSE(CONTROL!$C$22, $C$13, 100%, $E$13)</f>
        <v>16.332799999999999</v>
      </c>
      <c r="C929" s="63">
        <f>16.3328 * CHOOSE(CONTROL!$C$22, $C$13, 100%, $E$13)</f>
        <v>16.332799999999999</v>
      </c>
      <c r="D929" s="63">
        <f>16.3681 * CHOOSE(CONTROL!$C$22, $C$13, 100%, $E$13)</f>
        <v>16.368099999999998</v>
      </c>
      <c r="E929" s="64">
        <f>19.3507 * CHOOSE(CONTROL!$C$22, $C$13, 100%, $E$13)</f>
        <v>19.3507</v>
      </c>
      <c r="F929" s="64">
        <f>19.3507 * CHOOSE(CONTROL!$C$22, $C$13, 100%, $E$13)</f>
        <v>19.3507</v>
      </c>
      <c r="G929" s="64">
        <f>19.3529 * CHOOSE(CONTROL!$C$22, $C$13, 100%, $E$13)</f>
        <v>19.352900000000002</v>
      </c>
      <c r="H929" s="64">
        <f>31.3333* CHOOSE(CONTROL!$C$22, $C$13, 100%, $E$13)</f>
        <v>31.333300000000001</v>
      </c>
      <c r="I929" s="64">
        <f>31.3355 * CHOOSE(CONTROL!$C$22, $C$13, 100%, $E$13)</f>
        <v>31.3355</v>
      </c>
      <c r="J929" s="64">
        <f>19.3507 * CHOOSE(CONTROL!$C$22, $C$13, 100%, $E$13)</f>
        <v>19.3507</v>
      </c>
      <c r="K929" s="64">
        <f>19.3529 * CHOOSE(CONTROL!$C$22, $C$13, 100%, $E$13)</f>
        <v>19.352900000000002</v>
      </c>
    </row>
    <row r="930" spans="1:11" ht="15">
      <c r="A930" s="13">
        <v>69945</v>
      </c>
      <c r="B930" s="63">
        <f>16.5877 * CHOOSE(CONTROL!$C$22, $C$13, 100%, $E$13)</f>
        <v>16.587700000000002</v>
      </c>
      <c r="C930" s="63">
        <f>16.5877 * CHOOSE(CONTROL!$C$22, $C$13, 100%, $E$13)</f>
        <v>16.587700000000002</v>
      </c>
      <c r="D930" s="63">
        <f>16.6231 * CHOOSE(CONTROL!$C$22, $C$13, 100%, $E$13)</f>
        <v>16.623100000000001</v>
      </c>
      <c r="E930" s="64">
        <f>19.7178 * CHOOSE(CONTROL!$C$22, $C$13, 100%, $E$13)</f>
        <v>19.7178</v>
      </c>
      <c r="F930" s="64">
        <f>19.7178 * CHOOSE(CONTROL!$C$22, $C$13, 100%, $E$13)</f>
        <v>19.7178</v>
      </c>
      <c r="G930" s="64">
        <f>19.72 * CHOOSE(CONTROL!$C$22, $C$13, 100%, $E$13)</f>
        <v>19.72</v>
      </c>
      <c r="H930" s="64">
        <f>31.3986* CHOOSE(CONTROL!$C$22, $C$13, 100%, $E$13)</f>
        <v>31.398599999999998</v>
      </c>
      <c r="I930" s="64">
        <f>31.4008 * CHOOSE(CONTROL!$C$22, $C$13, 100%, $E$13)</f>
        <v>31.4008</v>
      </c>
      <c r="J930" s="64">
        <f>19.7178 * CHOOSE(CONTROL!$C$22, $C$13, 100%, $E$13)</f>
        <v>19.7178</v>
      </c>
      <c r="K930" s="64">
        <f>19.72 * CHOOSE(CONTROL!$C$22, $C$13, 100%, $E$13)</f>
        <v>19.72</v>
      </c>
    </row>
    <row r="931" spans="1:11" ht="15">
      <c r="A931" s="13">
        <v>69976</v>
      </c>
      <c r="B931" s="63">
        <f>16.5944 * CHOOSE(CONTROL!$C$22, $C$13, 100%, $E$13)</f>
        <v>16.5944</v>
      </c>
      <c r="C931" s="63">
        <f>16.5944 * CHOOSE(CONTROL!$C$22, $C$13, 100%, $E$13)</f>
        <v>16.5944</v>
      </c>
      <c r="D931" s="63">
        <f>16.6297 * CHOOSE(CONTROL!$C$22, $C$13, 100%, $E$13)</f>
        <v>16.6297</v>
      </c>
      <c r="E931" s="64">
        <f>19.522 * CHOOSE(CONTROL!$C$22, $C$13, 100%, $E$13)</f>
        <v>19.521999999999998</v>
      </c>
      <c r="F931" s="64">
        <f>19.522 * CHOOSE(CONTROL!$C$22, $C$13, 100%, $E$13)</f>
        <v>19.521999999999998</v>
      </c>
      <c r="G931" s="64">
        <f>19.5242 * CHOOSE(CONTROL!$C$22, $C$13, 100%, $E$13)</f>
        <v>19.5242</v>
      </c>
      <c r="H931" s="64">
        <f>31.464* CHOOSE(CONTROL!$C$22, $C$13, 100%, $E$13)</f>
        <v>31.463999999999999</v>
      </c>
      <c r="I931" s="64">
        <f>31.4662 * CHOOSE(CONTROL!$C$22, $C$13, 100%, $E$13)</f>
        <v>31.466200000000001</v>
      </c>
      <c r="J931" s="64">
        <f>19.522 * CHOOSE(CONTROL!$C$22, $C$13, 100%, $E$13)</f>
        <v>19.521999999999998</v>
      </c>
      <c r="K931" s="64">
        <f>19.5242 * CHOOSE(CONTROL!$C$22, $C$13, 100%, $E$13)</f>
        <v>19.5242</v>
      </c>
    </row>
    <row r="932" spans="1:11" ht="15">
      <c r="A932" s="13">
        <v>70007</v>
      </c>
      <c r="B932" s="63">
        <f>16.5914 * CHOOSE(CONTROL!$C$22, $C$13, 100%, $E$13)</f>
        <v>16.5914</v>
      </c>
      <c r="C932" s="63">
        <f>16.5914 * CHOOSE(CONTROL!$C$22, $C$13, 100%, $E$13)</f>
        <v>16.5914</v>
      </c>
      <c r="D932" s="63">
        <f>16.6267 * CHOOSE(CONTROL!$C$22, $C$13, 100%, $E$13)</f>
        <v>16.6267</v>
      </c>
      <c r="E932" s="64">
        <f>19.4976 * CHOOSE(CONTROL!$C$22, $C$13, 100%, $E$13)</f>
        <v>19.497599999999998</v>
      </c>
      <c r="F932" s="64">
        <f>19.4976 * CHOOSE(CONTROL!$C$22, $C$13, 100%, $E$13)</f>
        <v>19.497599999999998</v>
      </c>
      <c r="G932" s="64">
        <f>19.4998 * CHOOSE(CONTROL!$C$22, $C$13, 100%, $E$13)</f>
        <v>19.4998</v>
      </c>
      <c r="H932" s="64">
        <f>31.5295* CHOOSE(CONTROL!$C$22, $C$13, 100%, $E$13)</f>
        <v>31.529499999999999</v>
      </c>
      <c r="I932" s="64">
        <f>31.5317 * CHOOSE(CONTROL!$C$22, $C$13, 100%, $E$13)</f>
        <v>31.531700000000001</v>
      </c>
      <c r="J932" s="64">
        <f>19.4976 * CHOOSE(CONTROL!$C$22, $C$13, 100%, $E$13)</f>
        <v>19.497599999999998</v>
      </c>
      <c r="K932" s="64">
        <f>19.4998 * CHOOSE(CONTROL!$C$22, $C$13, 100%, $E$13)</f>
        <v>19.4998</v>
      </c>
    </row>
    <row r="933" spans="1:11" ht="15">
      <c r="A933" s="13">
        <v>70037</v>
      </c>
      <c r="B933" s="63">
        <f>16.6276 * CHOOSE(CONTROL!$C$22, $C$13, 100%, $E$13)</f>
        <v>16.627600000000001</v>
      </c>
      <c r="C933" s="63">
        <f>16.6276 * CHOOSE(CONTROL!$C$22, $C$13, 100%, $E$13)</f>
        <v>16.627600000000001</v>
      </c>
      <c r="D933" s="63">
        <f>16.6453 * CHOOSE(CONTROL!$C$22, $C$13, 100%, $E$13)</f>
        <v>16.645299999999999</v>
      </c>
      <c r="E933" s="64">
        <f>19.5733 * CHOOSE(CONTROL!$C$22, $C$13, 100%, $E$13)</f>
        <v>19.5733</v>
      </c>
      <c r="F933" s="64">
        <f>19.5733 * CHOOSE(CONTROL!$C$22, $C$13, 100%, $E$13)</f>
        <v>19.5733</v>
      </c>
      <c r="G933" s="64">
        <f>19.5735 * CHOOSE(CONTROL!$C$22, $C$13, 100%, $E$13)</f>
        <v>19.573499999999999</v>
      </c>
      <c r="H933" s="64">
        <f>31.5952* CHOOSE(CONTROL!$C$22, $C$13, 100%, $E$13)</f>
        <v>31.595199999999998</v>
      </c>
      <c r="I933" s="64">
        <f>31.5954 * CHOOSE(CONTROL!$C$22, $C$13, 100%, $E$13)</f>
        <v>31.595400000000001</v>
      </c>
      <c r="J933" s="64">
        <f>19.5733 * CHOOSE(CONTROL!$C$22, $C$13, 100%, $E$13)</f>
        <v>19.5733</v>
      </c>
      <c r="K933" s="64">
        <f>19.5735 * CHOOSE(CONTROL!$C$22, $C$13, 100%, $E$13)</f>
        <v>19.573499999999999</v>
      </c>
    </row>
    <row r="934" spans="1:11" ht="15">
      <c r="A934" s="13">
        <v>70068</v>
      </c>
      <c r="B934" s="63">
        <f>16.6307 * CHOOSE(CONTROL!$C$22, $C$13, 100%, $E$13)</f>
        <v>16.630700000000001</v>
      </c>
      <c r="C934" s="63">
        <f>16.6307 * CHOOSE(CONTROL!$C$22, $C$13, 100%, $E$13)</f>
        <v>16.630700000000001</v>
      </c>
      <c r="D934" s="63">
        <f>16.6483 * CHOOSE(CONTROL!$C$22, $C$13, 100%, $E$13)</f>
        <v>16.648299999999999</v>
      </c>
      <c r="E934" s="64">
        <f>19.6199 * CHOOSE(CONTROL!$C$22, $C$13, 100%, $E$13)</f>
        <v>19.619900000000001</v>
      </c>
      <c r="F934" s="64">
        <f>19.6199 * CHOOSE(CONTROL!$C$22, $C$13, 100%, $E$13)</f>
        <v>19.619900000000001</v>
      </c>
      <c r="G934" s="64">
        <f>19.6201 * CHOOSE(CONTROL!$C$22, $C$13, 100%, $E$13)</f>
        <v>19.620100000000001</v>
      </c>
      <c r="H934" s="64">
        <f>31.661* CHOOSE(CONTROL!$C$22, $C$13, 100%, $E$13)</f>
        <v>31.661000000000001</v>
      </c>
      <c r="I934" s="64">
        <f>31.6612 * CHOOSE(CONTROL!$C$22, $C$13, 100%, $E$13)</f>
        <v>31.661200000000001</v>
      </c>
      <c r="J934" s="64">
        <f>19.6199 * CHOOSE(CONTROL!$C$22, $C$13, 100%, $E$13)</f>
        <v>19.619900000000001</v>
      </c>
      <c r="K934" s="64">
        <f>19.6201 * CHOOSE(CONTROL!$C$22, $C$13, 100%, $E$13)</f>
        <v>19.620100000000001</v>
      </c>
    </row>
    <row r="935" spans="1:11" ht="15">
      <c r="A935" s="13">
        <v>70098</v>
      </c>
      <c r="B935" s="63">
        <f>16.6307 * CHOOSE(CONTROL!$C$22, $C$13, 100%, $E$13)</f>
        <v>16.630700000000001</v>
      </c>
      <c r="C935" s="63">
        <f>16.6307 * CHOOSE(CONTROL!$C$22, $C$13, 100%, $E$13)</f>
        <v>16.630700000000001</v>
      </c>
      <c r="D935" s="63">
        <f>16.6483 * CHOOSE(CONTROL!$C$22, $C$13, 100%, $E$13)</f>
        <v>16.648299999999999</v>
      </c>
      <c r="E935" s="64">
        <f>19.5086 * CHOOSE(CONTROL!$C$22, $C$13, 100%, $E$13)</f>
        <v>19.508600000000001</v>
      </c>
      <c r="F935" s="64">
        <f>19.5086 * CHOOSE(CONTROL!$C$22, $C$13, 100%, $E$13)</f>
        <v>19.508600000000001</v>
      </c>
      <c r="G935" s="64">
        <f>19.5088 * CHOOSE(CONTROL!$C$22, $C$13, 100%, $E$13)</f>
        <v>19.508800000000001</v>
      </c>
      <c r="H935" s="64">
        <f>31.727* CHOOSE(CONTROL!$C$22, $C$13, 100%, $E$13)</f>
        <v>31.727</v>
      </c>
      <c r="I935" s="64">
        <f>31.7272 * CHOOSE(CONTROL!$C$22, $C$13, 100%, $E$13)</f>
        <v>31.7272</v>
      </c>
      <c r="J935" s="64">
        <f>19.5086 * CHOOSE(CONTROL!$C$22, $C$13, 100%, $E$13)</f>
        <v>19.508600000000001</v>
      </c>
      <c r="K935" s="64">
        <f>19.5088 * CHOOSE(CONTROL!$C$22, $C$13, 100%, $E$13)</f>
        <v>19.508800000000001</v>
      </c>
    </row>
    <row r="936" spans="1:11" ht="15">
      <c r="A936" s="13">
        <v>70129</v>
      </c>
      <c r="B936" s="63">
        <f>16.57 * CHOOSE(CONTROL!$C$22, $C$13, 100%, $E$13)</f>
        <v>16.57</v>
      </c>
      <c r="C936" s="63">
        <f>16.57 * CHOOSE(CONTROL!$C$22, $C$13, 100%, $E$13)</f>
        <v>16.57</v>
      </c>
      <c r="D936" s="63">
        <f>16.5877 * CHOOSE(CONTROL!$C$22, $C$13, 100%, $E$13)</f>
        <v>16.587700000000002</v>
      </c>
      <c r="E936" s="64">
        <f>19.5138 * CHOOSE(CONTROL!$C$22, $C$13, 100%, $E$13)</f>
        <v>19.5138</v>
      </c>
      <c r="F936" s="64">
        <f>19.5138 * CHOOSE(CONTROL!$C$22, $C$13, 100%, $E$13)</f>
        <v>19.5138</v>
      </c>
      <c r="G936" s="64">
        <f>19.5139 * CHOOSE(CONTROL!$C$22, $C$13, 100%, $E$13)</f>
        <v>19.5139</v>
      </c>
      <c r="H936" s="64">
        <f>31.4548* CHOOSE(CONTROL!$C$22, $C$13, 100%, $E$13)</f>
        <v>31.454799999999999</v>
      </c>
      <c r="I936" s="64">
        <f>31.455 * CHOOSE(CONTROL!$C$22, $C$13, 100%, $E$13)</f>
        <v>31.454999999999998</v>
      </c>
      <c r="J936" s="64">
        <f>19.5138 * CHOOSE(CONTROL!$C$22, $C$13, 100%, $E$13)</f>
        <v>19.5138</v>
      </c>
      <c r="K936" s="64">
        <f>19.5139 * CHOOSE(CONTROL!$C$22, $C$13, 100%, $E$13)</f>
        <v>19.5139</v>
      </c>
    </row>
    <row r="937" spans="1:11" ht="15">
      <c r="A937" s="13">
        <v>70160</v>
      </c>
      <c r="B937" s="63">
        <f>16.567 * CHOOSE(CONTROL!$C$22, $C$13, 100%, $E$13)</f>
        <v>16.567</v>
      </c>
      <c r="C937" s="63">
        <f>16.567 * CHOOSE(CONTROL!$C$22, $C$13, 100%, $E$13)</f>
        <v>16.567</v>
      </c>
      <c r="D937" s="63">
        <f>16.5846 * CHOOSE(CONTROL!$C$22, $C$13, 100%, $E$13)</f>
        <v>16.584599999999998</v>
      </c>
      <c r="E937" s="64">
        <f>19.298 * CHOOSE(CONTROL!$C$22, $C$13, 100%, $E$13)</f>
        <v>19.297999999999998</v>
      </c>
      <c r="F937" s="64">
        <f>19.298 * CHOOSE(CONTROL!$C$22, $C$13, 100%, $E$13)</f>
        <v>19.297999999999998</v>
      </c>
      <c r="G937" s="64">
        <f>19.2982 * CHOOSE(CONTROL!$C$22, $C$13, 100%, $E$13)</f>
        <v>19.298200000000001</v>
      </c>
      <c r="H937" s="64">
        <f>31.5204* CHOOSE(CONTROL!$C$22, $C$13, 100%, $E$13)</f>
        <v>31.520399999999999</v>
      </c>
      <c r="I937" s="64">
        <f>31.5205 * CHOOSE(CONTROL!$C$22, $C$13, 100%, $E$13)</f>
        <v>31.520499999999998</v>
      </c>
      <c r="J937" s="64">
        <f>19.298 * CHOOSE(CONTROL!$C$22, $C$13, 100%, $E$13)</f>
        <v>19.297999999999998</v>
      </c>
      <c r="K937" s="64">
        <f>19.2982 * CHOOSE(CONTROL!$C$22, $C$13, 100%, $E$13)</f>
        <v>19.298200000000001</v>
      </c>
    </row>
    <row r="938" spans="1:11" ht="15">
      <c r="A938" s="13">
        <v>70189</v>
      </c>
      <c r="B938" s="63">
        <f>16.5639 * CHOOSE(CONTROL!$C$22, $C$13, 100%, $E$13)</f>
        <v>16.5639</v>
      </c>
      <c r="C938" s="63">
        <f>16.5639 * CHOOSE(CONTROL!$C$22, $C$13, 100%, $E$13)</f>
        <v>16.5639</v>
      </c>
      <c r="D938" s="63">
        <f>16.5816 * CHOOSE(CONTROL!$C$22, $C$13, 100%, $E$13)</f>
        <v>16.581600000000002</v>
      </c>
      <c r="E938" s="64">
        <f>19.4643 * CHOOSE(CONTROL!$C$22, $C$13, 100%, $E$13)</f>
        <v>19.464300000000001</v>
      </c>
      <c r="F938" s="64">
        <f>19.4643 * CHOOSE(CONTROL!$C$22, $C$13, 100%, $E$13)</f>
        <v>19.464300000000001</v>
      </c>
      <c r="G938" s="64">
        <f>19.4645 * CHOOSE(CONTROL!$C$22, $C$13, 100%, $E$13)</f>
        <v>19.464500000000001</v>
      </c>
      <c r="H938" s="64">
        <f>31.586* CHOOSE(CONTROL!$C$22, $C$13, 100%, $E$13)</f>
        <v>31.585999999999999</v>
      </c>
      <c r="I938" s="64">
        <f>31.5862 * CHOOSE(CONTROL!$C$22, $C$13, 100%, $E$13)</f>
        <v>31.586200000000002</v>
      </c>
      <c r="J938" s="64">
        <f>19.4643 * CHOOSE(CONTROL!$C$22, $C$13, 100%, $E$13)</f>
        <v>19.464300000000001</v>
      </c>
      <c r="K938" s="64">
        <f>19.4645 * CHOOSE(CONTROL!$C$22, $C$13, 100%, $E$13)</f>
        <v>19.464500000000001</v>
      </c>
    </row>
    <row r="939" spans="1:11" ht="15">
      <c r="A939" s="13">
        <v>70220</v>
      </c>
      <c r="B939" s="63">
        <f>16.5723 * CHOOSE(CONTROL!$C$22, $C$13, 100%, $E$13)</f>
        <v>16.572299999999998</v>
      </c>
      <c r="C939" s="63">
        <f>16.5723 * CHOOSE(CONTROL!$C$22, $C$13, 100%, $E$13)</f>
        <v>16.572299999999998</v>
      </c>
      <c r="D939" s="63">
        <f>16.5899 * CHOOSE(CONTROL!$C$22, $C$13, 100%, $E$13)</f>
        <v>16.5899</v>
      </c>
      <c r="E939" s="64">
        <f>19.6409 * CHOOSE(CONTROL!$C$22, $C$13, 100%, $E$13)</f>
        <v>19.640899999999998</v>
      </c>
      <c r="F939" s="64">
        <f>19.6409 * CHOOSE(CONTROL!$C$22, $C$13, 100%, $E$13)</f>
        <v>19.640899999999998</v>
      </c>
      <c r="G939" s="64">
        <f>19.6411 * CHOOSE(CONTROL!$C$22, $C$13, 100%, $E$13)</f>
        <v>19.641100000000002</v>
      </c>
      <c r="H939" s="64">
        <f>31.6518* CHOOSE(CONTROL!$C$22, $C$13, 100%, $E$13)</f>
        <v>31.651800000000001</v>
      </c>
      <c r="I939" s="64">
        <f>31.652 * CHOOSE(CONTROL!$C$22, $C$13, 100%, $E$13)</f>
        <v>31.652000000000001</v>
      </c>
      <c r="J939" s="64">
        <f>19.6409 * CHOOSE(CONTROL!$C$22, $C$13, 100%, $E$13)</f>
        <v>19.640899999999998</v>
      </c>
      <c r="K939" s="64">
        <f>19.6411 * CHOOSE(CONTROL!$C$22, $C$13, 100%, $E$13)</f>
        <v>19.641100000000002</v>
      </c>
    </row>
    <row r="940" spans="1:11" ht="15">
      <c r="A940" s="13">
        <v>70250</v>
      </c>
      <c r="B940" s="63">
        <f>16.5723 * CHOOSE(CONTROL!$C$22, $C$13, 100%, $E$13)</f>
        <v>16.572299999999998</v>
      </c>
      <c r="C940" s="63">
        <f>16.5723 * CHOOSE(CONTROL!$C$22, $C$13, 100%, $E$13)</f>
        <v>16.572299999999998</v>
      </c>
      <c r="D940" s="63">
        <f>16.6076 * CHOOSE(CONTROL!$C$22, $C$13, 100%, $E$13)</f>
        <v>16.607600000000001</v>
      </c>
      <c r="E940" s="64">
        <f>19.7087 * CHOOSE(CONTROL!$C$22, $C$13, 100%, $E$13)</f>
        <v>19.7087</v>
      </c>
      <c r="F940" s="64">
        <f>19.7087 * CHOOSE(CONTROL!$C$22, $C$13, 100%, $E$13)</f>
        <v>19.7087</v>
      </c>
      <c r="G940" s="64">
        <f>19.7109 * CHOOSE(CONTROL!$C$22, $C$13, 100%, $E$13)</f>
        <v>19.710899999999999</v>
      </c>
      <c r="H940" s="64">
        <f>31.7178* CHOOSE(CONTROL!$C$22, $C$13, 100%, $E$13)</f>
        <v>31.7178</v>
      </c>
      <c r="I940" s="64">
        <f>31.72 * CHOOSE(CONTROL!$C$22, $C$13, 100%, $E$13)</f>
        <v>31.72</v>
      </c>
      <c r="J940" s="64">
        <f>19.7087 * CHOOSE(CONTROL!$C$22, $C$13, 100%, $E$13)</f>
        <v>19.7087</v>
      </c>
      <c r="K940" s="64">
        <f>19.7109 * CHOOSE(CONTROL!$C$22, $C$13, 100%, $E$13)</f>
        <v>19.710899999999999</v>
      </c>
    </row>
    <row r="941" spans="1:11" ht="15">
      <c r="A941" s="13">
        <v>70281</v>
      </c>
      <c r="B941" s="63">
        <f>16.5784 * CHOOSE(CONTROL!$C$22, $C$13, 100%, $E$13)</f>
        <v>16.578399999999998</v>
      </c>
      <c r="C941" s="63">
        <f>16.5784 * CHOOSE(CONTROL!$C$22, $C$13, 100%, $E$13)</f>
        <v>16.578399999999998</v>
      </c>
      <c r="D941" s="63">
        <f>16.6137 * CHOOSE(CONTROL!$C$22, $C$13, 100%, $E$13)</f>
        <v>16.613700000000001</v>
      </c>
      <c r="E941" s="64">
        <f>19.6452 * CHOOSE(CONTROL!$C$22, $C$13, 100%, $E$13)</f>
        <v>19.645199999999999</v>
      </c>
      <c r="F941" s="64">
        <f>19.6452 * CHOOSE(CONTROL!$C$22, $C$13, 100%, $E$13)</f>
        <v>19.645199999999999</v>
      </c>
      <c r="G941" s="64">
        <f>19.6473 * CHOOSE(CONTROL!$C$22, $C$13, 100%, $E$13)</f>
        <v>19.647300000000001</v>
      </c>
      <c r="H941" s="64">
        <f>31.7838* CHOOSE(CONTROL!$C$22, $C$13, 100%, $E$13)</f>
        <v>31.783799999999999</v>
      </c>
      <c r="I941" s="64">
        <f>31.786 * CHOOSE(CONTROL!$C$22, $C$13, 100%, $E$13)</f>
        <v>31.786000000000001</v>
      </c>
      <c r="J941" s="64">
        <f>19.6452 * CHOOSE(CONTROL!$C$22, $C$13, 100%, $E$13)</f>
        <v>19.645199999999999</v>
      </c>
      <c r="K941" s="64">
        <f>19.6473 * CHOOSE(CONTROL!$C$22, $C$13, 100%, $E$13)</f>
        <v>19.647300000000001</v>
      </c>
    </row>
    <row r="942" spans="1:11" ht="15">
      <c r="A942" s="13">
        <v>70311</v>
      </c>
      <c r="B942" s="63">
        <f>16.837 * CHOOSE(CONTROL!$C$22, $C$13, 100%, $E$13)</f>
        <v>16.837</v>
      </c>
      <c r="C942" s="63">
        <f>16.837 * CHOOSE(CONTROL!$C$22, $C$13, 100%, $E$13)</f>
        <v>16.837</v>
      </c>
      <c r="D942" s="63">
        <f>16.8723 * CHOOSE(CONTROL!$C$22, $C$13, 100%, $E$13)</f>
        <v>16.872299999999999</v>
      </c>
      <c r="E942" s="64">
        <f>20.0177 * CHOOSE(CONTROL!$C$22, $C$13, 100%, $E$13)</f>
        <v>20.017700000000001</v>
      </c>
      <c r="F942" s="64">
        <f>20.0177 * CHOOSE(CONTROL!$C$22, $C$13, 100%, $E$13)</f>
        <v>20.017700000000001</v>
      </c>
      <c r="G942" s="64">
        <f>20.0198 * CHOOSE(CONTROL!$C$22, $C$13, 100%, $E$13)</f>
        <v>20.0198</v>
      </c>
      <c r="H942" s="64">
        <f>31.8501* CHOOSE(CONTROL!$C$22, $C$13, 100%, $E$13)</f>
        <v>31.850100000000001</v>
      </c>
      <c r="I942" s="64">
        <f>31.8522 * CHOOSE(CONTROL!$C$22, $C$13, 100%, $E$13)</f>
        <v>31.8522</v>
      </c>
      <c r="J942" s="64">
        <f>20.0177 * CHOOSE(CONTROL!$C$22, $C$13, 100%, $E$13)</f>
        <v>20.017700000000001</v>
      </c>
      <c r="K942" s="64">
        <f>20.0198 * CHOOSE(CONTROL!$C$22, $C$13, 100%, $E$13)</f>
        <v>20.0198</v>
      </c>
    </row>
    <row r="943" spans="1:11" ht="15">
      <c r="A943" s="13">
        <v>70342</v>
      </c>
      <c r="B943" s="63">
        <f>16.8436 * CHOOSE(CONTROL!$C$22, $C$13, 100%, $E$13)</f>
        <v>16.843599999999999</v>
      </c>
      <c r="C943" s="63">
        <f>16.8436 * CHOOSE(CONTROL!$C$22, $C$13, 100%, $E$13)</f>
        <v>16.843599999999999</v>
      </c>
      <c r="D943" s="63">
        <f>16.879 * CHOOSE(CONTROL!$C$22, $C$13, 100%, $E$13)</f>
        <v>16.879000000000001</v>
      </c>
      <c r="E943" s="64">
        <f>19.8189 * CHOOSE(CONTROL!$C$22, $C$13, 100%, $E$13)</f>
        <v>19.818899999999999</v>
      </c>
      <c r="F943" s="64">
        <f>19.8189 * CHOOSE(CONTROL!$C$22, $C$13, 100%, $E$13)</f>
        <v>19.818899999999999</v>
      </c>
      <c r="G943" s="64">
        <f>19.821 * CHOOSE(CONTROL!$C$22, $C$13, 100%, $E$13)</f>
        <v>19.821000000000002</v>
      </c>
      <c r="H943" s="64">
        <f>31.9164* CHOOSE(CONTROL!$C$22, $C$13, 100%, $E$13)</f>
        <v>31.916399999999999</v>
      </c>
      <c r="I943" s="64">
        <f>31.9186 * CHOOSE(CONTROL!$C$22, $C$13, 100%, $E$13)</f>
        <v>31.918600000000001</v>
      </c>
      <c r="J943" s="64">
        <f>19.8189 * CHOOSE(CONTROL!$C$22, $C$13, 100%, $E$13)</f>
        <v>19.818899999999999</v>
      </c>
      <c r="K943" s="64">
        <f>19.821 * CHOOSE(CONTROL!$C$22, $C$13, 100%, $E$13)</f>
        <v>19.821000000000002</v>
      </c>
    </row>
    <row r="944" spans="1:11" ht="15">
      <c r="A944" s="13">
        <v>70373</v>
      </c>
      <c r="B944" s="63">
        <f>16.8406 * CHOOSE(CONTROL!$C$22, $C$13, 100%, $E$13)</f>
        <v>16.840599999999998</v>
      </c>
      <c r="C944" s="63">
        <f>16.8406 * CHOOSE(CONTROL!$C$22, $C$13, 100%, $E$13)</f>
        <v>16.840599999999998</v>
      </c>
      <c r="D944" s="63">
        <f>16.8759 * CHOOSE(CONTROL!$C$22, $C$13, 100%, $E$13)</f>
        <v>16.875900000000001</v>
      </c>
      <c r="E944" s="64">
        <f>19.7941 * CHOOSE(CONTROL!$C$22, $C$13, 100%, $E$13)</f>
        <v>19.7941</v>
      </c>
      <c r="F944" s="64">
        <f>19.7941 * CHOOSE(CONTROL!$C$22, $C$13, 100%, $E$13)</f>
        <v>19.7941</v>
      </c>
      <c r="G944" s="64">
        <f>19.7963 * CHOOSE(CONTROL!$C$22, $C$13, 100%, $E$13)</f>
        <v>19.796299999999999</v>
      </c>
      <c r="H944" s="64">
        <f>31.9829* CHOOSE(CONTROL!$C$22, $C$13, 100%, $E$13)</f>
        <v>31.982900000000001</v>
      </c>
      <c r="I944" s="64">
        <f>31.9851 * CHOOSE(CONTROL!$C$22, $C$13, 100%, $E$13)</f>
        <v>31.985099999999999</v>
      </c>
      <c r="J944" s="64">
        <f>19.7941 * CHOOSE(CONTROL!$C$22, $C$13, 100%, $E$13)</f>
        <v>19.7941</v>
      </c>
      <c r="K944" s="64">
        <f>19.7963 * CHOOSE(CONTROL!$C$22, $C$13, 100%, $E$13)</f>
        <v>19.796299999999999</v>
      </c>
    </row>
    <row r="945" spans="1:11" ht="15">
      <c r="A945" s="13">
        <v>70403</v>
      </c>
      <c r="B945" s="63">
        <f>16.8777 * CHOOSE(CONTROL!$C$22, $C$13, 100%, $E$13)</f>
        <v>16.877700000000001</v>
      </c>
      <c r="C945" s="63">
        <f>16.8777 * CHOOSE(CONTROL!$C$22, $C$13, 100%, $E$13)</f>
        <v>16.877700000000001</v>
      </c>
      <c r="D945" s="63">
        <f>16.8953 * CHOOSE(CONTROL!$C$22, $C$13, 100%, $E$13)</f>
        <v>16.895299999999999</v>
      </c>
      <c r="E945" s="64">
        <f>19.8711 * CHOOSE(CONTROL!$C$22, $C$13, 100%, $E$13)</f>
        <v>19.871099999999998</v>
      </c>
      <c r="F945" s="64">
        <f>19.8711 * CHOOSE(CONTROL!$C$22, $C$13, 100%, $E$13)</f>
        <v>19.871099999999998</v>
      </c>
      <c r="G945" s="64">
        <f>19.8713 * CHOOSE(CONTROL!$C$22, $C$13, 100%, $E$13)</f>
        <v>19.871300000000002</v>
      </c>
      <c r="H945" s="64">
        <f>32.0495* CHOOSE(CONTROL!$C$22, $C$13, 100%, $E$13)</f>
        <v>32.049500000000002</v>
      </c>
      <c r="I945" s="64">
        <f>32.0497 * CHOOSE(CONTROL!$C$22, $C$13, 100%, $E$13)</f>
        <v>32.049700000000001</v>
      </c>
      <c r="J945" s="64">
        <f>19.8711 * CHOOSE(CONTROL!$C$22, $C$13, 100%, $E$13)</f>
        <v>19.871099999999998</v>
      </c>
      <c r="K945" s="64">
        <f>19.8713 * CHOOSE(CONTROL!$C$22, $C$13, 100%, $E$13)</f>
        <v>19.871300000000002</v>
      </c>
    </row>
    <row r="946" spans="1:11" ht="15">
      <c r="A946" s="13">
        <v>70434</v>
      </c>
      <c r="B946" s="63">
        <f>16.8807 * CHOOSE(CONTROL!$C$22, $C$13, 100%, $E$13)</f>
        <v>16.880700000000001</v>
      </c>
      <c r="C946" s="63">
        <f>16.8807 * CHOOSE(CONTROL!$C$22, $C$13, 100%, $E$13)</f>
        <v>16.880700000000001</v>
      </c>
      <c r="D946" s="63">
        <f>16.8984 * CHOOSE(CONTROL!$C$22, $C$13, 100%, $E$13)</f>
        <v>16.898399999999999</v>
      </c>
      <c r="E946" s="64">
        <f>19.9185 * CHOOSE(CONTROL!$C$22, $C$13, 100%, $E$13)</f>
        <v>19.918500000000002</v>
      </c>
      <c r="F946" s="64">
        <f>19.9185 * CHOOSE(CONTROL!$C$22, $C$13, 100%, $E$13)</f>
        <v>19.918500000000002</v>
      </c>
      <c r="G946" s="64">
        <f>19.9187 * CHOOSE(CONTROL!$C$22, $C$13, 100%, $E$13)</f>
        <v>19.918700000000001</v>
      </c>
      <c r="H946" s="64">
        <f>32.1163* CHOOSE(CONTROL!$C$22, $C$13, 100%, $E$13)</f>
        <v>32.116300000000003</v>
      </c>
      <c r="I946" s="64">
        <f>32.1165 * CHOOSE(CONTROL!$C$22, $C$13, 100%, $E$13)</f>
        <v>32.116500000000002</v>
      </c>
      <c r="J946" s="64">
        <f>19.9185 * CHOOSE(CONTROL!$C$22, $C$13, 100%, $E$13)</f>
        <v>19.918500000000002</v>
      </c>
      <c r="K946" s="64">
        <f>19.9187 * CHOOSE(CONTROL!$C$22, $C$13, 100%, $E$13)</f>
        <v>19.918700000000001</v>
      </c>
    </row>
    <row r="947" spans="1:11" ht="15">
      <c r="A947" s="13">
        <v>70464</v>
      </c>
      <c r="B947" s="63">
        <f>16.8807 * CHOOSE(CONTROL!$C$22, $C$13, 100%, $E$13)</f>
        <v>16.880700000000001</v>
      </c>
      <c r="C947" s="63">
        <f>16.8807 * CHOOSE(CONTROL!$C$22, $C$13, 100%, $E$13)</f>
        <v>16.880700000000001</v>
      </c>
      <c r="D947" s="63">
        <f>16.8984 * CHOOSE(CONTROL!$C$22, $C$13, 100%, $E$13)</f>
        <v>16.898399999999999</v>
      </c>
      <c r="E947" s="64">
        <f>19.8054 * CHOOSE(CONTROL!$C$22, $C$13, 100%, $E$13)</f>
        <v>19.805399999999999</v>
      </c>
      <c r="F947" s="64">
        <f>19.8054 * CHOOSE(CONTROL!$C$22, $C$13, 100%, $E$13)</f>
        <v>19.805399999999999</v>
      </c>
      <c r="G947" s="64">
        <f>19.8056 * CHOOSE(CONTROL!$C$22, $C$13, 100%, $E$13)</f>
        <v>19.805599999999998</v>
      </c>
      <c r="H947" s="64">
        <f>32.1832* CHOOSE(CONTROL!$C$22, $C$13, 100%, $E$13)</f>
        <v>32.183199999999999</v>
      </c>
      <c r="I947" s="64">
        <f>32.1834 * CHOOSE(CONTROL!$C$22, $C$13, 100%, $E$13)</f>
        <v>32.183399999999999</v>
      </c>
      <c r="J947" s="64">
        <f>19.8054 * CHOOSE(CONTROL!$C$22, $C$13, 100%, $E$13)</f>
        <v>19.805399999999999</v>
      </c>
      <c r="K947" s="64">
        <f>19.8056 * CHOOSE(CONTROL!$C$22, $C$13, 100%, $E$13)</f>
        <v>19.805599999999998</v>
      </c>
    </row>
    <row r="948" spans="1:11" ht="15">
      <c r="A948" s="13">
        <v>70495</v>
      </c>
      <c r="B948" s="63">
        <f>16.8153 * CHOOSE(CONTROL!$C$22, $C$13, 100%, $E$13)</f>
        <v>16.815300000000001</v>
      </c>
      <c r="C948" s="63">
        <f>16.8153 * CHOOSE(CONTROL!$C$22, $C$13, 100%, $E$13)</f>
        <v>16.815300000000001</v>
      </c>
      <c r="D948" s="63">
        <f>16.833 * CHOOSE(CONTROL!$C$22, $C$13, 100%, $E$13)</f>
        <v>16.832999999999998</v>
      </c>
      <c r="E948" s="64">
        <f>19.8062 * CHOOSE(CONTROL!$C$22, $C$13, 100%, $E$13)</f>
        <v>19.8062</v>
      </c>
      <c r="F948" s="64">
        <f>19.8062 * CHOOSE(CONTROL!$C$22, $C$13, 100%, $E$13)</f>
        <v>19.8062</v>
      </c>
      <c r="G948" s="64">
        <f>19.8064 * CHOOSE(CONTROL!$C$22, $C$13, 100%, $E$13)</f>
        <v>19.8064</v>
      </c>
      <c r="H948" s="64">
        <f>31.9007* CHOOSE(CONTROL!$C$22, $C$13, 100%, $E$13)</f>
        <v>31.900700000000001</v>
      </c>
      <c r="I948" s="64">
        <f>31.9009 * CHOOSE(CONTROL!$C$22, $C$13, 100%, $E$13)</f>
        <v>31.9009</v>
      </c>
      <c r="J948" s="64">
        <f>19.8062 * CHOOSE(CONTROL!$C$22, $C$13, 100%, $E$13)</f>
        <v>19.8062</v>
      </c>
      <c r="K948" s="64">
        <f>19.8064 * CHOOSE(CONTROL!$C$22, $C$13, 100%, $E$13)</f>
        <v>19.8064</v>
      </c>
    </row>
    <row r="949" spans="1:11" ht="15">
      <c r="A949" s="13">
        <v>70526</v>
      </c>
      <c r="B949" s="63">
        <f>16.8123 * CHOOSE(CONTROL!$C$22, $C$13, 100%, $E$13)</f>
        <v>16.8123</v>
      </c>
      <c r="C949" s="63">
        <f>16.8123 * CHOOSE(CONTROL!$C$22, $C$13, 100%, $E$13)</f>
        <v>16.8123</v>
      </c>
      <c r="D949" s="63">
        <f>16.8299 * CHOOSE(CONTROL!$C$22, $C$13, 100%, $E$13)</f>
        <v>16.829899999999999</v>
      </c>
      <c r="E949" s="64">
        <f>19.5872 * CHOOSE(CONTROL!$C$22, $C$13, 100%, $E$13)</f>
        <v>19.587199999999999</v>
      </c>
      <c r="F949" s="64">
        <f>19.5872 * CHOOSE(CONTROL!$C$22, $C$13, 100%, $E$13)</f>
        <v>19.587199999999999</v>
      </c>
      <c r="G949" s="64">
        <f>19.5874 * CHOOSE(CONTROL!$C$22, $C$13, 100%, $E$13)</f>
        <v>19.587399999999999</v>
      </c>
      <c r="H949" s="64">
        <f>31.9672* CHOOSE(CONTROL!$C$22, $C$13, 100%, $E$13)</f>
        <v>31.967199999999998</v>
      </c>
      <c r="I949" s="64">
        <f>31.9674 * CHOOSE(CONTROL!$C$22, $C$13, 100%, $E$13)</f>
        <v>31.967400000000001</v>
      </c>
      <c r="J949" s="64">
        <f>19.5872 * CHOOSE(CONTROL!$C$22, $C$13, 100%, $E$13)</f>
        <v>19.587199999999999</v>
      </c>
      <c r="K949" s="64">
        <f>19.5874 * CHOOSE(CONTROL!$C$22, $C$13, 100%, $E$13)</f>
        <v>19.587399999999999</v>
      </c>
    </row>
    <row r="950" spans="1:11" ht="15">
      <c r="A950" s="13">
        <v>70554</v>
      </c>
      <c r="B950" s="63">
        <f>16.8092 * CHOOSE(CONTROL!$C$22, $C$13, 100%, $E$13)</f>
        <v>16.809200000000001</v>
      </c>
      <c r="C950" s="63">
        <f>16.8092 * CHOOSE(CONTROL!$C$22, $C$13, 100%, $E$13)</f>
        <v>16.809200000000001</v>
      </c>
      <c r="D950" s="63">
        <f>16.8269 * CHOOSE(CONTROL!$C$22, $C$13, 100%, $E$13)</f>
        <v>16.826899999999998</v>
      </c>
      <c r="E950" s="64">
        <f>19.756 * CHOOSE(CONTROL!$C$22, $C$13, 100%, $E$13)</f>
        <v>19.756</v>
      </c>
      <c r="F950" s="64">
        <f>19.756 * CHOOSE(CONTROL!$C$22, $C$13, 100%, $E$13)</f>
        <v>19.756</v>
      </c>
      <c r="G950" s="64">
        <f>19.7562 * CHOOSE(CONTROL!$C$22, $C$13, 100%, $E$13)</f>
        <v>19.7562</v>
      </c>
      <c r="H950" s="64">
        <f>32.0338* CHOOSE(CONTROL!$C$22, $C$13, 100%, $E$13)</f>
        <v>32.033799999999999</v>
      </c>
      <c r="I950" s="64">
        <f>32.034 * CHOOSE(CONTROL!$C$22, $C$13, 100%, $E$13)</f>
        <v>32.033999999999999</v>
      </c>
      <c r="J950" s="64">
        <f>19.756 * CHOOSE(CONTROL!$C$22, $C$13, 100%, $E$13)</f>
        <v>19.756</v>
      </c>
      <c r="K950" s="64">
        <f>19.7562 * CHOOSE(CONTROL!$C$22, $C$13, 100%, $E$13)</f>
        <v>19.7562</v>
      </c>
    </row>
    <row r="951" spans="1:11" ht="15">
      <c r="A951" s="13">
        <v>70585</v>
      </c>
      <c r="B951" s="63">
        <f>16.8178 * CHOOSE(CONTROL!$C$22, $C$13, 100%, $E$13)</f>
        <v>16.817799999999998</v>
      </c>
      <c r="C951" s="63">
        <f>16.8178 * CHOOSE(CONTROL!$C$22, $C$13, 100%, $E$13)</f>
        <v>16.817799999999998</v>
      </c>
      <c r="D951" s="63">
        <f>16.8355 * CHOOSE(CONTROL!$C$22, $C$13, 100%, $E$13)</f>
        <v>16.8355</v>
      </c>
      <c r="E951" s="64">
        <f>19.9354 * CHOOSE(CONTROL!$C$22, $C$13, 100%, $E$13)</f>
        <v>19.935400000000001</v>
      </c>
      <c r="F951" s="64">
        <f>19.9354 * CHOOSE(CONTROL!$C$22, $C$13, 100%, $E$13)</f>
        <v>19.935400000000001</v>
      </c>
      <c r="G951" s="64">
        <f>19.9356 * CHOOSE(CONTROL!$C$22, $C$13, 100%, $E$13)</f>
        <v>19.935600000000001</v>
      </c>
      <c r="H951" s="64">
        <f>32.1005* CHOOSE(CONTROL!$C$22, $C$13, 100%, $E$13)</f>
        <v>32.100499999999997</v>
      </c>
      <c r="I951" s="64">
        <f>32.1007 * CHOOSE(CONTROL!$C$22, $C$13, 100%, $E$13)</f>
        <v>32.100700000000003</v>
      </c>
      <c r="J951" s="64">
        <f>19.9354 * CHOOSE(CONTROL!$C$22, $C$13, 100%, $E$13)</f>
        <v>19.935400000000001</v>
      </c>
      <c r="K951" s="64">
        <f>19.9356 * CHOOSE(CONTROL!$C$22, $C$13, 100%, $E$13)</f>
        <v>19.935600000000001</v>
      </c>
    </row>
    <row r="952" spans="1:11" ht="15">
      <c r="A952" s="13">
        <v>70615</v>
      </c>
      <c r="B952" s="63">
        <f>16.8178 * CHOOSE(CONTROL!$C$22, $C$13, 100%, $E$13)</f>
        <v>16.817799999999998</v>
      </c>
      <c r="C952" s="63">
        <f>16.8178 * CHOOSE(CONTROL!$C$22, $C$13, 100%, $E$13)</f>
        <v>16.817799999999998</v>
      </c>
      <c r="D952" s="63">
        <f>16.8531 * CHOOSE(CONTROL!$C$22, $C$13, 100%, $E$13)</f>
        <v>16.853100000000001</v>
      </c>
      <c r="E952" s="64">
        <f>20.0042 * CHOOSE(CONTROL!$C$22, $C$13, 100%, $E$13)</f>
        <v>20.004200000000001</v>
      </c>
      <c r="F952" s="64">
        <f>20.0042 * CHOOSE(CONTROL!$C$22, $C$13, 100%, $E$13)</f>
        <v>20.004200000000001</v>
      </c>
      <c r="G952" s="64">
        <f>20.0064 * CHOOSE(CONTROL!$C$22, $C$13, 100%, $E$13)</f>
        <v>20.006399999999999</v>
      </c>
      <c r="H952" s="64">
        <f>32.1674* CHOOSE(CONTROL!$C$22, $C$13, 100%, $E$13)</f>
        <v>32.167400000000001</v>
      </c>
      <c r="I952" s="64">
        <f>32.1696 * CHOOSE(CONTROL!$C$22, $C$13, 100%, $E$13)</f>
        <v>32.169600000000003</v>
      </c>
      <c r="J952" s="64">
        <f>20.0042 * CHOOSE(CONTROL!$C$22, $C$13, 100%, $E$13)</f>
        <v>20.004200000000001</v>
      </c>
      <c r="K952" s="64">
        <f>20.0064 * CHOOSE(CONTROL!$C$22, $C$13, 100%, $E$13)</f>
        <v>20.006399999999999</v>
      </c>
    </row>
    <row r="953" spans="1:11" ht="15">
      <c r="A953" s="13">
        <v>70646</v>
      </c>
      <c r="B953" s="63">
        <f>16.8239 * CHOOSE(CONTROL!$C$22, $C$13, 100%, $E$13)</f>
        <v>16.823899999999998</v>
      </c>
      <c r="C953" s="63">
        <f>16.8239 * CHOOSE(CONTROL!$C$22, $C$13, 100%, $E$13)</f>
        <v>16.823899999999998</v>
      </c>
      <c r="D953" s="63">
        <f>16.8592 * CHOOSE(CONTROL!$C$22, $C$13, 100%, $E$13)</f>
        <v>16.859200000000001</v>
      </c>
      <c r="E953" s="64">
        <f>19.9396 * CHOOSE(CONTROL!$C$22, $C$13, 100%, $E$13)</f>
        <v>19.939599999999999</v>
      </c>
      <c r="F953" s="64">
        <f>19.9396 * CHOOSE(CONTROL!$C$22, $C$13, 100%, $E$13)</f>
        <v>19.939599999999999</v>
      </c>
      <c r="G953" s="64">
        <f>19.9418 * CHOOSE(CONTROL!$C$22, $C$13, 100%, $E$13)</f>
        <v>19.941800000000001</v>
      </c>
      <c r="H953" s="64">
        <f>32.2344* CHOOSE(CONTROL!$C$22, $C$13, 100%, $E$13)</f>
        <v>32.234400000000001</v>
      </c>
      <c r="I953" s="64">
        <f>32.2366 * CHOOSE(CONTROL!$C$22, $C$13, 100%, $E$13)</f>
        <v>32.236600000000003</v>
      </c>
      <c r="J953" s="64">
        <f>19.9396 * CHOOSE(CONTROL!$C$22, $C$13, 100%, $E$13)</f>
        <v>19.939599999999999</v>
      </c>
      <c r="K953" s="64">
        <f>19.9418 * CHOOSE(CONTROL!$C$22, $C$13, 100%, $E$13)</f>
        <v>19.941800000000001</v>
      </c>
    </row>
    <row r="954" spans="1:11" ht="15">
      <c r="A954" s="13">
        <v>70676</v>
      </c>
      <c r="B954" s="63">
        <f>17.0862 * CHOOSE(CONTROL!$C$22, $C$13, 100%, $E$13)</f>
        <v>17.086200000000002</v>
      </c>
      <c r="C954" s="63">
        <f>17.0862 * CHOOSE(CONTROL!$C$22, $C$13, 100%, $E$13)</f>
        <v>17.086200000000002</v>
      </c>
      <c r="D954" s="63">
        <f>17.1215 * CHOOSE(CONTROL!$C$22, $C$13, 100%, $E$13)</f>
        <v>17.121500000000001</v>
      </c>
      <c r="E954" s="64">
        <f>20.3175 * CHOOSE(CONTROL!$C$22, $C$13, 100%, $E$13)</f>
        <v>20.317499999999999</v>
      </c>
      <c r="F954" s="64">
        <f>20.3175 * CHOOSE(CONTROL!$C$22, $C$13, 100%, $E$13)</f>
        <v>20.317499999999999</v>
      </c>
      <c r="G954" s="64">
        <f>20.3197 * CHOOSE(CONTROL!$C$22, $C$13, 100%, $E$13)</f>
        <v>20.319700000000001</v>
      </c>
      <c r="H954" s="64">
        <f>32.3016* CHOOSE(CONTROL!$C$22, $C$13, 100%, $E$13)</f>
        <v>32.301600000000001</v>
      </c>
      <c r="I954" s="64">
        <f>32.3037 * CHOOSE(CONTROL!$C$22, $C$13, 100%, $E$13)</f>
        <v>32.303699999999999</v>
      </c>
      <c r="J954" s="64">
        <f>20.3175 * CHOOSE(CONTROL!$C$22, $C$13, 100%, $E$13)</f>
        <v>20.317499999999999</v>
      </c>
      <c r="K954" s="64">
        <f>20.3197 * CHOOSE(CONTROL!$C$22, $C$13, 100%, $E$13)</f>
        <v>20.319700000000001</v>
      </c>
    </row>
    <row r="955" spans="1:11" ht="15">
      <c r="A955" s="13">
        <v>70707</v>
      </c>
      <c r="B955" s="63">
        <f>17.0929 * CHOOSE(CONTROL!$C$22, $C$13, 100%, $E$13)</f>
        <v>17.0929</v>
      </c>
      <c r="C955" s="63">
        <f>17.0929 * CHOOSE(CONTROL!$C$22, $C$13, 100%, $E$13)</f>
        <v>17.0929</v>
      </c>
      <c r="D955" s="63">
        <f>17.1282 * CHOOSE(CONTROL!$C$22, $C$13, 100%, $E$13)</f>
        <v>17.1282</v>
      </c>
      <c r="E955" s="64">
        <f>20.1157 * CHOOSE(CONTROL!$C$22, $C$13, 100%, $E$13)</f>
        <v>20.1157</v>
      </c>
      <c r="F955" s="64">
        <f>20.1157 * CHOOSE(CONTROL!$C$22, $C$13, 100%, $E$13)</f>
        <v>20.1157</v>
      </c>
      <c r="G955" s="64">
        <f>20.1179 * CHOOSE(CONTROL!$C$22, $C$13, 100%, $E$13)</f>
        <v>20.117899999999999</v>
      </c>
      <c r="H955" s="64">
        <f>32.3689* CHOOSE(CONTROL!$C$22, $C$13, 100%, $E$13)</f>
        <v>32.368899999999996</v>
      </c>
      <c r="I955" s="64">
        <f>32.371 * CHOOSE(CONTROL!$C$22, $C$13, 100%, $E$13)</f>
        <v>32.371000000000002</v>
      </c>
      <c r="J955" s="64">
        <f>20.1157 * CHOOSE(CONTROL!$C$22, $C$13, 100%, $E$13)</f>
        <v>20.1157</v>
      </c>
      <c r="K955" s="64">
        <f>20.1179 * CHOOSE(CONTROL!$C$22, $C$13, 100%, $E$13)</f>
        <v>20.117899999999999</v>
      </c>
    </row>
    <row r="956" spans="1:11" ht="15">
      <c r="A956" s="13">
        <v>70738</v>
      </c>
      <c r="B956" s="63">
        <f>17.0898 * CHOOSE(CONTROL!$C$22, $C$13, 100%, $E$13)</f>
        <v>17.0898</v>
      </c>
      <c r="C956" s="63">
        <f>17.0898 * CHOOSE(CONTROL!$C$22, $C$13, 100%, $E$13)</f>
        <v>17.0898</v>
      </c>
      <c r="D956" s="63">
        <f>17.1251 * CHOOSE(CONTROL!$C$22, $C$13, 100%, $E$13)</f>
        <v>17.1251</v>
      </c>
      <c r="E956" s="64">
        <f>20.0906 * CHOOSE(CONTROL!$C$22, $C$13, 100%, $E$13)</f>
        <v>20.090599999999998</v>
      </c>
      <c r="F956" s="64">
        <f>20.0906 * CHOOSE(CONTROL!$C$22, $C$13, 100%, $E$13)</f>
        <v>20.090599999999998</v>
      </c>
      <c r="G956" s="64">
        <f>20.0928 * CHOOSE(CONTROL!$C$22, $C$13, 100%, $E$13)</f>
        <v>20.0928</v>
      </c>
      <c r="H956" s="64">
        <f>32.4363* CHOOSE(CONTROL!$C$22, $C$13, 100%, $E$13)</f>
        <v>32.436300000000003</v>
      </c>
      <c r="I956" s="64">
        <f>32.4385 * CHOOSE(CONTROL!$C$22, $C$13, 100%, $E$13)</f>
        <v>32.438499999999998</v>
      </c>
      <c r="J956" s="64">
        <f>20.0906 * CHOOSE(CONTROL!$C$22, $C$13, 100%, $E$13)</f>
        <v>20.090599999999998</v>
      </c>
      <c r="K956" s="64">
        <f>20.0928 * CHOOSE(CONTROL!$C$22, $C$13, 100%, $E$13)</f>
        <v>20.0928</v>
      </c>
    </row>
    <row r="957" spans="1:11" ht="15">
      <c r="A957" s="13">
        <v>70768</v>
      </c>
      <c r="B957" s="63">
        <f>17.1277 * CHOOSE(CONTROL!$C$22, $C$13, 100%, $E$13)</f>
        <v>17.127700000000001</v>
      </c>
      <c r="C957" s="63">
        <f>17.1277 * CHOOSE(CONTROL!$C$22, $C$13, 100%, $E$13)</f>
        <v>17.127700000000001</v>
      </c>
      <c r="D957" s="63">
        <f>17.1453 * CHOOSE(CONTROL!$C$22, $C$13, 100%, $E$13)</f>
        <v>17.145299999999999</v>
      </c>
      <c r="E957" s="64">
        <f>20.169 * CHOOSE(CONTROL!$C$22, $C$13, 100%, $E$13)</f>
        <v>20.169</v>
      </c>
      <c r="F957" s="64">
        <f>20.169 * CHOOSE(CONTROL!$C$22, $C$13, 100%, $E$13)</f>
        <v>20.169</v>
      </c>
      <c r="G957" s="64">
        <f>20.1692 * CHOOSE(CONTROL!$C$22, $C$13, 100%, $E$13)</f>
        <v>20.1692</v>
      </c>
      <c r="H957" s="64">
        <f>32.5039* CHOOSE(CONTROL!$C$22, $C$13, 100%, $E$13)</f>
        <v>32.503900000000002</v>
      </c>
      <c r="I957" s="64">
        <f>32.504 * CHOOSE(CONTROL!$C$22, $C$13, 100%, $E$13)</f>
        <v>32.503999999999998</v>
      </c>
      <c r="J957" s="64">
        <f>20.169 * CHOOSE(CONTROL!$C$22, $C$13, 100%, $E$13)</f>
        <v>20.169</v>
      </c>
      <c r="K957" s="64">
        <f>20.1692 * CHOOSE(CONTROL!$C$22, $C$13, 100%, $E$13)</f>
        <v>20.1692</v>
      </c>
    </row>
    <row r="958" spans="1:11" ht="15">
      <c r="A958" s="13">
        <v>70799</v>
      </c>
      <c r="B958" s="63">
        <f>17.1307 * CHOOSE(CONTROL!$C$22, $C$13, 100%, $E$13)</f>
        <v>17.130700000000001</v>
      </c>
      <c r="C958" s="63">
        <f>17.1307 * CHOOSE(CONTROL!$C$22, $C$13, 100%, $E$13)</f>
        <v>17.130700000000001</v>
      </c>
      <c r="D958" s="63">
        <f>17.1484 * CHOOSE(CONTROL!$C$22, $C$13, 100%, $E$13)</f>
        <v>17.148399999999999</v>
      </c>
      <c r="E958" s="64">
        <f>20.217 * CHOOSE(CONTROL!$C$22, $C$13, 100%, $E$13)</f>
        <v>20.216999999999999</v>
      </c>
      <c r="F958" s="64">
        <f>20.217 * CHOOSE(CONTROL!$C$22, $C$13, 100%, $E$13)</f>
        <v>20.216999999999999</v>
      </c>
      <c r="G958" s="64">
        <f>20.2172 * CHOOSE(CONTROL!$C$22, $C$13, 100%, $E$13)</f>
        <v>20.217199999999998</v>
      </c>
      <c r="H958" s="64">
        <f>32.5716* CHOOSE(CONTROL!$C$22, $C$13, 100%, $E$13)</f>
        <v>32.571599999999997</v>
      </c>
      <c r="I958" s="64">
        <f>32.5718 * CHOOSE(CONTROL!$C$22, $C$13, 100%, $E$13)</f>
        <v>32.571800000000003</v>
      </c>
      <c r="J958" s="64">
        <f>20.217 * CHOOSE(CONTROL!$C$22, $C$13, 100%, $E$13)</f>
        <v>20.216999999999999</v>
      </c>
      <c r="K958" s="64">
        <f>20.2172 * CHOOSE(CONTROL!$C$22, $C$13, 100%, $E$13)</f>
        <v>20.217199999999998</v>
      </c>
    </row>
    <row r="959" spans="1:11" ht="15">
      <c r="A959" s="13">
        <v>70829</v>
      </c>
      <c r="B959" s="63">
        <f>17.1307 * CHOOSE(CONTROL!$C$22, $C$13, 100%, $E$13)</f>
        <v>17.130700000000001</v>
      </c>
      <c r="C959" s="63">
        <f>17.1307 * CHOOSE(CONTROL!$C$22, $C$13, 100%, $E$13)</f>
        <v>17.130700000000001</v>
      </c>
      <c r="D959" s="63">
        <f>17.1484 * CHOOSE(CONTROL!$C$22, $C$13, 100%, $E$13)</f>
        <v>17.148399999999999</v>
      </c>
      <c r="E959" s="64">
        <f>20.1023 * CHOOSE(CONTROL!$C$22, $C$13, 100%, $E$13)</f>
        <v>20.1023</v>
      </c>
      <c r="F959" s="64">
        <f>20.1023 * CHOOSE(CONTROL!$C$22, $C$13, 100%, $E$13)</f>
        <v>20.1023</v>
      </c>
      <c r="G959" s="64">
        <f>20.1024 * CHOOSE(CONTROL!$C$22, $C$13, 100%, $E$13)</f>
        <v>20.102399999999999</v>
      </c>
      <c r="H959" s="64">
        <f>32.6394* CHOOSE(CONTROL!$C$22, $C$13, 100%, $E$13)</f>
        <v>32.639400000000002</v>
      </c>
      <c r="I959" s="64">
        <f>32.6396 * CHOOSE(CONTROL!$C$22, $C$13, 100%, $E$13)</f>
        <v>32.639600000000002</v>
      </c>
      <c r="J959" s="64">
        <f>20.1023 * CHOOSE(CONTROL!$C$22, $C$13, 100%, $E$13)</f>
        <v>20.1023</v>
      </c>
      <c r="K959" s="64">
        <f>20.1024 * CHOOSE(CONTROL!$C$22, $C$13, 100%, $E$13)</f>
        <v>20.102399999999999</v>
      </c>
    </row>
    <row r="960" spans="1:11" ht="15">
      <c r="A960" s="13">
        <v>70860</v>
      </c>
      <c r="B960" s="63">
        <f>17.0606 * CHOOSE(CONTROL!$C$22, $C$13, 100%, $E$13)</f>
        <v>17.060600000000001</v>
      </c>
      <c r="C960" s="63">
        <f>17.0606 * CHOOSE(CONTROL!$C$22, $C$13, 100%, $E$13)</f>
        <v>17.060600000000001</v>
      </c>
      <c r="D960" s="63">
        <f>17.0783 * CHOOSE(CONTROL!$C$22, $C$13, 100%, $E$13)</f>
        <v>17.078299999999999</v>
      </c>
      <c r="E960" s="64">
        <f>20.0986 * CHOOSE(CONTROL!$C$22, $C$13, 100%, $E$13)</f>
        <v>20.098600000000001</v>
      </c>
      <c r="F960" s="64">
        <f>20.0986 * CHOOSE(CONTROL!$C$22, $C$13, 100%, $E$13)</f>
        <v>20.098600000000001</v>
      </c>
      <c r="G960" s="64">
        <f>20.0988 * CHOOSE(CONTROL!$C$22, $C$13, 100%, $E$13)</f>
        <v>20.098800000000001</v>
      </c>
      <c r="H960" s="64">
        <f>32.3466* CHOOSE(CONTROL!$C$22, $C$13, 100%, $E$13)</f>
        <v>32.346600000000002</v>
      </c>
      <c r="I960" s="64">
        <f>32.3468 * CHOOSE(CONTROL!$C$22, $C$13, 100%, $E$13)</f>
        <v>32.346800000000002</v>
      </c>
      <c r="J960" s="64">
        <f>20.0986 * CHOOSE(CONTROL!$C$22, $C$13, 100%, $E$13)</f>
        <v>20.098600000000001</v>
      </c>
      <c r="K960" s="64">
        <f>20.0988 * CHOOSE(CONTROL!$C$22, $C$13, 100%, $E$13)</f>
        <v>20.098800000000001</v>
      </c>
    </row>
    <row r="961" spans="1:11" ht="15">
      <c r="A961" s="13">
        <v>70891</v>
      </c>
      <c r="B961" s="63">
        <f>17.0576 * CHOOSE(CONTROL!$C$22, $C$13, 100%, $E$13)</f>
        <v>17.057600000000001</v>
      </c>
      <c r="C961" s="63">
        <f>17.0576 * CHOOSE(CONTROL!$C$22, $C$13, 100%, $E$13)</f>
        <v>17.057600000000001</v>
      </c>
      <c r="D961" s="63">
        <f>17.0753 * CHOOSE(CONTROL!$C$22, $C$13, 100%, $E$13)</f>
        <v>17.075299999999999</v>
      </c>
      <c r="E961" s="64">
        <f>19.8764 * CHOOSE(CONTROL!$C$22, $C$13, 100%, $E$13)</f>
        <v>19.8764</v>
      </c>
      <c r="F961" s="64">
        <f>19.8764 * CHOOSE(CONTROL!$C$22, $C$13, 100%, $E$13)</f>
        <v>19.8764</v>
      </c>
      <c r="G961" s="64">
        <f>19.8766 * CHOOSE(CONTROL!$C$22, $C$13, 100%, $E$13)</f>
        <v>19.8766</v>
      </c>
      <c r="H961" s="64">
        <f>32.414* CHOOSE(CONTROL!$C$22, $C$13, 100%, $E$13)</f>
        <v>32.414000000000001</v>
      </c>
      <c r="I961" s="64">
        <f>32.4142 * CHOOSE(CONTROL!$C$22, $C$13, 100%, $E$13)</f>
        <v>32.414200000000001</v>
      </c>
      <c r="J961" s="64">
        <f>19.8764 * CHOOSE(CONTROL!$C$22, $C$13, 100%, $E$13)</f>
        <v>19.8764</v>
      </c>
      <c r="K961" s="64">
        <f>19.8766 * CHOOSE(CONTROL!$C$22, $C$13, 100%, $E$13)</f>
        <v>19.8766</v>
      </c>
    </row>
    <row r="962" spans="1:11" ht="15">
      <c r="A962" s="13">
        <v>70919</v>
      </c>
      <c r="B962" s="63">
        <f>17.0546 * CHOOSE(CONTROL!$C$22, $C$13, 100%, $E$13)</f>
        <v>17.054600000000001</v>
      </c>
      <c r="C962" s="63">
        <f>17.0546 * CHOOSE(CONTROL!$C$22, $C$13, 100%, $E$13)</f>
        <v>17.054600000000001</v>
      </c>
      <c r="D962" s="63">
        <f>17.0722 * CHOOSE(CONTROL!$C$22, $C$13, 100%, $E$13)</f>
        <v>17.072199999999999</v>
      </c>
      <c r="E962" s="64">
        <f>20.0478 * CHOOSE(CONTROL!$C$22, $C$13, 100%, $E$13)</f>
        <v>20.047799999999999</v>
      </c>
      <c r="F962" s="64">
        <f>20.0478 * CHOOSE(CONTROL!$C$22, $C$13, 100%, $E$13)</f>
        <v>20.047799999999999</v>
      </c>
      <c r="G962" s="64">
        <f>20.048 * CHOOSE(CONTROL!$C$22, $C$13, 100%, $E$13)</f>
        <v>20.047999999999998</v>
      </c>
      <c r="H962" s="64">
        <f>32.4815* CHOOSE(CONTROL!$C$22, $C$13, 100%, $E$13)</f>
        <v>32.481499999999997</v>
      </c>
      <c r="I962" s="64">
        <f>32.4817 * CHOOSE(CONTROL!$C$22, $C$13, 100%, $E$13)</f>
        <v>32.481699999999996</v>
      </c>
      <c r="J962" s="64">
        <f>20.0478 * CHOOSE(CONTROL!$C$22, $C$13, 100%, $E$13)</f>
        <v>20.047799999999999</v>
      </c>
      <c r="K962" s="64">
        <f>20.048 * CHOOSE(CONTROL!$C$22, $C$13, 100%, $E$13)</f>
        <v>20.047999999999998</v>
      </c>
    </row>
    <row r="963" spans="1:11" ht="15">
      <c r="A963" s="13">
        <v>70950</v>
      </c>
      <c r="B963" s="63">
        <f>17.0633 * CHOOSE(CONTROL!$C$22, $C$13, 100%, $E$13)</f>
        <v>17.063300000000002</v>
      </c>
      <c r="C963" s="63">
        <f>17.0633 * CHOOSE(CONTROL!$C$22, $C$13, 100%, $E$13)</f>
        <v>17.063300000000002</v>
      </c>
      <c r="D963" s="63">
        <f>17.081 * CHOOSE(CONTROL!$C$22, $C$13, 100%, $E$13)</f>
        <v>17.081</v>
      </c>
      <c r="E963" s="64">
        <f>20.2298 * CHOOSE(CONTROL!$C$22, $C$13, 100%, $E$13)</f>
        <v>20.229800000000001</v>
      </c>
      <c r="F963" s="64">
        <f>20.2298 * CHOOSE(CONTROL!$C$22, $C$13, 100%, $E$13)</f>
        <v>20.229800000000001</v>
      </c>
      <c r="G963" s="64">
        <f>20.23 * CHOOSE(CONTROL!$C$22, $C$13, 100%, $E$13)</f>
        <v>20.23</v>
      </c>
      <c r="H963" s="64">
        <f>32.5492* CHOOSE(CONTROL!$C$22, $C$13, 100%, $E$13)</f>
        <v>32.549199999999999</v>
      </c>
      <c r="I963" s="64">
        <f>32.5494 * CHOOSE(CONTROL!$C$22, $C$13, 100%, $E$13)</f>
        <v>32.549399999999999</v>
      </c>
      <c r="J963" s="64">
        <f>20.2298 * CHOOSE(CONTROL!$C$22, $C$13, 100%, $E$13)</f>
        <v>20.229800000000001</v>
      </c>
      <c r="K963" s="64">
        <f>20.23 * CHOOSE(CONTROL!$C$22, $C$13, 100%, $E$13)</f>
        <v>20.23</v>
      </c>
    </row>
    <row r="964" spans="1:11" ht="15">
      <c r="A964" s="13">
        <v>70980</v>
      </c>
      <c r="B964" s="63">
        <f>17.0633 * CHOOSE(CONTROL!$C$22, $C$13, 100%, $E$13)</f>
        <v>17.063300000000002</v>
      </c>
      <c r="C964" s="63">
        <f>17.0633 * CHOOSE(CONTROL!$C$22, $C$13, 100%, $E$13)</f>
        <v>17.063300000000002</v>
      </c>
      <c r="D964" s="63">
        <f>17.0986 * CHOOSE(CONTROL!$C$22, $C$13, 100%, $E$13)</f>
        <v>17.098600000000001</v>
      </c>
      <c r="E964" s="64">
        <f>20.2997 * CHOOSE(CONTROL!$C$22, $C$13, 100%, $E$13)</f>
        <v>20.299700000000001</v>
      </c>
      <c r="F964" s="64">
        <f>20.2997 * CHOOSE(CONTROL!$C$22, $C$13, 100%, $E$13)</f>
        <v>20.299700000000001</v>
      </c>
      <c r="G964" s="64">
        <f>20.3019 * CHOOSE(CONTROL!$C$22, $C$13, 100%, $E$13)</f>
        <v>20.3019</v>
      </c>
      <c r="H964" s="64">
        <f>32.617* CHOOSE(CONTROL!$C$22, $C$13, 100%, $E$13)</f>
        <v>32.616999999999997</v>
      </c>
      <c r="I964" s="64">
        <f>32.6192 * CHOOSE(CONTROL!$C$22, $C$13, 100%, $E$13)</f>
        <v>32.619199999999999</v>
      </c>
      <c r="J964" s="64">
        <f>20.2997 * CHOOSE(CONTROL!$C$22, $C$13, 100%, $E$13)</f>
        <v>20.299700000000001</v>
      </c>
      <c r="K964" s="64">
        <f>20.3019 * CHOOSE(CONTROL!$C$22, $C$13, 100%, $E$13)</f>
        <v>20.3019</v>
      </c>
    </row>
    <row r="965" spans="1:11" ht="15">
      <c r="A965" s="13">
        <v>71011</v>
      </c>
      <c r="B965" s="63">
        <f>17.0694 * CHOOSE(CONTROL!$C$22, $C$13, 100%, $E$13)</f>
        <v>17.069400000000002</v>
      </c>
      <c r="C965" s="63">
        <f>17.0694 * CHOOSE(CONTROL!$C$22, $C$13, 100%, $E$13)</f>
        <v>17.069400000000002</v>
      </c>
      <c r="D965" s="63">
        <f>17.1047 * CHOOSE(CONTROL!$C$22, $C$13, 100%, $E$13)</f>
        <v>17.104700000000001</v>
      </c>
      <c r="E965" s="64">
        <f>20.2341 * CHOOSE(CONTROL!$C$22, $C$13, 100%, $E$13)</f>
        <v>20.234100000000002</v>
      </c>
      <c r="F965" s="64">
        <f>20.2341 * CHOOSE(CONTROL!$C$22, $C$13, 100%, $E$13)</f>
        <v>20.234100000000002</v>
      </c>
      <c r="G965" s="64">
        <f>20.2362 * CHOOSE(CONTROL!$C$22, $C$13, 100%, $E$13)</f>
        <v>20.2362</v>
      </c>
      <c r="H965" s="64">
        <f>32.685* CHOOSE(CONTROL!$C$22, $C$13, 100%, $E$13)</f>
        <v>32.685000000000002</v>
      </c>
      <c r="I965" s="64">
        <f>32.6871 * CHOOSE(CONTROL!$C$22, $C$13, 100%, $E$13)</f>
        <v>32.687100000000001</v>
      </c>
      <c r="J965" s="64">
        <f>20.2341 * CHOOSE(CONTROL!$C$22, $C$13, 100%, $E$13)</f>
        <v>20.234100000000002</v>
      </c>
      <c r="K965" s="64">
        <f>20.2362 * CHOOSE(CONTROL!$C$22, $C$13, 100%, $E$13)</f>
        <v>20.2362</v>
      </c>
    </row>
    <row r="966" spans="1:11" ht="15">
      <c r="A966" s="13">
        <v>71041</v>
      </c>
      <c r="B966" s="63">
        <f>17.3354 * CHOOSE(CONTROL!$C$22, $C$13, 100%, $E$13)</f>
        <v>17.3354</v>
      </c>
      <c r="C966" s="63">
        <f>17.3354 * CHOOSE(CONTROL!$C$22, $C$13, 100%, $E$13)</f>
        <v>17.3354</v>
      </c>
      <c r="D966" s="63">
        <f>17.3707 * CHOOSE(CONTROL!$C$22, $C$13, 100%, $E$13)</f>
        <v>17.370699999999999</v>
      </c>
      <c r="E966" s="64">
        <f>20.6174 * CHOOSE(CONTROL!$C$22, $C$13, 100%, $E$13)</f>
        <v>20.6174</v>
      </c>
      <c r="F966" s="64">
        <f>20.6174 * CHOOSE(CONTROL!$C$22, $C$13, 100%, $E$13)</f>
        <v>20.6174</v>
      </c>
      <c r="G966" s="64">
        <f>20.6196 * CHOOSE(CONTROL!$C$22, $C$13, 100%, $E$13)</f>
        <v>20.619599999999998</v>
      </c>
      <c r="H966" s="64">
        <f>32.7531* CHOOSE(CONTROL!$C$22, $C$13, 100%, $E$13)</f>
        <v>32.753100000000003</v>
      </c>
      <c r="I966" s="64">
        <f>32.7552 * CHOOSE(CONTROL!$C$22, $C$13, 100%, $E$13)</f>
        <v>32.755200000000002</v>
      </c>
      <c r="J966" s="64">
        <f>20.6174 * CHOOSE(CONTROL!$C$22, $C$13, 100%, $E$13)</f>
        <v>20.6174</v>
      </c>
      <c r="K966" s="64">
        <f>20.6196 * CHOOSE(CONTROL!$C$22, $C$13, 100%, $E$13)</f>
        <v>20.619599999999998</v>
      </c>
    </row>
    <row r="967" spans="1:11" ht="15">
      <c r="A967" s="13">
        <v>71072</v>
      </c>
      <c r="B967" s="63">
        <f>17.3421 * CHOOSE(CONTROL!$C$22, $C$13, 100%, $E$13)</f>
        <v>17.342099999999999</v>
      </c>
      <c r="C967" s="63">
        <f>17.3421 * CHOOSE(CONTROL!$C$22, $C$13, 100%, $E$13)</f>
        <v>17.342099999999999</v>
      </c>
      <c r="D967" s="63">
        <f>17.3774 * CHOOSE(CONTROL!$C$22, $C$13, 100%, $E$13)</f>
        <v>17.377400000000002</v>
      </c>
      <c r="E967" s="64">
        <f>20.4125 * CHOOSE(CONTROL!$C$22, $C$13, 100%, $E$13)</f>
        <v>20.412500000000001</v>
      </c>
      <c r="F967" s="64">
        <f>20.4125 * CHOOSE(CONTROL!$C$22, $C$13, 100%, $E$13)</f>
        <v>20.412500000000001</v>
      </c>
      <c r="G967" s="64">
        <f>20.4147 * CHOOSE(CONTROL!$C$22, $C$13, 100%, $E$13)</f>
        <v>20.4147</v>
      </c>
      <c r="H967" s="64">
        <f>32.8213* CHOOSE(CONTROL!$C$22, $C$13, 100%, $E$13)</f>
        <v>32.821300000000001</v>
      </c>
      <c r="I967" s="64">
        <f>32.8235 * CHOOSE(CONTROL!$C$22, $C$13, 100%, $E$13)</f>
        <v>32.823500000000003</v>
      </c>
      <c r="J967" s="64">
        <f>20.4125 * CHOOSE(CONTROL!$C$22, $C$13, 100%, $E$13)</f>
        <v>20.412500000000001</v>
      </c>
      <c r="K967" s="64">
        <f>20.4147 * CHOOSE(CONTROL!$C$22, $C$13, 100%, $E$13)</f>
        <v>20.4147</v>
      </c>
    </row>
    <row r="968" spans="1:11" ht="15">
      <c r="A968" s="13">
        <v>71103</v>
      </c>
      <c r="B968" s="63">
        <f>17.339 * CHOOSE(CONTROL!$C$22, $C$13, 100%, $E$13)</f>
        <v>17.338999999999999</v>
      </c>
      <c r="C968" s="63">
        <f>17.339 * CHOOSE(CONTROL!$C$22, $C$13, 100%, $E$13)</f>
        <v>17.338999999999999</v>
      </c>
      <c r="D968" s="63">
        <f>17.3743 * CHOOSE(CONTROL!$C$22, $C$13, 100%, $E$13)</f>
        <v>17.374300000000002</v>
      </c>
      <c r="E968" s="64">
        <f>20.3871 * CHOOSE(CONTROL!$C$22, $C$13, 100%, $E$13)</f>
        <v>20.3871</v>
      </c>
      <c r="F968" s="64">
        <f>20.3871 * CHOOSE(CONTROL!$C$22, $C$13, 100%, $E$13)</f>
        <v>20.3871</v>
      </c>
      <c r="G968" s="64">
        <f>20.3893 * CHOOSE(CONTROL!$C$22, $C$13, 100%, $E$13)</f>
        <v>20.389299999999999</v>
      </c>
      <c r="H968" s="64">
        <f>32.8897* CHOOSE(CONTROL!$C$22, $C$13, 100%, $E$13)</f>
        <v>32.889699999999998</v>
      </c>
      <c r="I968" s="64">
        <f>32.8918 * CHOOSE(CONTROL!$C$22, $C$13, 100%, $E$13)</f>
        <v>32.891800000000003</v>
      </c>
      <c r="J968" s="64">
        <f>20.3871 * CHOOSE(CONTROL!$C$22, $C$13, 100%, $E$13)</f>
        <v>20.3871</v>
      </c>
      <c r="K968" s="64">
        <f>20.3893 * CHOOSE(CONTROL!$C$22, $C$13, 100%, $E$13)</f>
        <v>20.389299999999999</v>
      </c>
    </row>
    <row r="969" spans="1:11" ht="15">
      <c r="A969" s="13">
        <v>71133</v>
      </c>
      <c r="B969" s="63">
        <f>17.3777 * CHOOSE(CONTROL!$C$22, $C$13, 100%, $E$13)</f>
        <v>17.377700000000001</v>
      </c>
      <c r="C969" s="63">
        <f>17.3777 * CHOOSE(CONTROL!$C$22, $C$13, 100%, $E$13)</f>
        <v>17.377700000000001</v>
      </c>
      <c r="D969" s="63">
        <f>17.3954 * CHOOSE(CONTROL!$C$22, $C$13, 100%, $E$13)</f>
        <v>17.395399999999999</v>
      </c>
      <c r="E969" s="64">
        <f>20.4668 * CHOOSE(CONTROL!$C$22, $C$13, 100%, $E$13)</f>
        <v>20.466799999999999</v>
      </c>
      <c r="F969" s="64">
        <f>20.4668 * CHOOSE(CONTROL!$C$22, $C$13, 100%, $E$13)</f>
        <v>20.466799999999999</v>
      </c>
      <c r="G969" s="64">
        <f>20.467 * CHOOSE(CONTROL!$C$22, $C$13, 100%, $E$13)</f>
        <v>20.466999999999999</v>
      </c>
      <c r="H969" s="64">
        <f>32.9582* CHOOSE(CONTROL!$C$22, $C$13, 100%, $E$13)</f>
        <v>32.958199999999998</v>
      </c>
      <c r="I969" s="64">
        <f>32.9584 * CHOOSE(CONTROL!$C$22, $C$13, 100%, $E$13)</f>
        <v>32.958399999999997</v>
      </c>
      <c r="J969" s="64">
        <f>20.4668 * CHOOSE(CONTROL!$C$22, $C$13, 100%, $E$13)</f>
        <v>20.466799999999999</v>
      </c>
      <c r="K969" s="64">
        <f>20.467 * CHOOSE(CONTROL!$C$22, $C$13, 100%, $E$13)</f>
        <v>20.466999999999999</v>
      </c>
    </row>
    <row r="970" spans="1:11" ht="15">
      <c r="A970" s="13">
        <v>71164</v>
      </c>
      <c r="B970" s="63">
        <f>17.3807 * CHOOSE(CONTROL!$C$22, $C$13, 100%, $E$13)</f>
        <v>17.380700000000001</v>
      </c>
      <c r="C970" s="63">
        <f>17.3807 * CHOOSE(CONTROL!$C$22, $C$13, 100%, $E$13)</f>
        <v>17.380700000000001</v>
      </c>
      <c r="D970" s="63">
        <f>17.3984 * CHOOSE(CONTROL!$C$22, $C$13, 100%, $E$13)</f>
        <v>17.398399999999999</v>
      </c>
      <c r="E970" s="64">
        <f>20.5155 * CHOOSE(CONTROL!$C$22, $C$13, 100%, $E$13)</f>
        <v>20.515499999999999</v>
      </c>
      <c r="F970" s="64">
        <f>20.5155 * CHOOSE(CONTROL!$C$22, $C$13, 100%, $E$13)</f>
        <v>20.515499999999999</v>
      </c>
      <c r="G970" s="64">
        <f>20.5157 * CHOOSE(CONTROL!$C$22, $C$13, 100%, $E$13)</f>
        <v>20.515699999999999</v>
      </c>
      <c r="H970" s="64">
        <f>33.0268* CHOOSE(CONTROL!$C$22, $C$13, 100%, $E$13)</f>
        <v>33.026800000000001</v>
      </c>
      <c r="I970" s="64">
        <f>33.027 * CHOOSE(CONTROL!$C$22, $C$13, 100%, $E$13)</f>
        <v>33.027000000000001</v>
      </c>
      <c r="J970" s="64">
        <f>20.5155 * CHOOSE(CONTROL!$C$22, $C$13, 100%, $E$13)</f>
        <v>20.515499999999999</v>
      </c>
      <c r="K970" s="64">
        <f>20.5157 * CHOOSE(CONTROL!$C$22, $C$13, 100%, $E$13)</f>
        <v>20.515699999999999</v>
      </c>
    </row>
    <row r="971" spans="1:11" ht="15">
      <c r="A971" s="13">
        <v>71194</v>
      </c>
      <c r="B971" s="63">
        <f>17.3807 * CHOOSE(CONTROL!$C$22, $C$13, 100%, $E$13)</f>
        <v>17.380700000000001</v>
      </c>
      <c r="C971" s="63">
        <f>17.3807 * CHOOSE(CONTROL!$C$22, $C$13, 100%, $E$13)</f>
        <v>17.380700000000001</v>
      </c>
      <c r="D971" s="63">
        <f>17.3984 * CHOOSE(CONTROL!$C$22, $C$13, 100%, $E$13)</f>
        <v>17.398399999999999</v>
      </c>
      <c r="E971" s="64">
        <f>20.3991 * CHOOSE(CONTROL!$C$22, $C$13, 100%, $E$13)</f>
        <v>20.399100000000001</v>
      </c>
      <c r="F971" s="64">
        <f>20.3991 * CHOOSE(CONTROL!$C$22, $C$13, 100%, $E$13)</f>
        <v>20.399100000000001</v>
      </c>
      <c r="G971" s="64">
        <f>20.3993 * CHOOSE(CONTROL!$C$22, $C$13, 100%, $E$13)</f>
        <v>20.3993</v>
      </c>
      <c r="H971" s="64">
        <f>33.0957* CHOOSE(CONTROL!$C$22, $C$13, 100%, $E$13)</f>
        <v>33.095700000000001</v>
      </c>
      <c r="I971" s="64">
        <f>33.0958 * CHOOSE(CONTROL!$C$22, $C$13, 100%, $E$13)</f>
        <v>33.095799999999997</v>
      </c>
      <c r="J971" s="64">
        <f>20.3991 * CHOOSE(CONTROL!$C$22, $C$13, 100%, $E$13)</f>
        <v>20.399100000000001</v>
      </c>
      <c r="K971" s="64">
        <f>20.3993 * CHOOSE(CONTROL!$C$22, $C$13, 100%, $E$13)</f>
        <v>20.3993</v>
      </c>
    </row>
    <row r="972" spans="1:11" ht="15">
      <c r="A972" s="13">
        <v>71225</v>
      </c>
      <c r="B972" s="63">
        <f>17.306 * CHOOSE(CONTROL!$C$22, $C$13, 100%, $E$13)</f>
        <v>17.306000000000001</v>
      </c>
      <c r="C972" s="63">
        <f>17.306 * CHOOSE(CONTROL!$C$22, $C$13, 100%, $E$13)</f>
        <v>17.306000000000001</v>
      </c>
      <c r="D972" s="63">
        <f>17.3236 * CHOOSE(CONTROL!$C$22, $C$13, 100%, $E$13)</f>
        <v>17.323599999999999</v>
      </c>
      <c r="E972" s="64">
        <f>20.391 * CHOOSE(CONTROL!$C$22, $C$13, 100%, $E$13)</f>
        <v>20.390999999999998</v>
      </c>
      <c r="F972" s="64">
        <f>20.391 * CHOOSE(CONTROL!$C$22, $C$13, 100%, $E$13)</f>
        <v>20.390999999999998</v>
      </c>
      <c r="G972" s="64">
        <f>20.3912 * CHOOSE(CONTROL!$C$22, $C$13, 100%, $E$13)</f>
        <v>20.391200000000001</v>
      </c>
      <c r="H972" s="64">
        <f>32.7925* CHOOSE(CONTROL!$C$22, $C$13, 100%, $E$13)</f>
        <v>32.792499999999997</v>
      </c>
      <c r="I972" s="64">
        <f>32.7927 * CHOOSE(CONTROL!$C$22, $C$13, 100%, $E$13)</f>
        <v>32.792700000000004</v>
      </c>
      <c r="J972" s="64">
        <f>20.391 * CHOOSE(CONTROL!$C$22, $C$13, 100%, $E$13)</f>
        <v>20.390999999999998</v>
      </c>
      <c r="K972" s="64">
        <f>20.3912 * CHOOSE(CONTROL!$C$22, $C$13, 100%, $E$13)</f>
        <v>20.391200000000001</v>
      </c>
    </row>
    <row r="973" spans="1:11" ht="15">
      <c r="A973" s="13">
        <v>71256</v>
      </c>
      <c r="B973" s="63">
        <f>17.3029 * CHOOSE(CONTROL!$C$22, $C$13, 100%, $E$13)</f>
        <v>17.302900000000001</v>
      </c>
      <c r="C973" s="63">
        <f>17.3029 * CHOOSE(CONTROL!$C$22, $C$13, 100%, $E$13)</f>
        <v>17.302900000000001</v>
      </c>
      <c r="D973" s="63">
        <f>17.3206 * CHOOSE(CONTROL!$C$22, $C$13, 100%, $E$13)</f>
        <v>17.320599999999999</v>
      </c>
      <c r="E973" s="64">
        <f>20.1657 * CHOOSE(CONTROL!$C$22, $C$13, 100%, $E$13)</f>
        <v>20.165700000000001</v>
      </c>
      <c r="F973" s="64">
        <f>20.1657 * CHOOSE(CONTROL!$C$22, $C$13, 100%, $E$13)</f>
        <v>20.165700000000001</v>
      </c>
      <c r="G973" s="64">
        <f>20.1658 * CHOOSE(CONTROL!$C$22, $C$13, 100%, $E$13)</f>
        <v>20.165800000000001</v>
      </c>
      <c r="H973" s="64">
        <f>32.8608* CHOOSE(CONTROL!$C$22, $C$13, 100%, $E$13)</f>
        <v>32.860799999999998</v>
      </c>
      <c r="I973" s="64">
        <f>32.861 * CHOOSE(CONTROL!$C$22, $C$13, 100%, $E$13)</f>
        <v>32.860999999999997</v>
      </c>
      <c r="J973" s="64">
        <f>20.1657 * CHOOSE(CONTROL!$C$22, $C$13, 100%, $E$13)</f>
        <v>20.165700000000001</v>
      </c>
      <c r="K973" s="64">
        <f>20.1658 * CHOOSE(CONTROL!$C$22, $C$13, 100%, $E$13)</f>
        <v>20.165800000000001</v>
      </c>
    </row>
    <row r="974" spans="1:11" ht="15">
      <c r="A974" s="13">
        <v>71284</v>
      </c>
      <c r="B974" s="63">
        <f>17.2999 * CHOOSE(CONTROL!$C$22, $C$13, 100%, $E$13)</f>
        <v>17.299900000000001</v>
      </c>
      <c r="C974" s="63">
        <f>17.2999 * CHOOSE(CONTROL!$C$22, $C$13, 100%, $E$13)</f>
        <v>17.299900000000001</v>
      </c>
      <c r="D974" s="63">
        <f>17.3175 * CHOOSE(CONTROL!$C$22, $C$13, 100%, $E$13)</f>
        <v>17.317499999999999</v>
      </c>
      <c r="E974" s="64">
        <f>20.3395 * CHOOSE(CONTROL!$C$22, $C$13, 100%, $E$13)</f>
        <v>20.339500000000001</v>
      </c>
      <c r="F974" s="64">
        <f>20.3395 * CHOOSE(CONTROL!$C$22, $C$13, 100%, $E$13)</f>
        <v>20.339500000000001</v>
      </c>
      <c r="G974" s="64">
        <f>20.3397 * CHOOSE(CONTROL!$C$22, $C$13, 100%, $E$13)</f>
        <v>20.339700000000001</v>
      </c>
      <c r="H974" s="64">
        <f>32.9293* CHOOSE(CONTROL!$C$22, $C$13, 100%, $E$13)</f>
        <v>32.929299999999998</v>
      </c>
      <c r="I974" s="64">
        <f>32.9295 * CHOOSE(CONTROL!$C$22, $C$13, 100%, $E$13)</f>
        <v>32.929499999999997</v>
      </c>
      <c r="J974" s="64">
        <f>20.3395 * CHOOSE(CONTROL!$C$22, $C$13, 100%, $E$13)</f>
        <v>20.339500000000001</v>
      </c>
      <c r="K974" s="64">
        <f>20.3397 * CHOOSE(CONTROL!$C$22, $C$13, 100%, $E$13)</f>
        <v>20.339700000000001</v>
      </c>
    </row>
    <row r="975" spans="1:11" ht="15">
      <c r="A975" s="13">
        <v>71315</v>
      </c>
      <c r="B975" s="63">
        <f>17.3088 * CHOOSE(CONTROL!$C$22, $C$13, 100%, $E$13)</f>
        <v>17.308800000000002</v>
      </c>
      <c r="C975" s="63">
        <f>17.3088 * CHOOSE(CONTROL!$C$22, $C$13, 100%, $E$13)</f>
        <v>17.308800000000002</v>
      </c>
      <c r="D975" s="63">
        <f>17.3265 * CHOOSE(CONTROL!$C$22, $C$13, 100%, $E$13)</f>
        <v>17.326499999999999</v>
      </c>
      <c r="E975" s="64">
        <f>20.5243 * CHOOSE(CONTROL!$C$22, $C$13, 100%, $E$13)</f>
        <v>20.5243</v>
      </c>
      <c r="F975" s="64">
        <f>20.5243 * CHOOSE(CONTROL!$C$22, $C$13, 100%, $E$13)</f>
        <v>20.5243</v>
      </c>
      <c r="G975" s="64">
        <f>20.5244 * CHOOSE(CONTROL!$C$22, $C$13, 100%, $E$13)</f>
        <v>20.5244</v>
      </c>
      <c r="H975" s="64">
        <f>32.9979* CHOOSE(CONTROL!$C$22, $C$13, 100%, $E$13)</f>
        <v>32.997900000000001</v>
      </c>
      <c r="I975" s="64">
        <f>32.9981 * CHOOSE(CONTROL!$C$22, $C$13, 100%, $E$13)</f>
        <v>32.998100000000001</v>
      </c>
      <c r="J975" s="64">
        <f>20.5243 * CHOOSE(CONTROL!$C$22, $C$13, 100%, $E$13)</f>
        <v>20.5243</v>
      </c>
      <c r="K975" s="64">
        <f>20.5244 * CHOOSE(CONTROL!$C$22, $C$13, 100%, $E$13)</f>
        <v>20.5244</v>
      </c>
    </row>
    <row r="976" spans="1:11" ht="15">
      <c r="A976" s="13">
        <v>71345</v>
      </c>
      <c r="B976" s="63">
        <f>17.3088 * CHOOSE(CONTROL!$C$22, $C$13, 100%, $E$13)</f>
        <v>17.308800000000002</v>
      </c>
      <c r="C976" s="63">
        <f>17.3088 * CHOOSE(CONTROL!$C$22, $C$13, 100%, $E$13)</f>
        <v>17.308800000000002</v>
      </c>
      <c r="D976" s="63">
        <f>17.3442 * CHOOSE(CONTROL!$C$22, $C$13, 100%, $E$13)</f>
        <v>17.344200000000001</v>
      </c>
      <c r="E976" s="64">
        <f>20.5951 * CHOOSE(CONTROL!$C$22, $C$13, 100%, $E$13)</f>
        <v>20.595099999999999</v>
      </c>
      <c r="F976" s="64">
        <f>20.5951 * CHOOSE(CONTROL!$C$22, $C$13, 100%, $E$13)</f>
        <v>20.595099999999999</v>
      </c>
      <c r="G976" s="64">
        <f>20.5973 * CHOOSE(CONTROL!$C$22, $C$13, 100%, $E$13)</f>
        <v>20.597300000000001</v>
      </c>
      <c r="H976" s="64">
        <f>33.0666* CHOOSE(CONTROL!$C$22, $C$13, 100%, $E$13)</f>
        <v>33.066600000000001</v>
      </c>
      <c r="I976" s="64">
        <f>33.0688 * CHOOSE(CONTROL!$C$22, $C$13, 100%, $E$13)</f>
        <v>33.068800000000003</v>
      </c>
      <c r="J976" s="64">
        <f>20.5951 * CHOOSE(CONTROL!$C$22, $C$13, 100%, $E$13)</f>
        <v>20.595099999999999</v>
      </c>
      <c r="K976" s="64">
        <f>20.5973 * CHOOSE(CONTROL!$C$22, $C$13, 100%, $E$13)</f>
        <v>20.597300000000001</v>
      </c>
    </row>
    <row r="977" spans="1:11" ht="15">
      <c r="A977" s="13">
        <v>71376</v>
      </c>
      <c r="B977" s="63">
        <f>17.3149 * CHOOSE(CONTROL!$C$22, $C$13, 100%, $E$13)</f>
        <v>17.314900000000002</v>
      </c>
      <c r="C977" s="63">
        <f>17.3149 * CHOOSE(CONTROL!$C$22, $C$13, 100%, $E$13)</f>
        <v>17.314900000000002</v>
      </c>
      <c r="D977" s="63">
        <f>17.3502 * CHOOSE(CONTROL!$C$22, $C$13, 100%, $E$13)</f>
        <v>17.350200000000001</v>
      </c>
      <c r="E977" s="64">
        <f>20.5285 * CHOOSE(CONTROL!$C$22, $C$13, 100%, $E$13)</f>
        <v>20.528500000000001</v>
      </c>
      <c r="F977" s="64">
        <f>20.5285 * CHOOSE(CONTROL!$C$22, $C$13, 100%, $E$13)</f>
        <v>20.528500000000001</v>
      </c>
      <c r="G977" s="64">
        <f>20.5307 * CHOOSE(CONTROL!$C$22, $C$13, 100%, $E$13)</f>
        <v>20.5307</v>
      </c>
      <c r="H977" s="64">
        <f>33.1355* CHOOSE(CONTROL!$C$22, $C$13, 100%, $E$13)</f>
        <v>33.1355</v>
      </c>
      <c r="I977" s="64">
        <f>33.1377 * CHOOSE(CONTROL!$C$22, $C$13, 100%, $E$13)</f>
        <v>33.137700000000002</v>
      </c>
      <c r="J977" s="64">
        <f>20.5285 * CHOOSE(CONTROL!$C$22, $C$13, 100%, $E$13)</f>
        <v>20.528500000000001</v>
      </c>
      <c r="K977" s="64">
        <f>20.5307 * CHOOSE(CONTROL!$C$22, $C$13, 100%, $E$13)</f>
        <v>20.5307</v>
      </c>
    </row>
    <row r="978" spans="1:11" ht="15">
      <c r="A978" s="13">
        <v>71406</v>
      </c>
      <c r="B978" s="63">
        <f>17.5846 * CHOOSE(CONTROL!$C$22, $C$13, 100%, $E$13)</f>
        <v>17.584599999999998</v>
      </c>
      <c r="C978" s="63">
        <f>17.5846 * CHOOSE(CONTROL!$C$22, $C$13, 100%, $E$13)</f>
        <v>17.584599999999998</v>
      </c>
      <c r="D978" s="63">
        <f>17.6199 * CHOOSE(CONTROL!$C$22, $C$13, 100%, $E$13)</f>
        <v>17.619900000000001</v>
      </c>
      <c r="E978" s="64">
        <f>20.9173 * CHOOSE(CONTROL!$C$22, $C$13, 100%, $E$13)</f>
        <v>20.917300000000001</v>
      </c>
      <c r="F978" s="64">
        <f>20.9173 * CHOOSE(CONTROL!$C$22, $C$13, 100%, $E$13)</f>
        <v>20.917300000000001</v>
      </c>
      <c r="G978" s="64">
        <f>20.9195 * CHOOSE(CONTROL!$C$22, $C$13, 100%, $E$13)</f>
        <v>20.919499999999999</v>
      </c>
      <c r="H978" s="64">
        <f>33.2045* CHOOSE(CONTROL!$C$22, $C$13, 100%, $E$13)</f>
        <v>33.204500000000003</v>
      </c>
      <c r="I978" s="64">
        <f>33.2067 * CHOOSE(CONTROL!$C$22, $C$13, 100%, $E$13)</f>
        <v>33.206699999999998</v>
      </c>
      <c r="J978" s="64">
        <f>20.9173 * CHOOSE(CONTROL!$C$22, $C$13, 100%, $E$13)</f>
        <v>20.917300000000001</v>
      </c>
      <c r="K978" s="64">
        <f>20.9195 * CHOOSE(CONTROL!$C$22, $C$13, 100%, $E$13)</f>
        <v>20.919499999999999</v>
      </c>
    </row>
    <row r="979" spans="1:11" ht="15">
      <c r="A979" s="13">
        <v>71437</v>
      </c>
      <c r="B979" s="63">
        <f>17.5913 * CHOOSE(CONTROL!$C$22, $C$13, 100%, $E$13)</f>
        <v>17.5913</v>
      </c>
      <c r="C979" s="63">
        <f>17.5913 * CHOOSE(CONTROL!$C$22, $C$13, 100%, $E$13)</f>
        <v>17.5913</v>
      </c>
      <c r="D979" s="63">
        <f>17.6266 * CHOOSE(CONTROL!$C$22, $C$13, 100%, $E$13)</f>
        <v>17.6266</v>
      </c>
      <c r="E979" s="64">
        <f>20.7093 * CHOOSE(CONTROL!$C$22, $C$13, 100%, $E$13)</f>
        <v>20.709299999999999</v>
      </c>
      <c r="F979" s="64">
        <f>20.7093 * CHOOSE(CONTROL!$C$22, $C$13, 100%, $E$13)</f>
        <v>20.709299999999999</v>
      </c>
      <c r="G979" s="64">
        <f>20.7115 * CHOOSE(CONTROL!$C$22, $C$13, 100%, $E$13)</f>
        <v>20.711500000000001</v>
      </c>
      <c r="H979" s="64">
        <f>33.2737* CHOOSE(CONTROL!$C$22, $C$13, 100%, $E$13)</f>
        <v>33.273699999999998</v>
      </c>
      <c r="I979" s="64">
        <f>33.2759 * CHOOSE(CONTROL!$C$22, $C$13, 100%, $E$13)</f>
        <v>33.2759</v>
      </c>
      <c r="J979" s="64">
        <f>20.7093 * CHOOSE(CONTROL!$C$22, $C$13, 100%, $E$13)</f>
        <v>20.709299999999999</v>
      </c>
      <c r="K979" s="64">
        <f>20.7115 * CHOOSE(CONTROL!$C$22, $C$13, 100%, $E$13)</f>
        <v>20.711500000000001</v>
      </c>
    </row>
    <row r="980" spans="1:11" ht="15">
      <c r="A980" s="13">
        <v>71468</v>
      </c>
      <c r="B980" s="63">
        <f>17.5882 * CHOOSE(CONTROL!$C$22, $C$13, 100%, $E$13)</f>
        <v>17.588200000000001</v>
      </c>
      <c r="C980" s="63">
        <f>17.5882 * CHOOSE(CONTROL!$C$22, $C$13, 100%, $E$13)</f>
        <v>17.588200000000001</v>
      </c>
      <c r="D980" s="63">
        <f>17.6236 * CHOOSE(CONTROL!$C$22, $C$13, 100%, $E$13)</f>
        <v>17.6236</v>
      </c>
      <c r="E980" s="64">
        <f>20.6836 * CHOOSE(CONTROL!$C$22, $C$13, 100%, $E$13)</f>
        <v>20.683599999999998</v>
      </c>
      <c r="F980" s="64">
        <f>20.6836 * CHOOSE(CONTROL!$C$22, $C$13, 100%, $E$13)</f>
        <v>20.683599999999998</v>
      </c>
      <c r="G980" s="64">
        <f>20.6858 * CHOOSE(CONTROL!$C$22, $C$13, 100%, $E$13)</f>
        <v>20.6858</v>
      </c>
      <c r="H980" s="64">
        <f>33.343* CHOOSE(CONTROL!$C$22, $C$13, 100%, $E$13)</f>
        <v>33.343000000000004</v>
      </c>
      <c r="I980" s="64">
        <f>33.3452 * CHOOSE(CONTROL!$C$22, $C$13, 100%, $E$13)</f>
        <v>33.345199999999998</v>
      </c>
      <c r="J980" s="64">
        <f>20.6836 * CHOOSE(CONTROL!$C$22, $C$13, 100%, $E$13)</f>
        <v>20.683599999999998</v>
      </c>
      <c r="K980" s="64">
        <f>20.6858 * CHOOSE(CONTROL!$C$22, $C$13, 100%, $E$13)</f>
        <v>20.6858</v>
      </c>
    </row>
    <row r="981" spans="1:11" ht="15">
      <c r="A981" s="13">
        <v>71498</v>
      </c>
      <c r="B981" s="63">
        <f>17.6277 * CHOOSE(CONTROL!$C$22, $C$13, 100%, $E$13)</f>
        <v>17.627700000000001</v>
      </c>
      <c r="C981" s="63">
        <f>17.6277 * CHOOSE(CONTROL!$C$22, $C$13, 100%, $E$13)</f>
        <v>17.627700000000001</v>
      </c>
      <c r="D981" s="63">
        <f>17.6454 * CHOOSE(CONTROL!$C$22, $C$13, 100%, $E$13)</f>
        <v>17.645399999999999</v>
      </c>
      <c r="E981" s="64">
        <f>20.7647 * CHOOSE(CONTROL!$C$22, $C$13, 100%, $E$13)</f>
        <v>20.764700000000001</v>
      </c>
      <c r="F981" s="64">
        <f>20.7647 * CHOOSE(CONTROL!$C$22, $C$13, 100%, $E$13)</f>
        <v>20.764700000000001</v>
      </c>
      <c r="G981" s="64">
        <f>20.7649 * CHOOSE(CONTROL!$C$22, $C$13, 100%, $E$13)</f>
        <v>20.764900000000001</v>
      </c>
      <c r="H981" s="64">
        <f>33.4125* CHOOSE(CONTROL!$C$22, $C$13, 100%, $E$13)</f>
        <v>33.412500000000001</v>
      </c>
      <c r="I981" s="64">
        <f>33.4127 * CHOOSE(CONTROL!$C$22, $C$13, 100%, $E$13)</f>
        <v>33.412700000000001</v>
      </c>
      <c r="J981" s="64">
        <f>20.7647 * CHOOSE(CONTROL!$C$22, $C$13, 100%, $E$13)</f>
        <v>20.764700000000001</v>
      </c>
      <c r="K981" s="64">
        <f>20.7649 * CHOOSE(CONTROL!$C$22, $C$13, 100%, $E$13)</f>
        <v>20.764900000000001</v>
      </c>
    </row>
    <row r="982" spans="1:11" ht="15">
      <c r="A982" s="13">
        <v>71529</v>
      </c>
      <c r="B982" s="63">
        <f>17.6307 * CHOOSE(CONTROL!$C$22, $C$13, 100%, $E$13)</f>
        <v>17.630700000000001</v>
      </c>
      <c r="C982" s="63">
        <f>17.6307 * CHOOSE(CONTROL!$C$22, $C$13, 100%, $E$13)</f>
        <v>17.630700000000001</v>
      </c>
      <c r="D982" s="63">
        <f>17.6484 * CHOOSE(CONTROL!$C$22, $C$13, 100%, $E$13)</f>
        <v>17.648399999999999</v>
      </c>
      <c r="E982" s="64">
        <f>20.8141 * CHOOSE(CONTROL!$C$22, $C$13, 100%, $E$13)</f>
        <v>20.8141</v>
      </c>
      <c r="F982" s="64">
        <f>20.8141 * CHOOSE(CONTROL!$C$22, $C$13, 100%, $E$13)</f>
        <v>20.8141</v>
      </c>
      <c r="G982" s="64">
        <f>20.8142 * CHOOSE(CONTROL!$C$22, $C$13, 100%, $E$13)</f>
        <v>20.8142</v>
      </c>
      <c r="H982" s="64">
        <f>33.4821* CHOOSE(CONTROL!$C$22, $C$13, 100%, $E$13)</f>
        <v>33.482100000000003</v>
      </c>
      <c r="I982" s="64">
        <f>33.4823 * CHOOSE(CONTROL!$C$22, $C$13, 100%, $E$13)</f>
        <v>33.482300000000002</v>
      </c>
      <c r="J982" s="64">
        <f>20.8141 * CHOOSE(CONTROL!$C$22, $C$13, 100%, $E$13)</f>
        <v>20.8141</v>
      </c>
      <c r="K982" s="64">
        <f>20.8142 * CHOOSE(CONTROL!$C$22, $C$13, 100%, $E$13)</f>
        <v>20.8142</v>
      </c>
    </row>
    <row r="983" spans="1:11" ht="15">
      <c r="A983" s="13">
        <v>71559</v>
      </c>
      <c r="B983" s="63">
        <f>17.6307 * CHOOSE(CONTROL!$C$22, $C$13, 100%, $E$13)</f>
        <v>17.630700000000001</v>
      </c>
      <c r="C983" s="63">
        <f>17.6307 * CHOOSE(CONTROL!$C$22, $C$13, 100%, $E$13)</f>
        <v>17.630700000000001</v>
      </c>
      <c r="D983" s="63">
        <f>17.6484 * CHOOSE(CONTROL!$C$22, $C$13, 100%, $E$13)</f>
        <v>17.648399999999999</v>
      </c>
      <c r="E983" s="64">
        <f>20.6959 * CHOOSE(CONTROL!$C$22, $C$13, 100%, $E$13)</f>
        <v>20.695900000000002</v>
      </c>
      <c r="F983" s="64">
        <f>20.6959 * CHOOSE(CONTROL!$C$22, $C$13, 100%, $E$13)</f>
        <v>20.695900000000002</v>
      </c>
      <c r="G983" s="64">
        <f>20.6961 * CHOOSE(CONTROL!$C$22, $C$13, 100%, $E$13)</f>
        <v>20.696100000000001</v>
      </c>
      <c r="H983" s="64">
        <f>33.5519* CHOOSE(CONTROL!$C$22, $C$13, 100%, $E$13)</f>
        <v>33.551900000000003</v>
      </c>
      <c r="I983" s="64">
        <f>33.552 * CHOOSE(CONTROL!$C$22, $C$13, 100%, $E$13)</f>
        <v>33.552</v>
      </c>
      <c r="J983" s="64">
        <f>20.6959 * CHOOSE(CONTROL!$C$22, $C$13, 100%, $E$13)</f>
        <v>20.695900000000002</v>
      </c>
      <c r="K983" s="64">
        <f>20.6961 * CHOOSE(CONTROL!$C$22, $C$13, 100%, $E$13)</f>
        <v>20.696100000000001</v>
      </c>
    </row>
    <row r="984" spans="1:11" ht="15">
      <c r="A984" s="13">
        <v>71590</v>
      </c>
      <c r="B984" s="63">
        <f>17.5513 * CHOOSE(CONTROL!$C$22, $C$13, 100%, $E$13)</f>
        <v>17.551300000000001</v>
      </c>
      <c r="C984" s="63">
        <f>17.5513 * CHOOSE(CONTROL!$C$22, $C$13, 100%, $E$13)</f>
        <v>17.551300000000001</v>
      </c>
      <c r="D984" s="63">
        <f>17.5689 * CHOOSE(CONTROL!$C$22, $C$13, 100%, $E$13)</f>
        <v>17.568899999999999</v>
      </c>
      <c r="E984" s="64">
        <f>20.6834 * CHOOSE(CONTROL!$C$22, $C$13, 100%, $E$13)</f>
        <v>20.683399999999999</v>
      </c>
      <c r="F984" s="64">
        <f>20.6834 * CHOOSE(CONTROL!$C$22, $C$13, 100%, $E$13)</f>
        <v>20.683399999999999</v>
      </c>
      <c r="G984" s="64">
        <f>20.6836 * CHOOSE(CONTROL!$C$22, $C$13, 100%, $E$13)</f>
        <v>20.683599999999998</v>
      </c>
      <c r="H984" s="64">
        <f>33.2384* CHOOSE(CONTROL!$C$22, $C$13, 100%, $E$13)</f>
        <v>33.238399999999999</v>
      </c>
      <c r="I984" s="64">
        <f>33.2386 * CHOOSE(CONTROL!$C$22, $C$13, 100%, $E$13)</f>
        <v>33.238599999999998</v>
      </c>
      <c r="J984" s="64">
        <f>20.6834 * CHOOSE(CONTROL!$C$22, $C$13, 100%, $E$13)</f>
        <v>20.683399999999999</v>
      </c>
      <c r="K984" s="64">
        <f>20.6836 * CHOOSE(CONTROL!$C$22, $C$13, 100%, $E$13)</f>
        <v>20.683599999999998</v>
      </c>
    </row>
    <row r="985" spans="1:11" ht="15">
      <c r="A985" s="13">
        <v>71621</v>
      </c>
      <c r="B985" s="63">
        <f>17.5482 * CHOOSE(CONTROL!$C$22, $C$13, 100%, $E$13)</f>
        <v>17.548200000000001</v>
      </c>
      <c r="C985" s="63">
        <f>17.5482 * CHOOSE(CONTROL!$C$22, $C$13, 100%, $E$13)</f>
        <v>17.548200000000001</v>
      </c>
      <c r="D985" s="63">
        <f>17.5659 * CHOOSE(CONTROL!$C$22, $C$13, 100%, $E$13)</f>
        <v>17.565899999999999</v>
      </c>
      <c r="E985" s="64">
        <f>20.4549 * CHOOSE(CONTROL!$C$22, $C$13, 100%, $E$13)</f>
        <v>20.454899999999999</v>
      </c>
      <c r="F985" s="64">
        <f>20.4549 * CHOOSE(CONTROL!$C$22, $C$13, 100%, $E$13)</f>
        <v>20.454899999999999</v>
      </c>
      <c r="G985" s="64">
        <f>20.455 * CHOOSE(CONTROL!$C$22, $C$13, 100%, $E$13)</f>
        <v>20.454999999999998</v>
      </c>
      <c r="H985" s="64">
        <f>33.3076* CHOOSE(CONTROL!$C$22, $C$13, 100%, $E$13)</f>
        <v>33.307600000000001</v>
      </c>
      <c r="I985" s="64">
        <f>33.3078 * CHOOSE(CONTROL!$C$22, $C$13, 100%, $E$13)</f>
        <v>33.3078</v>
      </c>
      <c r="J985" s="64">
        <f>20.4549 * CHOOSE(CONTROL!$C$22, $C$13, 100%, $E$13)</f>
        <v>20.454899999999999</v>
      </c>
      <c r="K985" s="64">
        <f>20.455 * CHOOSE(CONTROL!$C$22, $C$13, 100%, $E$13)</f>
        <v>20.454999999999998</v>
      </c>
    </row>
    <row r="986" spans="1:11" ht="15">
      <c r="A986" s="13">
        <v>71650</v>
      </c>
      <c r="B986" s="63">
        <f>17.5452 * CHOOSE(CONTROL!$C$22, $C$13, 100%, $E$13)</f>
        <v>17.545200000000001</v>
      </c>
      <c r="C986" s="63">
        <f>17.5452 * CHOOSE(CONTROL!$C$22, $C$13, 100%, $E$13)</f>
        <v>17.545200000000001</v>
      </c>
      <c r="D986" s="63">
        <f>17.5629 * CHOOSE(CONTROL!$C$22, $C$13, 100%, $E$13)</f>
        <v>17.562899999999999</v>
      </c>
      <c r="E986" s="64">
        <f>20.6312 * CHOOSE(CONTROL!$C$22, $C$13, 100%, $E$13)</f>
        <v>20.6312</v>
      </c>
      <c r="F986" s="64">
        <f>20.6312 * CHOOSE(CONTROL!$C$22, $C$13, 100%, $E$13)</f>
        <v>20.6312</v>
      </c>
      <c r="G986" s="64">
        <f>20.6314 * CHOOSE(CONTROL!$C$22, $C$13, 100%, $E$13)</f>
        <v>20.631399999999999</v>
      </c>
      <c r="H986" s="64">
        <f>33.377* CHOOSE(CONTROL!$C$22, $C$13, 100%, $E$13)</f>
        <v>33.377000000000002</v>
      </c>
      <c r="I986" s="64">
        <f>33.3772 * CHOOSE(CONTROL!$C$22, $C$13, 100%, $E$13)</f>
        <v>33.377200000000002</v>
      </c>
      <c r="J986" s="64">
        <f>20.6312 * CHOOSE(CONTROL!$C$22, $C$13, 100%, $E$13)</f>
        <v>20.6312</v>
      </c>
      <c r="K986" s="64">
        <f>20.6314 * CHOOSE(CONTROL!$C$22, $C$13, 100%, $E$13)</f>
        <v>20.631399999999999</v>
      </c>
    </row>
    <row r="987" spans="1:11" ht="15">
      <c r="A987" s="13">
        <v>71681</v>
      </c>
      <c r="B987" s="63">
        <f>17.5544 * CHOOSE(CONTROL!$C$22, $C$13, 100%, $E$13)</f>
        <v>17.554400000000001</v>
      </c>
      <c r="C987" s="63">
        <f>17.5544 * CHOOSE(CONTROL!$C$22, $C$13, 100%, $E$13)</f>
        <v>17.554400000000001</v>
      </c>
      <c r="D987" s="63">
        <f>17.572 * CHOOSE(CONTROL!$C$22, $C$13, 100%, $E$13)</f>
        <v>17.571999999999999</v>
      </c>
      <c r="E987" s="64">
        <f>20.8187 * CHOOSE(CONTROL!$C$22, $C$13, 100%, $E$13)</f>
        <v>20.8187</v>
      </c>
      <c r="F987" s="64">
        <f>20.8187 * CHOOSE(CONTROL!$C$22, $C$13, 100%, $E$13)</f>
        <v>20.8187</v>
      </c>
      <c r="G987" s="64">
        <f>20.8189 * CHOOSE(CONTROL!$C$22, $C$13, 100%, $E$13)</f>
        <v>20.818899999999999</v>
      </c>
      <c r="H987" s="64">
        <f>33.4466* CHOOSE(CONTROL!$C$22, $C$13, 100%, $E$13)</f>
        <v>33.446599999999997</v>
      </c>
      <c r="I987" s="64">
        <f>33.4467 * CHOOSE(CONTROL!$C$22, $C$13, 100%, $E$13)</f>
        <v>33.4467</v>
      </c>
      <c r="J987" s="64">
        <f>20.8187 * CHOOSE(CONTROL!$C$22, $C$13, 100%, $E$13)</f>
        <v>20.8187</v>
      </c>
      <c r="K987" s="64">
        <f>20.8189 * CHOOSE(CONTROL!$C$22, $C$13, 100%, $E$13)</f>
        <v>20.818899999999999</v>
      </c>
    </row>
    <row r="988" spans="1:11" ht="15">
      <c r="A988" s="13">
        <v>71711</v>
      </c>
      <c r="B988" s="63">
        <f>17.5544 * CHOOSE(CONTROL!$C$22, $C$13, 100%, $E$13)</f>
        <v>17.554400000000001</v>
      </c>
      <c r="C988" s="63">
        <f>17.5544 * CHOOSE(CONTROL!$C$22, $C$13, 100%, $E$13)</f>
        <v>17.554400000000001</v>
      </c>
      <c r="D988" s="63">
        <f>17.5897 * CHOOSE(CONTROL!$C$22, $C$13, 100%, $E$13)</f>
        <v>17.589700000000001</v>
      </c>
      <c r="E988" s="64">
        <f>20.8906 * CHOOSE(CONTROL!$C$22, $C$13, 100%, $E$13)</f>
        <v>20.890599999999999</v>
      </c>
      <c r="F988" s="64">
        <f>20.8906 * CHOOSE(CONTROL!$C$22, $C$13, 100%, $E$13)</f>
        <v>20.890599999999999</v>
      </c>
      <c r="G988" s="64">
        <f>20.8928 * CHOOSE(CONTROL!$C$22, $C$13, 100%, $E$13)</f>
        <v>20.892800000000001</v>
      </c>
      <c r="H988" s="64">
        <f>33.5162* CHOOSE(CONTROL!$C$22, $C$13, 100%, $E$13)</f>
        <v>33.516199999999998</v>
      </c>
      <c r="I988" s="64">
        <f>33.5184 * CHOOSE(CONTROL!$C$22, $C$13, 100%, $E$13)</f>
        <v>33.5184</v>
      </c>
      <c r="J988" s="64">
        <f>20.8906 * CHOOSE(CONTROL!$C$22, $C$13, 100%, $E$13)</f>
        <v>20.890599999999999</v>
      </c>
      <c r="K988" s="64">
        <f>20.8928 * CHOOSE(CONTROL!$C$22, $C$13, 100%, $E$13)</f>
        <v>20.892800000000001</v>
      </c>
    </row>
    <row r="989" spans="1:11" ht="15">
      <c r="A989" s="13">
        <v>71742</v>
      </c>
      <c r="B989" s="63">
        <f>17.5604 * CHOOSE(CONTROL!$C$22, $C$13, 100%, $E$13)</f>
        <v>17.560400000000001</v>
      </c>
      <c r="C989" s="63">
        <f>17.5604 * CHOOSE(CONTROL!$C$22, $C$13, 100%, $E$13)</f>
        <v>17.560400000000001</v>
      </c>
      <c r="D989" s="63">
        <f>17.5958 * CHOOSE(CONTROL!$C$22, $C$13, 100%, $E$13)</f>
        <v>17.595800000000001</v>
      </c>
      <c r="E989" s="64">
        <f>20.823 * CHOOSE(CONTROL!$C$22, $C$13, 100%, $E$13)</f>
        <v>20.823</v>
      </c>
      <c r="F989" s="64">
        <f>20.823 * CHOOSE(CONTROL!$C$22, $C$13, 100%, $E$13)</f>
        <v>20.823</v>
      </c>
      <c r="G989" s="64">
        <f>20.8251 * CHOOSE(CONTROL!$C$22, $C$13, 100%, $E$13)</f>
        <v>20.825099999999999</v>
      </c>
      <c r="H989" s="64">
        <f>33.5861* CHOOSE(CONTROL!$C$22, $C$13, 100%, $E$13)</f>
        <v>33.586100000000002</v>
      </c>
      <c r="I989" s="64">
        <f>33.5883 * CHOOSE(CONTROL!$C$22, $C$13, 100%, $E$13)</f>
        <v>33.588299999999997</v>
      </c>
      <c r="J989" s="64">
        <f>20.823 * CHOOSE(CONTROL!$C$22, $C$13, 100%, $E$13)</f>
        <v>20.823</v>
      </c>
      <c r="K989" s="64">
        <f>20.8251 * CHOOSE(CONTROL!$C$22, $C$13, 100%, $E$13)</f>
        <v>20.825099999999999</v>
      </c>
    </row>
    <row r="990" spans="1:11" ht="15">
      <c r="A990" s="13">
        <v>71772</v>
      </c>
      <c r="B990" s="63">
        <f>17.8338 * CHOOSE(CONTROL!$C$22, $C$13, 100%, $E$13)</f>
        <v>17.8338</v>
      </c>
      <c r="C990" s="63">
        <f>17.8338 * CHOOSE(CONTROL!$C$22, $C$13, 100%, $E$13)</f>
        <v>17.8338</v>
      </c>
      <c r="D990" s="63">
        <f>17.8691 * CHOOSE(CONTROL!$C$22, $C$13, 100%, $E$13)</f>
        <v>17.8691</v>
      </c>
      <c r="E990" s="64">
        <f>21.2172 * CHOOSE(CONTROL!$C$22, $C$13, 100%, $E$13)</f>
        <v>21.217199999999998</v>
      </c>
      <c r="F990" s="64">
        <f>21.2172 * CHOOSE(CONTROL!$C$22, $C$13, 100%, $E$13)</f>
        <v>21.217199999999998</v>
      </c>
      <c r="G990" s="64">
        <f>21.2194 * CHOOSE(CONTROL!$C$22, $C$13, 100%, $E$13)</f>
        <v>21.2194</v>
      </c>
      <c r="H990" s="64">
        <f>33.656* CHOOSE(CONTROL!$C$22, $C$13, 100%, $E$13)</f>
        <v>33.655999999999999</v>
      </c>
      <c r="I990" s="64">
        <f>33.6582 * CHOOSE(CONTROL!$C$22, $C$13, 100%, $E$13)</f>
        <v>33.658200000000001</v>
      </c>
      <c r="J990" s="64">
        <f>21.2172 * CHOOSE(CONTROL!$C$22, $C$13, 100%, $E$13)</f>
        <v>21.217199999999998</v>
      </c>
      <c r="K990" s="64">
        <f>21.2194 * CHOOSE(CONTROL!$C$22, $C$13, 100%, $E$13)</f>
        <v>21.2194</v>
      </c>
    </row>
    <row r="991" spans="1:11" ht="15">
      <c r="A991" s="13">
        <v>71803</v>
      </c>
      <c r="B991" s="63">
        <f>17.8405 * CHOOSE(CONTROL!$C$22, $C$13, 100%, $E$13)</f>
        <v>17.840499999999999</v>
      </c>
      <c r="C991" s="63">
        <f>17.8405 * CHOOSE(CONTROL!$C$22, $C$13, 100%, $E$13)</f>
        <v>17.840499999999999</v>
      </c>
      <c r="D991" s="63">
        <f>17.8758 * CHOOSE(CONTROL!$C$22, $C$13, 100%, $E$13)</f>
        <v>17.875800000000002</v>
      </c>
      <c r="E991" s="64">
        <f>21.0062 * CHOOSE(CONTROL!$C$22, $C$13, 100%, $E$13)</f>
        <v>21.0062</v>
      </c>
      <c r="F991" s="64">
        <f>21.0062 * CHOOSE(CONTROL!$C$22, $C$13, 100%, $E$13)</f>
        <v>21.0062</v>
      </c>
      <c r="G991" s="64">
        <f>21.0084 * CHOOSE(CONTROL!$C$22, $C$13, 100%, $E$13)</f>
        <v>21.008400000000002</v>
      </c>
      <c r="H991" s="64">
        <f>33.7262* CHOOSE(CONTROL!$C$22, $C$13, 100%, $E$13)</f>
        <v>33.726199999999999</v>
      </c>
      <c r="I991" s="64">
        <f>33.7283 * CHOOSE(CONTROL!$C$22, $C$13, 100%, $E$13)</f>
        <v>33.728299999999997</v>
      </c>
      <c r="J991" s="64">
        <f>21.0062 * CHOOSE(CONTROL!$C$22, $C$13, 100%, $E$13)</f>
        <v>21.0062</v>
      </c>
      <c r="K991" s="64">
        <f>21.0084 * CHOOSE(CONTROL!$C$22, $C$13, 100%, $E$13)</f>
        <v>21.008400000000002</v>
      </c>
    </row>
    <row r="992" spans="1:11" ht="15">
      <c r="A992" s="13">
        <v>71834</v>
      </c>
      <c r="B992" s="63">
        <f>17.8375 * CHOOSE(CONTROL!$C$22, $C$13, 100%, $E$13)</f>
        <v>17.837499999999999</v>
      </c>
      <c r="C992" s="63">
        <f>17.8375 * CHOOSE(CONTROL!$C$22, $C$13, 100%, $E$13)</f>
        <v>17.837499999999999</v>
      </c>
      <c r="D992" s="63">
        <f>17.8728 * CHOOSE(CONTROL!$C$22, $C$13, 100%, $E$13)</f>
        <v>17.872800000000002</v>
      </c>
      <c r="E992" s="64">
        <f>20.9801 * CHOOSE(CONTROL!$C$22, $C$13, 100%, $E$13)</f>
        <v>20.9801</v>
      </c>
      <c r="F992" s="64">
        <f>20.9801 * CHOOSE(CONTROL!$C$22, $C$13, 100%, $E$13)</f>
        <v>20.9801</v>
      </c>
      <c r="G992" s="64">
        <f>20.9823 * CHOOSE(CONTROL!$C$22, $C$13, 100%, $E$13)</f>
        <v>20.982299999999999</v>
      </c>
      <c r="H992" s="64">
        <f>33.7964* CHOOSE(CONTROL!$C$22, $C$13, 100%, $E$13)</f>
        <v>33.796399999999998</v>
      </c>
      <c r="I992" s="64">
        <f>33.7986 * CHOOSE(CONTROL!$C$22, $C$13, 100%, $E$13)</f>
        <v>33.7986</v>
      </c>
      <c r="J992" s="64">
        <f>20.9801 * CHOOSE(CONTROL!$C$22, $C$13, 100%, $E$13)</f>
        <v>20.9801</v>
      </c>
      <c r="K992" s="64">
        <f>20.9823 * CHOOSE(CONTROL!$C$22, $C$13, 100%, $E$13)</f>
        <v>20.982299999999999</v>
      </c>
    </row>
    <row r="993" spans="1:11" ht="15">
      <c r="A993" s="13">
        <v>71864</v>
      </c>
      <c r="B993" s="63">
        <f>17.8777 * CHOOSE(CONTROL!$C$22, $C$13, 100%, $E$13)</f>
        <v>17.877700000000001</v>
      </c>
      <c r="C993" s="63">
        <f>17.8777 * CHOOSE(CONTROL!$C$22, $C$13, 100%, $E$13)</f>
        <v>17.877700000000001</v>
      </c>
      <c r="D993" s="63">
        <f>17.8954 * CHOOSE(CONTROL!$C$22, $C$13, 100%, $E$13)</f>
        <v>17.895399999999999</v>
      </c>
      <c r="E993" s="64">
        <f>21.0625 * CHOOSE(CONTROL!$C$22, $C$13, 100%, $E$13)</f>
        <v>21.0625</v>
      </c>
      <c r="F993" s="64">
        <f>21.0625 * CHOOSE(CONTROL!$C$22, $C$13, 100%, $E$13)</f>
        <v>21.0625</v>
      </c>
      <c r="G993" s="64">
        <f>21.0627 * CHOOSE(CONTROL!$C$22, $C$13, 100%, $E$13)</f>
        <v>21.0627</v>
      </c>
      <c r="H993" s="64">
        <f>33.8668* CHOOSE(CONTROL!$C$22, $C$13, 100%, $E$13)</f>
        <v>33.866799999999998</v>
      </c>
      <c r="I993" s="64">
        <f>33.867 * CHOOSE(CONTROL!$C$22, $C$13, 100%, $E$13)</f>
        <v>33.866999999999997</v>
      </c>
      <c r="J993" s="64">
        <f>21.0625 * CHOOSE(CONTROL!$C$22, $C$13, 100%, $E$13)</f>
        <v>21.0625</v>
      </c>
      <c r="K993" s="64">
        <f>21.0627 * CHOOSE(CONTROL!$C$22, $C$13, 100%, $E$13)</f>
        <v>21.0627</v>
      </c>
    </row>
    <row r="994" spans="1:11" ht="15">
      <c r="A994" s="13">
        <v>71895</v>
      </c>
      <c r="B994" s="63">
        <f>17.8808 * CHOOSE(CONTROL!$C$22, $C$13, 100%, $E$13)</f>
        <v>17.880800000000001</v>
      </c>
      <c r="C994" s="63">
        <f>17.8808 * CHOOSE(CONTROL!$C$22, $C$13, 100%, $E$13)</f>
        <v>17.880800000000001</v>
      </c>
      <c r="D994" s="63">
        <f>17.8984 * CHOOSE(CONTROL!$C$22, $C$13, 100%, $E$13)</f>
        <v>17.898399999999999</v>
      </c>
      <c r="E994" s="64">
        <f>21.1126 * CHOOSE(CONTROL!$C$22, $C$13, 100%, $E$13)</f>
        <v>21.1126</v>
      </c>
      <c r="F994" s="64">
        <f>21.1126 * CHOOSE(CONTROL!$C$22, $C$13, 100%, $E$13)</f>
        <v>21.1126</v>
      </c>
      <c r="G994" s="64">
        <f>21.1128 * CHOOSE(CONTROL!$C$22, $C$13, 100%, $E$13)</f>
        <v>21.1128</v>
      </c>
      <c r="H994" s="64">
        <f>33.9374* CHOOSE(CONTROL!$C$22, $C$13, 100%, $E$13)</f>
        <v>33.937399999999997</v>
      </c>
      <c r="I994" s="64">
        <f>33.9376 * CHOOSE(CONTROL!$C$22, $C$13, 100%, $E$13)</f>
        <v>33.937600000000003</v>
      </c>
      <c r="J994" s="64">
        <f>21.1126 * CHOOSE(CONTROL!$C$22, $C$13, 100%, $E$13)</f>
        <v>21.1126</v>
      </c>
      <c r="K994" s="64">
        <f>21.1128 * CHOOSE(CONTROL!$C$22, $C$13, 100%, $E$13)</f>
        <v>21.1128</v>
      </c>
    </row>
    <row r="995" spans="1:11" ht="15">
      <c r="A995" s="13">
        <v>71925</v>
      </c>
      <c r="B995" s="63">
        <f>17.8808 * CHOOSE(CONTROL!$C$22, $C$13, 100%, $E$13)</f>
        <v>17.880800000000001</v>
      </c>
      <c r="C995" s="63">
        <f>17.8808 * CHOOSE(CONTROL!$C$22, $C$13, 100%, $E$13)</f>
        <v>17.880800000000001</v>
      </c>
      <c r="D995" s="63">
        <f>17.8984 * CHOOSE(CONTROL!$C$22, $C$13, 100%, $E$13)</f>
        <v>17.898399999999999</v>
      </c>
      <c r="E995" s="64">
        <f>20.9928 * CHOOSE(CONTROL!$C$22, $C$13, 100%, $E$13)</f>
        <v>20.992799999999999</v>
      </c>
      <c r="F995" s="64">
        <f>20.9928 * CHOOSE(CONTROL!$C$22, $C$13, 100%, $E$13)</f>
        <v>20.992799999999999</v>
      </c>
      <c r="G995" s="64">
        <f>20.9929 * CHOOSE(CONTROL!$C$22, $C$13, 100%, $E$13)</f>
        <v>20.992899999999999</v>
      </c>
      <c r="H995" s="64">
        <f>34.0081* CHOOSE(CONTROL!$C$22, $C$13, 100%, $E$13)</f>
        <v>34.008099999999999</v>
      </c>
      <c r="I995" s="64">
        <f>34.0083 * CHOOSE(CONTROL!$C$22, $C$13, 100%, $E$13)</f>
        <v>34.008299999999998</v>
      </c>
      <c r="J995" s="64">
        <f>20.9928 * CHOOSE(CONTROL!$C$22, $C$13, 100%, $E$13)</f>
        <v>20.992799999999999</v>
      </c>
      <c r="K995" s="64">
        <f>20.9929 * CHOOSE(CONTROL!$C$22, $C$13, 100%, $E$13)</f>
        <v>20.992899999999999</v>
      </c>
    </row>
    <row r="996" spans="1:11" ht="15">
      <c r="A996" s="13">
        <v>71956</v>
      </c>
      <c r="B996" s="63">
        <f>17.7966 * CHOOSE(CONTROL!$C$22, $C$13, 100%, $E$13)</f>
        <v>17.796600000000002</v>
      </c>
      <c r="C996" s="63">
        <f>17.7966 * CHOOSE(CONTROL!$C$22, $C$13, 100%, $E$13)</f>
        <v>17.796600000000002</v>
      </c>
      <c r="D996" s="63">
        <f>17.8143 * CHOOSE(CONTROL!$C$22, $C$13, 100%, $E$13)</f>
        <v>17.814299999999999</v>
      </c>
      <c r="E996" s="64">
        <f>20.9758 * CHOOSE(CONTROL!$C$22, $C$13, 100%, $E$13)</f>
        <v>20.9758</v>
      </c>
      <c r="F996" s="64">
        <f>20.9758 * CHOOSE(CONTROL!$C$22, $C$13, 100%, $E$13)</f>
        <v>20.9758</v>
      </c>
      <c r="G996" s="64">
        <f>20.976 * CHOOSE(CONTROL!$C$22, $C$13, 100%, $E$13)</f>
        <v>20.975999999999999</v>
      </c>
      <c r="H996" s="64">
        <f>33.6843* CHOOSE(CONTROL!$C$22, $C$13, 100%, $E$13)</f>
        <v>33.6843</v>
      </c>
      <c r="I996" s="64">
        <f>33.6845 * CHOOSE(CONTROL!$C$22, $C$13, 100%, $E$13)</f>
        <v>33.6845</v>
      </c>
      <c r="J996" s="64">
        <f>20.9758 * CHOOSE(CONTROL!$C$22, $C$13, 100%, $E$13)</f>
        <v>20.9758</v>
      </c>
      <c r="K996" s="64">
        <f>20.976 * CHOOSE(CONTROL!$C$22, $C$13, 100%, $E$13)</f>
        <v>20.975999999999999</v>
      </c>
    </row>
    <row r="997" spans="1:11" ht="15">
      <c r="A997" s="13">
        <v>71987</v>
      </c>
      <c r="B997" s="63">
        <f>17.7936 * CHOOSE(CONTROL!$C$22, $C$13, 100%, $E$13)</f>
        <v>17.793600000000001</v>
      </c>
      <c r="C997" s="63">
        <f>17.7936 * CHOOSE(CONTROL!$C$22, $C$13, 100%, $E$13)</f>
        <v>17.793600000000001</v>
      </c>
      <c r="D997" s="63">
        <f>17.8112 * CHOOSE(CONTROL!$C$22, $C$13, 100%, $E$13)</f>
        <v>17.811199999999999</v>
      </c>
      <c r="E997" s="64">
        <f>20.7441 * CHOOSE(CONTROL!$C$22, $C$13, 100%, $E$13)</f>
        <v>20.7441</v>
      </c>
      <c r="F997" s="64">
        <f>20.7441 * CHOOSE(CONTROL!$C$22, $C$13, 100%, $E$13)</f>
        <v>20.7441</v>
      </c>
      <c r="G997" s="64">
        <f>20.7442 * CHOOSE(CONTROL!$C$22, $C$13, 100%, $E$13)</f>
        <v>20.744199999999999</v>
      </c>
      <c r="H997" s="64">
        <f>33.7545* CHOOSE(CONTROL!$C$22, $C$13, 100%, $E$13)</f>
        <v>33.7545</v>
      </c>
      <c r="I997" s="64">
        <f>33.7546 * CHOOSE(CONTROL!$C$22, $C$13, 100%, $E$13)</f>
        <v>33.754600000000003</v>
      </c>
      <c r="J997" s="64">
        <f>20.7441 * CHOOSE(CONTROL!$C$22, $C$13, 100%, $E$13)</f>
        <v>20.7441</v>
      </c>
      <c r="K997" s="64">
        <f>20.7442 * CHOOSE(CONTROL!$C$22, $C$13, 100%, $E$13)</f>
        <v>20.744199999999999</v>
      </c>
    </row>
    <row r="998" spans="1:11" ht="15">
      <c r="A998" s="13">
        <v>72015</v>
      </c>
      <c r="B998" s="63">
        <f>17.7905 * CHOOSE(CONTROL!$C$22, $C$13, 100%, $E$13)</f>
        <v>17.790500000000002</v>
      </c>
      <c r="C998" s="63">
        <f>17.7905 * CHOOSE(CONTROL!$C$22, $C$13, 100%, $E$13)</f>
        <v>17.790500000000002</v>
      </c>
      <c r="D998" s="63">
        <f>17.8082 * CHOOSE(CONTROL!$C$22, $C$13, 100%, $E$13)</f>
        <v>17.808199999999999</v>
      </c>
      <c r="E998" s="64">
        <f>20.923 * CHOOSE(CONTROL!$C$22, $C$13, 100%, $E$13)</f>
        <v>20.922999999999998</v>
      </c>
      <c r="F998" s="64">
        <f>20.923 * CHOOSE(CONTROL!$C$22, $C$13, 100%, $E$13)</f>
        <v>20.922999999999998</v>
      </c>
      <c r="G998" s="64">
        <f>20.9232 * CHOOSE(CONTROL!$C$22, $C$13, 100%, $E$13)</f>
        <v>20.923200000000001</v>
      </c>
      <c r="H998" s="64">
        <f>33.8248* CHOOSE(CONTROL!$C$22, $C$13, 100%, $E$13)</f>
        <v>33.824800000000003</v>
      </c>
      <c r="I998" s="64">
        <f>33.825 * CHOOSE(CONTROL!$C$22, $C$13, 100%, $E$13)</f>
        <v>33.825000000000003</v>
      </c>
      <c r="J998" s="64">
        <f>20.923 * CHOOSE(CONTROL!$C$22, $C$13, 100%, $E$13)</f>
        <v>20.922999999999998</v>
      </c>
      <c r="K998" s="64">
        <f>20.9232 * CHOOSE(CONTROL!$C$22, $C$13, 100%, $E$13)</f>
        <v>20.923200000000001</v>
      </c>
    </row>
    <row r="999" spans="1:11" ht="15">
      <c r="A999" s="13">
        <v>72046</v>
      </c>
      <c r="B999" s="63">
        <f>17.7999 * CHOOSE(CONTROL!$C$22, $C$13, 100%, $E$13)</f>
        <v>17.799900000000001</v>
      </c>
      <c r="C999" s="63">
        <f>17.7999 * CHOOSE(CONTROL!$C$22, $C$13, 100%, $E$13)</f>
        <v>17.799900000000001</v>
      </c>
      <c r="D999" s="63">
        <f>17.8176 * CHOOSE(CONTROL!$C$22, $C$13, 100%, $E$13)</f>
        <v>17.817599999999999</v>
      </c>
      <c r="E999" s="64">
        <f>21.1132 * CHOOSE(CONTROL!$C$22, $C$13, 100%, $E$13)</f>
        <v>21.113199999999999</v>
      </c>
      <c r="F999" s="64">
        <f>21.1132 * CHOOSE(CONTROL!$C$22, $C$13, 100%, $E$13)</f>
        <v>21.113199999999999</v>
      </c>
      <c r="G999" s="64">
        <f>21.1133 * CHOOSE(CONTROL!$C$22, $C$13, 100%, $E$13)</f>
        <v>21.113299999999999</v>
      </c>
      <c r="H999" s="64">
        <f>33.8952* CHOOSE(CONTROL!$C$22, $C$13, 100%, $E$13)</f>
        <v>33.895200000000003</v>
      </c>
      <c r="I999" s="64">
        <f>33.8954 * CHOOSE(CONTROL!$C$22, $C$13, 100%, $E$13)</f>
        <v>33.895400000000002</v>
      </c>
      <c r="J999" s="64">
        <f>21.1132 * CHOOSE(CONTROL!$C$22, $C$13, 100%, $E$13)</f>
        <v>21.113199999999999</v>
      </c>
      <c r="K999" s="64">
        <f>21.1133 * CHOOSE(CONTROL!$C$22, $C$13, 100%, $E$13)</f>
        <v>21.113299999999999</v>
      </c>
    </row>
    <row r="1000" spans="1:11" ht="15">
      <c r="A1000" s="13">
        <v>72076</v>
      </c>
      <c r="B1000" s="63">
        <f>17.7999 * CHOOSE(CONTROL!$C$22, $C$13, 100%, $E$13)</f>
        <v>17.799900000000001</v>
      </c>
      <c r="C1000" s="63">
        <f>17.7999 * CHOOSE(CONTROL!$C$22, $C$13, 100%, $E$13)</f>
        <v>17.799900000000001</v>
      </c>
      <c r="D1000" s="63">
        <f>17.8352 * CHOOSE(CONTROL!$C$22, $C$13, 100%, $E$13)</f>
        <v>17.8352</v>
      </c>
      <c r="E1000" s="64">
        <f>21.1861 * CHOOSE(CONTROL!$C$22, $C$13, 100%, $E$13)</f>
        <v>21.1861</v>
      </c>
      <c r="F1000" s="64">
        <f>21.1861 * CHOOSE(CONTROL!$C$22, $C$13, 100%, $E$13)</f>
        <v>21.1861</v>
      </c>
      <c r="G1000" s="64">
        <f>21.1883 * CHOOSE(CONTROL!$C$22, $C$13, 100%, $E$13)</f>
        <v>21.188300000000002</v>
      </c>
      <c r="H1000" s="64">
        <f>33.9659* CHOOSE(CONTROL!$C$22, $C$13, 100%, $E$13)</f>
        <v>33.965899999999998</v>
      </c>
      <c r="I1000" s="64">
        <f>33.968 * CHOOSE(CONTROL!$C$22, $C$13, 100%, $E$13)</f>
        <v>33.968000000000004</v>
      </c>
      <c r="J1000" s="64">
        <f>21.1861 * CHOOSE(CONTROL!$C$22, $C$13, 100%, $E$13)</f>
        <v>21.1861</v>
      </c>
      <c r="K1000" s="64">
        <f>21.1883 * CHOOSE(CONTROL!$C$22, $C$13, 100%, $E$13)</f>
        <v>21.188300000000002</v>
      </c>
    </row>
    <row r="1001" spans="1:11" ht="15">
      <c r="A1001" s="13">
        <v>72107</v>
      </c>
      <c r="B1001" s="63">
        <f>17.806 * CHOOSE(CONTROL!$C$22, $C$13, 100%, $E$13)</f>
        <v>17.806000000000001</v>
      </c>
      <c r="C1001" s="63">
        <f>17.806 * CHOOSE(CONTROL!$C$22, $C$13, 100%, $E$13)</f>
        <v>17.806000000000001</v>
      </c>
      <c r="D1001" s="63">
        <f>17.8413 * CHOOSE(CONTROL!$C$22, $C$13, 100%, $E$13)</f>
        <v>17.8413</v>
      </c>
      <c r="E1001" s="64">
        <f>21.1174 * CHOOSE(CONTROL!$C$22, $C$13, 100%, $E$13)</f>
        <v>21.1174</v>
      </c>
      <c r="F1001" s="64">
        <f>21.1174 * CHOOSE(CONTROL!$C$22, $C$13, 100%, $E$13)</f>
        <v>21.1174</v>
      </c>
      <c r="G1001" s="64">
        <f>21.1196 * CHOOSE(CONTROL!$C$22, $C$13, 100%, $E$13)</f>
        <v>21.119599999999998</v>
      </c>
      <c r="H1001" s="64">
        <f>34.0366* CHOOSE(CONTROL!$C$22, $C$13, 100%, $E$13)</f>
        <v>34.0366</v>
      </c>
      <c r="I1001" s="64">
        <f>34.0388 * CHOOSE(CONTROL!$C$22, $C$13, 100%, $E$13)</f>
        <v>34.038800000000002</v>
      </c>
      <c r="J1001" s="64">
        <f>21.1174 * CHOOSE(CONTROL!$C$22, $C$13, 100%, $E$13)</f>
        <v>21.1174</v>
      </c>
      <c r="K1001" s="64">
        <f>21.1196 * CHOOSE(CONTROL!$C$22, $C$13, 100%, $E$13)</f>
        <v>21.119599999999998</v>
      </c>
    </row>
    <row r="1002" spans="1:11" ht="15">
      <c r="A1002" s="13">
        <v>72137</v>
      </c>
      <c r="B1002" s="63">
        <f>18.083 * CHOOSE(CONTROL!$C$22, $C$13, 100%, $E$13)</f>
        <v>18.082999999999998</v>
      </c>
      <c r="C1002" s="63">
        <f>18.083 * CHOOSE(CONTROL!$C$22, $C$13, 100%, $E$13)</f>
        <v>18.082999999999998</v>
      </c>
      <c r="D1002" s="63">
        <f>18.1183 * CHOOSE(CONTROL!$C$22, $C$13, 100%, $E$13)</f>
        <v>18.118300000000001</v>
      </c>
      <c r="E1002" s="64">
        <f>21.5171 * CHOOSE(CONTROL!$C$22, $C$13, 100%, $E$13)</f>
        <v>21.517099999999999</v>
      </c>
      <c r="F1002" s="64">
        <f>21.5171 * CHOOSE(CONTROL!$C$22, $C$13, 100%, $E$13)</f>
        <v>21.517099999999999</v>
      </c>
      <c r="G1002" s="64">
        <f>21.5193 * CHOOSE(CONTROL!$C$22, $C$13, 100%, $E$13)</f>
        <v>21.519300000000001</v>
      </c>
      <c r="H1002" s="64">
        <f>34.1075* CHOOSE(CONTROL!$C$22, $C$13, 100%, $E$13)</f>
        <v>34.107500000000002</v>
      </c>
      <c r="I1002" s="64">
        <f>34.1097 * CHOOSE(CONTROL!$C$22, $C$13, 100%, $E$13)</f>
        <v>34.109699999999997</v>
      </c>
      <c r="J1002" s="64">
        <f>21.5171 * CHOOSE(CONTROL!$C$22, $C$13, 100%, $E$13)</f>
        <v>21.517099999999999</v>
      </c>
      <c r="K1002" s="64">
        <f>21.5193 * CHOOSE(CONTROL!$C$22, $C$13, 100%, $E$13)</f>
        <v>21.519300000000001</v>
      </c>
    </row>
    <row r="1003" spans="1:11" ht="15">
      <c r="A1003" s="13">
        <v>72168</v>
      </c>
      <c r="B1003" s="63">
        <f>18.0897 * CHOOSE(CONTROL!$C$22, $C$13, 100%, $E$13)</f>
        <v>18.089700000000001</v>
      </c>
      <c r="C1003" s="63">
        <f>18.0897 * CHOOSE(CONTROL!$C$22, $C$13, 100%, $E$13)</f>
        <v>18.089700000000001</v>
      </c>
      <c r="D1003" s="63">
        <f>18.125 * CHOOSE(CONTROL!$C$22, $C$13, 100%, $E$13)</f>
        <v>18.125</v>
      </c>
      <c r="E1003" s="64">
        <f>21.303 * CHOOSE(CONTROL!$C$22, $C$13, 100%, $E$13)</f>
        <v>21.303000000000001</v>
      </c>
      <c r="F1003" s="64">
        <f>21.303 * CHOOSE(CONTROL!$C$22, $C$13, 100%, $E$13)</f>
        <v>21.303000000000001</v>
      </c>
      <c r="G1003" s="64">
        <f>21.3052 * CHOOSE(CONTROL!$C$22, $C$13, 100%, $E$13)</f>
        <v>21.305199999999999</v>
      </c>
      <c r="H1003" s="64">
        <f>34.1786* CHOOSE(CONTROL!$C$22, $C$13, 100%, $E$13)</f>
        <v>34.178600000000003</v>
      </c>
      <c r="I1003" s="64">
        <f>34.1808 * CHOOSE(CONTROL!$C$22, $C$13, 100%, $E$13)</f>
        <v>34.180799999999998</v>
      </c>
      <c r="J1003" s="64">
        <f>21.303 * CHOOSE(CONTROL!$C$22, $C$13, 100%, $E$13)</f>
        <v>21.303000000000001</v>
      </c>
      <c r="K1003" s="64">
        <f>21.3052 * CHOOSE(CONTROL!$C$22, $C$13, 100%, $E$13)</f>
        <v>21.305199999999999</v>
      </c>
    </row>
    <row r="1004" spans="1:11" ht="15">
      <c r="A1004" s="13">
        <v>72199</v>
      </c>
      <c r="B1004" s="63">
        <f>18.0867 * CHOOSE(CONTROL!$C$22, $C$13, 100%, $E$13)</f>
        <v>18.0867</v>
      </c>
      <c r="C1004" s="63">
        <f>18.0867 * CHOOSE(CONTROL!$C$22, $C$13, 100%, $E$13)</f>
        <v>18.0867</v>
      </c>
      <c r="D1004" s="63">
        <f>18.122 * CHOOSE(CONTROL!$C$22, $C$13, 100%, $E$13)</f>
        <v>18.122</v>
      </c>
      <c r="E1004" s="64">
        <f>21.2766 * CHOOSE(CONTROL!$C$22, $C$13, 100%, $E$13)</f>
        <v>21.276599999999998</v>
      </c>
      <c r="F1004" s="64">
        <f>21.2766 * CHOOSE(CONTROL!$C$22, $C$13, 100%, $E$13)</f>
        <v>21.276599999999998</v>
      </c>
      <c r="G1004" s="64">
        <f>21.2788 * CHOOSE(CONTROL!$C$22, $C$13, 100%, $E$13)</f>
        <v>21.2788</v>
      </c>
      <c r="H1004" s="64">
        <f>34.2498* CHOOSE(CONTROL!$C$22, $C$13, 100%, $E$13)</f>
        <v>34.2498</v>
      </c>
      <c r="I1004" s="64">
        <f>34.252 * CHOOSE(CONTROL!$C$22, $C$13, 100%, $E$13)</f>
        <v>34.252000000000002</v>
      </c>
      <c r="J1004" s="64">
        <f>21.2766 * CHOOSE(CONTROL!$C$22, $C$13, 100%, $E$13)</f>
        <v>21.276599999999998</v>
      </c>
      <c r="K1004" s="64">
        <f>21.2788 * CHOOSE(CONTROL!$C$22, $C$13, 100%, $E$13)</f>
        <v>21.2788</v>
      </c>
    </row>
    <row r="1005" spans="1:11" ht="15">
      <c r="A1005" s="13">
        <v>72229</v>
      </c>
      <c r="B1005" s="63">
        <f>18.1277 * CHOOSE(CONTROL!$C$22, $C$13, 100%, $E$13)</f>
        <v>18.127700000000001</v>
      </c>
      <c r="C1005" s="63">
        <f>18.1277 * CHOOSE(CONTROL!$C$22, $C$13, 100%, $E$13)</f>
        <v>18.127700000000001</v>
      </c>
      <c r="D1005" s="63">
        <f>18.1454 * CHOOSE(CONTROL!$C$22, $C$13, 100%, $E$13)</f>
        <v>18.145399999999999</v>
      </c>
      <c r="E1005" s="64">
        <f>21.3604 * CHOOSE(CONTROL!$C$22, $C$13, 100%, $E$13)</f>
        <v>21.360399999999998</v>
      </c>
      <c r="F1005" s="64">
        <f>21.3604 * CHOOSE(CONTROL!$C$22, $C$13, 100%, $E$13)</f>
        <v>21.360399999999998</v>
      </c>
      <c r="G1005" s="64">
        <f>21.3606 * CHOOSE(CONTROL!$C$22, $C$13, 100%, $E$13)</f>
        <v>21.360600000000002</v>
      </c>
      <c r="H1005" s="64">
        <f>34.3211* CHOOSE(CONTROL!$C$22, $C$13, 100%, $E$13)</f>
        <v>34.321100000000001</v>
      </c>
      <c r="I1005" s="64">
        <f>34.3213 * CHOOSE(CONTROL!$C$22, $C$13, 100%, $E$13)</f>
        <v>34.321300000000001</v>
      </c>
      <c r="J1005" s="64">
        <f>21.3604 * CHOOSE(CONTROL!$C$22, $C$13, 100%, $E$13)</f>
        <v>21.360399999999998</v>
      </c>
      <c r="K1005" s="64">
        <f>21.3606 * CHOOSE(CONTROL!$C$22, $C$13, 100%, $E$13)</f>
        <v>21.360600000000002</v>
      </c>
    </row>
    <row r="1006" spans="1:11" ht="15">
      <c r="A1006" s="13">
        <v>72260</v>
      </c>
      <c r="B1006" s="63">
        <f>18.1308 * CHOOSE(CONTROL!$C$22, $C$13, 100%, $E$13)</f>
        <v>18.130800000000001</v>
      </c>
      <c r="C1006" s="63">
        <f>18.1308 * CHOOSE(CONTROL!$C$22, $C$13, 100%, $E$13)</f>
        <v>18.130800000000001</v>
      </c>
      <c r="D1006" s="63">
        <f>18.1484 * CHOOSE(CONTROL!$C$22, $C$13, 100%, $E$13)</f>
        <v>18.148399999999999</v>
      </c>
      <c r="E1006" s="64">
        <f>21.4111 * CHOOSE(CONTROL!$C$22, $C$13, 100%, $E$13)</f>
        <v>21.411100000000001</v>
      </c>
      <c r="F1006" s="64">
        <f>21.4111 * CHOOSE(CONTROL!$C$22, $C$13, 100%, $E$13)</f>
        <v>21.411100000000001</v>
      </c>
      <c r="G1006" s="64">
        <f>21.4113 * CHOOSE(CONTROL!$C$22, $C$13, 100%, $E$13)</f>
        <v>21.411300000000001</v>
      </c>
      <c r="H1006" s="64">
        <f>34.3927* CHOOSE(CONTROL!$C$22, $C$13, 100%, $E$13)</f>
        <v>34.392699999999998</v>
      </c>
      <c r="I1006" s="64">
        <f>34.3928 * CHOOSE(CONTROL!$C$22, $C$13, 100%, $E$13)</f>
        <v>34.392800000000001</v>
      </c>
      <c r="J1006" s="64">
        <f>21.4111 * CHOOSE(CONTROL!$C$22, $C$13, 100%, $E$13)</f>
        <v>21.411100000000001</v>
      </c>
      <c r="K1006" s="64">
        <f>21.4113 * CHOOSE(CONTROL!$C$22, $C$13, 100%, $E$13)</f>
        <v>21.411300000000001</v>
      </c>
    </row>
    <row r="1007" spans="1:11" ht="15">
      <c r="A1007" s="13">
        <v>72290</v>
      </c>
      <c r="B1007" s="63">
        <f>18.1308 * CHOOSE(CONTROL!$C$22, $C$13, 100%, $E$13)</f>
        <v>18.130800000000001</v>
      </c>
      <c r="C1007" s="63">
        <f>18.1308 * CHOOSE(CONTROL!$C$22, $C$13, 100%, $E$13)</f>
        <v>18.130800000000001</v>
      </c>
      <c r="D1007" s="63">
        <f>18.1484 * CHOOSE(CONTROL!$C$22, $C$13, 100%, $E$13)</f>
        <v>18.148399999999999</v>
      </c>
      <c r="E1007" s="64">
        <f>21.2896 * CHOOSE(CONTROL!$C$22, $C$13, 100%, $E$13)</f>
        <v>21.2896</v>
      </c>
      <c r="F1007" s="64">
        <f>21.2896 * CHOOSE(CONTROL!$C$22, $C$13, 100%, $E$13)</f>
        <v>21.2896</v>
      </c>
      <c r="G1007" s="64">
        <f>21.2898 * CHOOSE(CONTROL!$C$22, $C$13, 100%, $E$13)</f>
        <v>21.2898</v>
      </c>
      <c r="H1007" s="64">
        <f>34.4643* CHOOSE(CONTROL!$C$22, $C$13, 100%, $E$13)</f>
        <v>34.464300000000001</v>
      </c>
      <c r="I1007" s="64">
        <f>34.4645 * CHOOSE(CONTROL!$C$22, $C$13, 100%, $E$13)</f>
        <v>34.464500000000001</v>
      </c>
      <c r="J1007" s="64">
        <f>21.2896 * CHOOSE(CONTROL!$C$22, $C$13, 100%, $E$13)</f>
        <v>21.2896</v>
      </c>
      <c r="K1007" s="64">
        <f>21.2898 * CHOOSE(CONTROL!$C$22, $C$13, 100%, $E$13)</f>
        <v>21.2898</v>
      </c>
    </row>
    <row r="1008" spans="1:11" ht="15">
      <c r="A1008" s="13">
        <v>72321</v>
      </c>
      <c r="B1008" s="63">
        <f>18.0419 * CHOOSE(CONTROL!$C$22, $C$13, 100%, $E$13)</f>
        <v>18.041899999999998</v>
      </c>
      <c r="C1008" s="63">
        <f>18.0419 * CHOOSE(CONTROL!$C$22, $C$13, 100%, $E$13)</f>
        <v>18.041899999999998</v>
      </c>
      <c r="D1008" s="63">
        <f>18.0596 * CHOOSE(CONTROL!$C$22, $C$13, 100%, $E$13)</f>
        <v>18.0596</v>
      </c>
      <c r="E1008" s="64">
        <f>21.2682 * CHOOSE(CONTROL!$C$22, $C$13, 100%, $E$13)</f>
        <v>21.2682</v>
      </c>
      <c r="F1008" s="64">
        <f>21.2682 * CHOOSE(CONTROL!$C$22, $C$13, 100%, $E$13)</f>
        <v>21.2682</v>
      </c>
      <c r="G1008" s="64">
        <f>21.2684 * CHOOSE(CONTROL!$C$22, $C$13, 100%, $E$13)</f>
        <v>21.2684</v>
      </c>
      <c r="H1008" s="64">
        <f>34.1302* CHOOSE(CONTROL!$C$22, $C$13, 100%, $E$13)</f>
        <v>34.130200000000002</v>
      </c>
      <c r="I1008" s="64">
        <f>34.1303 * CHOOSE(CONTROL!$C$22, $C$13, 100%, $E$13)</f>
        <v>34.130299999999998</v>
      </c>
      <c r="J1008" s="64">
        <f>21.2682 * CHOOSE(CONTROL!$C$22, $C$13, 100%, $E$13)</f>
        <v>21.2682</v>
      </c>
      <c r="K1008" s="64">
        <f>21.2684 * CHOOSE(CONTROL!$C$22, $C$13, 100%, $E$13)</f>
        <v>21.2684</v>
      </c>
    </row>
    <row r="1009" spans="1:11" ht="15">
      <c r="A1009" s="13">
        <v>72352</v>
      </c>
      <c r="B1009" s="63">
        <f>18.0389 * CHOOSE(CONTROL!$C$22, $C$13, 100%, $E$13)</f>
        <v>18.038900000000002</v>
      </c>
      <c r="C1009" s="63">
        <f>18.0389 * CHOOSE(CONTROL!$C$22, $C$13, 100%, $E$13)</f>
        <v>18.038900000000002</v>
      </c>
      <c r="D1009" s="63">
        <f>18.0565 * CHOOSE(CONTROL!$C$22, $C$13, 100%, $E$13)</f>
        <v>18.0565</v>
      </c>
      <c r="E1009" s="64">
        <f>21.0333 * CHOOSE(CONTROL!$C$22, $C$13, 100%, $E$13)</f>
        <v>21.033300000000001</v>
      </c>
      <c r="F1009" s="64">
        <f>21.0333 * CHOOSE(CONTROL!$C$22, $C$13, 100%, $E$13)</f>
        <v>21.033300000000001</v>
      </c>
      <c r="G1009" s="64">
        <f>21.0334 * CHOOSE(CONTROL!$C$22, $C$13, 100%, $E$13)</f>
        <v>21.0334</v>
      </c>
      <c r="H1009" s="64">
        <f>34.2013* CHOOSE(CONTROL!$C$22, $C$13, 100%, $E$13)</f>
        <v>34.201300000000003</v>
      </c>
      <c r="I1009" s="64">
        <f>34.2015 * CHOOSE(CONTROL!$C$22, $C$13, 100%, $E$13)</f>
        <v>34.201500000000003</v>
      </c>
      <c r="J1009" s="64">
        <f>21.0333 * CHOOSE(CONTROL!$C$22, $C$13, 100%, $E$13)</f>
        <v>21.033300000000001</v>
      </c>
      <c r="K1009" s="64">
        <f>21.0334 * CHOOSE(CONTROL!$C$22, $C$13, 100%, $E$13)</f>
        <v>21.0334</v>
      </c>
    </row>
    <row r="1010" spans="1:11" ht="15">
      <c r="A1010" s="13">
        <v>72380</v>
      </c>
      <c r="B1010" s="63">
        <f>18.0358 * CHOOSE(CONTROL!$C$22, $C$13, 100%, $E$13)</f>
        <v>18.035799999999998</v>
      </c>
      <c r="C1010" s="63">
        <f>18.0358 * CHOOSE(CONTROL!$C$22, $C$13, 100%, $E$13)</f>
        <v>18.035799999999998</v>
      </c>
      <c r="D1010" s="63">
        <f>18.0535 * CHOOSE(CONTROL!$C$22, $C$13, 100%, $E$13)</f>
        <v>18.0535</v>
      </c>
      <c r="E1010" s="64">
        <f>21.2147 * CHOOSE(CONTROL!$C$22, $C$13, 100%, $E$13)</f>
        <v>21.214700000000001</v>
      </c>
      <c r="F1010" s="64">
        <f>21.2147 * CHOOSE(CONTROL!$C$22, $C$13, 100%, $E$13)</f>
        <v>21.214700000000001</v>
      </c>
      <c r="G1010" s="64">
        <f>21.2149 * CHOOSE(CONTROL!$C$22, $C$13, 100%, $E$13)</f>
        <v>21.2149</v>
      </c>
      <c r="H1010" s="64">
        <f>34.2725* CHOOSE(CONTROL!$C$22, $C$13, 100%, $E$13)</f>
        <v>34.272500000000001</v>
      </c>
      <c r="I1010" s="64">
        <f>34.2727 * CHOOSE(CONTROL!$C$22, $C$13, 100%, $E$13)</f>
        <v>34.2727</v>
      </c>
      <c r="J1010" s="64">
        <f>21.2147 * CHOOSE(CONTROL!$C$22, $C$13, 100%, $E$13)</f>
        <v>21.214700000000001</v>
      </c>
      <c r="K1010" s="64">
        <f>21.2149 * CHOOSE(CONTROL!$C$22, $C$13, 100%, $E$13)</f>
        <v>21.2149</v>
      </c>
    </row>
    <row r="1011" spans="1:11" ht="15">
      <c r="A1011" s="13">
        <v>72411</v>
      </c>
      <c r="B1011" s="63">
        <f>18.0454 * CHOOSE(CONTROL!$C$22, $C$13, 100%, $E$13)</f>
        <v>18.045400000000001</v>
      </c>
      <c r="C1011" s="63">
        <f>18.0454 * CHOOSE(CONTROL!$C$22, $C$13, 100%, $E$13)</f>
        <v>18.045400000000001</v>
      </c>
      <c r="D1011" s="63">
        <f>18.0631 * CHOOSE(CONTROL!$C$22, $C$13, 100%, $E$13)</f>
        <v>18.063099999999999</v>
      </c>
      <c r="E1011" s="64">
        <f>21.4076 * CHOOSE(CONTROL!$C$22, $C$13, 100%, $E$13)</f>
        <v>21.407599999999999</v>
      </c>
      <c r="F1011" s="64">
        <f>21.4076 * CHOOSE(CONTROL!$C$22, $C$13, 100%, $E$13)</f>
        <v>21.407599999999999</v>
      </c>
      <c r="G1011" s="64">
        <f>21.4078 * CHOOSE(CONTROL!$C$22, $C$13, 100%, $E$13)</f>
        <v>21.407800000000002</v>
      </c>
      <c r="H1011" s="64">
        <f>34.3439* CHOOSE(CONTROL!$C$22, $C$13, 100%, $E$13)</f>
        <v>34.343899999999998</v>
      </c>
      <c r="I1011" s="64">
        <f>34.3441 * CHOOSE(CONTROL!$C$22, $C$13, 100%, $E$13)</f>
        <v>34.344099999999997</v>
      </c>
      <c r="J1011" s="64">
        <f>21.4076 * CHOOSE(CONTROL!$C$22, $C$13, 100%, $E$13)</f>
        <v>21.407599999999999</v>
      </c>
      <c r="K1011" s="64">
        <f>21.4078 * CHOOSE(CONTROL!$C$22, $C$13, 100%, $E$13)</f>
        <v>21.407800000000002</v>
      </c>
    </row>
    <row r="1012" spans="1:11" ht="15">
      <c r="A1012" s="13">
        <v>72441</v>
      </c>
      <c r="B1012" s="63">
        <f>18.0454 * CHOOSE(CONTROL!$C$22, $C$13, 100%, $E$13)</f>
        <v>18.045400000000001</v>
      </c>
      <c r="C1012" s="63">
        <f>18.0454 * CHOOSE(CONTROL!$C$22, $C$13, 100%, $E$13)</f>
        <v>18.045400000000001</v>
      </c>
      <c r="D1012" s="63">
        <f>18.0807 * CHOOSE(CONTROL!$C$22, $C$13, 100%, $E$13)</f>
        <v>18.0807</v>
      </c>
      <c r="E1012" s="64">
        <f>21.4815 * CHOOSE(CONTROL!$C$22, $C$13, 100%, $E$13)</f>
        <v>21.4815</v>
      </c>
      <c r="F1012" s="64">
        <f>21.4815 * CHOOSE(CONTROL!$C$22, $C$13, 100%, $E$13)</f>
        <v>21.4815</v>
      </c>
      <c r="G1012" s="64">
        <f>21.4837 * CHOOSE(CONTROL!$C$22, $C$13, 100%, $E$13)</f>
        <v>21.483699999999999</v>
      </c>
      <c r="H1012" s="64">
        <f>34.4155* CHOOSE(CONTROL!$C$22, $C$13, 100%, $E$13)</f>
        <v>34.415500000000002</v>
      </c>
      <c r="I1012" s="64">
        <f>34.4177 * CHOOSE(CONTROL!$C$22, $C$13, 100%, $E$13)</f>
        <v>34.417700000000004</v>
      </c>
      <c r="J1012" s="64">
        <f>21.4815 * CHOOSE(CONTROL!$C$22, $C$13, 100%, $E$13)</f>
        <v>21.4815</v>
      </c>
      <c r="K1012" s="64">
        <f>21.4837 * CHOOSE(CONTROL!$C$22, $C$13, 100%, $E$13)</f>
        <v>21.483699999999999</v>
      </c>
    </row>
    <row r="1013" spans="1:11" ht="15">
      <c r="A1013" s="13">
        <v>72472</v>
      </c>
      <c r="B1013" s="63">
        <f>18.0515 * CHOOSE(CONTROL!$C$22, $C$13, 100%, $E$13)</f>
        <v>18.051500000000001</v>
      </c>
      <c r="C1013" s="63">
        <f>18.0515 * CHOOSE(CONTROL!$C$22, $C$13, 100%, $E$13)</f>
        <v>18.051500000000001</v>
      </c>
      <c r="D1013" s="63">
        <f>18.0868 * CHOOSE(CONTROL!$C$22, $C$13, 100%, $E$13)</f>
        <v>18.0868</v>
      </c>
      <c r="E1013" s="64">
        <f>21.4118 * CHOOSE(CONTROL!$C$22, $C$13, 100%, $E$13)</f>
        <v>21.411799999999999</v>
      </c>
      <c r="F1013" s="64">
        <f>21.4118 * CHOOSE(CONTROL!$C$22, $C$13, 100%, $E$13)</f>
        <v>21.411799999999999</v>
      </c>
      <c r="G1013" s="64">
        <f>21.414 * CHOOSE(CONTROL!$C$22, $C$13, 100%, $E$13)</f>
        <v>21.414000000000001</v>
      </c>
      <c r="H1013" s="64">
        <f>34.4872* CHOOSE(CONTROL!$C$22, $C$13, 100%, $E$13)</f>
        <v>34.487200000000001</v>
      </c>
      <c r="I1013" s="64">
        <f>34.4894 * CHOOSE(CONTROL!$C$22, $C$13, 100%, $E$13)</f>
        <v>34.489400000000003</v>
      </c>
      <c r="J1013" s="64">
        <f>21.4118 * CHOOSE(CONTROL!$C$22, $C$13, 100%, $E$13)</f>
        <v>21.411799999999999</v>
      </c>
      <c r="K1013" s="64">
        <f>21.414 * CHOOSE(CONTROL!$C$22, $C$13, 100%, $E$13)</f>
        <v>21.414000000000001</v>
      </c>
    </row>
    <row r="1014" spans="1:11" ht="15">
      <c r="A1014" s="13">
        <v>72502</v>
      </c>
      <c r="B1014" s="63">
        <f>18.3322 * CHOOSE(CONTROL!$C$22, $C$13, 100%, $E$13)</f>
        <v>18.3322</v>
      </c>
      <c r="C1014" s="63">
        <f>18.3322 * CHOOSE(CONTROL!$C$22, $C$13, 100%, $E$13)</f>
        <v>18.3322</v>
      </c>
      <c r="D1014" s="63">
        <f>18.3676 * CHOOSE(CONTROL!$C$22, $C$13, 100%, $E$13)</f>
        <v>18.367599999999999</v>
      </c>
      <c r="E1014" s="64">
        <f>21.817 * CHOOSE(CONTROL!$C$22, $C$13, 100%, $E$13)</f>
        <v>21.817</v>
      </c>
      <c r="F1014" s="64">
        <f>21.817 * CHOOSE(CONTROL!$C$22, $C$13, 100%, $E$13)</f>
        <v>21.817</v>
      </c>
      <c r="G1014" s="64">
        <f>21.8191 * CHOOSE(CONTROL!$C$22, $C$13, 100%, $E$13)</f>
        <v>21.819099999999999</v>
      </c>
      <c r="H1014" s="64">
        <f>34.559* CHOOSE(CONTROL!$C$22, $C$13, 100%, $E$13)</f>
        <v>34.558999999999997</v>
      </c>
      <c r="I1014" s="64">
        <f>34.5612 * CHOOSE(CONTROL!$C$22, $C$13, 100%, $E$13)</f>
        <v>34.561199999999999</v>
      </c>
      <c r="J1014" s="64">
        <f>21.817 * CHOOSE(CONTROL!$C$22, $C$13, 100%, $E$13)</f>
        <v>21.817</v>
      </c>
      <c r="K1014" s="64">
        <f>21.8191 * CHOOSE(CONTROL!$C$22, $C$13, 100%, $E$13)</f>
        <v>21.819099999999999</v>
      </c>
    </row>
    <row r="1015" spans="1:11" ht="15">
      <c r="A1015" s="13">
        <v>72533</v>
      </c>
      <c r="B1015" s="63">
        <f>18.3389 * CHOOSE(CONTROL!$C$22, $C$13, 100%, $E$13)</f>
        <v>18.338899999999999</v>
      </c>
      <c r="C1015" s="63">
        <f>18.3389 * CHOOSE(CONTROL!$C$22, $C$13, 100%, $E$13)</f>
        <v>18.338899999999999</v>
      </c>
      <c r="D1015" s="63">
        <f>18.3742 * CHOOSE(CONTROL!$C$22, $C$13, 100%, $E$13)</f>
        <v>18.374199999999998</v>
      </c>
      <c r="E1015" s="64">
        <f>21.5998 * CHOOSE(CONTROL!$C$22, $C$13, 100%, $E$13)</f>
        <v>21.599799999999998</v>
      </c>
      <c r="F1015" s="64">
        <f>21.5998 * CHOOSE(CONTROL!$C$22, $C$13, 100%, $E$13)</f>
        <v>21.599799999999998</v>
      </c>
      <c r="G1015" s="64">
        <f>21.602 * CHOOSE(CONTROL!$C$22, $C$13, 100%, $E$13)</f>
        <v>21.602</v>
      </c>
      <c r="H1015" s="64">
        <f>34.631* CHOOSE(CONTROL!$C$22, $C$13, 100%, $E$13)</f>
        <v>34.631</v>
      </c>
      <c r="I1015" s="64">
        <f>34.6332 * CHOOSE(CONTROL!$C$22, $C$13, 100%, $E$13)</f>
        <v>34.633200000000002</v>
      </c>
      <c r="J1015" s="64">
        <f>21.5998 * CHOOSE(CONTROL!$C$22, $C$13, 100%, $E$13)</f>
        <v>21.599799999999998</v>
      </c>
      <c r="K1015" s="64">
        <f>21.602 * CHOOSE(CONTROL!$C$22, $C$13, 100%, $E$13)</f>
        <v>21.602</v>
      </c>
    </row>
    <row r="1016" spans="1:11" ht="15">
      <c r="A1016" s="13">
        <v>72564</v>
      </c>
      <c r="B1016" s="63">
        <f>18.3359 * CHOOSE(CONTROL!$C$22, $C$13, 100%, $E$13)</f>
        <v>18.335899999999999</v>
      </c>
      <c r="C1016" s="63">
        <f>18.3359 * CHOOSE(CONTROL!$C$22, $C$13, 100%, $E$13)</f>
        <v>18.335899999999999</v>
      </c>
      <c r="D1016" s="63">
        <f>18.3712 * CHOOSE(CONTROL!$C$22, $C$13, 100%, $E$13)</f>
        <v>18.371200000000002</v>
      </c>
      <c r="E1016" s="64">
        <f>21.5731 * CHOOSE(CONTROL!$C$22, $C$13, 100%, $E$13)</f>
        <v>21.5731</v>
      </c>
      <c r="F1016" s="64">
        <f>21.5731 * CHOOSE(CONTROL!$C$22, $C$13, 100%, $E$13)</f>
        <v>21.5731</v>
      </c>
      <c r="G1016" s="64">
        <f>21.5753 * CHOOSE(CONTROL!$C$22, $C$13, 100%, $E$13)</f>
        <v>21.575299999999999</v>
      </c>
      <c r="H1016" s="64">
        <f>34.7032* CHOOSE(CONTROL!$C$22, $C$13, 100%, $E$13)</f>
        <v>34.703200000000002</v>
      </c>
      <c r="I1016" s="64">
        <f>34.7054 * CHOOSE(CONTROL!$C$22, $C$13, 100%, $E$13)</f>
        <v>34.705399999999997</v>
      </c>
      <c r="J1016" s="64">
        <f>21.5731 * CHOOSE(CONTROL!$C$22, $C$13, 100%, $E$13)</f>
        <v>21.5731</v>
      </c>
      <c r="K1016" s="64">
        <f>21.5753 * CHOOSE(CONTROL!$C$22, $C$13, 100%, $E$13)</f>
        <v>21.575299999999999</v>
      </c>
    </row>
    <row r="1017" spans="1:11" ht="15">
      <c r="A1017" s="13">
        <v>72594</v>
      </c>
      <c r="B1017" s="63">
        <f>18.3778 * CHOOSE(CONTROL!$C$22, $C$13, 100%, $E$13)</f>
        <v>18.377800000000001</v>
      </c>
      <c r="C1017" s="63">
        <f>18.3778 * CHOOSE(CONTROL!$C$22, $C$13, 100%, $E$13)</f>
        <v>18.377800000000001</v>
      </c>
      <c r="D1017" s="63">
        <f>18.3954 * CHOOSE(CONTROL!$C$22, $C$13, 100%, $E$13)</f>
        <v>18.395399999999999</v>
      </c>
      <c r="E1017" s="64">
        <f>21.6582 * CHOOSE(CONTROL!$C$22, $C$13, 100%, $E$13)</f>
        <v>21.658200000000001</v>
      </c>
      <c r="F1017" s="64">
        <f>21.6582 * CHOOSE(CONTROL!$C$22, $C$13, 100%, $E$13)</f>
        <v>21.658200000000001</v>
      </c>
      <c r="G1017" s="64">
        <f>21.6584 * CHOOSE(CONTROL!$C$22, $C$13, 100%, $E$13)</f>
        <v>21.6584</v>
      </c>
      <c r="H1017" s="64">
        <f>34.7755* CHOOSE(CONTROL!$C$22, $C$13, 100%, $E$13)</f>
        <v>34.775500000000001</v>
      </c>
      <c r="I1017" s="64">
        <f>34.7756 * CHOOSE(CONTROL!$C$22, $C$13, 100%, $E$13)</f>
        <v>34.775599999999997</v>
      </c>
      <c r="J1017" s="64">
        <f>21.6582 * CHOOSE(CONTROL!$C$22, $C$13, 100%, $E$13)</f>
        <v>21.658200000000001</v>
      </c>
      <c r="K1017" s="64">
        <f>21.6584 * CHOOSE(CONTROL!$C$22, $C$13, 100%, $E$13)</f>
        <v>21.6584</v>
      </c>
    </row>
    <row r="1018" spans="1:11" ht="15">
      <c r="A1018" s="13">
        <v>72625</v>
      </c>
      <c r="B1018" s="63">
        <f>18.3808 * CHOOSE(CONTROL!$C$22, $C$13, 100%, $E$13)</f>
        <v>18.380800000000001</v>
      </c>
      <c r="C1018" s="63">
        <f>18.3808 * CHOOSE(CONTROL!$C$22, $C$13, 100%, $E$13)</f>
        <v>18.380800000000001</v>
      </c>
      <c r="D1018" s="63">
        <f>18.3985 * CHOOSE(CONTROL!$C$22, $C$13, 100%, $E$13)</f>
        <v>18.398499999999999</v>
      </c>
      <c r="E1018" s="64">
        <f>21.7096 * CHOOSE(CONTROL!$C$22, $C$13, 100%, $E$13)</f>
        <v>21.709599999999998</v>
      </c>
      <c r="F1018" s="64">
        <f>21.7096 * CHOOSE(CONTROL!$C$22, $C$13, 100%, $E$13)</f>
        <v>21.709599999999998</v>
      </c>
      <c r="G1018" s="64">
        <f>21.7098 * CHOOSE(CONTROL!$C$22, $C$13, 100%, $E$13)</f>
        <v>21.709800000000001</v>
      </c>
      <c r="H1018" s="64">
        <f>34.8479* CHOOSE(CONTROL!$C$22, $C$13, 100%, $E$13)</f>
        <v>34.847900000000003</v>
      </c>
      <c r="I1018" s="64">
        <f>34.8481 * CHOOSE(CONTROL!$C$22, $C$13, 100%, $E$13)</f>
        <v>34.848100000000002</v>
      </c>
      <c r="J1018" s="64">
        <f>21.7096 * CHOOSE(CONTROL!$C$22, $C$13, 100%, $E$13)</f>
        <v>21.709599999999998</v>
      </c>
      <c r="K1018" s="64">
        <f>21.7098 * CHOOSE(CONTROL!$C$22, $C$13, 100%, $E$13)</f>
        <v>21.709800000000001</v>
      </c>
    </row>
    <row r="1019" spans="1:11" ht="15">
      <c r="A1019" s="13">
        <v>72655</v>
      </c>
      <c r="B1019" s="63">
        <f>18.3808 * CHOOSE(CONTROL!$C$22, $C$13, 100%, $E$13)</f>
        <v>18.380800000000001</v>
      </c>
      <c r="C1019" s="63">
        <f>18.3808 * CHOOSE(CONTROL!$C$22, $C$13, 100%, $E$13)</f>
        <v>18.380800000000001</v>
      </c>
      <c r="D1019" s="63">
        <f>18.3985 * CHOOSE(CONTROL!$C$22, $C$13, 100%, $E$13)</f>
        <v>18.398499999999999</v>
      </c>
      <c r="E1019" s="64">
        <f>21.5864 * CHOOSE(CONTROL!$C$22, $C$13, 100%, $E$13)</f>
        <v>21.586400000000001</v>
      </c>
      <c r="F1019" s="64">
        <f>21.5864 * CHOOSE(CONTROL!$C$22, $C$13, 100%, $E$13)</f>
        <v>21.586400000000001</v>
      </c>
      <c r="G1019" s="64">
        <f>21.5866 * CHOOSE(CONTROL!$C$22, $C$13, 100%, $E$13)</f>
        <v>21.586600000000001</v>
      </c>
      <c r="H1019" s="64">
        <f>34.9205* CHOOSE(CONTROL!$C$22, $C$13, 100%, $E$13)</f>
        <v>34.920499999999997</v>
      </c>
      <c r="I1019" s="64">
        <f>34.9207 * CHOOSE(CONTROL!$C$22, $C$13, 100%, $E$13)</f>
        <v>34.920699999999997</v>
      </c>
      <c r="J1019" s="64">
        <f>21.5864 * CHOOSE(CONTROL!$C$22, $C$13, 100%, $E$13)</f>
        <v>21.586400000000001</v>
      </c>
      <c r="K1019" s="64">
        <f>21.5866 * CHOOSE(CONTROL!$C$22, $C$13, 100%, $E$13)</f>
        <v>21.586600000000001</v>
      </c>
    </row>
    <row r="1020" spans="1:11" ht="15">
      <c r="A1020" s="13">
        <v>72686</v>
      </c>
      <c r="B1020" s="63">
        <f>18.2872 * CHOOSE(CONTROL!$C$22, $C$13, 100%, $E$13)</f>
        <v>18.287199999999999</v>
      </c>
      <c r="C1020" s="63">
        <f>18.2872 * CHOOSE(CONTROL!$C$22, $C$13, 100%, $E$13)</f>
        <v>18.287199999999999</v>
      </c>
      <c r="D1020" s="63">
        <f>18.3049 * CHOOSE(CONTROL!$C$22, $C$13, 100%, $E$13)</f>
        <v>18.3049</v>
      </c>
      <c r="E1020" s="64">
        <f>21.5606 * CHOOSE(CONTROL!$C$22, $C$13, 100%, $E$13)</f>
        <v>21.560600000000001</v>
      </c>
      <c r="F1020" s="64">
        <f>21.5606 * CHOOSE(CONTROL!$C$22, $C$13, 100%, $E$13)</f>
        <v>21.560600000000001</v>
      </c>
      <c r="G1020" s="64">
        <f>21.5608 * CHOOSE(CONTROL!$C$22, $C$13, 100%, $E$13)</f>
        <v>21.5608</v>
      </c>
      <c r="H1020" s="64">
        <f>34.5761* CHOOSE(CONTROL!$C$22, $C$13, 100%, $E$13)</f>
        <v>34.576099999999997</v>
      </c>
      <c r="I1020" s="64">
        <f>34.5762 * CHOOSE(CONTROL!$C$22, $C$13, 100%, $E$13)</f>
        <v>34.5762</v>
      </c>
      <c r="J1020" s="64">
        <f>21.5606 * CHOOSE(CONTROL!$C$22, $C$13, 100%, $E$13)</f>
        <v>21.560600000000001</v>
      </c>
      <c r="K1020" s="64">
        <f>21.5608 * CHOOSE(CONTROL!$C$22, $C$13, 100%, $E$13)</f>
        <v>21.5608</v>
      </c>
    </row>
    <row r="1021" spans="1:11" ht="15">
      <c r="A1021" s="13">
        <v>72717</v>
      </c>
      <c r="B1021" s="63">
        <f>18.2842 * CHOOSE(CONTROL!$C$22, $C$13, 100%, $E$13)</f>
        <v>18.284199999999998</v>
      </c>
      <c r="C1021" s="63">
        <f>18.2842 * CHOOSE(CONTROL!$C$22, $C$13, 100%, $E$13)</f>
        <v>18.284199999999998</v>
      </c>
      <c r="D1021" s="63">
        <f>18.3019 * CHOOSE(CONTROL!$C$22, $C$13, 100%, $E$13)</f>
        <v>18.3019</v>
      </c>
      <c r="E1021" s="64">
        <f>21.3225 * CHOOSE(CONTROL!$C$22, $C$13, 100%, $E$13)</f>
        <v>21.322500000000002</v>
      </c>
      <c r="F1021" s="64">
        <f>21.3225 * CHOOSE(CONTROL!$C$22, $C$13, 100%, $E$13)</f>
        <v>21.322500000000002</v>
      </c>
      <c r="G1021" s="64">
        <f>21.3227 * CHOOSE(CONTROL!$C$22, $C$13, 100%, $E$13)</f>
        <v>21.322700000000001</v>
      </c>
      <c r="H1021" s="64">
        <f>34.6481* CHOOSE(CONTROL!$C$22, $C$13, 100%, $E$13)</f>
        <v>34.648099999999999</v>
      </c>
      <c r="I1021" s="64">
        <f>34.6483 * CHOOSE(CONTROL!$C$22, $C$13, 100%, $E$13)</f>
        <v>34.648299999999999</v>
      </c>
      <c r="J1021" s="64">
        <f>21.3225 * CHOOSE(CONTROL!$C$22, $C$13, 100%, $E$13)</f>
        <v>21.322500000000002</v>
      </c>
      <c r="K1021" s="64">
        <f>21.3227 * CHOOSE(CONTROL!$C$22, $C$13, 100%, $E$13)</f>
        <v>21.322700000000001</v>
      </c>
    </row>
    <row r="1022" spans="1:11" ht="15">
      <c r="A1022" s="13">
        <v>72745</v>
      </c>
      <c r="B1022" s="63">
        <f>18.2812 * CHOOSE(CONTROL!$C$22, $C$13, 100%, $E$13)</f>
        <v>18.281199999999998</v>
      </c>
      <c r="C1022" s="63">
        <f>18.2812 * CHOOSE(CONTROL!$C$22, $C$13, 100%, $E$13)</f>
        <v>18.281199999999998</v>
      </c>
      <c r="D1022" s="63">
        <f>18.2988 * CHOOSE(CONTROL!$C$22, $C$13, 100%, $E$13)</f>
        <v>18.2988</v>
      </c>
      <c r="E1022" s="64">
        <f>21.5064 * CHOOSE(CONTROL!$C$22, $C$13, 100%, $E$13)</f>
        <v>21.506399999999999</v>
      </c>
      <c r="F1022" s="64">
        <f>21.5064 * CHOOSE(CONTROL!$C$22, $C$13, 100%, $E$13)</f>
        <v>21.506399999999999</v>
      </c>
      <c r="G1022" s="64">
        <f>21.5066 * CHOOSE(CONTROL!$C$22, $C$13, 100%, $E$13)</f>
        <v>21.506599999999999</v>
      </c>
      <c r="H1022" s="64">
        <f>34.7203* CHOOSE(CONTROL!$C$22, $C$13, 100%, $E$13)</f>
        <v>34.720300000000002</v>
      </c>
      <c r="I1022" s="64">
        <f>34.7205 * CHOOSE(CONTROL!$C$22, $C$13, 100%, $E$13)</f>
        <v>34.720500000000001</v>
      </c>
      <c r="J1022" s="64">
        <f>21.5064 * CHOOSE(CONTROL!$C$22, $C$13, 100%, $E$13)</f>
        <v>21.506399999999999</v>
      </c>
      <c r="K1022" s="64">
        <f>21.5066 * CHOOSE(CONTROL!$C$22, $C$13, 100%, $E$13)</f>
        <v>21.506599999999999</v>
      </c>
    </row>
    <row r="1023" spans="1:11" ht="15">
      <c r="A1023" s="13">
        <v>72776</v>
      </c>
      <c r="B1023" s="63">
        <f>18.2909 * CHOOSE(CONTROL!$C$22, $C$13, 100%, $E$13)</f>
        <v>18.290900000000001</v>
      </c>
      <c r="C1023" s="63">
        <f>18.2909 * CHOOSE(CONTROL!$C$22, $C$13, 100%, $E$13)</f>
        <v>18.290900000000001</v>
      </c>
      <c r="D1023" s="63">
        <f>18.3086 * CHOOSE(CONTROL!$C$22, $C$13, 100%, $E$13)</f>
        <v>18.308599999999998</v>
      </c>
      <c r="E1023" s="64">
        <f>21.7021 * CHOOSE(CONTROL!$C$22, $C$13, 100%, $E$13)</f>
        <v>21.702100000000002</v>
      </c>
      <c r="F1023" s="64">
        <f>21.7021 * CHOOSE(CONTROL!$C$22, $C$13, 100%, $E$13)</f>
        <v>21.702100000000002</v>
      </c>
      <c r="G1023" s="64">
        <f>21.7022 * CHOOSE(CONTROL!$C$22, $C$13, 100%, $E$13)</f>
        <v>21.702200000000001</v>
      </c>
      <c r="H1023" s="64">
        <f>34.7926* CHOOSE(CONTROL!$C$22, $C$13, 100%, $E$13)</f>
        <v>34.7926</v>
      </c>
      <c r="I1023" s="64">
        <f>34.7928 * CHOOSE(CONTROL!$C$22, $C$13, 100%, $E$13)</f>
        <v>34.7928</v>
      </c>
      <c r="J1023" s="64">
        <f>21.7021 * CHOOSE(CONTROL!$C$22, $C$13, 100%, $E$13)</f>
        <v>21.702100000000002</v>
      </c>
      <c r="K1023" s="64">
        <f>21.7022 * CHOOSE(CONTROL!$C$22, $C$13, 100%, $E$13)</f>
        <v>21.702200000000001</v>
      </c>
    </row>
    <row r="1024" spans="1:11" ht="15">
      <c r="A1024" s="13">
        <v>72806</v>
      </c>
      <c r="B1024" s="63">
        <f>18.2909 * CHOOSE(CONTROL!$C$22, $C$13, 100%, $E$13)</f>
        <v>18.290900000000001</v>
      </c>
      <c r="C1024" s="63">
        <f>18.2909 * CHOOSE(CONTROL!$C$22, $C$13, 100%, $E$13)</f>
        <v>18.290900000000001</v>
      </c>
      <c r="D1024" s="63">
        <f>18.3263 * CHOOSE(CONTROL!$C$22, $C$13, 100%, $E$13)</f>
        <v>18.3263</v>
      </c>
      <c r="E1024" s="64">
        <f>21.777 * CHOOSE(CONTROL!$C$22, $C$13, 100%, $E$13)</f>
        <v>21.777000000000001</v>
      </c>
      <c r="F1024" s="64">
        <f>21.777 * CHOOSE(CONTROL!$C$22, $C$13, 100%, $E$13)</f>
        <v>21.777000000000001</v>
      </c>
      <c r="G1024" s="64">
        <f>21.7792 * CHOOSE(CONTROL!$C$22, $C$13, 100%, $E$13)</f>
        <v>21.779199999999999</v>
      </c>
      <c r="H1024" s="64">
        <f>34.8651* CHOOSE(CONTROL!$C$22, $C$13, 100%, $E$13)</f>
        <v>34.865099999999998</v>
      </c>
      <c r="I1024" s="64">
        <f>34.8673 * CHOOSE(CONTROL!$C$22, $C$13, 100%, $E$13)</f>
        <v>34.8673</v>
      </c>
      <c r="J1024" s="64">
        <f>21.777 * CHOOSE(CONTROL!$C$22, $C$13, 100%, $E$13)</f>
        <v>21.777000000000001</v>
      </c>
      <c r="K1024" s="64">
        <f>21.7792 * CHOOSE(CONTROL!$C$22, $C$13, 100%, $E$13)</f>
        <v>21.779199999999999</v>
      </c>
    </row>
    <row r="1025" spans="1:11" ht="15">
      <c r="A1025" s="13">
        <v>72837</v>
      </c>
      <c r="B1025" s="63">
        <f>18.297 * CHOOSE(CONTROL!$C$22, $C$13, 100%, $E$13)</f>
        <v>18.297000000000001</v>
      </c>
      <c r="C1025" s="63">
        <f>18.297 * CHOOSE(CONTROL!$C$22, $C$13, 100%, $E$13)</f>
        <v>18.297000000000001</v>
      </c>
      <c r="D1025" s="63">
        <f>18.3323 * CHOOSE(CONTROL!$C$22, $C$13, 100%, $E$13)</f>
        <v>18.3323</v>
      </c>
      <c r="E1025" s="64">
        <f>21.7063 * CHOOSE(CONTROL!$C$22, $C$13, 100%, $E$13)</f>
        <v>21.706299999999999</v>
      </c>
      <c r="F1025" s="64">
        <f>21.7063 * CHOOSE(CONTROL!$C$22, $C$13, 100%, $E$13)</f>
        <v>21.706299999999999</v>
      </c>
      <c r="G1025" s="64">
        <f>21.7085 * CHOOSE(CONTROL!$C$22, $C$13, 100%, $E$13)</f>
        <v>21.708500000000001</v>
      </c>
      <c r="H1025" s="64">
        <f>34.9377* CHOOSE(CONTROL!$C$22, $C$13, 100%, $E$13)</f>
        <v>34.9377</v>
      </c>
      <c r="I1025" s="64">
        <f>34.9399 * CHOOSE(CONTROL!$C$22, $C$13, 100%, $E$13)</f>
        <v>34.939900000000002</v>
      </c>
      <c r="J1025" s="64">
        <f>21.7063 * CHOOSE(CONTROL!$C$22, $C$13, 100%, $E$13)</f>
        <v>21.706299999999999</v>
      </c>
      <c r="K1025" s="64">
        <f>21.7085 * CHOOSE(CONTROL!$C$22, $C$13, 100%, $E$13)</f>
        <v>21.708500000000001</v>
      </c>
    </row>
    <row r="1026" spans="1:11" ht="15">
      <c r="A1026" s="13">
        <v>72867</v>
      </c>
      <c r="B1026" s="63">
        <f>18.5815 * CHOOSE(CONTROL!$C$22, $C$13, 100%, $E$13)</f>
        <v>18.581499999999998</v>
      </c>
      <c r="C1026" s="63">
        <f>18.5815 * CHOOSE(CONTROL!$C$22, $C$13, 100%, $E$13)</f>
        <v>18.581499999999998</v>
      </c>
      <c r="D1026" s="63">
        <f>18.6168 * CHOOSE(CONTROL!$C$22, $C$13, 100%, $E$13)</f>
        <v>18.616800000000001</v>
      </c>
      <c r="E1026" s="64">
        <f>22.1168 * CHOOSE(CONTROL!$C$22, $C$13, 100%, $E$13)</f>
        <v>22.116800000000001</v>
      </c>
      <c r="F1026" s="64">
        <f>22.1168 * CHOOSE(CONTROL!$C$22, $C$13, 100%, $E$13)</f>
        <v>22.116800000000001</v>
      </c>
      <c r="G1026" s="64">
        <f>22.119 * CHOOSE(CONTROL!$C$22, $C$13, 100%, $E$13)</f>
        <v>22.119</v>
      </c>
      <c r="H1026" s="64">
        <f>35.0105* CHOOSE(CONTROL!$C$22, $C$13, 100%, $E$13)</f>
        <v>35.0105</v>
      </c>
      <c r="I1026" s="64">
        <f>35.0127 * CHOOSE(CONTROL!$C$22, $C$13, 100%, $E$13)</f>
        <v>35.012700000000002</v>
      </c>
      <c r="J1026" s="64">
        <f>22.1168 * CHOOSE(CONTROL!$C$22, $C$13, 100%, $E$13)</f>
        <v>22.116800000000001</v>
      </c>
      <c r="K1026" s="64">
        <f>22.119 * CHOOSE(CONTROL!$C$22, $C$13, 100%, $E$13)</f>
        <v>22.119</v>
      </c>
    </row>
    <row r="1027" spans="1:11" ht="15">
      <c r="A1027" s="13">
        <v>72898</v>
      </c>
      <c r="B1027" s="63">
        <f>18.5881 * CHOOSE(CONTROL!$C$22, $C$13, 100%, $E$13)</f>
        <v>18.588100000000001</v>
      </c>
      <c r="C1027" s="63">
        <f>18.5881 * CHOOSE(CONTROL!$C$22, $C$13, 100%, $E$13)</f>
        <v>18.588100000000001</v>
      </c>
      <c r="D1027" s="63">
        <f>18.6235 * CHOOSE(CONTROL!$C$22, $C$13, 100%, $E$13)</f>
        <v>18.6235</v>
      </c>
      <c r="E1027" s="64">
        <f>21.8967 * CHOOSE(CONTROL!$C$22, $C$13, 100%, $E$13)</f>
        <v>21.896699999999999</v>
      </c>
      <c r="F1027" s="64">
        <f>21.8967 * CHOOSE(CONTROL!$C$22, $C$13, 100%, $E$13)</f>
        <v>21.896699999999999</v>
      </c>
      <c r="G1027" s="64">
        <f>21.8989 * CHOOSE(CONTROL!$C$22, $C$13, 100%, $E$13)</f>
        <v>21.898900000000001</v>
      </c>
      <c r="H1027" s="64">
        <f>35.0835* CHOOSE(CONTROL!$C$22, $C$13, 100%, $E$13)</f>
        <v>35.083500000000001</v>
      </c>
      <c r="I1027" s="64">
        <f>35.0856 * CHOOSE(CONTROL!$C$22, $C$13, 100%, $E$13)</f>
        <v>35.085599999999999</v>
      </c>
      <c r="J1027" s="64">
        <f>21.8967 * CHOOSE(CONTROL!$C$22, $C$13, 100%, $E$13)</f>
        <v>21.896699999999999</v>
      </c>
      <c r="K1027" s="64">
        <f>21.8989 * CHOOSE(CONTROL!$C$22, $C$13, 100%, $E$13)</f>
        <v>21.898900000000001</v>
      </c>
    </row>
    <row r="1028" spans="1:11" ht="15">
      <c r="A1028" s="13">
        <v>72929</v>
      </c>
      <c r="B1028" s="63">
        <f>18.5851 * CHOOSE(CONTROL!$C$22, $C$13, 100%, $E$13)</f>
        <v>18.585100000000001</v>
      </c>
      <c r="C1028" s="63">
        <f>18.5851 * CHOOSE(CONTROL!$C$22, $C$13, 100%, $E$13)</f>
        <v>18.585100000000001</v>
      </c>
      <c r="D1028" s="63">
        <f>18.6204 * CHOOSE(CONTROL!$C$22, $C$13, 100%, $E$13)</f>
        <v>18.6204</v>
      </c>
      <c r="E1028" s="64">
        <f>21.8696 * CHOOSE(CONTROL!$C$22, $C$13, 100%, $E$13)</f>
        <v>21.869599999999998</v>
      </c>
      <c r="F1028" s="64">
        <f>21.8696 * CHOOSE(CONTROL!$C$22, $C$13, 100%, $E$13)</f>
        <v>21.869599999999998</v>
      </c>
      <c r="G1028" s="64">
        <f>21.8718 * CHOOSE(CONTROL!$C$22, $C$13, 100%, $E$13)</f>
        <v>21.8718</v>
      </c>
      <c r="H1028" s="64">
        <f>35.1565* CHOOSE(CONTROL!$C$22, $C$13, 100%, $E$13)</f>
        <v>35.156500000000001</v>
      </c>
      <c r="I1028" s="64">
        <f>35.1587 * CHOOSE(CONTROL!$C$22, $C$13, 100%, $E$13)</f>
        <v>35.158700000000003</v>
      </c>
      <c r="J1028" s="64">
        <f>21.8696 * CHOOSE(CONTROL!$C$22, $C$13, 100%, $E$13)</f>
        <v>21.869599999999998</v>
      </c>
      <c r="K1028" s="64">
        <f>21.8718 * CHOOSE(CONTROL!$C$22, $C$13, 100%, $E$13)</f>
        <v>21.8718</v>
      </c>
    </row>
    <row r="1029" spans="1:11" ht="15">
      <c r="A1029" s="13">
        <v>72959</v>
      </c>
      <c r="B1029" s="63">
        <f>18.6278 * CHOOSE(CONTROL!$C$22, $C$13, 100%, $E$13)</f>
        <v>18.627800000000001</v>
      </c>
      <c r="C1029" s="63">
        <f>18.6278 * CHOOSE(CONTROL!$C$22, $C$13, 100%, $E$13)</f>
        <v>18.627800000000001</v>
      </c>
      <c r="D1029" s="63">
        <f>18.6454 * CHOOSE(CONTROL!$C$22, $C$13, 100%, $E$13)</f>
        <v>18.645399999999999</v>
      </c>
      <c r="E1029" s="64">
        <f>21.9561 * CHOOSE(CONTROL!$C$22, $C$13, 100%, $E$13)</f>
        <v>21.956099999999999</v>
      </c>
      <c r="F1029" s="64">
        <f>21.9561 * CHOOSE(CONTROL!$C$22, $C$13, 100%, $E$13)</f>
        <v>21.956099999999999</v>
      </c>
      <c r="G1029" s="64">
        <f>21.9563 * CHOOSE(CONTROL!$C$22, $C$13, 100%, $E$13)</f>
        <v>21.956299999999999</v>
      </c>
      <c r="H1029" s="64">
        <f>35.2298* CHOOSE(CONTROL!$C$22, $C$13, 100%, $E$13)</f>
        <v>35.229799999999997</v>
      </c>
      <c r="I1029" s="64">
        <f>35.23 * CHOOSE(CONTROL!$C$22, $C$13, 100%, $E$13)</f>
        <v>35.229999999999997</v>
      </c>
      <c r="J1029" s="64">
        <f>21.9561 * CHOOSE(CONTROL!$C$22, $C$13, 100%, $E$13)</f>
        <v>21.956099999999999</v>
      </c>
      <c r="K1029" s="64">
        <f>21.9563 * CHOOSE(CONTROL!$C$22, $C$13, 100%, $E$13)</f>
        <v>21.956299999999999</v>
      </c>
    </row>
    <row r="1030" spans="1:11" ht="15">
      <c r="A1030" s="13">
        <v>72990</v>
      </c>
      <c r="B1030" s="63">
        <f>18.6308 * CHOOSE(CONTROL!$C$22, $C$13, 100%, $E$13)</f>
        <v>18.630800000000001</v>
      </c>
      <c r="C1030" s="63">
        <f>18.6308 * CHOOSE(CONTROL!$C$22, $C$13, 100%, $E$13)</f>
        <v>18.630800000000001</v>
      </c>
      <c r="D1030" s="63">
        <f>18.6485 * CHOOSE(CONTROL!$C$22, $C$13, 100%, $E$13)</f>
        <v>18.648499999999999</v>
      </c>
      <c r="E1030" s="64">
        <f>22.0082 * CHOOSE(CONTROL!$C$22, $C$13, 100%, $E$13)</f>
        <v>22.008199999999999</v>
      </c>
      <c r="F1030" s="64">
        <f>22.0082 * CHOOSE(CONTROL!$C$22, $C$13, 100%, $E$13)</f>
        <v>22.008199999999999</v>
      </c>
      <c r="G1030" s="64">
        <f>22.0083 * CHOOSE(CONTROL!$C$22, $C$13, 100%, $E$13)</f>
        <v>22.008299999999998</v>
      </c>
      <c r="H1030" s="64">
        <f>35.3032* CHOOSE(CONTROL!$C$22, $C$13, 100%, $E$13)</f>
        <v>35.303199999999997</v>
      </c>
      <c r="I1030" s="64">
        <f>35.3034 * CHOOSE(CONTROL!$C$22, $C$13, 100%, $E$13)</f>
        <v>35.303400000000003</v>
      </c>
      <c r="J1030" s="64">
        <f>22.0082 * CHOOSE(CONTROL!$C$22, $C$13, 100%, $E$13)</f>
        <v>22.008199999999999</v>
      </c>
      <c r="K1030" s="64">
        <f>22.0083 * CHOOSE(CONTROL!$C$22, $C$13, 100%, $E$13)</f>
        <v>22.008299999999998</v>
      </c>
    </row>
    <row r="1031" spans="1:11" ht="15">
      <c r="A1031" s="13">
        <v>73020</v>
      </c>
      <c r="B1031" s="63">
        <f>18.6308 * CHOOSE(CONTROL!$C$22, $C$13, 100%, $E$13)</f>
        <v>18.630800000000001</v>
      </c>
      <c r="C1031" s="63">
        <f>18.6308 * CHOOSE(CONTROL!$C$22, $C$13, 100%, $E$13)</f>
        <v>18.630800000000001</v>
      </c>
      <c r="D1031" s="63">
        <f>18.6485 * CHOOSE(CONTROL!$C$22, $C$13, 100%, $E$13)</f>
        <v>18.648499999999999</v>
      </c>
      <c r="E1031" s="64">
        <f>21.8833 * CHOOSE(CONTROL!$C$22, $C$13, 100%, $E$13)</f>
        <v>21.883299999999998</v>
      </c>
      <c r="F1031" s="64">
        <f>21.8833 * CHOOSE(CONTROL!$C$22, $C$13, 100%, $E$13)</f>
        <v>21.883299999999998</v>
      </c>
      <c r="G1031" s="64">
        <f>21.8834 * CHOOSE(CONTROL!$C$22, $C$13, 100%, $E$13)</f>
        <v>21.883400000000002</v>
      </c>
      <c r="H1031" s="64">
        <f>35.3767* CHOOSE(CONTROL!$C$22, $C$13, 100%, $E$13)</f>
        <v>35.3767</v>
      </c>
      <c r="I1031" s="64">
        <f>35.3769 * CHOOSE(CONTROL!$C$22, $C$13, 100%, $E$13)</f>
        <v>35.376899999999999</v>
      </c>
      <c r="J1031" s="64">
        <f>21.8833 * CHOOSE(CONTROL!$C$22, $C$13, 100%, $E$13)</f>
        <v>21.883299999999998</v>
      </c>
      <c r="K1031" s="64">
        <f>21.8834 * CHOOSE(CONTROL!$C$22, $C$13, 100%, $E$13)</f>
        <v>21.883400000000002</v>
      </c>
    </row>
    <row r="1032" spans="1:11" ht="15">
      <c r="A1032" s="13">
        <v>73051</v>
      </c>
      <c r="B1032" s="63">
        <f>18.5326 * CHOOSE(CONTROL!$C$22, $C$13, 100%, $E$13)</f>
        <v>18.532599999999999</v>
      </c>
      <c r="C1032" s="63">
        <f>18.5326 * CHOOSE(CONTROL!$C$22, $C$13, 100%, $E$13)</f>
        <v>18.532599999999999</v>
      </c>
      <c r="D1032" s="63">
        <f>18.5502 * CHOOSE(CONTROL!$C$22, $C$13, 100%, $E$13)</f>
        <v>18.5502</v>
      </c>
      <c r="E1032" s="64">
        <f>21.8531 * CHOOSE(CONTROL!$C$22, $C$13, 100%, $E$13)</f>
        <v>21.853100000000001</v>
      </c>
      <c r="F1032" s="64">
        <f>21.8531 * CHOOSE(CONTROL!$C$22, $C$13, 100%, $E$13)</f>
        <v>21.853100000000001</v>
      </c>
      <c r="G1032" s="64">
        <f>21.8532 * CHOOSE(CONTROL!$C$22, $C$13, 100%, $E$13)</f>
        <v>21.853200000000001</v>
      </c>
      <c r="H1032" s="64">
        <f>35.022* CHOOSE(CONTROL!$C$22, $C$13, 100%, $E$13)</f>
        <v>35.021999999999998</v>
      </c>
      <c r="I1032" s="64">
        <f>35.0221 * CHOOSE(CONTROL!$C$22, $C$13, 100%, $E$13)</f>
        <v>35.022100000000002</v>
      </c>
      <c r="J1032" s="64">
        <f>21.8531 * CHOOSE(CONTROL!$C$22, $C$13, 100%, $E$13)</f>
        <v>21.853100000000001</v>
      </c>
      <c r="K1032" s="64">
        <f>21.8532 * CHOOSE(CONTROL!$C$22, $C$13, 100%, $E$13)</f>
        <v>21.853200000000001</v>
      </c>
    </row>
    <row r="1033" spans="1:11" ht="15">
      <c r="A1033" s="13">
        <v>73082</v>
      </c>
      <c r="B1033" s="63">
        <f>18.5295 * CHOOSE(CONTROL!$C$22, $C$13, 100%, $E$13)</f>
        <v>18.529499999999999</v>
      </c>
      <c r="C1033" s="63">
        <f>18.5295 * CHOOSE(CONTROL!$C$22, $C$13, 100%, $E$13)</f>
        <v>18.529499999999999</v>
      </c>
      <c r="D1033" s="63">
        <f>18.5472 * CHOOSE(CONTROL!$C$22, $C$13, 100%, $E$13)</f>
        <v>18.5472</v>
      </c>
      <c r="E1033" s="64">
        <f>21.6117 * CHOOSE(CONTROL!$C$22, $C$13, 100%, $E$13)</f>
        <v>21.611699999999999</v>
      </c>
      <c r="F1033" s="64">
        <f>21.6117 * CHOOSE(CONTROL!$C$22, $C$13, 100%, $E$13)</f>
        <v>21.611699999999999</v>
      </c>
      <c r="G1033" s="64">
        <f>21.6119 * CHOOSE(CONTROL!$C$22, $C$13, 100%, $E$13)</f>
        <v>21.611899999999999</v>
      </c>
      <c r="H1033" s="64">
        <f>35.0949* CHOOSE(CONTROL!$C$22, $C$13, 100%, $E$13)</f>
        <v>35.094900000000003</v>
      </c>
      <c r="I1033" s="64">
        <f>35.0951 * CHOOSE(CONTROL!$C$22, $C$13, 100%, $E$13)</f>
        <v>35.095100000000002</v>
      </c>
      <c r="J1033" s="64">
        <f>21.6117 * CHOOSE(CONTROL!$C$22, $C$13, 100%, $E$13)</f>
        <v>21.611699999999999</v>
      </c>
      <c r="K1033" s="64">
        <f>21.6119 * CHOOSE(CONTROL!$C$22, $C$13, 100%, $E$13)</f>
        <v>21.611899999999999</v>
      </c>
    </row>
    <row r="1034" spans="1:11" ht="15">
      <c r="A1034" s="13">
        <v>73110</v>
      </c>
      <c r="B1034" s="63">
        <f>18.5265 * CHOOSE(CONTROL!$C$22, $C$13, 100%, $E$13)</f>
        <v>18.526499999999999</v>
      </c>
      <c r="C1034" s="63">
        <f>18.5265 * CHOOSE(CONTROL!$C$22, $C$13, 100%, $E$13)</f>
        <v>18.526499999999999</v>
      </c>
      <c r="D1034" s="63">
        <f>18.5441 * CHOOSE(CONTROL!$C$22, $C$13, 100%, $E$13)</f>
        <v>18.5441</v>
      </c>
      <c r="E1034" s="64">
        <f>21.7982 * CHOOSE(CONTROL!$C$22, $C$13, 100%, $E$13)</f>
        <v>21.798200000000001</v>
      </c>
      <c r="F1034" s="64">
        <f>21.7982 * CHOOSE(CONTROL!$C$22, $C$13, 100%, $E$13)</f>
        <v>21.798200000000001</v>
      </c>
      <c r="G1034" s="64">
        <f>21.7984 * CHOOSE(CONTROL!$C$22, $C$13, 100%, $E$13)</f>
        <v>21.798400000000001</v>
      </c>
      <c r="H1034" s="64">
        <f>35.168* CHOOSE(CONTROL!$C$22, $C$13, 100%, $E$13)</f>
        <v>35.167999999999999</v>
      </c>
      <c r="I1034" s="64">
        <f>35.1682 * CHOOSE(CONTROL!$C$22, $C$13, 100%, $E$13)</f>
        <v>35.168199999999999</v>
      </c>
      <c r="J1034" s="64">
        <f>21.7982 * CHOOSE(CONTROL!$C$22, $C$13, 100%, $E$13)</f>
        <v>21.798200000000001</v>
      </c>
      <c r="K1034" s="64">
        <f>21.7984 * CHOOSE(CONTROL!$C$22, $C$13, 100%, $E$13)</f>
        <v>21.798400000000001</v>
      </c>
    </row>
    <row r="1035" spans="1:11" ht="15">
      <c r="A1035" s="13">
        <v>73141</v>
      </c>
      <c r="B1035" s="63">
        <f>18.5365 * CHOOSE(CONTROL!$C$22, $C$13, 100%, $E$13)</f>
        <v>18.5365</v>
      </c>
      <c r="C1035" s="63">
        <f>18.5365 * CHOOSE(CONTROL!$C$22, $C$13, 100%, $E$13)</f>
        <v>18.5365</v>
      </c>
      <c r="D1035" s="63">
        <f>18.5541 * CHOOSE(CONTROL!$C$22, $C$13, 100%, $E$13)</f>
        <v>18.554099999999998</v>
      </c>
      <c r="E1035" s="64">
        <f>21.9965 * CHOOSE(CONTROL!$C$22, $C$13, 100%, $E$13)</f>
        <v>21.996500000000001</v>
      </c>
      <c r="F1035" s="64">
        <f>21.9965 * CHOOSE(CONTROL!$C$22, $C$13, 100%, $E$13)</f>
        <v>21.996500000000001</v>
      </c>
      <c r="G1035" s="64">
        <f>21.9967 * CHOOSE(CONTROL!$C$22, $C$13, 100%, $E$13)</f>
        <v>21.996700000000001</v>
      </c>
      <c r="H1035" s="64">
        <f>35.2413* CHOOSE(CONTROL!$C$22, $C$13, 100%, $E$13)</f>
        <v>35.241300000000003</v>
      </c>
      <c r="I1035" s="64">
        <f>35.2415 * CHOOSE(CONTROL!$C$22, $C$13, 100%, $E$13)</f>
        <v>35.241500000000002</v>
      </c>
      <c r="J1035" s="64">
        <f>21.9965 * CHOOSE(CONTROL!$C$22, $C$13, 100%, $E$13)</f>
        <v>21.996500000000001</v>
      </c>
      <c r="K1035" s="64">
        <f>21.9967 * CHOOSE(CONTROL!$C$22, $C$13, 100%, $E$13)</f>
        <v>21.996700000000001</v>
      </c>
    </row>
    <row r="1036" spans="1:11" ht="15">
      <c r="A1036" s="13">
        <v>73171</v>
      </c>
      <c r="B1036" s="63">
        <f>18.5365 * CHOOSE(CONTROL!$C$22, $C$13, 100%, $E$13)</f>
        <v>18.5365</v>
      </c>
      <c r="C1036" s="63">
        <f>18.5365 * CHOOSE(CONTROL!$C$22, $C$13, 100%, $E$13)</f>
        <v>18.5365</v>
      </c>
      <c r="D1036" s="63">
        <f>18.5718 * CHOOSE(CONTROL!$C$22, $C$13, 100%, $E$13)</f>
        <v>18.5718</v>
      </c>
      <c r="E1036" s="64">
        <f>22.0725 * CHOOSE(CONTROL!$C$22, $C$13, 100%, $E$13)</f>
        <v>22.072500000000002</v>
      </c>
      <c r="F1036" s="64">
        <f>22.0725 * CHOOSE(CONTROL!$C$22, $C$13, 100%, $E$13)</f>
        <v>22.072500000000002</v>
      </c>
      <c r="G1036" s="64">
        <f>22.0746 * CHOOSE(CONTROL!$C$22, $C$13, 100%, $E$13)</f>
        <v>22.0746</v>
      </c>
      <c r="H1036" s="64">
        <f>35.3147* CHOOSE(CONTROL!$C$22, $C$13, 100%, $E$13)</f>
        <v>35.314700000000002</v>
      </c>
      <c r="I1036" s="64">
        <f>35.3169 * CHOOSE(CONTROL!$C$22, $C$13, 100%, $E$13)</f>
        <v>35.316899999999997</v>
      </c>
      <c r="J1036" s="64">
        <f>22.0725 * CHOOSE(CONTROL!$C$22, $C$13, 100%, $E$13)</f>
        <v>22.072500000000002</v>
      </c>
      <c r="K1036" s="64">
        <f>22.0746 * CHOOSE(CONTROL!$C$22, $C$13, 100%, $E$13)</f>
        <v>22.0746</v>
      </c>
    </row>
    <row r="1037" spans="1:11" ht="15">
      <c r="A1037" s="13">
        <v>73202</v>
      </c>
      <c r="B1037" s="63">
        <f>18.5425 * CHOOSE(CONTROL!$C$22, $C$13, 100%, $E$13)</f>
        <v>18.5425</v>
      </c>
      <c r="C1037" s="63">
        <f>18.5425 * CHOOSE(CONTROL!$C$22, $C$13, 100%, $E$13)</f>
        <v>18.5425</v>
      </c>
      <c r="D1037" s="63">
        <f>18.5779 * CHOOSE(CONTROL!$C$22, $C$13, 100%, $E$13)</f>
        <v>18.5779</v>
      </c>
      <c r="E1037" s="64">
        <f>22.0007 * CHOOSE(CONTROL!$C$22, $C$13, 100%, $E$13)</f>
        <v>22.000699999999998</v>
      </c>
      <c r="F1037" s="64">
        <f>22.0007 * CHOOSE(CONTROL!$C$22, $C$13, 100%, $E$13)</f>
        <v>22.000699999999998</v>
      </c>
      <c r="G1037" s="64">
        <f>22.0029 * CHOOSE(CONTROL!$C$22, $C$13, 100%, $E$13)</f>
        <v>22.0029</v>
      </c>
      <c r="H1037" s="64">
        <f>35.3883* CHOOSE(CONTROL!$C$22, $C$13, 100%, $E$13)</f>
        <v>35.388300000000001</v>
      </c>
      <c r="I1037" s="64">
        <f>35.3905 * CHOOSE(CONTROL!$C$22, $C$13, 100%, $E$13)</f>
        <v>35.390500000000003</v>
      </c>
      <c r="J1037" s="64">
        <f>22.0007 * CHOOSE(CONTROL!$C$22, $C$13, 100%, $E$13)</f>
        <v>22.000699999999998</v>
      </c>
      <c r="K1037" s="64">
        <f>22.0029 * CHOOSE(CONTROL!$C$22, $C$13, 100%, $E$13)</f>
        <v>22.0029</v>
      </c>
    </row>
    <row r="1038" spans="1:11" ht="15">
      <c r="A1038" s="13">
        <v>73232</v>
      </c>
      <c r="B1038" s="63">
        <f>18.8307 * CHOOSE(CONTROL!$C$22, $C$13, 100%, $E$13)</f>
        <v>18.8307</v>
      </c>
      <c r="C1038" s="63">
        <f>18.8307 * CHOOSE(CONTROL!$C$22, $C$13, 100%, $E$13)</f>
        <v>18.8307</v>
      </c>
      <c r="D1038" s="63">
        <f>18.866 * CHOOSE(CONTROL!$C$22, $C$13, 100%, $E$13)</f>
        <v>18.866</v>
      </c>
      <c r="E1038" s="64">
        <f>22.4167 * CHOOSE(CONTROL!$C$22, $C$13, 100%, $E$13)</f>
        <v>22.416699999999999</v>
      </c>
      <c r="F1038" s="64">
        <f>22.4167 * CHOOSE(CONTROL!$C$22, $C$13, 100%, $E$13)</f>
        <v>22.416699999999999</v>
      </c>
      <c r="G1038" s="64">
        <f>22.4189 * CHOOSE(CONTROL!$C$22, $C$13, 100%, $E$13)</f>
        <v>22.418900000000001</v>
      </c>
      <c r="H1038" s="64">
        <f>35.462* CHOOSE(CONTROL!$C$22, $C$13, 100%, $E$13)</f>
        <v>35.462000000000003</v>
      </c>
      <c r="I1038" s="64">
        <f>35.4642 * CHOOSE(CONTROL!$C$22, $C$13, 100%, $E$13)</f>
        <v>35.464199999999998</v>
      </c>
      <c r="J1038" s="64">
        <f>22.4167 * CHOOSE(CONTROL!$C$22, $C$13, 100%, $E$13)</f>
        <v>22.416699999999999</v>
      </c>
      <c r="K1038" s="64">
        <f>22.4189 * CHOOSE(CONTROL!$C$22, $C$13, 100%, $E$13)</f>
        <v>22.418900000000001</v>
      </c>
    </row>
    <row r="1039" spans="1:11" ht="15">
      <c r="A1039" s="13">
        <v>73263</v>
      </c>
      <c r="B1039" s="63">
        <f>18.8374 * CHOOSE(CONTROL!$C$22, $C$13, 100%, $E$13)</f>
        <v>18.837399999999999</v>
      </c>
      <c r="C1039" s="63">
        <f>18.8374 * CHOOSE(CONTROL!$C$22, $C$13, 100%, $E$13)</f>
        <v>18.837399999999999</v>
      </c>
      <c r="D1039" s="63">
        <f>18.8727 * CHOOSE(CONTROL!$C$22, $C$13, 100%, $E$13)</f>
        <v>18.872699999999998</v>
      </c>
      <c r="E1039" s="64">
        <f>22.1935 * CHOOSE(CONTROL!$C$22, $C$13, 100%, $E$13)</f>
        <v>22.1935</v>
      </c>
      <c r="F1039" s="64">
        <f>22.1935 * CHOOSE(CONTROL!$C$22, $C$13, 100%, $E$13)</f>
        <v>22.1935</v>
      </c>
      <c r="G1039" s="64">
        <f>22.1957 * CHOOSE(CONTROL!$C$22, $C$13, 100%, $E$13)</f>
        <v>22.195699999999999</v>
      </c>
      <c r="H1039" s="64">
        <f>35.5359* CHOOSE(CONTROL!$C$22, $C$13, 100%, $E$13)</f>
        <v>35.535899999999998</v>
      </c>
      <c r="I1039" s="64">
        <f>35.5381 * CHOOSE(CONTROL!$C$22, $C$13, 100%, $E$13)</f>
        <v>35.5381</v>
      </c>
      <c r="J1039" s="64">
        <f>22.1935 * CHOOSE(CONTROL!$C$22, $C$13, 100%, $E$13)</f>
        <v>22.1935</v>
      </c>
      <c r="K1039" s="64">
        <f>22.1957 * CHOOSE(CONTROL!$C$22, $C$13, 100%, $E$13)</f>
        <v>22.195699999999999</v>
      </c>
    </row>
    <row r="1040" spans="1:11" ht="15">
      <c r="A1040" s="13">
        <v>73294</v>
      </c>
      <c r="B1040" s="63">
        <f>18.8343 * CHOOSE(CONTROL!$C$22, $C$13, 100%, $E$13)</f>
        <v>18.834299999999999</v>
      </c>
      <c r="C1040" s="63">
        <f>18.8343 * CHOOSE(CONTROL!$C$22, $C$13, 100%, $E$13)</f>
        <v>18.834299999999999</v>
      </c>
      <c r="D1040" s="63">
        <f>18.8696 * CHOOSE(CONTROL!$C$22, $C$13, 100%, $E$13)</f>
        <v>18.869599999999998</v>
      </c>
      <c r="E1040" s="64">
        <f>22.1661 * CHOOSE(CONTROL!$C$22, $C$13, 100%, $E$13)</f>
        <v>22.1661</v>
      </c>
      <c r="F1040" s="64">
        <f>22.1661 * CHOOSE(CONTROL!$C$22, $C$13, 100%, $E$13)</f>
        <v>22.1661</v>
      </c>
      <c r="G1040" s="64">
        <f>22.1682 * CHOOSE(CONTROL!$C$22, $C$13, 100%, $E$13)</f>
        <v>22.168199999999999</v>
      </c>
      <c r="H1040" s="64">
        <f>35.6099* CHOOSE(CONTROL!$C$22, $C$13, 100%, $E$13)</f>
        <v>35.609900000000003</v>
      </c>
      <c r="I1040" s="64">
        <f>35.6121 * CHOOSE(CONTROL!$C$22, $C$13, 100%, $E$13)</f>
        <v>35.612099999999998</v>
      </c>
      <c r="J1040" s="64">
        <f>22.1661 * CHOOSE(CONTROL!$C$22, $C$13, 100%, $E$13)</f>
        <v>22.1661</v>
      </c>
      <c r="K1040" s="64">
        <f>22.1682 * CHOOSE(CONTROL!$C$22, $C$13, 100%, $E$13)</f>
        <v>22.168199999999999</v>
      </c>
    </row>
    <row r="1041" spans="1:11" ht="15">
      <c r="A1041" s="13">
        <v>73324</v>
      </c>
      <c r="B1041" s="63">
        <f>18.8778 * CHOOSE(CONTROL!$C$22, $C$13, 100%, $E$13)</f>
        <v>18.877800000000001</v>
      </c>
      <c r="C1041" s="63">
        <f>18.8778 * CHOOSE(CONTROL!$C$22, $C$13, 100%, $E$13)</f>
        <v>18.877800000000001</v>
      </c>
      <c r="D1041" s="63">
        <f>18.8955 * CHOOSE(CONTROL!$C$22, $C$13, 100%, $E$13)</f>
        <v>18.895499999999998</v>
      </c>
      <c r="E1041" s="64">
        <f>22.2539 * CHOOSE(CONTROL!$C$22, $C$13, 100%, $E$13)</f>
        <v>22.253900000000002</v>
      </c>
      <c r="F1041" s="64">
        <f>22.2539 * CHOOSE(CONTROL!$C$22, $C$13, 100%, $E$13)</f>
        <v>22.253900000000002</v>
      </c>
      <c r="G1041" s="64">
        <f>22.2541 * CHOOSE(CONTROL!$C$22, $C$13, 100%, $E$13)</f>
        <v>22.254100000000001</v>
      </c>
      <c r="H1041" s="64">
        <f>35.6841* CHOOSE(CONTROL!$C$22, $C$13, 100%, $E$13)</f>
        <v>35.684100000000001</v>
      </c>
      <c r="I1041" s="64">
        <f>35.6843 * CHOOSE(CONTROL!$C$22, $C$13, 100%, $E$13)</f>
        <v>35.6843</v>
      </c>
      <c r="J1041" s="64">
        <f>22.2539 * CHOOSE(CONTROL!$C$22, $C$13, 100%, $E$13)</f>
        <v>22.253900000000002</v>
      </c>
      <c r="K1041" s="64">
        <f>22.2541 * CHOOSE(CONTROL!$C$22, $C$13, 100%, $E$13)</f>
        <v>22.254100000000001</v>
      </c>
    </row>
    <row r="1042" spans="1:11" ht="15">
      <c r="A1042" s="13">
        <v>73355</v>
      </c>
      <c r="B1042" s="63">
        <f>18.8808 * CHOOSE(CONTROL!$C$22, $C$13, 100%, $E$13)</f>
        <v>18.880800000000001</v>
      </c>
      <c r="C1042" s="63">
        <f>18.8808 * CHOOSE(CONTROL!$C$22, $C$13, 100%, $E$13)</f>
        <v>18.880800000000001</v>
      </c>
      <c r="D1042" s="63">
        <f>18.8985 * CHOOSE(CONTROL!$C$22, $C$13, 100%, $E$13)</f>
        <v>18.898499999999999</v>
      </c>
      <c r="E1042" s="64">
        <f>22.3067 * CHOOSE(CONTROL!$C$22, $C$13, 100%, $E$13)</f>
        <v>22.306699999999999</v>
      </c>
      <c r="F1042" s="64">
        <f>22.3067 * CHOOSE(CONTROL!$C$22, $C$13, 100%, $E$13)</f>
        <v>22.306699999999999</v>
      </c>
      <c r="G1042" s="64">
        <f>22.3069 * CHOOSE(CONTROL!$C$22, $C$13, 100%, $E$13)</f>
        <v>22.306899999999999</v>
      </c>
      <c r="H1042" s="64">
        <f>35.7585* CHOOSE(CONTROL!$C$22, $C$13, 100%, $E$13)</f>
        <v>35.758499999999998</v>
      </c>
      <c r="I1042" s="64">
        <f>35.7586 * CHOOSE(CONTROL!$C$22, $C$13, 100%, $E$13)</f>
        <v>35.758600000000001</v>
      </c>
      <c r="J1042" s="64">
        <f>22.3067 * CHOOSE(CONTROL!$C$22, $C$13, 100%, $E$13)</f>
        <v>22.306699999999999</v>
      </c>
      <c r="K1042" s="64">
        <f>22.3069 * CHOOSE(CONTROL!$C$22, $C$13, 100%, $E$13)</f>
        <v>22.306899999999999</v>
      </c>
    </row>
    <row r="1043" spans="1:11" ht="15">
      <c r="A1043" s="13">
        <v>73385</v>
      </c>
      <c r="B1043" s="63">
        <f>18.8808 * CHOOSE(CONTROL!$C$22, $C$13, 100%, $E$13)</f>
        <v>18.880800000000001</v>
      </c>
      <c r="C1043" s="63">
        <f>18.8808 * CHOOSE(CONTROL!$C$22, $C$13, 100%, $E$13)</f>
        <v>18.880800000000001</v>
      </c>
      <c r="D1043" s="63">
        <f>18.8985 * CHOOSE(CONTROL!$C$22, $C$13, 100%, $E$13)</f>
        <v>18.898499999999999</v>
      </c>
      <c r="E1043" s="64">
        <f>22.1801 * CHOOSE(CONTROL!$C$22, $C$13, 100%, $E$13)</f>
        <v>22.180099999999999</v>
      </c>
      <c r="F1043" s="64">
        <f>22.1801 * CHOOSE(CONTROL!$C$22, $C$13, 100%, $E$13)</f>
        <v>22.180099999999999</v>
      </c>
      <c r="G1043" s="64">
        <f>22.1803 * CHOOSE(CONTROL!$C$22, $C$13, 100%, $E$13)</f>
        <v>22.180299999999999</v>
      </c>
      <c r="H1043" s="64">
        <f>35.833* CHOOSE(CONTROL!$C$22, $C$13, 100%, $E$13)</f>
        <v>35.832999999999998</v>
      </c>
      <c r="I1043" s="64">
        <f>35.8331 * CHOOSE(CONTROL!$C$22, $C$13, 100%, $E$13)</f>
        <v>35.833100000000002</v>
      </c>
      <c r="J1043" s="64">
        <f>22.1801 * CHOOSE(CONTROL!$C$22, $C$13, 100%, $E$13)</f>
        <v>22.180099999999999</v>
      </c>
      <c r="K1043" s="64">
        <f>22.1803 * CHOOSE(CONTROL!$C$22, $C$13, 100%, $E$13)</f>
        <v>22.180299999999999</v>
      </c>
    </row>
    <row r="1044" spans="1:11" ht="15">
      <c r="A1044" s="10"/>
      <c r="B1044" s="63"/>
      <c r="C1044" s="63"/>
      <c r="D1044" s="63"/>
      <c r="E1044" s="64"/>
      <c r="F1044" s="64"/>
      <c r="G1044" s="64"/>
      <c r="H1044" s="64"/>
      <c r="I1044" s="64"/>
      <c r="J1044" s="64"/>
      <c r="K1044" s="64"/>
    </row>
    <row r="1045" spans="1:11" ht="15">
      <c r="A1045" s="3">
        <v>2015</v>
      </c>
      <c r="B1045" s="63">
        <f t="shared" ref="B1045:K1045" si="0">AVERAGE(B17:B23)</f>
        <v>2.2334857142857145</v>
      </c>
      <c r="C1045" s="63">
        <f t="shared" si="0"/>
        <v>2.2334857142857145</v>
      </c>
      <c r="D1045" s="63">
        <f t="shared" si="0"/>
        <v>2.2612142857142854</v>
      </c>
      <c r="E1045" s="63">
        <f t="shared" si="0"/>
        <v>3.317185714285714</v>
      </c>
      <c r="F1045" s="63">
        <f t="shared" si="0"/>
        <v>4.0599999999999996</v>
      </c>
      <c r="G1045" s="63">
        <f t="shared" si="0"/>
        <v>4.0613428571428569</v>
      </c>
      <c r="H1045" s="63">
        <f t="shared" si="0"/>
        <v>5.6835714285714278</v>
      </c>
      <c r="I1045" s="63">
        <f t="shared" si="0"/>
        <v>5.6848857142857137</v>
      </c>
      <c r="J1045" s="63">
        <f t="shared" si="0"/>
        <v>3.317185714285714</v>
      </c>
      <c r="K1045" s="63">
        <f t="shared" si="0"/>
        <v>3.3185000000000002</v>
      </c>
    </row>
    <row r="1046" spans="1:11" ht="15">
      <c r="A1046" s="3">
        <v>2016</v>
      </c>
      <c r="B1046" s="63">
        <f t="shared" ref="B1046:K1046" si="1">AVERAGE(B24:B35)</f>
        <v>2.6408833333333335</v>
      </c>
      <c r="C1046" s="63">
        <f t="shared" si="1"/>
        <v>2.6408833333333335</v>
      </c>
      <c r="D1046" s="63">
        <f t="shared" si="1"/>
        <v>2.6659083333333333</v>
      </c>
      <c r="E1046" s="63">
        <f t="shared" si="1"/>
        <v>3.361966666666667</v>
      </c>
      <c r="F1046" s="63">
        <f t="shared" si="1"/>
        <v>4.0214166666666662</v>
      </c>
      <c r="G1046" s="63">
        <f t="shared" si="1"/>
        <v>4.0224500000000001</v>
      </c>
      <c r="H1046" s="63">
        <f t="shared" si="1"/>
        <v>5.7971666666666666</v>
      </c>
      <c r="I1046" s="63">
        <f t="shared" si="1"/>
        <v>5.798166666666666</v>
      </c>
      <c r="J1046" s="63">
        <f t="shared" si="1"/>
        <v>3.361966666666667</v>
      </c>
      <c r="K1046" s="63">
        <f t="shared" si="1"/>
        <v>3.3629916666666677</v>
      </c>
    </row>
    <row r="1047" spans="1:11" ht="15">
      <c r="A1047" s="3">
        <v>2017</v>
      </c>
      <c r="B1047" s="63">
        <f t="shared" ref="B1047:K1047" si="2">AVERAGE(B36:B47)</f>
        <v>2.7329833333333333</v>
      </c>
      <c r="C1047" s="63">
        <f t="shared" si="2"/>
        <v>2.7329833333333333</v>
      </c>
      <c r="D1047" s="63">
        <f t="shared" si="2"/>
        <v>2.7580166666666663</v>
      </c>
      <c r="E1047" s="63">
        <f t="shared" si="2"/>
        <v>3.5132250000000003</v>
      </c>
      <c r="F1047" s="63">
        <f t="shared" si="2"/>
        <v>3.5132250000000003</v>
      </c>
      <c r="G1047" s="63">
        <f t="shared" si="2"/>
        <v>3.5142583333333341</v>
      </c>
      <c r="H1047" s="63">
        <f t="shared" si="2"/>
        <v>5.943766666666666</v>
      </c>
      <c r="I1047" s="63">
        <f t="shared" si="2"/>
        <v>5.9447749999999999</v>
      </c>
      <c r="J1047" s="63">
        <f t="shared" si="2"/>
        <v>3.5132250000000003</v>
      </c>
      <c r="K1047" s="63">
        <f t="shared" si="2"/>
        <v>3.5142583333333341</v>
      </c>
    </row>
    <row r="1048" spans="1:11" ht="15">
      <c r="A1048" s="3">
        <v>2018</v>
      </c>
      <c r="B1048" s="63">
        <f t="shared" ref="B1048:K1048" si="3">AVERAGE(B48:B59)</f>
        <v>2.8547750000000001</v>
      </c>
      <c r="C1048" s="63">
        <f t="shared" si="3"/>
        <v>2.8547750000000001</v>
      </c>
      <c r="D1048" s="63">
        <f t="shared" si="3"/>
        <v>2.8798083333333331</v>
      </c>
      <c r="E1048" s="63">
        <f t="shared" si="3"/>
        <v>3.3498833333333331</v>
      </c>
      <c r="F1048" s="63">
        <f t="shared" si="3"/>
        <v>3.3498833333333331</v>
      </c>
      <c r="G1048" s="63">
        <f t="shared" si="3"/>
        <v>3.350891666666667</v>
      </c>
      <c r="H1048" s="63">
        <f t="shared" si="3"/>
        <v>6.0940916666666674</v>
      </c>
      <c r="I1048" s="63">
        <f t="shared" si="3"/>
        <v>6.0950916666666659</v>
      </c>
      <c r="J1048" s="63">
        <f t="shared" si="3"/>
        <v>3.3498833333333331</v>
      </c>
      <c r="K1048" s="63">
        <f t="shared" si="3"/>
        <v>3.350891666666667</v>
      </c>
    </row>
    <row r="1049" spans="1:11" ht="15">
      <c r="A1049" s="3">
        <v>2019</v>
      </c>
      <c r="B1049" s="63">
        <f t="shared" ref="B1049:K1049" si="4">AVERAGE(B60:B71)</f>
        <v>2.9488833333333333</v>
      </c>
      <c r="C1049" s="63">
        <f t="shared" si="4"/>
        <v>2.9488833333333333</v>
      </c>
      <c r="D1049" s="63">
        <f t="shared" si="4"/>
        <v>2.9738833333333332</v>
      </c>
      <c r="E1049" s="63">
        <f t="shared" si="4"/>
        <v>3.4520083333333336</v>
      </c>
      <c r="F1049" s="63">
        <f t="shared" si="4"/>
        <v>3.4520083333333336</v>
      </c>
      <c r="G1049" s="63">
        <f t="shared" si="4"/>
        <v>3.4530333333333325</v>
      </c>
      <c r="H1049" s="63">
        <f t="shared" si="4"/>
        <v>6.2481916666666679</v>
      </c>
      <c r="I1049" s="63">
        <f t="shared" si="4"/>
        <v>6.2491999999999992</v>
      </c>
      <c r="J1049" s="63">
        <f t="shared" si="4"/>
        <v>3.4520083333333336</v>
      </c>
      <c r="K1049" s="63">
        <f t="shared" si="4"/>
        <v>3.4530333333333325</v>
      </c>
    </row>
    <row r="1050" spans="1:11" ht="15">
      <c r="A1050" s="3">
        <v>2020</v>
      </c>
      <c r="B1050" s="63">
        <f t="shared" ref="B1050:K1050" si="5">AVERAGE(B72:B83)</f>
        <v>3.0247416666666669</v>
      </c>
      <c r="C1050" s="63">
        <f t="shared" si="5"/>
        <v>3.0247416666666669</v>
      </c>
      <c r="D1050" s="63">
        <f t="shared" si="5"/>
        <v>3.0497499999999995</v>
      </c>
      <c r="E1050" s="63">
        <f t="shared" si="5"/>
        <v>3.5770166666666667</v>
      </c>
      <c r="F1050" s="63">
        <f t="shared" si="5"/>
        <v>3.5770166666666667</v>
      </c>
      <c r="G1050" s="63">
        <f t="shared" si="5"/>
        <v>3.5780333333333334</v>
      </c>
      <c r="H1050" s="63">
        <f t="shared" si="5"/>
        <v>6.4061999999999992</v>
      </c>
      <c r="I1050" s="63">
        <f t="shared" si="5"/>
        <v>6.4072000000000022</v>
      </c>
      <c r="J1050" s="63">
        <f t="shared" si="5"/>
        <v>3.5770166666666667</v>
      </c>
      <c r="K1050" s="63">
        <f t="shared" si="5"/>
        <v>3.5780333333333334</v>
      </c>
    </row>
    <row r="1051" spans="1:11" ht="15">
      <c r="A1051" s="3">
        <v>2021</v>
      </c>
      <c r="B1051" s="63">
        <f t="shared" ref="B1051:K1051" si="6">AVERAGE(B84:B95)</f>
        <v>3.1064250000000002</v>
      </c>
      <c r="C1051" s="63">
        <f t="shared" si="6"/>
        <v>3.1064250000000002</v>
      </c>
      <c r="D1051" s="63">
        <f t="shared" si="6"/>
        <v>3.1314499999999996</v>
      </c>
      <c r="E1051" s="63">
        <f t="shared" si="6"/>
        <v>3.659675</v>
      </c>
      <c r="F1051" s="63">
        <f t="shared" si="6"/>
        <v>3.659675</v>
      </c>
      <c r="G1051" s="63">
        <f t="shared" si="6"/>
        <v>3.6606749999999999</v>
      </c>
      <c r="H1051" s="63">
        <f t="shared" si="6"/>
        <v>6.5682</v>
      </c>
      <c r="I1051" s="63">
        <f t="shared" si="6"/>
        <v>6.5691999999999995</v>
      </c>
      <c r="J1051" s="63">
        <f t="shared" si="6"/>
        <v>3.659675</v>
      </c>
      <c r="K1051" s="63">
        <f t="shared" si="6"/>
        <v>3.6606749999999999</v>
      </c>
    </row>
    <row r="1052" spans="1:11" ht="15">
      <c r="A1052" s="3">
        <v>2022</v>
      </c>
      <c r="B1052" s="63">
        <f t="shared" ref="B1052:K1052" si="7">AVERAGE(B96:B107)</f>
        <v>3.1894000000000005</v>
      </c>
      <c r="C1052" s="63">
        <f t="shared" si="7"/>
        <v>3.1894000000000005</v>
      </c>
      <c r="D1052" s="63">
        <f t="shared" si="7"/>
        <v>3.2144166666666654</v>
      </c>
      <c r="E1052" s="63">
        <f t="shared" si="7"/>
        <v>3.7376166666666673</v>
      </c>
      <c r="F1052" s="63">
        <f t="shared" si="7"/>
        <v>3.7376166666666673</v>
      </c>
      <c r="G1052" s="63">
        <f t="shared" si="7"/>
        <v>3.7386333333333339</v>
      </c>
      <c r="H1052" s="63">
        <f t="shared" si="7"/>
        <v>6.7342833333333338</v>
      </c>
      <c r="I1052" s="63">
        <f t="shared" si="7"/>
        <v>6.735308333333335</v>
      </c>
      <c r="J1052" s="63">
        <f t="shared" si="7"/>
        <v>3.7376166666666673</v>
      </c>
      <c r="K1052" s="63">
        <f t="shared" si="7"/>
        <v>3.7386333333333339</v>
      </c>
    </row>
    <row r="1053" spans="1:11" ht="15">
      <c r="A1053" s="3">
        <v>2023</v>
      </c>
      <c r="B1053" s="63">
        <f t="shared" ref="B1053:K1053" si="8">AVERAGE(B108:B119)</f>
        <v>3.2733583333333329</v>
      </c>
      <c r="C1053" s="63">
        <f t="shared" si="8"/>
        <v>3.2733583333333329</v>
      </c>
      <c r="D1053" s="63">
        <f t="shared" si="8"/>
        <v>3.2983833333333323</v>
      </c>
      <c r="E1053" s="63">
        <f t="shared" si="8"/>
        <v>3.8185500000000006</v>
      </c>
      <c r="F1053" s="63">
        <f t="shared" si="8"/>
        <v>3.8185500000000006</v>
      </c>
      <c r="G1053" s="63">
        <f t="shared" si="8"/>
        <v>3.8195583333333336</v>
      </c>
      <c r="H1053" s="63">
        <f t="shared" si="8"/>
        <v>6.9045916666666658</v>
      </c>
      <c r="I1053" s="63">
        <f t="shared" si="8"/>
        <v>6.905616666666667</v>
      </c>
      <c r="J1053" s="63">
        <f t="shared" si="8"/>
        <v>3.8185500000000006</v>
      </c>
      <c r="K1053" s="63">
        <f t="shared" si="8"/>
        <v>3.8195583333333336</v>
      </c>
    </row>
    <row r="1054" spans="1:11" ht="15">
      <c r="A1054" s="3">
        <v>2024</v>
      </c>
      <c r="B1054" s="63">
        <f t="shared" ref="B1054:K1054" si="9">AVERAGE(B120:B131)</f>
        <v>3.356641666666667</v>
      </c>
      <c r="C1054" s="63">
        <f t="shared" si="9"/>
        <v>3.356641666666667</v>
      </c>
      <c r="D1054" s="63">
        <f t="shared" si="9"/>
        <v>3.3816666666666664</v>
      </c>
      <c r="E1054" s="63">
        <f t="shared" si="9"/>
        <v>3.8828749999999999</v>
      </c>
      <c r="F1054" s="63">
        <f t="shared" si="9"/>
        <v>3.8828749999999999</v>
      </c>
      <c r="G1054" s="63">
        <f t="shared" si="9"/>
        <v>3.8838749999999997</v>
      </c>
      <c r="H1054" s="63">
        <f t="shared" si="9"/>
        <v>7.0792083333333329</v>
      </c>
      <c r="I1054" s="63">
        <f t="shared" si="9"/>
        <v>7.0801999999999987</v>
      </c>
      <c r="J1054" s="63">
        <f t="shared" si="9"/>
        <v>3.8828749999999999</v>
      </c>
      <c r="K1054" s="63">
        <f t="shared" si="9"/>
        <v>3.8838749999999997</v>
      </c>
    </row>
    <row r="1055" spans="1:11" ht="15">
      <c r="A1055" s="3">
        <v>2025</v>
      </c>
      <c r="B1055" s="63">
        <f t="shared" ref="B1055:K1055" si="10">AVERAGE(B132:B143)</f>
        <v>3.4431833333333337</v>
      </c>
      <c r="C1055" s="63">
        <f t="shared" si="10"/>
        <v>3.4431833333333337</v>
      </c>
      <c r="D1055" s="63">
        <f t="shared" si="10"/>
        <v>3.4681999999999999</v>
      </c>
      <c r="E1055" s="63">
        <f t="shared" si="10"/>
        <v>3.9477666666666664</v>
      </c>
      <c r="F1055" s="63">
        <f t="shared" si="10"/>
        <v>3.9477666666666664</v>
      </c>
      <c r="G1055" s="63">
        <f t="shared" si="10"/>
        <v>3.9487916666666663</v>
      </c>
      <c r="H1055" s="63">
        <f t="shared" si="10"/>
        <v>7.2582250000000004</v>
      </c>
      <c r="I1055" s="63">
        <f t="shared" si="10"/>
        <v>7.259241666666667</v>
      </c>
      <c r="J1055" s="63">
        <f t="shared" si="10"/>
        <v>3.9477666666666664</v>
      </c>
      <c r="K1055" s="63">
        <f t="shared" si="10"/>
        <v>3.9487916666666663</v>
      </c>
    </row>
    <row r="1056" spans="1:11" ht="15">
      <c r="A1056" s="3">
        <v>2026</v>
      </c>
      <c r="B1056" s="63">
        <f t="shared" ref="B1056:K1056" si="11">AVERAGE(B144:B155)</f>
        <v>3.5199749999999992</v>
      </c>
      <c r="C1056" s="63">
        <f t="shared" si="11"/>
        <v>3.5199749999999992</v>
      </c>
      <c r="D1056" s="63">
        <f t="shared" si="11"/>
        <v>3.5449833333333332</v>
      </c>
      <c r="E1056" s="63">
        <f t="shared" si="11"/>
        <v>4.0216916666666664</v>
      </c>
      <c r="F1056" s="63">
        <f t="shared" si="11"/>
        <v>4.0216916666666664</v>
      </c>
      <c r="G1056" s="63">
        <f t="shared" si="11"/>
        <v>4.0227250000000003</v>
      </c>
      <c r="H1056" s="63">
        <f t="shared" si="11"/>
        <v>7.4417749999999998</v>
      </c>
      <c r="I1056" s="63">
        <f t="shared" si="11"/>
        <v>7.4427833333333338</v>
      </c>
      <c r="J1056" s="63">
        <f t="shared" si="11"/>
        <v>4.0216916666666664</v>
      </c>
      <c r="K1056" s="63">
        <f t="shared" si="11"/>
        <v>4.0227250000000003</v>
      </c>
    </row>
    <row r="1057" spans="1:11" ht="15">
      <c r="A1057" s="3">
        <v>2027</v>
      </c>
      <c r="B1057" s="63">
        <f t="shared" ref="B1057:K1057" si="12">AVERAGE(B156:B167)</f>
        <v>3.5945083333333336</v>
      </c>
      <c r="C1057" s="63">
        <f t="shared" si="12"/>
        <v>3.5945083333333336</v>
      </c>
      <c r="D1057" s="63">
        <f t="shared" si="12"/>
        <v>3.619533333333333</v>
      </c>
      <c r="E1057" s="63">
        <f t="shared" si="12"/>
        <v>4.0970250000000004</v>
      </c>
      <c r="F1057" s="63">
        <f t="shared" si="12"/>
        <v>4.0970250000000004</v>
      </c>
      <c r="G1057" s="63">
        <f t="shared" si="12"/>
        <v>4.0980250000000007</v>
      </c>
      <c r="H1057" s="63">
        <f t="shared" si="12"/>
        <v>7.6299583333333345</v>
      </c>
      <c r="I1057" s="63">
        <f t="shared" si="12"/>
        <v>7.630983333333333</v>
      </c>
      <c r="J1057" s="63">
        <f t="shared" si="12"/>
        <v>4.0970250000000004</v>
      </c>
      <c r="K1057" s="63">
        <f t="shared" si="12"/>
        <v>4.0980250000000007</v>
      </c>
    </row>
    <row r="1058" spans="1:11" ht="15">
      <c r="A1058" s="3">
        <v>2028</v>
      </c>
      <c r="B1058" s="63">
        <f t="shared" ref="B1058:K1058" si="13">AVERAGE(B168:B179)</f>
        <v>3.6865333333333346</v>
      </c>
      <c r="C1058" s="63">
        <f t="shared" si="13"/>
        <v>3.6865333333333346</v>
      </c>
      <c r="D1058" s="63">
        <f t="shared" si="13"/>
        <v>3.7115333333333331</v>
      </c>
      <c r="E1058" s="63">
        <f t="shared" si="13"/>
        <v>4.1895333333333324</v>
      </c>
      <c r="F1058" s="63">
        <f t="shared" si="13"/>
        <v>4.1895333333333324</v>
      </c>
      <c r="G1058" s="63">
        <f t="shared" si="13"/>
        <v>4.1905583333333327</v>
      </c>
      <c r="H1058" s="63">
        <f t="shared" si="13"/>
        <v>7.822916666666667</v>
      </c>
      <c r="I1058" s="63">
        <f t="shared" si="13"/>
        <v>7.8239333333333327</v>
      </c>
      <c r="J1058" s="63">
        <f t="shared" si="13"/>
        <v>4.1895333333333324</v>
      </c>
      <c r="K1058" s="63">
        <f t="shared" si="13"/>
        <v>4.1905583333333327</v>
      </c>
    </row>
    <row r="1059" spans="1:11" ht="15">
      <c r="A1059" s="3">
        <v>2029</v>
      </c>
      <c r="B1059" s="63">
        <f t="shared" ref="B1059:K1059" si="14">AVERAGE(B180:B191)</f>
        <v>3.7820583333333331</v>
      </c>
      <c r="C1059" s="63">
        <f t="shared" si="14"/>
        <v>3.7820583333333331</v>
      </c>
      <c r="D1059" s="63">
        <f t="shared" si="14"/>
        <v>3.8070666666666657</v>
      </c>
      <c r="E1059" s="63">
        <f t="shared" si="14"/>
        <v>4.3054249999999996</v>
      </c>
      <c r="F1059" s="63">
        <f t="shared" si="14"/>
        <v>4.3054249999999996</v>
      </c>
      <c r="G1059" s="63">
        <f t="shared" si="14"/>
        <v>4.3064500000000008</v>
      </c>
      <c r="H1059" s="63">
        <f t="shared" si="14"/>
        <v>8.0207499999999996</v>
      </c>
      <c r="I1059" s="63">
        <f t="shared" si="14"/>
        <v>8.0217500000000008</v>
      </c>
      <c r="J1059" s="63">
        <f t="shared" si="14"/>
        <v>4.3054249999999996</v>
      </c>
      <c r="K1059" s="63">
        <f t="shared" si="14"/>
        <v>4.3064500000000008</v>
      </c>
    </row>
    <row r="1060" spans="1:11" ht="15">
      <c r="A1060" s="3">
        <v>2030</v>
      </c>
      <c r="B1060" s="63">
        <f t="shared" ref="B1060:K1060" si="15">AVERAGE(B192:B203)</f>
        <v>3.8811916666666666</v>
      </c>
      <c r="C1060" s="63">
        <f t="shared" si="15"/>
        <v>3.8811916666666666</v>
      </c>
      <c r="D1060" s="63">
        <f t="shared" si="15"/>
        <v>3.9062166666666669</v>
      </c>
      <c r="E1060" s="63">
        <f t="shared" si="15"/>
        <v>4.4246083333333326</v>
      </c>
      <c r="F1060" s="63">
        <f t="shared" si="15"/>
        <v>4.4246083333333326</v>
      </c>
      <c r="G1060" s="63">
        <f t="shared" si="15"/>
        <v>4.4256333333333329</v>
      </c>
      <c r="H1060" s="63">
        <f t="shared" si="15"/>
        <v>8.2235750000000003</v>
      </c>
      <c r="I1060" s="63">
        <f t="shared" si="15"/>
        <v>8.224591666666667</v>
      </c>
      <c r="J1060" s="63">
        <f t="shared" si="15"/>
        <v>4.4246083333333326</v>
      </c>
      <c r="K1060" s="63">
        <f t="shared" si="15"/>
        <v>4.4256333333333329</v>
      </c>
    </row>
    <row r="1061" spans="1:11" ht="15">
      <c r="A1061" s="3">
        <v>2031</v>
      </c>
      <c r="B1061" s="63">
        <f t="shared" ref="B1061:K1061" si="16">AVERAGE(B204:B215)</f>
        <v>3.9861666666666671</v>
      </c>
      <c r="C1061" s="63">
        <f t="shared" si="16"/>
        <v>3.9861666666666671</v>
      </c>
      <c r="D1061" s="63">
        <f t="shared" si="16"/>
        <v>4.011166666666667</v>
      </c>
      <c r="E1061" s="63">
        <f t="shared" si="16"/>
        <v>4.564283333333333</v>
      </c>
      <c r="F1061" s="63">
        <f t="shared" si="16"/>
        <v>4.564283333333333</v>
      </c>
      <c r="G1061" s="63">
        <f t="shared" si="16"/>
        <v>4.5652916666666661</v>
      </c>
      <c r="H1061" s="63">
        <f t="shared" si="16"/>
        <v>8.4315499999999997</v>
      </c>
      <c r="I1061" s="63">
        <f t="shared" si="16"/>
        <v>8.4325416666666673</v>
      </c>
      <c r="J1061" s="63">
        <f t="shared" si="16"/>
        <v>4.564283333333333</v>
      </c>
      <c r="K1061" s="63">
        <f t="shared" si="16"/>
        <v>4.5652916666666661</v>
      </c>
    </row>
    <row r="1062" spans="1:11" ht="15">
      <c r="A1062" s="3">
        <v>2032</v>
      </c>
      <c r="B1062" s="63">
        <f t="shared" ref="B1062:K1062" si="17">AVERAGE(B216:B227)</f>
        <v>4.1071416666666662</v>
      </c>
      <c r="C1062" s="63">
        <f t="shared" si="17"/>
        <v>4.1071416666666662</v>
      </c>
      <c r="D1062" s="63">
        <f t="shared" si="17"/>
        <v>4.1321416666666675</v>
      </c>
      <c r="E1062" s="63">
        <f t="shared" si="17"/>
        <v>4.7087666666666665</v>
      </c>
      <c r="F1062" s="63">
        <f t="shared" si="17"/>
        <v>4.7087666666666665</v>
      </c>
      <c r="G1062" s="63">
        <f t="shared" si="17"/>
        <v>4.7097666666666669</v>
      </c>
      <c r="H1062" s="63">
        <f t="shared" si="17"/>
        <v>8.6447666666666674</v>
      </c>
      <c r="I1062" s="63">
        <f t="shared" si="17"/>
        <v>8.6457666666666668</v>
      </c>
      <c r="J1062" s="63">
        <f t="shared" si="17"/>
        <v>4.7087666666666665</v>
      </c>
      <c r="K1062" s="63">
        <f t="shared" si="17"/>
        <v>4.7097666666666669</v>
      </c>
    </row>
    <row r="1063" spans="1:11" ht="15">
      <c r="A1063" s="3">
        <v>2033</v>
      </c>
      <c r="B1063" s="63">
        <f t="shared" ref="B1063:K1063" si="18">AVERAGE(B228:B239)</f>
        <v>4.2320083333333329</v>
      </c>
      <c r="C1063" s="63">
        <f t="shared" si="18"/>
        <v>4.2320083333333329</v>
      </c>
      <c r="D1063" s="63">
        <f t="shared" si="18"/>
        <v>4.257033333333335</v>
      </c>
      <c r="E1063" s="63">
        <f t="shared" si="18"/>
        <v>4.8575416666666671</v>
      </c>
      <c r="F1063" s="63">
        <f t="shared" si="18"/>
        <v>4.8575416666666671</v>
      </c>
      <c r="G1063" s="63">
        <f t="shared" si="18"/>
        <v>4.8585583333333329</v>
      </c>
      <c r="H1063" s="63">
        <f t="shared" si="18"/>
        <v>8.8633666666666659</v>
      </c>
      <c r="I1063" s="63">
        <f t="shared" si="18"/>
        <v>8.8643833333333326</v>
      </c>
      <c r="J1063" s="63">
        <f t="shared" si="18"/>
        <v>4.8575416666666671</v>
      </c>
      <c r="K1063" s="63">
        <f t="shared" si="18"/>
        <v>4.8585583333333329</v>
      </c>
    </row>
    <row r="1064" spans="1:11" ht="15">
      <c r="A1064" s="3">
        <v>2034</v>
      </c>
      <c r="B1064" s="63">
        <f t="shared" ref="B1064:K1064" si="19">AVERAGE(B240:B251)</f>
        <v>4.3617000000000008</v>
      </c>
      <c r="C1064" s="63">
        <f t="shared" si="19"/>
        <v>4.3617000000000008</v>
      </c>
      <c r="D1064" s="63">
        <f t="shared" si="19"/>
        <v>4.3867083333333339</v>
      </c>
      <c r="E1064" s="63">
        <f t="shared" si="19"/>
        <v>5.0112666666666668</v>
      </c>
      <c r="F1064" s="63">
        <f t="shared" si="19"/>
        <v>5.0112666666666668</v>
      </c>
      <c r="G1064" s="63">
        <f t="shared" si="19"/>
        <v>5.0122749999999998</v>
      </c>
      <c r="H1064" s="63">
        <f t="shared" si="19"/>
        <v>9.0875166666666658</v>
      </c>
      <c r="I1064" s="63">
        <f t="shared" si="19"/>
        <v>9.0885250000000006</v>
      </c>
      <c r="J1064" s="63">
        <f t="shared" si="19"/>
        <v>5.0112666666666668</v>
      </c>
      <c r="K1064" s="63">
        <f t="shared" si="19"/>
        <v>5.0122749999999998</v>
      </c>
    </row>
    <row r="1065" spans="1:11" ht="15">
      <c r="A1065" s="3">
        <v>2035</v>
      </c>
      <c r="B1065" s="63">
        <f t="shared" ref="B1065:K1065" si="20">AVERAGE(B252:B263)</f>
        <v>4.4858083333333338</v>
      </c>
      <c r="C1065" s="63">
        <f t="shared" si="20"/>
        <v>4.4858083333333338</v>
      </c>
      <c r="D1065" s="63">
        <f t="shared" si="20"/>
        <v>4.5108249999999996</v>
      </c>
      <c r="E1065" s="63">
        <f t="shared" si="20"/>
        <v>5.1507166666666668</v>
      </c>
      <c r="F1065" s="63">
        <f t="shared" si="20"/>
        <v>5.1507166666666668</v>
      </c>
      <c r="G1065" s="63">
        <f t="shared" si="20"/>
        <v>5.1517249999999999</v>
      </c>
      <c r="H1065" s="63">
        <f t="shared" si="20"/>
        <v>9.3173083333333349</v>
      </c>
      <c r="I1065" s="63">
        <f t="shared" si="20"/>
        <v>9.3183333333333334</v>
      </c>
      <c r="J1065" s="63">
        <f t="shared" si="20"/>
        <v>5.1507166666666668</v>
      </c>
      <c r="K1065" s="63">
        <f t="shared" si="20"/>
        <v>5.1517249999999999</v>
      </c>
    </row>
    <row r="1066" spans="1:11" ht="15">
      <c r="A1066" s="3">
        <v>2036</v>
      </c>
      <c r="B1066" s="63">
        <f t="shared" ref="B1066:K1066" si="21">AVERAGE(B264:B275)</f>
        <v>4.6092000000000004</v>
      </c>
      <c r="C1066" s="63">
        <f t="shared" si="21"/>
        <v>4.6092000000000004</v>
      </c>
      <c r="D1066" s="63">
        <f t="shared" si="21"/>
        <v>4.6342166666666671</v>
      </c>
      <c r="E1066" s="63">
        <f t="shared" si="21"/>
        <v>5.2943249999999997</v>
      </c>
      <c r="F1066" s="63">
        <f t="shared" si="21"/>
        <v>5.2943249999999997</v>
      </c>
      <c r="G1066" s="63">
        <f t="shared" si="21"/>
        <v>5.2953250000000001</v>
      </c>
      <c r="H1066" s="63">
        <f t="shared" si="21"/>
        <v>9.5529416666666673</v>
      </c>
      <c r="I1066" s="63">
        <f t="shared" si="21"/>
        <v>9.553941666666665</v>
      </c>
      <c r="J1066" s="63">
        <f t="shared" si="21"/>
        <v>5.2943249999999997</v>
      </c>
      <c r="K1066" s="63">
        <f t="shared" si="21"/>
        <v>5.2953250000000001</v>
      </c>
    </row>
    <row r="1067" spans="1:11" ht="15">
      <c r="A1067" s="3">
        <v>2037</v>
      </c>
      <c r="B1067" s="63">
        <f t="shared" ref="B1067:K1067" si="22">AVERAGE(B276:B287)</f>
        <v>4.7357500000000003</v>
      </c>
      <c r="C1067" s="63">
        <f t="shared" si="22"/>
        <v>4.7357500000000003</v>
      </c>
      <c r="D1067" s="63">
        <f t="shared" si="22"/>
        <v>4.7607583333333334</v>
      </c>
      <c r="E1067" s="63">
        <f t="shared" si="22"/>
        <v>5.441816666666667</v>
      </c>
      <c r="F1067" s="63">
        <f t="shared" si="22"/>
        <v>5.441816666666667</v>
      </c>
      <c r="G1067" s="63">
        <f t="shared" si="22"/>
        <v>5.4428416666666672</v>
      </c>
      <c r="H1067" s="63">
        <f t="shared" si="22"/>
        <v>9.7945249999999984</v>
      </c>
      <c r="I1067" s="63">
        <f t="shared" si="22"/>
        <v>9.7955249999999996</v>
      </c>
      <c r="J1067" s="63">
        <f t="shared" si="22"/>
        <v>5.441816666666667</v>
      </c>
      <c r="K1067" s="63">
        <f t="shared" si="22"/>
        <v>5.4428416666666672</v>
      </c>
    </row>
    <row r="1068" spans="1:11" ht="15">
      <c r="A1068" s="3">
        <v>2038</v>
      </c>
      <c r="B1068" s="63">
        <f t="shared" ref="B1068:K1068" si="23">AVERAGE(B288:B299)</f>
        <v>4.8654333333333337</v>
      </c>
      <c r="C1068" s="63">
        <f t="shared" si="23"/>
        <v>4.8654333333333337</v>
      </c>
      <c r="D1068" s="63">
        <f t="shared" si="23"/>
        <v>4.8904583333333331</v>
      </c>
      <c r="E1068" s="63">
        <f t="shared" si="23"/>
        <v>5.594408333333333</v>
      </c>
      <c r="F1068" s="63">
        <f t="shared" si="23"/>
        <v>5.594408333333333</v>
      </c>
      <c r="G1068" s="63">
        <f t="shared" si="23"/>
        <v>5.5954333333333333</v>
      </c>
      <c r="H1068" s="63">
        <f t="shared" si="23"/>
        <v>10.042208333333333</v>
      </c>
      <c r="I1068" s="63">
        <f t="shared" si="23"/>
        <v>10.043200000000001</v>
      </c>
      <c r="J1068" s="63">
        <f t="shared" si="23"/>
        <v>5.594408333333333</v>
      </c>
      <c r="K1068" s="63">
        <f t="shared" si="23"/>
        <v>5.5954333333333333</v>
      </c>
    </row>
    <row r="1069" spans="1:11" ht="15">
      <c r="A1069" s="3">
        <v>2039</v>
      </c>
      <c r="B1069" s="63">
        <f t="shared" ref="B1069:K1069" si="24">AVERAGE(B300:B311)</f>
        <v>5.0003166666666656</v>
      </c>
      <c r="C1069" s="63">
        <f t="shared" si="24"/>
        <v>5.0003166666666656</v>
      </c>
      <c r="D1069" s="63">
        <f t="shared" si="24"/>
        <v>5.0253249999999996</v>
      </c>
      <c r="E1069" s="63">
        <f t="shared" si="24"/>
        <v>5.749200000000001</v>
      </c>
      <c r="F1069" s="63">
        <f t="shared" si="24"/>
        <v>5.749200000000001</v>
      </c>
      <c r="G1069" s="63">
        <f t="shared" si="24"/>
        <v>5.7502166666666659</v>
      </c>
      <c r="H1069" s="63">
        <f t="shared" si="24"/>
        <v>10.296166666666666</v>
      </c>
      <c r="I1069" s="63">
        <f t="shared" si="24"/>
        <v>10.297166666666667</v>
      </c>
      <c r="J1069" s="63">
        <f t="shared" si="24"/>
        <v>5.749200000000001</v>
      </c>
      <c r="K1069" s="63">
        <f t="shared" si="24"/>
        <v>5.7502166666666659</v>
      </c>
    </row>
    <row r="1070" spans="1:11" ht="15">
      <c r="A1070" s="3">
        <v>2040</v>
      </c>
      <c r="B1070" s="63">
        <f t="shared" ref="B1070:K1070" si="25">AVERAGE(B312:B323)</f>
        <v>5.136425</v>
      </c>
      <c r="C1070" s="63">
        <f t="shared" si="25"/>
        <v>5.136425</v>
      </c>
      <c r="D1070" s="63">
        <f t="shared" si="25"/>
        <v>5.1614416666666676</v>
      </c>
      <c r="E1070" s="63">
        <f t="shared" si="25"/>
        <v>5.9101166666666662</v>
      </c>
      <c r="F1070" s="63">
        <f t="shared" si="25"/>
        <v>5.9101166666666662</v>
      </c>
      <c r="G1070" s="63">
        <f t="shared" si="25"/>
        <v>5.9111333333333329</v>
      </c>
      <c r="H1070" s="63">
        <f t="shared" si="25"/>
        <v>10.556541666666666</v>
      </c>
      <c r="I1070" s="63">
        <f t="shared" si="25"/>
        <v>10.557549999999999</v>
      </c>
      <c r="J1070" s="63">
        <f t="shared" si="25"/>
        <v>5.9101166666666662</v>
      </c>
      <c r="K1070" s="63">
        <f t="shared" si="25"/>
        <v>5.9111333333333329</v>
      </c>
    </row>
    <row r="1071" spans="1:11" ht="15">
      <c r="A1071" s="3">
        <v>2041</v>
      </c>
      <c r="B1071" s="63">
        <f t="shared" ref="B1071:K1071" si="26">AVERAGE(B324:B335)</f>
        <v>5.2762833333333345</v>
      </c>
      <c r="C1071" s="63">
        <f t="shared" si="26"/>
        <v>5.2762833333333345</v>
      </c>
      <c r="D1071" s="63">
        <f t="shared" si="26"/>
        <v>5.3012999999999995</v>
      </c>
      <c r="E1071" s="63">
        <f t="shared" si="26"/>
        <v>6.0755333333333335</v>
      </c>
      <c r="F1071" s="63">
        <f t="shared" si="26"/>
        <v>6.0755333333333335</v>
      </c>
      <c r="G1071" s="63">
        <f t="shared" si="26"/>
        <v>6.0765500000000001</v>
      </c>
      <c r="H1071" s="63">
        <f t="shared" si="26"/>
        <v>10.823500000000001</v>
      </c>
      <c r="I1071" s="63">
        <f t="shared" si="26"/>
        <v>10.8245</v>
      </c>
      <c r="J1071" s="63">
        <f t="shared" si="26"/>
        <v>6.0755333333333335</v>
      </c>
      <c r="K1071" s="63">
        <f t="shared" si="26"/>
        <v>6.0765500000000001</v>
      </c>
    </row>
    <row r="1072" spans="1:11" ht="15">
      <c r="A1072" s="3">
        <v>2042</v>
      </c>
      <c r="B1072" s="63">
        <f t="shared" ref="B1072:K1072" si="27">AVERAGE(B336:B347)</f>
        <v>5.4200000000000008</v>
      </c>
      <c r="C1072" s="63">
        <f t="shared" si="27"/>
        <v>5.4200000000000008</v>
      </c>
      <c r="D1072" s="63">
        <f t="shared" si="27"/>
        <v>5.445008333333333</v>
      </c>
      <c r="E1072" s="63">
        <f t="shared" si="27"/>
        <v>6.2455916666666669</v>
      </c>
      <c r="F1072" s="63">
        <f t="shared" si="27"/>
        <v>6.2455916666666669</v>
      </c>
      <c r="G1072" s="63">
        <f t="shared" si="27"/>
        <v>6.2465999999999999</v>
      </c>
      <c r="H1072" s="63">
        <f t="shared" si="27"/>
        <v>11.097200000000001</v>
      </c>
      <c r="I1072" s="63">
        <f t="shared" si="27"/>
        <v>11.098224999999999</v>
      </c>
      <c r="J1072" s="63">
        <f t="shared" si="27"/>
        <v>6.2455916666666669</v>
      </c>
      <c r="K1072" s="63">
        <f t="shared" si="27"/>
        <v>6.2465999999999999</v>
      </c>
    </row>
    <row r="1073" spans="1:11" ht="15">
      <c r="A1073" s="3">
        <v>2043</v>
      </c>
      <c r="B1073" s="63">
        <f t="shared" ref="B1073:K1073" si="28">AVERAGE(B348:B359)</f>
        <v>5.5676416666666659</v>
      </c>
      <c r="C1073" s="63">
        <f t="shared" si="28"/>
        <v>5.5676416666666659</v>
      </c>
      <c r="D1073" s="63">
        <f t="shared" si="28"/>
        <v>5.592649999999999</v>
      </c>
      <c r="E1073" s="63">
        <f t="shared" si="28"/>
        <v>6.4204000000000008</v>
      </c>
      <c r="F1073" s="63">
        <f t="shared" si="28"/>
        <v>6.4204000000000008</v>
      </c>
      <c r="G1073" s="63">
        <f t="shared" si="28"/>
        <v>6.4214083333333329</v>
      </c>
      <c r="H1073" s="63">
        <f t="shared" si="28"/>
        <v>11.377841666666667</v>
      </c>
      <c r="I1073" s="63">
        <f t="shared" si="28"/>
        <v>11.378858333333334</v>
      </c>
      <c r="J1073" s="63">
        <f t="shared" si="28"/>
        <v>6.4204000000000008</v>
      </c>
      <c r="K1073" s="63">
        <f t="shared" si="28"/>
        <v>6.4214083333333329</v>
      </c>
    </row>
    <row r="1074" spans="1:11" ht="15">
      <c r="A1074" s="3">
        <v>2044</v>
      </c>
      <c r="B1074" s="63">
        <f t="shared" ref="B1074:K1074" si="29">AVERAGE(B360:B371)</f>
        <v>5.7193499999999995</v>
      </c>
      <c r="C1074" s="63">
        <f t="shared" si="29"/>
        <v>5.7193499999999995</v>
      </c>
      <c r="D1074" s="63">
        <f t="shared" si="29"/>
        <v>5.7443500000000007</v>
      </c>
      <c r="E1074" s="63">
        <f t="shared" si="29"/>
        <v>6.6000916666666649</v>
      </c>
      <c r="F1074" s="63">
        <f t="shared" si="29"/>
        <v>6.6000916666666649</v>
      </c>
      <c r="G1074" s="63">
        <f t="shared" si="29"/>
        <v>6.6011083333333325</v>
      </c>
      <c r="H1074" s="63">
        <f t="shared" si="29"/>
        <v>11.665550000000001</v>
      </c>
      <c r="I1074" s="63">
        <f t="shared" si="29"/>
        <v>11.666575</v>
      </c>
      <c r="J1074" s="63">
        <f t="shared" si="29"/>
        <v>6.6000916666666649</v>
      </c>
      <c r="K1074" s="63">
        <f t="shared" si="29"/>
        <v>6.6011083333333325</v>
      </c>
    </row>
    <row r="1075" spans="1:11" ht="15">
      <c r="A1075" s="3">
        <v>2045</v>
      </c>
      <c r="B1075" s="63">
        <f t="shared" ref="B1075:K1075" si="30">AVERAGE(B372:B383)</f>
        <v>5.875233333333334</v>
      </c>
      <c r="C1075" s="63">
        <f t="shared" si="30"/>
        <v>5.875233333333334</v>
      </c>
      <c r="D1075" s="63">
        <f t="shared" si="30"/>
        <v>5.9002499999999998</v>
      </c>
      <c r="E1075" s="63">
        <f t="shared" si="30"/>
        <v>6.784841666666666</v>
      </c>
      <c r="F1075" s="63">
        <f t="shared" si="30"/>
        <v>6.784841666666666</v>
      </c>
      <c r="G1075" s="63">
        <f t="shared" si="30"/>
        <v>6.7858333333333336</v>
      </c>
      <c r="H1075" s="63">
        <f t="shared" si="30"/>
        <v>11.960566666666667</v>
      </c>
      <c r="I1075" s="63">
        <f t="shared" si="30"/>
        <v>11.961575000000002</v>
      </c>
      <c r="J1075" s="63">
        <f t="shared" si="30"/>
        <v>6.784841666666666</v>
      </c>
      <c r="K1075" s="63">
        <f t="shared" si="30"/>
        <v>6.7858333333333336</v>
      </c>
    </row>
    <row r="1076" spans="1:11" ht="15">
      <c r="A1076" s="3">
        <v>2046</v>
      </c>
      <c r="B1076" s="63">
        <f t="shared" ref="B1076:K1076" si="31">AVERAGE(B384:B395)</f>
        <v>6.0354000000000001</v>
      </c>
      <c r="C1076" s="63">
        <f t="shared" si="31"/>
        <v>6.0354000000000001</v>
      </c>
      <c r="D1076" s="63">
        <f t="shared" si="31"/>
        <v>6.0604083333333341</v>
      </c>
      <c r="E1076" s="63">
        <f t="shared" si="31"/>
        <v>6.9747249999999994</v>
      </c>
      <c r="F1076" s="63">
        <f t="shared" si="31"/>
        <v>6.9747249999999994</v>
      </c>
      <c r="G1076" s="63">
        <f t="shared" si="31"/>
        <v>6.9757500000000014</v>
      </c>
      <c r="H1076" s="63">
        <f t="shared" si="31"/>
        <v>12.263041666666666</v>
      </c>
      <c r="I1076" s="63">
        <f t="shared" si="31"/>
        <v>12.264049999999999</v>
      </c>
      <c r="J1076" s="63">
        <f t="shared" si="31"/>
        <v>6.9747249999999994</v>
      </c>
      <c r="K1076" s="63">
        <f t="shared" si="31"/>
        <v>6.9757500000000014</v>
      </c>
    </row>
    <row r="1077" spans="1:11" ht="15">
      <c r="A1077" s="3">
        <v>2047</v>
      </c>
      <c r="B1077" s="63">
        <f t="shared" ref="B1077:K1077" si="32">AVERAGE(B396:B407)</f>
        <v>6.1999666666666657</v>
      </c>
      <c r="C1077" s="63">
        <f t="shared" si="32"/>
        <v>6.1999666666666657</v>
      </c>
      <c r="D1077" s="63">
        <f t="shared" si="32"/>
        <v>6.2249833333333333</v>
      </c>
      <c r="E1077" s="63">
        <f t="shared" si="32"/>
        <v>7.1699499999999992</v>
      </c>
      <c r="F1077" s="63">
        <f t="shared" si="32"/>
        <v>7.1699499999999992</v>
      </c>
      <c r="G1077" s="63">
        <f t="shared" si="32"/>
        <v>7.1709750000000012</v>
      </c>
      <c r="H1077" s="63">
        <f t="shared" si="32"/>
        <v>12.573133333333333</v>
      </c>
      <c r="I1077" s="63">
        <f t="shared" si="32"/>
        <v>12.574150000000001</v>
      </c>
      <c r="J1077" s="63">
        <f t="shared" si="32"/>
        <v>7.1699499999999992</v>
      </c>
      <c r="K1077" s="63">
        <f t="shared" si="32"/>
        <v>7.1709750000000012</v>
      </c>
    </row>
    <row r="1078" spans="1:11" ht="15">
      <c r="A1078" s="3">
        <v>2048</v>
      </c>
      <c r="B1078" s="63">
        <f t="shared" ref="B1078:K1078" si="33">AVERAGE(B408:B419)</f>
        <v>6.3690833333333332</v>
      </c>
      <c r="C1078" s="63">
        <f t="shared" si="33"/>
        <v>6.3690833333333332</v>
      </c>
      <c r="D1078" s="63">
        <f t="shared" si="33"/>
        <v>6.3941083333333326</v>
      </c>
      <c r="E1078" s="63">
        <f t="shared" si="33"/>
        <v>7.3706416666666676</v>
      </c>
      <c r="F1078" s="63">
        <f t="shared" si="33"/>
        <v>7.3706416666666676</v>
      </c>
      <c r="G1078" s="63">
        <f t="shared" si="33"/>
        <v>7.3716583333333334</v>
      </c>
      <c r="H1078" s="63">
        <f t="shared" si="33"/>
        <v>12.891116666666667</v>
      </c>
      <c r="I1078" s="63">
        <f t="shared" si="33"/>
        <v>12.892108333333333</v>
      </c>
      <c r="J1078" s="63">
        <f t="shared" si="33"/>
        <v>7.3706416666666676</v>
      </c>
      <c r="K1078" s="63">
        <f t="shared" si="33"/>
        <v>7.3716583333333334</v>
      </c>
    </row>
    <row r="1079" spans="1:11" ht="15">
      <c r="A1079" s="3">
        <v>2049</v>
      </c>
      <c r="B1079" s="63">
        <f t="shared" ref="B1079:K1079" si="34">AVERAGE(B420:B431)</f>
        <v>6.5428583333333341</v>
      </c>
      <c r="C1079" s="63">
        <f t="shared" si="34"/>
        <v>6.5428583333333341</v>
      </c>
      <c r="D1079" s="63">
        <f t="shared" si="34"/>
        <v>6.5678749999999999</v>
      </c>
      <c r="E1079" s="63">
        <f t="shared" si="34"/>
        <v>7.5769250000000001</v>
      </c>
      <c r="F1079" s="63">
        <f t="shared" si="34"/>
        <v>7.5769250000000001</v>
      </c>
      <c r="G1079" s="63">
        <f t="shared" si="34"/>
        <v>7.5779333333333332</v>
      </c>
      <c r="H1079" s="63">
        <f t="shared" si="34"/>
        <v>13.217100000000002</v>
      </c>
      <c r="I1079" s="63">
        <f t="shared" si="34"/>
        <v>13.218108333333333</v>
      </c>
      <c r="J1079" s="63">
        <f t="shared" si="34"/>
        <v>7.5769250000000001</v>
      </c>
      <c r="K1079" s="63">
        <f t="shared" si="34"/>
        <v>7.5779333333333332</v>
      </c>
    </row>
    <row r="1080" spans="1:11" ht="15">
      <c r="A1080" s="3">
        <v>2050</v>
      </c>
      <c r="B1080" s="63">
        <f t="shared" ref="B1080:K1080" si="35">AVERAGE(B432:B443)</f>
        <v>6.7214083333333337</v>
      </c>
      <c r="C1080" s="63">
        <f t="shared" si="35"/>
        <v>6.7214083333333337</v>
      </c>
      <c r="D1080" s="63">
        <f t="shared" si="35"/>
        <v>6.7464250000000012</v>
      </c>
      <c r="E1080" s="63">
        <f t="shared" si="35"/>
        <v>7.7890083333333324</v>
      </c>
      <c r="F1080" s="63">
        <f t="shared" si="35"/>
        <v>7.7890083333333324</v>
      </c>
      <c r="G1080" s="63">
        <f t="shared" si="35"/>
        <v>7.7900083333333328</v>
      </c>
      <c r="H1080" s="63">
        <f t="shared" si="35"/>
        <v>13.551349999999999</v>
      </c>
      <c r="I1080" s="63">
        <f t="shared" si="35"/>
        <v>13.552341666666669</v>
      </c>
      <c r="J1080" s="63">
        <f t="shared" si="35"/>
        <v>7.7890083333333324</v>
      </c>
      <c r="K1080" s="63">
        <f t="shared" si="35"/>
        <v>7.7900083333333328</v>
      </c>
    </row>
    <row r="1081" spans="1:11" ht="15">
      <c r="A1081" s="3">
        <v>2051</v>
      </c>
      <c r="B1081" s="63">
        <f t="shared" ref="B1081:K1081" si="36">AVERAGE(B444:B455)</f>
        <v>6.9048833333333333</v>
      </c>
      <c r="C1081" s="63">
        <f t="shared" si="36"/>
        <v>6.9048833333333333</v>
      </c>
      <c r="D1081" s="63">
        <f t="shared" si="36"/>
        <v>6.9298999999999999</v>
      </c>
      <c r="E1081" s="63">
        <f t="shared" si="36"/>
        <v>8.0070083333333333</v>
      </c>
      <c r="F1081" s="63">
        <f t="shared" si="36"/>
        <v>8.0070083333333333</v>
      </c>
      <c r="G1081" s="63">
        <f t="shared" si="36"/>
        <v>8.0080166666666681</v>
      </c>
      <c r="H1081" s="63">
        <f t="shared" si="36"/>
        <v>13.894016666666666</v>
      </c>
      <c r="I1081" s="63">
        <f t="shared" si="36"/>
        <v>13.895024999999997</v>
      </c>
      <c r="J1081" s="63">
        <f t="shared" si="36"/>
        <v>8.0070083333333333</v>
      </c>
      <c r="K1081" s="63">
        <f t="shared" si="36"/>
        <v>8.0080166666666681</v>
      </c>
    </row>
    <row r="1082" spans="1:11" ht="15">
      <c r="A1082" s="3">
        <v>2052</v>
      </c>
      <c r="B1082" s="63">
        <f t="shared" ref="B1082:K1082" si="37">AVERAGE(B456:B467)</f>
        <v>7.0933999999999999</v>
      </c>
      <c r="C1082" s="63">
        <f t="shared" si="37"/>
        <v>7.0933999999999999</v>
      </c>
      <c r="D1082" s="63">
        <f t="shared" si="37"/>
        <v>7.1184166666666675</v>
      </c>
      <c r="E1082" s="63">
        <f t="shared" si="37"/>
        <v>8.2311083333333332</v>
      </c>
      <c r="F1082" s="63">
        <f t="shared" si="37"/>
        <v>8.2311083333333332</v>
      </c>
      <c r="G1082" s="63">
        <f t="shared" si="37"/>
        <v>8.2321249999999999</v>
      </c>
      <c r="H1082" s="63">
        <f t="shared" si="37"/>
        <v>14.245383333333331</v>
      </c>
      <c r="I1082" s="63">
        <f t="shared" si="37"/>
        <v>14.246391666666666</v>
      </c>
      <c r="J1082" s="63">
        <f t="shared" si="37"/>
        <v>8.2311083333333332</v>
      </c>
      <c r="K1082" s="63">
        <f t="shared" si="37"/>
        <v>8.2321249999999999</v>
      </c>
    </row>
    <row r="1083" spans="1:11" ht="15">
      <c r="A1083" s="3">
        <v>2053</v>
      </c>
      <c r="B1083" s="63">
        <f t="shared" ref="B1083:K1083" si="38">AVERAGE(B468:B479)</f>
        <v>7.2871333333333324</v>
      </c>
      <c r="C1083" s="63">
        <f t="shared" si="38"/>
        <v>7.2871333333333324</v>
      </c>
      <c r="D1083" s="63">
        <f t="shared" si="38"/>
        <v>7.3121333333333327</v>
      </c>
      <c r="E1083" s="63">
        <f t="shared" si="38"/>
        <v>8.4614916666666673</v>
      </c>
      <c r="F1083" s="63">
        <f t="shared" si="38"/>
        <v>8.4614916666666673</v>
      </c>
      <c r="G1083" s="63">
        <f t="shared" si="38"/>
        <v>8.4624999999999986</v>
      </c>
      <c r="H1083" s="63">
        <f t="shared" si="38"/>
        <v>14.605633333333332</v>
      </c>
      <c r="I1083" s="63">
        <f t="shared" si="38"/>
        <v>14.606633333333333</v>
      </c>
      <c r="J1083" s="63">
        <f t="shared" si="38"/>
        <v>8.4614916666666673</v>
      </c>
      <c r="K1083" s="63">
        <f t="shared" si="38"/>
        <v>8.4624999999999986</v>
      </c>
    </row>
    <row r="1084" spans="1:11" ht="15">
      <c r="A1084" s="3">
        <v>2054</v>
      </c>
      <c r="B1084" s="63">
        <f t="shared" ref="B1084:K1084" si="39">AVERAGE(B480:B491)</f>
        <v>7.4862000000000011</v>
      </c>
      <c r="C1084" s="63">
        <f t="shared" si="39"/>
        <v>7.4862000000000011</v>
      </c>
      <c r="D1084" s="63">
        <f t="shared" si="39"/>
        <v>7.5111999999999997</v>
      </c>
      <c r="E1084" s="63">
        <f t="shared" si="39"/>
        <v>8.6983249999999988</v>
      </c>
      <c r="F1084" s="63">
        <f t="shared" si="39"/>
        <v>8.6983249999999988</v>
      </c>
      <c r="G1084" s="63">
        <f t="shared" si="39"/>
        <v>8.699325</v>
      </c>
      <c r="H1084" s="63">
        <f t="shared" si="39"/>
        <v>14.974983333333332</v>
      </c>
      <c r="I1084" s="63">
        <f t="shared" si="39"/>
        <v>14.976000000000001</v>
      </c>
      <c r="J1084" s="63">
        <f t="shared" si="39"/>
        <v>8.6983249999999988</v>
      </c>
      <c r="K1084" s="63">
        <f t="shared" si="39"/>
        <v>8.699325</v>
      </c>
    </row>
    <row r="1085" spans="1:11" ht="15">
      <c r="A1085" s="3">
        <v>2055</v>
      </c>
      <c r="B1085" s="63">
        <f t="shared" ref="B1085:K1085" si="40">AVERAGE(B17:B503)</f>
        <v>4.7321876796714557</v>
      </c>
      <c r="C1085" s="63">
        <f t="shared" si="40"/>
        <v>4.7321876796714557</v>
      </c>
      <c r="D1085" s="63">
        <f t="shared" si="40"/>
        <v>4.7572412731006191</v>
      </c>
      <c r="E1085" s="63">
        <f t="shared" si="40"/>
        <v>5.4924942505133423</v>
      </c>
      <c r="F1085" s="63">
        <f t="shared" si="40"/>
        <v>5.5194205338808979</v>
      </c>
      <c r="G1085" s="63">
        <f t="shared" si="40"/>
        <v>5.5204394250513378</v>
      </c>
      <c r="H1085" s="63">
        <f t="shared" si="40"/>
        <v>9.7717281314168307</v>
      </c>
      <c r="I1085" s="63">
        <f t="shared" si="40"/>
        <v>9.7727404517453866</v>
      </c>
      <c r="J1085" s="63">
        <f t="shared" si="40"/>
        <v>5.4924942505133423</v>
      </c>
      <c r="K1085" s="63">
        <f t="shared" si="40"/>
        <v>5.493512525667354</v>
      </c>
    </row>
    <row r="1086" spans="1:11" ht="15">
      <c r="A1086" s="3">
        <v>2056</v>
      </c>
      <c r="B1086" s="63">
        <f t="shared" ref="B1086:K1086" si="41">AVERAGE(B504:B515)</f>
        <v>7.9009416666666672</v>
      </c>
      <c r="C1086" s="63">
        <f t="shared" si="41"/>
        <v>7.9009416666666672</v>
      </c>
      <c r="D1086" s="63">
        <f t="shared" si="41"/>
        <v>7.9259583333333339</v>
      </c>
      <c r="E1086" s="63">
        <f t="shared" si="41"/>
        <v>9.192025000000001</v>
      </c>
      <c r="F1086" s="63">
        <f t="shared" si="41"/>
        <v>9.192025000000001</v>
      </c>
      <c r="G1086" s="63">
        <f t="shared" si="41"/>
        <v>9.1930333333333341</v>
      </c>
      <c r="H1086" s="63">
        <f t="shared" si="41"/>
        <v>15.741966666666665</v>
      </c>
      <c r="I1086" s="63">
        <f t="shared" si="41"/>
        <v>15.742958333333332</v>
      </c>
      <c r="J1086" s="63">
        <f t="shared" si="41"/>
        <v>9.192025000000001</v>
      </c>
      <c r="K1086" s="63">
        <f t="shared" si="41"/>
        <v>9.1930333333333341</v>
      </c>
    </row>
    <row r="1087" spans="1:11" ht="15">
      <c r="A1087" s="3">
        <v>2057</v>
      </c>
      <c r="B1087" s="63">
        <f t="shared" ref="B1087:K1087" si="42">AVERAGE(B516:B527)</f>
        <v>8.1169250000000002</v>
      </c>
      <c r="C1087" s="63">
        <f t="shared" si="42"/>
        <v>8.1169250000000002</v>
      </c>
      <c r="D1087" s="63">
        <f t="shared" si="42"/>
        <v>8.1419583333333332</v>
      </c>
      <c r="E1087" s="63">
        <f t="shared" si="42"/>
        <v>9.4493000000000009</v>
      </c>
      <c r="F1087" s="63">
        <f t="shared" si="42"/>
        <v>9.4493000000000009</v>
      </c>
      <c r="G1087" s="63">
        <f t="shared" si="42"/>
        <v>9.4503083333333322</v>
      </c>
      <c r="H1087" s="63">
        <f t="shared" si="42"/>
        <v>16.140033333333335</v>
      </c>
      <c r="I1087" s="63">
        <f t="shared" si="42"/>
        <v>16.14105833333333</v>
      </c>
      <c r="J1087" s="63">
        <f t="shared" si="42"/>
        <v>9.4493000000000009</v>
      </c>
      <c r="K1087" s="63">
        <f t="shared" si="42"/>
        <v>9.4503083333333322</v>
      </c>
    </row>
    <row r="1088" spans="1:11" ht="15">
      <c r="A1088" s="3">
        <v>2058</v>
      </c>
      <c r="B1088" s="63">
        <f t="shared" ref="B1088:K1088" si="43">AVERAGE(B528:B539)</f>
        <v>8.3388916666666688</v>
      </c>
      <c r="C1088" s="63">
        <f t="shared" si="43"/>
        <v>8.3388916666666688</v>
      </c>
      <c r="D1088" s="63">
        <f t="shared" si="43"/>
        <v>8.3639083333333328</v>
      </c>
      <c r="E1088" s="63">
        <f t="shared" si="43"/>
        <v>9.7137666666666664</v>
      </c>
      <c r="F1088" s="63">
        <f t="shared" si="43"/>
        <v>9.7137666666666664</v>
      </c>
      <c r="G1088" s="63">
        <f t="shared" si="43"/>
        <v>9.7147749999999977</v>
      </c>
      <c r="H1088" s="63">
        <f t="shared" si="43"/>
        <v>16.548199999999998</v>
      </c>
      <c r="I1088" s="63">
        <f t="shared" si="43"/>
        <v>16.549200000000003</v>
      </c>
      <c r="J1088" s="63">
        <f t="shared" si="43"/>
        <v>9.7137666666666664</v>
      </c>
      <c r="K1088" s="63">
        <f t="shared" si="43"/>
        <v>9.7147749999999977</v>
      </c>
    </row>
    <row r="1089" spans="1:11" ht="15">
      <c r="A1089" s="3">
        <v>2059</v>
      </c>
      <c r="B1089" s="63">
        <f t="shared" ref="B1089:K1089" si="44">AVERAGE(B540:B551)</f>
        <v>8.5669999999999984</v>
      </c>
      <c r="C1089" s="63">
        <f t="shared" si="44"/>
        <v>8.5669999999999984</v>
      </c>
      <c r="D1089" s="63">
        <f t="shared" si="44"/>
        <v>8.5920083333333341</v>
      </c>
      <c r="E1089" s="63">
        <f t="shared" si="44"/>
        <v>9.9856583333333333</v>
      </c>
      <c r="F1089" s="63">
        <f t="shared" si="44"/>
        <v>9.9856583333333333</v>
      </c>
      <c r="G1089" s="63">
        <f t="shared" si="44"/>
        <v>9.9866500000000027</v>
      </c>
      <c r="H1089" s="63">
        <f t="shared" si="44"/>
        <v>16.966683333333329</v>
      </c>
      <c r="I1089" s="63">
        <f t="shared" si="44"/>
        <v>16.967691666666667</v>
      </c>
      <c r="J1089" s="63">
        <f t="shared" si="44"/>
        <v>9.9856583333333333</v>
      </c>
      <c r="K1089" s="63">
        <f t="shared" si="44"/>
        <v>9.9866500000000027</v>
      </c>
    </row>
    <row r="1090" spans="1:11" ht="15">
      <c r="A1090" s="3">
        <v>2060</v>
      </c>
      <c r="B1090" s="63">
        <f t="shared" ref="B1090:K1090" si="45">AVERAGE(B552:B563)</f>
        <v>8.8013749999999984</v>
      </c>
      <c r="C1090" s="63">
        <f t="shared" si="45"/>
        <v>8.8013749999999984</v>
      </c>
      <c r="D1090" s="63">
        <f t="shared" si="45"/>
        <v>8.8263916666666677</v>
      </c>
      <c r="E1090" s="63">
        <f t="shared" si="45"/>
        <v>10.265124999999999</v>
      </c>
      <c r="F1090" s="63">
        <f t="shared" si="45"/>
        <v>10.265124999999999</v>
      </c>
      <c r="G1090" s="63">
        <f t="shared" si="45"/>
        <v>10.266125000000001</v>
      </c>
      <c r="H1090" s="63">
        <f t="shared" si="45"/>
        <v>17.395733333333336</v>
      </c>
      <c r="I1090" s="63">
        <f t="shared" si="45"/>
        <v>17.396741666666667</v>
      </c>
      <c r="J1090" s="63">
        <f t="shared" si="45"/>
        <v>10.265124999999999</v>
      </c>
      <c r="K1090" s="63">
        <f t="shared" si="45"/>
        <v>10.266125000000001</v>
      </c>
    </row>
    <row r="1091" spans="1:11" ht="15">
      <c r="A1091" s="3">
        <v>2061</v>
      </c>
      <c r="B1091" s="63">
        <f t="shared" ref="B1091:K1091" si="46">AVERAGE(B564:B575)</f>
        <v>9.0422333333333338</v>
      </c>
      <c r="C1091" s="63">
        <f t="shared" si="46"/>
        <v>9.0422333333333338</v>
      </c>
      <c r="D1091" s="63">
        <f t="shared" si="46"/>
        <v>9.0672583333333332</v>
      </c>
      <c r="E1091" s="63">
        <f t="shared" si="46"/>
        <v>10.552424999999999</v>
      </c>
      <c r="F1091" s="63">
        <f t="shared" si="46"/>
        <v>10.552424999999999</v>
      </c>
      <c r="G1091" s="63">
        <f t="shared" si="46"/>
        <v>10.553433333333333</v>
      </c>
      <c r="H1091" s="63">
        <f t="shared" si="46"/>
        <v>17.835633333333334</v>
      </c>
      <c r="I1091" s="63">
        <f t="shared" si="46"/>
        <v>17.836650000000002</v>
      </c>
      <c r="J1091" s="63">
        <f t="shared" si="46"/>
        <v>10.552424999999999</v>
      </c>
      <c r="K1091" s="63">
        <f t="shared" si="46"/>
        <v>10.553433333333333</v>
      </c>
    </row>
    <row r="1092" spans="1:11" ht="15">
      <c r="A1092" s="3">
        <v>2062</v>
      </c>
      <c r="B1092" s="63">
        <f t="shared" ref="B1092:K1101" ca="1" si="47">AVERAGE(OFFSET(B$576,($A1092-$A$1092)*12,0,12,1))</f>
        <v>9.2897499999999997</v>
      </c>
      <c r="C1092" s="63">
        <f t="shared" ca="1" si="47"/>
        <v>9.2897499999999997</v>
      </c>
      <c r="D1092" s="63">
        <f t="shared" ca="1" si="47"/>
        <v>9.3147666666666673</v>
      </c>
      <c r="E1092" s="63">
        <f t="shared" ca="1" si="47"/>
        <v>10.847766666666667</v>
      </c>
      <c r="F1092" s="63">
        <f t="shared" ca="1" si="47"/>
        <v>10.847766666666667</v>
      </c>
      <c r="G1092" s="63">
        <f t="shared" ca="1" si="47"/>
        <v>10.848775000000002</v>
      </c>
      <c r="H1092" s="63">
        <f t="shared" ca="1" si="47"/>
        <v>18.286683333333333</v>
      </c>
      <c r="I1092" s="63">
        <f t="shared" ca="1" si="47"/>
        <v>18.287700000000005</v>
      </c>
      <c r="J1092" s="63">
        <f t="shared" ca="1" si="47"/>
        <v>10.847766666666667</v>
      </c>
      <c r="K1092" s="63">
        <f t="shared" ca="1" si="47"/>
        <v>10.848775000000002</v>
      </c>
    </row>
    <row r="1093" spans="1:11" ht="15">
      <c r="A1093" s="3">
        <v>2063</v>
      </c>
      <c r="B1093" s="63">
        <f t="shared" ca="1" si="47"/>
        <v>9.5372666666666657</v>
      </c>
      <c r="C1093" s="63">
        <f t="shared" ca="1" si="47"/>
        <v>9.5372666666666657</v>
      </c>
      <c r="D1093" s="63">
        <f t="shared" ca="1" si="47"/>
        <v>9.562283333333335</v>
      </c>
      <c r="E1093" s="63">
        <f t="shared" ca="1" si="47"/>
        <v>11.143116666666666</v>
      </c>
      <c r="F1093" s="63">
        <f t="shared" ca="1" si="47"/>
        <v>11.143116666666666</v>
      </c>
      <c r="G1093" s="63">
        <f t="shared" ca="1" si="47"/>
        <v>11.144133333333331</v>
      </c>
      <c r="H1093" s="63">
        <f t="shared" ca="1" si="47"/>
        <v>18.7377</v>
      </c>
      <c r="I1093" s="63">
        <f t="shared" ca="1" si="47"/>
        <v>18.738733333333332</v>
      </c>
      <c r="J1093" s="63">
        <f t="shared" ca="1" si="47"/>
        <v>11.143116666666666</v>
      </c>
      <c r="K1093" s="63">
        <f t="shared" ca="1" si="47"/>
        <v>11.144133333333331</v>
      </c>
    </row>
    <row r="1094" spans="1:11" ht="15">
      <c r="A1094" s="3">
        <v>2064</v>
      </c>
      <c r="B1094" s="63">
        <f t="shared" ca="1" si="47"/>
        <v>9.7848083333333342</v>
      </c>
      <c r="C1094" s="63">
        <f t="shared" ca="1" si="47"/>
        <v>9.7848083333333342</v>
      </c>
      <c r="D1094" s="63">
        <f t="shared" ca="1" si="47"/>
        <v>9.809808333333331</v>
      </c>
      <c r="E1094" s="63">
        <f t="shared" ca="1" si="47"/>
        <v>11.438450000000001</v>
      </c>
      <c r="F1094" s="63">
        <f t="shared" ca="1" si="47"/>
        <v>11.438450000000001</v>
      </c>
      <c r="G1094" s="63">
        <f t="shared" ca="1" si="47"/>
        <v>11.439466666666668</v>
      </c>
      <c r="H1094" s="63">
        <f t="shared" ca="1" si="47"/>
        <v>19.188758333333329</v>
      </c>
      <c r="I1094" s="63">
        <f t="shared" ca="1" si="47"/>
        <v>19.189758333333334</v>
      </c>
      <c r="J1094" s="63">
        <f t="shared" ca="1" si="47"/>
        <v>11.438450000000001</v>
      </c>
      <c r="K1094" s="63">
        <f t="shared" ca="1" si="47"/>
        <v>11.439466666666668</v>
      </c>
    </row>
    <row r="1095" spans="1:11" ht="15">
      <c r="A1095" s="3">
        <v>2065</v>
      </c>
      <c r="B1095" s="63">
        <f t="shared" ca="1" si="47"/>
        <v>10.032308333333335</v>
      </c>
      <c r="C1095" s="63">
        <f t="shared" ca="1" si="47"/>
        <v>10.032308333333335</v>
      </c>
      <c r="D1095" s="63">
        <f t="shared" ca="1" si="47"/>
        <v>10.057333333333332</v>
      </c>
      <c r="E1095" s="63">
        <f t="shared" ca="1" si="47"/>
        <v>11.733808333333334</v>
      </c>
      <c r="F1095" s="63">
        <f t="shared" ca="1" si="47"/>
        <v>11.733808333333334</v>
      </c>
      <c r="G1095" s="63">
        <f t="shared" ca="1" si="47"/>
        <v>11.7348</v>
      </c>
      <c r="H1095" s="63">
        <f t="shared" ca="1" si="47"/>
        <v>19.639800000000005</v>
      </c>
      <c r="I1095" s="63">
        <f t="shared" ca="1" si="47"/>
        <v>19.640783333333328</v>
      </c>
      <c r="J1095" s="63">
        <f t="shared" ca="1" si="47"/>
        <v>11.733808333333334</v>
      </c>
      <c r="K1095" s="63">
        <f t="shared" ca="1" si="47"/>
        <v>11.7348</v>
      </c>
    </row>
    <row r="1096" spans="1:11" ht="15">
      <c r="A1096" s="3">
        <v>2066</v>
      </c>
      <c r="B1096" s="63">
        <f t="shared" ca="1" si="47"/>
        <v>10.279825000000001</v>
      </c>
      <c r="C1096" s="63">
        <f t="shared" ca="1" si="47"/>
        <v>10.279825000000001</v>
      </c>
      <c r="D1096" s="63">
        <f t="shared" ca="1" si="47"/>
        <v>10.30485</v>
      </c>
      <c r="E1096" s="63">
        <f t="shared" ca="1" si="47"/>
        <v>12.029158333333333</v>
      </c>
      <c r="F1096" s="63">
        <f t="shared" ca="1" si="47"/>
        <v>12.029158333333333</v>
      </c>
      <c r="G1096" s="63">
        <f t="shared" ca="1" si="47"/>
        <v>12.030166666666666</v>
      </c>
      <c r="H1096" s="63">
        <f t="shared" ca="1" si="47"/>
        <v>20.090816666666665</v>
      </c>
      <c r="I1096" s="63">
        <f t="shared" ca="1" si="47"/>
        <v>20.091841666666667</v>
      </c>
      <c r="J1096" s="63">
        <f t="shared" ca="1" si="47"/>
        <v>12.029158333333333</v>
      </c>
      <c r="K1096" s="63">
        <f t="shared" ca="1" si="47"/>
        <v>12.030166666666666</v>
      </c>
    </row>
    <row r="1097" spans="1:11" ht="15">
      <c r="A1097" s="3">
        <v>2067</v>
      </c>
      <c r="B1097" s="63">
        <f t="shared" ca="1" si="47"/>
        <v>10.527333333333333</v>
      </c>
      <c r="C1097" s="63">
        <f t="shared" ca="1" si="47"/>
        <v>10.527333333333333</v>
      </c>
      <c r="D1097" s="63">
        <f t="shared" ca="1" si="47"/>
        <v>10.552366666666664</v>
      </c>
      <c r="E1097" s="63">
        <f t="shared" ca="1" si="47"/>
        <v>12.324491666666667</v>
      </c>
      <c r="F1097" s="63">
        <f t="shared" ca="1" si="47"/>
        <v>12.324491666666667</v>
      </c>
      <c r="G1097" s="63">
        <f t="shared" ca="1" si="47"/>
        <v>12.325508333333334</v>
      </c>
      <c r="H1097" s="63">
        <f t="shared" ca="1" si="47"/>
        <v>20.541858333333334</v>
      </c>
      <c r="I1097" s="63">
        <f t="shared" ca="1" si="47"/>
        <v>20.542866666666665</v>
      </c>
      <c r="J1097" s="63">
        <f t="shared" ca="1" si="47"/>
        <v>12.324491666666667</v>
      </c>
      <c r="K1097" s="63">
        <f t="shared" ca="1" si="47"/>
        <v>12.325508333333334</v>
      </c>
    </row>
    <row r="1098" spans="1:11" ht="15">
      <c r="A1098" s="3">
        <v>2068</v>
      </c>
      <c r="B1098" s="63">
        <f t="shared" ca="1" si="47"/>
        <v>10.774883333333333</v>
      </c>
      <c r="C1098" s="63">
        <f t="shared" ca="1" si="47"/>
        <v>10.774883333333333</v>
      </c>
      <c r="D1098" s="63">
        <f t="shared" ca="1" si="47"/>
        <v>10.799883333333332</v>
      </c>
      <c r="E1098" s="63">
        <f t="shared" ca="1" si="47"/>
        <v>12.619816666666667</v>
      </c>
      <c r="F1098" s="63">
        <f t="shared" ca="1" si="47"/>
        <v>12.619816666666667</v>
      </c>
      <c r="G1098" s="63">
        <f t="shared" ca="1" si="47"/>
        <v>12.620833333333332</v>
      </c>
      <c r="H1098" s="63">
        <f t="shared" ca="1" si="47"/>
        <v>20.992891666666669</v>
      </c>
      <c r="I1098" s="63">
        <f t="shared" ca="1" si="47"/>
        <v>20.993916666666667</v>
      </c>
      <c r="J1098" s="63">
        <f t="shared" ca="1" si="47"/>
        <v>12.619816666666667</v>
      </c>
      <c r="K1098" s="63">
        <f t="shared" ca="1" si="47"/>
        <v>12.620833333333332</v>
      </c>
    </row>
    <row r="1099" spans="1:11" ht="15">
      <c r="A1099" s="3">
        <v>2069</v>
      </c>
      <c r="B1099" s="63">
        <f t="shared" ca="1" si="47"/>
        <v>11.022399999999999</v>
      </c>
      <c r="C1099" s="63">
        <f t="shared" ca="1" si="47"/>
        <v>11.022399999999999</v>
      </c>
      <c r="D1099" s="63">
        <f t="shared" ca="1" si="47"/>
        <v>11.047399999999998</v>
      </c>
      <c r="E1099" s="63">
        <f t="shared" ca="1" si="47"/>
        <v>12.915183333333333</v>
      </c>
      <c r="F1099" s="63">
        <f t="shared" ca="1" si="47"/>
        <v>12.915183333333333</v>
      </c>
      <c r="G1099" s="63">
        <f t="shared" ca="1" si="47"/>
        <v>12.916166666666667</v>
      </c>
      <c r="H1099" s="63">
        <f t="shared" ca="1" si="47"/>
        <v>21.443916666666667</v>
      </c>
      <c r="I1099" s="63">
        <f t="shared" ca="1" si="47"/>
        <v>21.444941666666665</v>
      </c>
      <c r="J1099" s="63">
        <f t="shared" ca="1" si="47"/>
        <v>12.915183333333333</v>
      </c>
      <c r="K1099" s="63">
        <f t="shared" ca="1" si="47"/>
        <v>12.916166666666667</v>
      </c>
    </row>
    <row r="1100" spans="1:11" ht="15">
      <c r="A1100" s="3">
        <v>2070</v>
      </c>
      <c r="B1100" s="63">
        <f t="shared" ca="1" si="47"/>
        <v>11.269908333333333</v>
      </c>
      <c r="C1100" s="63">
        <f t="shared" ca="1" si="47"/>
        <v>11.269908333333333</v>
      </c>
      <c r="D1100" s="63">
        <f t="shared" ca="1" si="47"/>
        <v>11.294924999999999</v>
      </c>
      <c r="E1100" s="63">
        <f t="shared" ca="1" si="47"/>
        <v>13.210500000000001</v>
      </c>
      <c r="F1100" s="63">
        <f t="shared" ca="1" si="47"/>
        <v>13.210500000000001</v>
      </c>
      <c r="G1100" s="63">
        <f t="shared" ca="1" si="47"/>
        <v>13.211533333333334</v>
      </c>
      <c r="H1100" s="63">
        <f t="shared" ca="1" si="47"/>
        <v>21.894974999999999</v>
      </c>
      <c r="I1100" s="63">
        <f t="shared" ca="1" si="47"/>
        <v>21.895974999999996</v>
      </c>
      <c r="J1100" s="63">
        <f t="shared" ca="1" si="47"/>
        <v>13.210500000000001</v>
      </c>
      <c r="K1100" s="63">
        <f t="shared" ca="1" si="47"/>
        <v>13.211533333333334</v>
      </c>
    </row>
    <row r="1101" spans="1:11" ht="15">
      <c r="A1101" s="3">
        <v>2071</v>
      </c>
      <c r="B1101" s="63">
        <f t="shared" ca="1" si="47"/>
        <v>11.517416666666669</v>
      </c>
      <c r="C1101" s="63">
        <f t="shared" ca="1" si="47"/>
        <v>11.517416666666669</v>
      </c>
      <c r="D1101" s="63">
        <f t="shared" ca="1" si="47"/>
        <v>11.542441666666663</v>
      </c>
      <c r="E1101" s="63">
        <f t="shared" ca="1" si="47"/>
        <v>13.505833333333333</v>
      </c>
      <c r="F1101" s="63">
        <f t="shared" ca="1" si="47"/>
        <v>13.505833333333333</v>
      </c>
      <c r="G1101" s="63">
        <f t="shared" ca="1" si="47"/>
        <v>13.506866666666667</v>
      </c>
      <c r="H1101" s="63">
        <f t="shared" ca="1" si="47"/>
        <v>22.346016666666667</v>
      </c>
      <c r="I1101" s="63">
        <f t="shared" ca="1" si="47"/>
        <v>22.347025000000002</v>
      </c>
      <c r="J1101" s="63">
        <f t="shared" ca="1" si="47"/>
        <v>13.505833333333333</v>
      </c>
      <c r="K1101" s="63">
        <f t="shared" ca="1" si="47"/>
        <v>13.506866666666667</v>
      </c>
    </row>
    <row r="1102" spans="1:11" ht="15">
      <c r="A1102" s="3">
        <v>2072</v>
      </c>
      <c r="B1102" s="63">
        <f t="shared" ref="B1102:K1111" ca="1" si="48">AVERAGE(OFFSET(B$576,($A1102-$A$1092)*12,0,12,1))</f>
        <v>11.764941666666667</v>
      </c>
      <c r="C1102" s="63">
        <f t="shared" ca="1" si="48"/>
        <v>11.764941666666667</v>
      </c>
      <c r="D1102" s="63">
        <f t="shared" ca="1" si="48"/>
        <v>11.789966666666666</v>
      </c>
      <c r="E1102" s="63">
        <f t="shared" ca="1" si="48"/>
        <v>13.801191666666668</v>
      </c>
      <c r="F1102" s="63">
        <f t="shared" ca="1" si="48"/>
        <v>13.801191666666668</v>
      </c>
      <c r="G1102" s="63">
        <f t="shared" ca="1" si="48"/>
        <v>13.802200000000001</v>
      </c>
      <c r="H1102" s="63">
        <f t="shared" ca="1" si="48"/>
        <v>22.797041666666669</v>
      </c>
      <c r="I1102" s="63">
        <f t="shared" ca="1" si="48"/>
        <v>22.79805833333333</v>
      </c>
      <c r="J1102" s="63">
        <f t="shared" ca="1" si="48"/>
        <v>13.801191666666668</v>
      </c>
      <c r="K1102" s="63">
        <f t="shared" ca="1" si="48"/>
        <v>13.802200000000001</v>
      </c>
    </row>
    <row r="1103" spans="1:11" ht="15">
      <c r="A1103" s="3">
        <v>2073</v>
      </c>
      <c r="B1103" s="63">
        <f t="shared" ca="1" si="48"/>
        <v>12.012483333333334</v>
      </c>
      <c r="C1103" s="63">
        <f t="shared" ca="1" si="48"/>
        <v>12.012483333333334</v>
      </c>
      <c r="D1103" s="63">
        <f t="shared" ca="1" si="48"/>
        <v>12.037491666666666</v>
      </c>
      <c r="E1103" s="63">
        <f t="shared" ca="1" si="48"/>
        <v>14.096541666666665</v>
      </c>
      <c r="F1103" s="63">
        <f t="shared" ca="1" si="48"/>
        <v>14.096541666666665</v>
      </c>
      <c r="G1103" s="63">
        <f t="shared" ca="1" si="48"/>
        <v>14.097566666666667</v>
      </c>
      <c r="H1103" s="63">
        <f t="shared" ca="1" si="48"/>
        <v>23.248075000000004</v>
      </c>
      <c r="I1103" s="63">
        <f t="shared" ca="1" si="48"/>
        <v>23.249091666666668</v>
      </c>
      <c r="J1103" s="63">
        <f t="shared" ca="1" si="48"/>
        <v>14.096541666666665</v>
      </c>
      <c r="K1103" s="63">
        <f t="shared" ca="1" si="48"/>
        <v>14.097566666666667</v>
      </c>
    </row>
    <row r="1104" spans="1:11" ht="15">
      <c r="A1104" s="3">
        <v>2074</v>
      </c>
      <c r="B1104" s="63">
        <f t="shared" ca="1" si="48"/>
        <v>12.259991666666666</v>
      </c>
      <c r="C1104" s="63">
        <f t="shared" ca="1" si="48"/>
        <v>12.259991666666666</v>
      </c>
      <c r="D1104" s="63">
        <f t="shared" ca="1" si="48"/>
        <v>12.284991666666668</v>
      </c>
      <c r="E1104" s="63">
        <f t="shared" ca="1" si="48"/>
        <v>14.391883333333332</v>
      </c>
      <c r="F1104" s="63">
        <f t="shared" ca="1" si="48"/>
        <v>14.391883333333332</v>
      </c>
      <c r="G1104" s="63">
        <f t="shared" ca="1" si="48"/>
        <v>14.392899999999999</v>
      </c>
      <c r="H1104" s="63">
        <f t="shared" ca="1" si="48"/>
        <v>23.699116666666665</v>
      </c>
      <c r="I1104" s="63">
        <f t="shared" ca="1" si="48"/>
        <v>23.70013333333333</v>
      </c>
      <c r="J1104" s="63">
        <f t="shared" ca="1" si="48"/>
        <v>14.391883333333332</v>
      </c>
      <c r="K1104" s="63">
        <f t="shared" ca="1" si="48"/>
        <v>14.392899999999999</v>
      </c>
    </row>
    <row r="1105" spans="1:11" ht="15">
      <c r="A1105" s="3">
        <v>2075</v>
      </c>
      <c r="B1105" s="63">
        <f t="shared" ca="1" si="48"/>
        <v>12.5075</v>
      </c>
      <c r="C1105" s="63">
        <f t="shared" ca="1" si="48"/>
        <v>12.5075</v>
      </c>
      <c r="D1105" s="63">
        <f t="shared" ca="1" si="48"/>
        <v>12.532516666666666</v>
      </c>
      <c r="E1105" s="63">
        <f t="shared" ca="1" si="48"/>
        <v>14.687225000000003</v>
      </c>
      <c r="F1105" s="63">
        <f t="shared" ca="1" si="48"/>
        <v>14.687225000000003</v>
      </c>
      <c r="G1105" s="63">
        <f t="shared" ca="1" si="48"/>
        <v>14.688233333333336</v>
      </c>
      <c r="H1105" s="63">
        <f t="shared" ca="1" si="48"/>
        <v>24.150158333333334</v>
      </c>
      <c r="I1105" s="63">
        <f t="shared" ca="1" si="48"/>
        <v>24.151166666666668</v>
      </c>
      <c r="J1105" s="63">
        <f t="shared" ca="1" si="48"/>
        <v>14.687225000000003</v>
      </c>
      <c r="K1105" s="63">
        <f t="shared" ca="1" si="48"/>
        <v>14.688233333333336</v>
      </c>
    </row>
    <row r="1106" spans="1:11" ht="15">
      <c r="A1106" s="3">
        <v>2076</v>
      </c>
      <c r="B1106" s="63">
        <f t="shared" ca="1" si="48"/>
        <v>12.755041666666669</v>
      </c>
      <c r="C1106" s="63">
        <f t="shared" ca="1" si="48"/>
        <v>12.755041666666669</v>
      </c>
      <c r="D1106" s="63">
        <f t="shared" ca="1" si="48"/>
        <v>12.780049999999997</v>
      </c>
      <c r="E1106" s="63">
        <f t="shared" ca="1" si="48"/>
        <v>14.982583333333332</v>
      </c>
      <c r="F1106" s="63">
        <f t="shared" ca="1" si="48"/>
        <v>14.982583333333332</v>
      </c>
      <c r="G1106" s="63">
        <f t="shared" ca="1" si="48"/>
        <v>14.983591666666664</v>
      </c>
      <c r="H1106" s="63">
        <f t="shared" ca="1" si="48"/>
        <v>24.601200000000002</v>
      </c>
      <c r="I1106" s="63">
        <f t="shared" ca="1" si="48"/>
        <v>24.602191666666666</v>
      </c>
      <c r="J1106" s="63">
        <f t="shared" ca="1" si="48"/>
        <v>14.982583333333332</v>
      </c>
      <c r="K1106" s="63">
        <f t="shared" ca="1" si="48"/>
        <v>14.983591666666664</v>
      </c>
    </row>
    <row r="1107" spans="1:11" ht="15">
      <c r="A1107" s="3">
        <v>2077</v>
      </c>
      <c r="B1107" s="63">
        <f t="shared" ca="1" si="48"/>
        <v>13.002541666666668</v>
      </c>
      <c r="C1107" s="63">
        <f t="shared" ca="1" si="48"/>
        <v>13.002541666666668</v>
      </c>
      <c r="D1107" s="63">
        <f t="shared" ca="1" si="48"/>
        <v>13.027558333333333</v>
      </c>
      <c r="E1107" s="63">
        <f t="shared" ca="1" si="48"/>
        <v>15.277916666666664</v>
      </c>
      <c r="F1107" s="63">
        <f t="shared" ca="1" si="48"/>
        <v>15.277916666666664</v>
      </c>
      <c r="G1107" s="63">
        <f t="shared" ca="1" si="48"/>
        <v>15.278933333333333</v>
      </c>
      <c r="H1107" s="63">
        <f t="shared" ca="1" si="48"/>
        <v>25.052241666666664</v>
      </c>
      <c r="I1107" s="63">
        <f t="shared" ca="1" si="48"/>
        <v>25.053216666666671</v>
      </c>
      <c r="J1107" s="63">
        <f t="shared" ca="1" si="48"/>
        <v>15.277916666666664</v>
      </c>
      <c r="K1107" s="63">
        <f t="shared" ca="1" si="48"/>
        <v>15.278933333333333</v>
      </c>
    </row>
    <row r="1108" spans="1:11" ht="15">
      <c r="A1108" s="3">
        <v>2078</v>
      </c>
      <c r="B1108" s="63">
        <f t="shared" ca="1" si="48"/>
        <v>13.250050000000002</v>
      </c>
      <c r="C1108" s="63">
        <f t="shared" ca="1" si="48"/>
        <v>13.250050000000002</v>
      </c>
      <c r="D1108" s="63">
        <f t="shared" ca="1" si="48"/>
        <v>13.275083333333333</v>
      </c>
      <c r="E1108" s="63">
        <f t="shared" ca="1" si="48"/>
        <v>15.573258333333335</v>
      </c>
      <c r="F1108" s="63">
        <f t="shared" ca="1" si="48"/>
        <v>15.573258333333335</v>
      </c>
      <c r="G1108" s="63">
        <f t="shared" ca="1" si="48"/>
        <v>15.574266666666666</v>
      </c>
      <c r="H1108" s="63">
        <f t="shared" ca="1" si="48"/>
        <v>25.503249999999998</v>
      </c>
      <c r="I1108" s="63">
        <f t="shared" ca="1" si="48"/>
        <v>25.504266666666666</v>
      </c>
      <c r="J1108" s="63">
        <f t="shared" ca="1" si="48"/>
        <v>15.573258333333335</v>
      </c>
      <c r="K1108" s="63">
        <f t="shared" ca="1" si="48"/>
        <v>15.574266666666666</v>
      </c>
    </row>
    <row r="1109" spans="1:11" ht="15">
      <c r="A1109" s="3">
        <v>2079</v>
      </c>
      <c r="B1109" s="63">
        <f t="shared" ca="1" si="48"/>
        <v>13.497583333333333</v>
      </c>
      <c r="C1109" s="63">
        <f t="shared" ca="1" si="48"/>
        <v>13.497583333333333</v>
      </c>
      <c r="D1109" s="63">
        <f t="shared" ca="1" si="48"/>
        <v>13.522599999999999</v>
      </c>
      <c r="E1109" s="63">
        <f t="shared" ca="1" si="48"/>
        <v>15.868608333333333</v>
      </c>
      <c r="F1109" s="63">
        <f t="shared" ca="1" si="48"/>
        <v>15.868608333333333</v>
      </c>
      <c r="G1109" s="63">
        <f t="shared" ca="1" si="48"/>
        <v>15.869608333333334</v>
      </c>
      <c r="H1109" s="63">
        <f t="shared" ca="1" si="48"/>
        <v>25.954283333333333</v>
      </c>
      <c r="I1109" s="63">
        <f t="shared" ca="1" si="48"/>
        <v>25.955300000000005</v>
      </c>
      <c r="J1109" s="63">
        <f t="shared" ca="1" si="48"/>
        <v>15.868608333333333</v>
      </c>
      <c r="K1109" s="63">
        <f t="shared" ca="1" si="48"/>
        <v>15.869608333333334</v>
      </c>
    </row>
    <row r="1110" spans="1:11" ht="15">
      <c r="A1110" s="3">
        <v>2080</v>
      </c>
      <c r="B1110" s="63">
        <f t="shared" ca="1" si="48"/>
        <v>13.745116666666668</v>
      </c>
      <c r="C1110" s="63">
        <f t="shared" ca="1" si="48"/>
        <v>13.745116666666668</v>
      </c>
      <c r="D1110" s="63">
        <f t="shared" ca="1" si="48"/>
        <v>13.770116666666667</v>
      </c>
      <c r="E1110" s="63">
        <f t="shared" ca="1" si="48"/>
        <v>16.163950000000003</v>
      </c>
      <c r="F1110" s="63">
        <f t="shared" ca="1" si="48"/>
        <v>16.163950000000003</v>
      </c>
      <c r="G1110" s="63">
        <f t="shared" ca="1" si="48"/>
        <v>16.164950000000001</v>
      </c>
      <c r="H1110" s="63">
        <f t="shared" ca="1" si="48"/>
        <v>26.405316666666661</v>
      </c>
      <c r="I1110" s="63">
        <f t="shared" ca="1" si="48"/>
        <v>26.40635</v>
      </c>
      <c r="J1110" s="63">
        <f t="shared" ca="1" si="48"/>
        <v>16.163950000000003</v>
      </c>
      <c r="K1110" s="63">
        <f t="shared" ca="1" si="48"/>
        <v>16.164950000000001</v>
      </c>
    </row>
    <row r="1111" spans="1:11" ht="15">
      <c r="A1111" s="3">
        <v>2081</v>
      </c>
      <c r="B1111" s="63">
        <f t="shared" ca="1" si="48"/>
        <v>13.992633333333336</v>
      </c>
      <c r="C1111" s="63">
        <f t="shared" ca="1" si="48"/>
        <v>13.992633333333336</v>
      </c>
      <c r="D1111" s="63">
        <f t="shared" ca="1" si="48"/>
        <v>14.017650000000001</v>
      </c>
      <c r="E1111" s="63">
        <f t="shared" ca="1" si="48"/>
        <v>16.459275000000002</v>
      </c>
      <c r="F1111" s="63">
        <f t="shared" ca="1" si="48"/>
        <v>16.459275000000002</v>
      </c>
      <c r="G1111" s="63">
        <f t="shared" ca="1" si="48"/>
        <v>16.460291666666667</v>
      </c>
      <c r="H1111" s="63">
        <f t="shared" ca="1" si="48"/>
        <v>26.856358333333333</v>
      </c>
      <c r="I1111" s="63">
        <f t="shared" ca="1" si="48"/>
        <v>26.857358333333337</v>
      </c>
      <c r="J1111" s="63">
        <f t="shared" ca="1" si="48"/>
        <v>16.459275000000002</v>
      </c>
      <c r="K1111" s="63">
        <f t="shared" ca="1" si="48"/>
        <v>16.460291666666667</v>
      </c>
    </row>
    <row r="1112" spans="1:11" ht="15">
      <c r="A1112" s="3">
        <v>2082</v>
      </c>
      <c r="B1112" s="63">
        <f t="shared" ref="B1112:K1121" ca="1" si="49">AVERAGE(OFFSET(B$576,($A1112-$A$1092)*12,0,12,1))</f>
        <v>14.240133333333334</v>
      </c>
      <c r="C1112" s="63">
        <f t="shared" ca="1" si="49"/>
        <v>14.240133333333334</v>
      </c>
      <c r="D1112" s="63">
        <f t="shared" ca="1" si="49"/>
        <v>14.265158333333332</v>
      </c>
      <c r="E1112" s="63">
        <f t="shared" ca="1" si="49"/>
        <v>16.754633333333334</v>
      </c>
      <c r="F1112" s="63">
        <f t="shared" ca="1" si="49"/>
        <v>16.754633333333334</v>
      </c>
      <c r="G1112" s="63">
        <f t="shared" ca="1" si="49"/>
        <v>16.755633333333332</v>
      </c>
      <c r="H1112" s="63">
        <f t="shared" ca="1" si="49"/>
        <v>27.307400000000001</v>
      </c>
      <c r="I1112" s="63">
        <f t="shared" ca="1" si="49"/>
        <v>27.30841666666667</v>
      </c>
      <c r="J1112" s="63">
        <f t="shared" ca="1" si="49"/>
        <v>16.754633333333334</v>
      </c>
      <c r="K1112" s="63">
        <f t="shared" ca="1" si="49"/>
        <v>16.755633333333332</v>
      </c>
    </row>
    <row r="1113" spans="1:11" ht="15">
      <c r="A1113" s="3">
        <v>2083</v>
      </c>
      <c r="B1113" s="63">
        <f t="shared" ca="1" si="49"/>
        <v>14.487650000000002</v>
      </c>
      <c r="C1113" s="63">
        <f t="shared" ca="1" si="49"/>
        <v>14.487650000000002</v>
      </c>
      <c r="D1113" s="63">
        <f t="shared" ca="1" si="49"/>
        <v>14.512683333333333</v>
      </c>
      <c r="E1113" s="63">
        <f t="shared" ca="1" si="49"/>
        <v>17.049966666666666</v>
      </c>
      <c r="F1113" s="63">
        <f t="shared" ca="1" si="49"/>
        <v>17.049966666666666</v>
      </c>
      <c r="G1113" s="63">
        <f t="shared" ca="1" si="49"/>
        <v>17.050983333333331</v>
      </c>
      <c r="H1113" s="63">
        <f t="shared" ca="1" si="49"/>
        <v>27.758433333333329</v>
      </c>
      <c r="I1113" s="63">
        <f t="shared" ca="1" si="49"/>
        <v>27.759441666666664</v>
      </c>
      <c r="J1113" s="63">
        <f t="shared" ca="1" si="49"/>
        <v>17.049966666666666</v>
      </c>
      <c r="K1113" s="63">
        <f t="shared" ca="1" si="49"/>
        <v>17.050983333333331</v>
      </c>
    </row>
    <row r="1114" spans="1:11" ht="15">
      <c r="A1114" s="3">
        <v>2084</v>
      </c>
      <c r="B1114" s="63">
        <f t="shared" ca="1" si="49"/>
        <v>14.735199999999997</v>
      </c>
      <c r="C1114" s="63">
        <f t="shared" ca="1" si="49"/>
        <v>14.735199999999997</v>
      </c>
      <c r="D1114" s="63">
        <f t="shared" ca="1" si="49"/>
        <v>14.760191666666666</v>
      </c>
      <c r="E1114" s="63">
        <f t="shared" ca="1" si="49"/>
        <v>17.345324999999999</v>
      </c>
      <c r="F1114" s="63">
        <f t="shared" ca="1" si="49"/>
        <v>17.345324999999999</v>
      </c>
      <c r="G1114" s="63">
        <f t="shared" ca="1" si="49"/>
        <v>17.346325</v>
      </c>
      <c r="H1114" s="63">
        <f t="shared" ca="1" si="49"/>
        <v>28.209475000000001</v>
      </c>
      <c r="I1114" s="63">
        <f t="shared" ca="1" si="49"/>
        <v>28.21048333333334</v>
      </c>
      <c r="J1114" s="63">
        <f t="shared" ca="1" si="49"/>
        <v>17.345324999999999</v>
      </c>
      <c r="K1114" s="63">
        <f t="shared" ca="1" si="49"/>
        <v>17.346325</v>
      </c>
    </row>
    <row r="1115" spans="1:11" ht="15">
      <c r="A1115" s="3">
        <v>2085</v>
      </c>
      <c r="B1115" s="63">
        <f t="shared" ca="1" si="49"/>
        <v>14.982699999999999</v>
      </c>
      <c r="C1115" s="63">
        <f t="shared" ca="1" si="49"/>
        <v>14.982699999999999</v>
      </c>
      <c r="D1115" s="63">
        <f t="shared" ca="1" si="49"/>
        <v>15.007716666666667</v>
      </c>
      <c r="E1115" s="63">
        <f t="shared" ca="1" si="49"/>
        <v>17.640658333333334</v>
      </c>
      <c r="F1115" s="63">
        <f t="shared" ca="1" si="49"/>
        <v>17.640658333333334</v>
      </c>
      <c r="G1115" s="63">
        <f t="shared" ca="1" si="49"/>
        <v>17.641683333333333</v>
      </c>
      <c r="H1115" s="63">
        <f t="shared" ca="1" si="49"/>
        <v>28.660508333333336</v>
      </c>
      <c r="I1115" s="63">
        <f t="shared" ca="1" si="49"/>
        <v>28.661525000000001</v>
      </c>
      <c r="J1115" s="63">
        <f t="shared" ca="1" si="49"/>
        <v>17.640658333333334</v>
      </c>
      <c r="K1115" s="63">
        <f t="shared" ca="1" si="49"/>
        <v>17.641683333333333</v>
      </c>
    </row>
    <row r="1116" spans="1:11" ht="15">
      <c r="A1116" s="3">
        <v>2086</v>
      </c>
      <c r="B1116" s="63">
        <f t="shared" ca="1" si="49"/>
        <v>15.230216666666664</v>
      </c>
      <c r="C1116" s="63">
        <f t="shared" ca="1" si="49"/>
        <v>15.230216666666664</v>
      </c>
      <c r="D1116" s="63">
        <f t="shared" ca="1" si="49"/>
        <v>15.255224999999998</v>
      </c>
      <c r="E1116" s="63">
        <f t="shared" ca="1" si="49"/>
        <v>17.936008333333334</v>
      </c>
      <c r="F1116" s="63">
        <f t="shared" ca="1" si="49"/>
        <v>17.936008333333334</v>
      </c>
      <c r="G1116" s="63">
        <f t="shared" ca="1" si="49"/>
        <v>17.937008333333335</v>
      </c>
      <c r="H1116" s="63">
        <f t="shared" ca="1" si="49"/>
        <v>29.11153333333333</v>
      </c>
      <c r="I1116" s="63">
        <f t="shared" ca="1" si="49"/>
        <v>29.112558333333336</v>
      </c>
      <c r="J1116" s="63">
        <f t="shared" ca="1" si="49"/>
        <v>17.936008333333334</v>
      </c>
      <c r="K1116" s="63">
        <f t="shared" ca="1" si="49"/>
        <v>17.937008333333335</v>
      </c>
    </row>
    <row r="1117" spans="1:11" ht="15">
      <c r="A1117" s="3">
        <v>2087</v>
      </c>
      <c r="B1117" s="63">
        <f t="shared" ca="1" si="49"/>
        <v>15.477733333333333</v>
      </c>
      <c r="C1117" s="63">
        <f t="shared" ca="1" si="49"/>
        <v>15.477733333333333</v>
      </c>
      <c r="D1117" s="63">
        <f t="shared" ca="1" si="49"/>
        <v>15.502758333333333</v>
      </c>
      <c r="E1117" s="63">
        <f t="shared" ca="1" si="49"/>
        <v>18.231333333333335</v>
      </c>
      <c r="F1117" s="63">
        <f t="shared" ca="1" si="49"/>
        <v>18.231333333333335</v>
      </c>
      <c r="G1117" s="63">
        <f t="shared" ca="1" si="49"/>
        <v>18.232358333333334</v>
      </c>
      <c r="H1117" s="63">
        <f t="shared" ca="1" si="49"/>
        <v>29.562583333333333</v>
      </c>
      <c r="I1117" s="63">
        <f t="shared" ca="1" si="49"/>
        <v>29.563583333333337</v>
      </c>
      <c r="J1117" s="63">
        <f t="shared" ca="1" si="49"/>
        <v>18.231333333333335</v>
      </c>
      <c r="K1117" s="63">
        <f t="shared" ca="1" si="49"/>
        <v>18.232358333333334</v>
      </c>
    </row>
    <row r="1118" spans="1:11" ht="15">
      <c r="A1118" s="3">
        <v>2088</v>
      </c>
      <c r="B1118" s="63">
        <f t="shared" ca="1" si="49"/>
        <v>15.725258333333331</v>
      </c>
      <c r="C1118" s="63">
        <f t="shared" ca="1" si="49"/>
        <v>15.725258333333331</v>
      </c>
      <c r="D1118" s="63">
        <f t="shared" ca="1" si="49"/>
        <v>15.750275</v>
      </c>
      <c r="E1118" s="63">
        <f t="shared" ca="1" si="49"/>
        <v>18.526683333333335</v>
      </c>
      <c r="F1118" s="63">
        <f t="shared" ca="1" si="49"/>
        <v>18.526683333333335</v>
      </c>
      <c r="G1118" s="63">
        <f t="shared" ca="1" si="49"/>
        <v>18.527699999999999</v>
      </c>
      <c r="H1118" s="63">
        <f t="shared" ca="1" si="49"/>
        <v>30.013625000000005</v>
      </c>
      <c r="I1118" s="63">
        <f t="shared" ca="1" si="49"/>
        <v>30.014633333333332</v>
      </c>
      <c r="J1118" s="63">
        <f t="shared" ca="1" si="49"/>
        <v>18.526683333333335</v>
      </c>
      <c r="K1118" s="63">
        <f t="shared" ca="1" si="49"/>
        <v>18.527699999999999</v>
      </c>
    </row>
    <row r="1119" spans="1:11" ht="15">
      <c r="A1119" s="3">
        <v>2089</v>
      </c>
      <c r="B1119" s="63">
        <f t="shared" ca="1" si="49"/>
        <v>15.972775000000004</v>
      </c>
      <c r="C1119" s="63">
        <f t="shared" ca="1" si="49"/>
        <v>15.972775000000004</v>
      </c>
      <c r="D1119" s="63">
        <f t="shared" ca="1" si="49"/>
        <v>15.9978</v>
      </c>
      <c r="E1119" s="63">
        <f t="shared" ca="1" si="49"/>
        <v>18.822033333333334</v>
      </c>
      <c r="F1119" s="63">
        <f t="shared" ca="1" si="49"/>
        <v>18.822033333333334</v>
      </c>
      <c r="G1119" s="63">
        <f t="shared" ca="1" si="49"/>
        <v>18.823041666666665</v>
      </c>
      <c r="H1119" s="63">
        <f t="shared" ca="1" si="49"/>
        <v>30.464666666666663</v>
      </c>
      <c r="I1119" s="63">
        <f t="shared" ca="1" si="49"/>
        <v>30.465675000000005</v>
      </c>
      <c r="J1119" s="63">
        <f t="shared" ca="1" si="49"/>
        <v>18.822033333333334</v>
      </c>
      <c r="K1119" s="63">
        <f t="shared" ca="1" si="49"/>
        <v>18.823041666666665</v>
      </c>
    </row>
    <row r="1120" spans="1:11" ht="15">
      <c r="A1120" s="3">
        <v>2090</v>
      </c>
      <c r="B1120" s="63">
        <f t="shared" ca="1" si="49"/>
        <v>16.220299999999998</v>
      </c>
      <c r="C1120" s="63">
        <f t="shared" ca="1" si="49"/>
        <v>16.220299999999998</v>
      </c>
      <c r="D1120" s="63">
        <f t="shared" ca="1" si="49"/>
        <v>16.2453</v>
      </c>
      <c r="E1120" s="63">
        <f t="shared" ca="1" si="49"/>
        <v>19.117366666666669</v>
      </c>
      <c r="F1120" s="63">
        <f t="shared" ca="1" si="49"/>
        <v>19.117366666666669</v>
      </c>
      <c r="G1120" s="63">
        <f t="shared" ca="1" si="49"/>
        <v>19.11838333333333</v>
      </c>
      <c r="H1120" s="63">
        <f t="shared" ca="1" si="49"/>
        <v>30.915683333333337</v>
      </c>
      <c r="I1120" s="63">
        <f t="shared" ca="1" si="49"/>
        <v>30.916700000000002</v>
      </c>
      <c r="J1120" s="63">
        <f t="shared" ca="1" si="49"/>
        <v>19.117366666666669</v>
      </c>
      <c r="K1120" s="63">
        <f t="shared" ca="1" si="49"/>
        <v>19.11838333333333</v>
      </c>
    </row>
    <row r="1121" spans="1:11" ht="15">
      <c r="A1121" s="3">
        <v>2091</v>
      </c>
      <c r="B1121" s="63">
        <f t="shared" ca="1" si="49"/>
        <v>16.467799999999997</v>
      </c>
      <c r="C1121" s="63">
        <f t="shared" ca="1" si="49"/>
        <v>16.467799999999997</v>
      </c>
      <c r="D1121" s="63">
        <f t="shared" ca="1" si="49"/>
        <v>16.492825</v>
      </c>
      <c r="E1121" s="63">
        <f t="shared" ca="1" si="49"/>
        <v>19.412708333333331</v>
      </c>
      <c r="F1121" s="63">
        <f t="shared" ca="1" si="49"/>
        <v>19.412708333333331</v>
      </c>
      <c r="G1121" s="63">
        <f t="shared" ca="1" si="49"/>
        <v>19.413733333333337</v>
      </c>
      <c r="H1121" s="63">
        <f t="shared" ca="1" si="49"/>
        <v>31.366708333333332</v>
      </c>
      <c r="I1121" s="63">
        <f t="shared" ca="1" si="49"/>
        <v>31.36773333333333</v>
      </c>
      <c r="J1121" s="63">
        <f t="shared" ca="1" si="49"/>
        <v>19.412708333333331</v>
      </c>
      <c r="K1121" s="63">
        <f t="shared" ca="1" si="49"/>
        <v>19.413733333333337</v>
      </c>
    </row>
    <row r="1122" spans="1:11" ht="15">
      <c r="A1122" s="3">
        <v>2092</v>
      </c>
      <c r="B1122" s="63">
        <f t="shared" ref="B1122:K1130" ca="1" si="50">AVERAGE(OFFSET(B$576,($A1122-$A$1092)*12,0,12,1))</f>
        <v>16.715349999999997</v>
      </c>
      <c r="C1122" s="63">
        <f t="shared" ca="1" si="50"/>
        <v>16.715349999999997</v>
      </c>
      <c r="D1122" s="63">
        <f t="shared" ca="1" si="50"/>
        <v>16.740366666666667</v>
      </c>
      <c r="E1122" s="63">
        <f t="shared" ca="1" si="50"/>
        <v>19.708050000000004</v>
      </c>
      <c r="F1122" s="63">
        <f t="shared" ca="1" si="50"/>
        <v>19.708050000000004</v>
      </c>
      <c r="G1122" s="63">
        <f t="shared" ca="1" si="50"/>
        <v>19.709049999999998</v>
      </c>
      <c r="H1122" s="63">
        <f t="shared" ca="1" si="50"/>
        <v>31.817750000000007</v>
      </c>
      <c r="I1122" s="63">
        <f t="shared" ca="1" si="50"/>
        <v>31.818766666666665</v>
      </c>
      <c r="J1122" s="63">
        <f t="shared" ca="1" si="50"/>
        <v>19.708050000000004</v>
      </c>
      <c r="K1122" s="63">
        <f t="shared" ca="1" si="50"/>
        <v>19.709049999999998</v>
      </c>
    </row>
    <row r="1123" spans="1:11" ht="15">
      <c r="A1123" s="3">
        <v>2093</v>
      </c>
      <c r="B1123" s="63">
        <f t="shared" ca="1" si="50"/>
        <v>16.962858333333333</v>
      </c>
      <c r="C1123" s="63">
        <f t="shared" ca="1" si="50"/>
        <v>16.962858333333333</v>
      </c>
      <c r="D1123" s="63">
        <f t="shared" ca="1" si="50"/>
        <v>16.987874999999999</v>
      </c>
      <c r="E1123" s="63">
        <f t="shared" ca="1" si="50"/>
        <v>20.003391666666669</v>
      </c>
      <c r="F1123" s="63">
        <f t="shared" ca="1" si="50"/>
        <v>20.003391666666669</v>
      </c>
      <c r="G1123" s="63">
        <f t="shared" ca="1" si="50"/>
        <v>20.004416666666664</v>
      </c>
      <c r="H1123" s="63">
        <f t="shared" ca="1" si="50"/>
        <v>32.268808333333332</v>
      </c>
      <c r="I1123" s="63">
        <f t="shared" ca="1" si="50"/>
        <v>32.269816666666664</v>
      </c>
      <c r="J1123" s="63">
        <f t="shared" ca="1" si="50"/>
        <v>20.003391666666669</v>
      </c>
      <c r="K1123" s="63">
        <f t="shared" ca="1" si="50"/>
        <v>20.004416666666664</v>
      </c>
    </row>
    <row r="1124" spans="1:11" ht="15">
      <c r="A1124" s="3">
        <v>2094</v>
      </c>
      <c r="B1124" s="63">
        <f t="shared" ca="1" si="50"/>
        <v>17.210366666666665</v>
      </c>
      <c r="C1124" s="63">
        <f t="shared" ca="1" si="50"/>
        <v>17.210366666666665</v>
      </c>
      <c r="D1124" s="63">
        <f t="shared" ca="1" si="50"/>
        <v>17.235391666666668</v>
      </c>
      <c r="E1124" s="63">
        <f t="shared" ca="1" si="50"/>
        <v>20.298733333333335</v>
      </c>
      <c r="F1124" s="63">
        <f t="shared" ca="1" si="50"/>
        <v>20.298733333333335</v>
      </c>
      <c r="G1124" s="63">
        <f t="shared" ca="1" si="50"/>
        <v>20.299758333333333</v>
      </c>
      <c r="H1124" s="63">
        <f t="shared" ca="1" si="50"/>
        <v>32.719841666666667</v>
      </c>
      <c r="I1124" s="63">
        <f t="shared" ca="1" si="50"/>
        <v>32.720841666666665</v>
      </c>
      <c r="J1124" s="63">
        <f t="shared" ca="1" si="50"/>
        <v>20.298733333333335</v>
      </c>
      <c r="K1124" s="63">
        <f t="shared" ca="1" si="50"/>
        <v>20.299758333333333</v>
      </c>
    </row>
    <row r="1125" spans="1:11" ht="15">
      <c r="A1125" s="3">
        <v>2095</v>
      </c>
      <c r="B1125" s="63">
        <f t="shared" ca="1" si="50"/>
        <v>17.457874999999998</v>
      </c>
      <c r="C1125" s="63">
        <f t="shared" ca="1" si="50"/>
        <v>17.457874999999998</v>
      </c>
      <c r="D1125" s="63">
        <f t="shared" ca="1" si="50"/>
        <v>17.482908333333334</v>
      </c>
      <c r="E1125" s="63">
        <f t="shared" ca="1" si="50"/>
        <v>20.594083333333334</v>
      </c>
      <c r="F1125" s="63">
        <f t="shared" ca="1" si="50"/>
        <v>20.594083333333334</v>
      </c>
      <c r="G1125" s="63">
        <f t="shared" ca="1" si="50"/>
        <v>20.595091666666665</v>
      </c>
      <c r="H1125" s="63">
        <f t="shared" ca="1" si="50"/>
        <v>33.170858333333335</v>
      </c>
      <c r="I1125" s="63">
        <f t="shared" ca="1" si="50"/>
        <v>33.171883333333334</v>
      </c>
      <c r="J1125" s="63">
        <f t="shared" ca="1" si="50"/>
        <v>20.594083333333334</v>
      </c>
      <c r="K1125" s="63">
        <f t="shared" ca="1" si="50"/>
        <v>20.595091666666665</v>
      </c>
    </row>
    <row r="1126" spans="1:11" ht="15">
      <c r="A1126" s="3">
        <v>2096</v>
      </c>
      <c r="B1126" s="63">
        <f t="shared" ca="1" si="50"/>
        <v>17.705416666666668</v>
      </c>
      <c r="C1126" s="63">
        <f t="shared" ca="1" si="50"/>
        <v>17.705416666666668</v>
      </c>
      <c r="D1126" s="63">
        <f t="shared" ca="1" si="50"/>
        <v>17.730425</v>
      </c>
      <c r="E1126" s="63">
        <f t="shared" ca="1" si="50"/>
        <v>20.889433333333333</v>
      </c>
      <c r="F1126" s="63">
        <f t="shared" ca="1" si="50"/>
        <v>20.889433333333333</v>
      </c>
      <c r="G1126" s="63">
        <f t="shared" ca="1" si="50"/>
        <v>20.890441666666664</v>
      </c>
      <c r="H1126" s="63">
        <f t="shared" ca="1" si="50"/>
        <v>33.621900000000004</v>
      </c>
      <c r="I1126" s="63">
        <f t="shared" ca="1" si="50"/>
        <v>33.622916666666676</v>
      </c>
      <c r="J1126" s="63">
        <f t="shared" ca="1" si="50"/>
        <v>20.889433333333333</v>
      </c>
      <c r="K1126" s="63">
        <f t="shared" ca="1" si="50"/>
        <v>20.890441666666664</v>
      </c>
    </row>
    <row r="1127" spans="1:11" ht="15">
      <c r="A1127" s="3">
        <v>2097</v>
      </c>
      <c r="B1127" s="63">
        <f t="shared" ca="1" si="50"/>
        <v>17.952933333333334</v>
      </c>
      <c r="C1127" s="63">
        <f t="shared" ca="1" si="50"/>
        <v>17.952933333333334</v>
      </c>
      <c r="D1127" s="63">
        <f t="shared" ca="1" si="50"/>
        <v>17.97794166666667</v>
      </c>
      <c r="E1127" s="63">
        <f t="shared" ca="1" si="50"/>
        <v>21.184783333333336</v>
      </c>
      <c r="F1127" s="63">
        <f t="shared" ca="1" si="50"/>
        <v>21.184783333333336</v>
      </c>
      <c r="G1127" s="63">
        <f t="shared" ca="1" si="50"/>
        <v>21.1858</v>
      </c>
      <c r="H1127" s="63">
        <f t="shared" ca="1" si="50"/>
        <v>34.072941666666665</v>
      </c>
      <c r="I1127" s="63">
        <f t="shared" ca="1" si="50"/>
        <v>34.073950000000004</v>
      </c>
      <c r="J1127" s="63">
        <f t="shared" ca="1" si="50"/>
        <v>21.184783333333336</v>
      </c>
      <c r="K1127" s="63">
        <f t="shared" ca="1" si="50"/>
        <v>21.1858</v>
      </c>
    </row>
    <row r="1128" spans="1:11" ht="15">
      <c r="A1128" s="3">
        <v>2098</v>
      </c>
      <c r="B1128" s="63">
        <f t="shared" ca="1" si="50"/>
        <v>18.200441666666666</v>
      </c>
      <c r="C1128" s="63">
        <f t="shared" ca="1" si="50"/>
        <v>18.200441666666666</v>
      </c>
      <c r="D1128" s="63">
        <f t="shared" ca="1" si="50"/>
        <v>18.225466666666666</v>
      </c>
      <c r="E1128" s="63">
        <f t="shared" ca="1" si="50"/>
        <v>21.480099999999997</v>
      </c>
      <c r="F1128" s="63">
        <f t="shared" ca="1" si="50"/>
        <v>21.480099999999997</v>
      </c>
      <c r="G1128" s="63">
        <f t="shared" ca="1" si="50"/>
        <v>21.481116666666665</v>
      </c>
      <c r="H1128" s="63">
        <f t="shared" ca="1" si="50"/>
        <v>34.523975</v>
      </c>
      <c r="I1128" s="63">
        <f t="shared" ca="1" si="50"/>
        <v>34.524991666666665</v>
      </c>
      <c r="J1128" s="63">
        <f t="shared" ca="1" si="50"/>
        <v>21.480099999999997</v>
      </c>
      <c r="K1128" s="63">
        <f t="shared" ca="1" si="50"/>
        <v>21.481116666666665</v>
      </c>
    </row>
    <row r="1129" spans="1:11" ht="15">
      <c r="A1129" s="3">
        <v>2099</v>
      </c>
      <c r="B1129" s="63">
        <f t="shared" ca="1" si="50"/>
        <v>18.447958333333332</v>
      </c>
      <c r="C1129" s="63">
        <f t="shared" ca="1" si="50"/>
        <v>18.447958333333332</v>
      </c>
      <c r="D1129" s="63">
        <f t="shared" ca="1" si="50"/>
        <v>18.472991666666669</v>
      </c>
      <c r="E1129" s="63">
        <f t="shared" ca="1" si="50"/>
        <v>21.77546666666667</v>
      </c>
      <c r="F1129" s="63">
        <f t="shared" ca="1" si="50"/>
        <v>21.77546666666667</v>
      </c>
      <c r="G1129" s="63">
        <f t="shared" ca="1" si="50"/>
        <v>21.776475000000001</v>
      </c>
      <c r="H1129" s="63">
        <f t="shared" ca="1" si="50"/>
        <v>34.975008333333335</v>
      </c>
      <c r="I1129" s="63">
        <f t="shared" ca="1" si="50"/>
        <v>34.976025</v>
      </c>
      <c r="J1129" s="63">
        <f t="shared" ca="1" si="50"/>
        <v>21.77546666666667</v>
      </c>
      <c r="K1129" s="63">
        <f t="shared" ca="1" si="50"/>
        <v>21.776475000000001</v>
      </c>
    </row>
    <row r="1130" spans="1:11" ht="15">
      <c r="A1130" s="3">
        <v>2100</v>
      </c>
      <c r="B1130" s="63">
        <f t="shared" ca="1" si="50"/>
        <v>18.695491666666666</v>
      </c>
      <c r="C1130" s="63">
        <f t="shared" ca="1" si="50"/>
        <v>18.695491666666666</v>
      </c>
      <c r="D1130" s="63">
        <f t="shared" ca="1" si="50"/>
        <v>18.720508333333331</v>
      </c>
      <c r="E1130" s="63">
        <f t="shared" ca="1" si="50"/>
        <v>22.070808333333336</v>
      </c>
      <c r="F1130" s="63">
        <f t="shared" ca="1" si="50"/>
        <v>22.070808333333336</v>
      </c>
      <c r="G1130" s="63">
        <f t="shared" ca="1" si="50"/>
        <v>22.071816666666663</v>
      </c>
      <c r="H1130" s="63">
        <f t="shared" ca="1" si="50"/>
        <v>35.426049999999996</v>
      </c>
      <c r="I1130" s="63">
        <f t="shared" ca="1" si="50"/>
        <v>35.427058333333335</v>
      </c>
      <c r="J1130" s="63">
        <f t="shared" ca="1" si="50"/>
        <v>22.070808333333336</v>
      </c>
      <c r="K1130" s="63">
        <f t="shared" ca="1" si="50"/>
        <v>22.071816666666663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A7" sqref="A7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73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2016-07-29T16:28:51Z</dcterms:created>
  <dcterms:modified xsi:type="dcterms:W3CDTF">2016-07-29T16:28:56Z</dcterms:modified>
</cp:coreProperties>
</file>