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0545" tabRatio="762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AVAILABILITY'!$A$17:$J$1136</definedName>
    <definedName name="_xlnm.Print_Area" localSheetId="2">'RAP-HEAVY &amp; LIGHT OIL &amp; WTI'!$A$17:$H$1136</definedName>
    <definedName name="_xlnm.Print_Area" localSheetId="0">'RAP-NATURAL GAS PRICES'!$A$56:$S$1136</definedName>
    <definedName name="_xlnm.Print_Area" localSheetId="3">'RAP-SOLID FUEL PRICES'!$A$17:$K$1131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C1050" i="3"/>
  <c r="D1050" i="3"/>
  <c r="E1050" i="3"/>
  <c r="B1051" i="3"/>
  <c r="C1051" i="3"/>
  <c r="E1051" i="3"/>
  <c r="C1052" i="3"/>
  <c r="D1052" i="3"/>
  <c r="E1052" i="3"/>
  <c r="B1053" i="3"/>
  <c r="C1053" i="3"/>
  <c r="D1053" i="3"/>
  <c r="E1053" i="3"/>
  <c r="C1054" i="3"/>
  <c r="E1054" i="3"/>
  <c r="B1055" i="3"/>
  <c r="C1055" i="3"/>
  <c r="E1055" i="3"/>
  <c r="C1056" i="3"/>
  <c r="D1056" i="3"/>
  <c r="E1056" i="3"/>
  <c r="B1057" i="3"/>
  <c r="C1057" i="3"/>
  <c r="D1057" i="3"/>
  <c r="E1057" i="3"/>
  <c r="D1058" i="3"/>
  <c r="E1058" i="3"/>
  <c r="B1059" i="3"/>
  <c r="D1059" i="3"/>
  <c r="E1059" i="3"/>
  <c r="D1060" i="3"/>
  <c r="E1060" i="3"/>
  <c r="B1061" i="3"/>
  <c r="C1061" i="3"/>
  <c r="D1061" i="3"/>
  <c r="E1061" i="3"/>
  <c r="D1062" i="3"/>
  <c r="E1062" i="3"/>
  <c r="B1063" i="3"/>
  <c r="C1063" i="3"/>
  <c r="E1063" i="3"/>
  <c r="D1064" i="3"/>
  <c r="E1064" i="3"/>
  <c r="B1065" i="3"/>
  <c r="C1065" i="3"/>
  <c r="D1065" i="3"/>
  <c r="E1065" i="3"/>
  <c r="E1066" i="3"/>
  <c r="B1067" i="3"/>
  <c r="D1067" i="3"/>
  <c r="E1067" i="3"/>
  <c r="D1068" i="3"/>
  <c r="E1068" i="3"/>
  <c r="B1069" i="3"/>
  <c r="C1069" i="3"/>
  <c r="D1069" i="3"/>
  <c r="E1069" i="3"/>
  <c r="D1070" i="3"/>
  <c r="E1070" i="3"/>
  <c r="B1071" i="3"/>
  <c r="D1071" i="3"/>
  <c r="E1071" i="3"/>
  <c r="E1072" i="3"/>
  <c r="A1073" i="3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B1073" i="3"/>
  <c r="C1073" i="3"/>
  <c r="E1073" i="3"/>
  <c r="B1074" i="3"/>
  <c r="E1074" i="3"/>
  <c r="E1075" i="3"/>
  <c r="B1076" i="3"/>
  <c r="C1076" i="3"/>
  <c r="E1076" i="3"/>
  <c r="C1077" i="3"/>
  <c r="E1077" i="3"/>
  <c r="B1078" i="3"/>
  <c r="E1078" i="3"/>
  <c r="D1079" i="3"/>
  <c r="E1079" i="3"/>
  <c r="D1080" i="3"/>
  <c r="E1080" i="3"/>
  <c r="B1081" i="3"/>
  <c r="C1081" i="3"/>
  <c r="E1081" i="3"/>
  <c r="B1082" i="3"/>
  <c r="E1082" i="3"/>
  <c r="E1083" i="3"/>
  <c r="B1084" i="3"/>
  <c r="C1084" i="3"/>
  <c r="E1084" i="3"/>
  <c r="C1085" i="3"/>
  <c r="E1085" i="3"/>
  <c r="B1086" i="3"/>
  <c r="E1086" i="3"/>
  <c r="D1087" i="3"/>
  <c r="E1087" i="3"/>
  <c r="D1088" i="3"/>
  <c r="E1088" i="3"/>
  <c r="B1089" i="3"/>
  <c r="C1089" i="3"/>
  <c r="E1089" i="3"/>
  <c r="B1090" i="3"/>
  <c r="E1090" i="3"/>
  <c r="E1091" i="3"/>
  <c r="B1092" i="3"/>
  <c r="C1092" i="3"/>
  <c r="E1092" i="3"/>
  <c r="C1093" i="3"/>
  <c r="E1093" i="3"/>
  <c r="B1094" i="3"/>
  <c r="E1094" i="3"/>
  <c r="E1095" i="3"/>
  <c r="D1096" i="3"/>
  <c r="E1096" i="3"/>
  <c r="B1097" i="3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50" i="2"/>
  <c r="C1050" i="2"/>
  <c r="D1050" i="2"/>
  <c r="E1050" i="2"/>
  <c r="F1050" i="2"/>
  <c r="G1050" i="2"/>
  <c r="I1050" i="2"/>
  <c r="J1050" i="2"/>
  <c r="B1051" i="2"/>
  <c r="C1051" i="2"/>
  <c r="D1051" i="2"/>
  <c r="E1051" i="2"/>
  <c r="F1051" i="2"/>
  <c r="G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B1060" i="2"/>
  <c r="C1060" i="2"/>
  <c r="D1060" i="2"/>
  <c r="E1060" i="2"/>
  <c r="F1060" i="2"/>
  <c r="G1060" i="2"/>
  <c r="H1060" i="2"/>
  <c r="I1060" i="2"/>
  <c r="J1060" i="2"/>
  <c r="B1061" i="2"/>
  <c r="C1061" i="2"/>
  <c r="D1061" i="2"/>
  <c r="E1061" i="2"/>
  <c r="F1061" i="2"/>
  <c r="G1061" i="2"/>
  <c r="H1061" i="2"/>
  <c r="I1061" i="2"/>
  <c r="J1061" i="2"/>
  <c r="B1062" i="2"/>
  <c r="C1062" i="2"/>
  <c r="D1062" i="2"/>
  <c r="E1062" i="2"/>
  <c r="F1062" i="2"/>
  <c r="G1062" i="2"/>
  <c r="H1062" i="2"/>
  <c r="I1062" i="2"/>
  <c r="J1062" i="2"/>
  <c r="B1063" i="2"/>
  <c r="C1063" i="2"/>
  <c r="D1063" i="2"/>
  <c r="E1063" i="2"/>
  <c r="F1063" i="2"/>
  <c r="G1063" i="2"/>
  <c r="H1063" i="2"/>
  <c r="I1063" i="2"/>
  <c r="J1063" i="2"/>
  <c r="B1064" i="2"/>
  <c r="C1064" i="2"/>
  <c r="D1064" i="2"/>
  <c r="E1064" i="2"/>
  <c r="F1064" i="2"/>
  <c r="G1064" i="2"/>
  <c r="H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A1073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C1084" i="2"/>
  <c r="D1084" i="2"/>
  <c r="E1084" i="2"/>
  <c r="F1084" i="2"/>
  <c r="G1084" i="2"/>
  <c r="H1084" i="2"/>
  <c r="I1084" i="2"/>
  <c r="J1084" i="2"/>
  <c r="C1085" i="2"/>
  <c r="D1085" i="2"/>
  <c r="E1085" i="2"/>
  <c r="F1085" i="2"/>
  <c r="G1085" i="2"/>
  <c r="H1085" i="2"/>
  <c r="I1085" i="2"/>
  <c r="J1085" i="2"/>
  <c r="C1086" i="2"/>
  <c r="D1086" i="2"/>
  <c r="E1086" i="2"/>
  <c r="F1086" i="2"/>
  <c r="G1086" i="2"/>
  <c r="H1086" i="2"/>
  <c r="I1086" i="2"/>
  <c r="J1086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D11" i="1"/>
  <c r="F11" i="1"/>
  <c r="B17" i="1"/>
  <c r="C17" i="1"/>
  <c r="D17" i="1"/>
  <c r="E17" i="1"/>
  <c r="F17" i="1"/>
  <c r="G17" i="1"/>
  <c r="H17" i="1"/>
  <c r="I17" i="1"/>
  <c r="J17" i="1"/>
  <c r="K17" i="1"/>
  <c r="R17" i="1"/>
  <c r="B18" i="1"/>
  <c r="C18" i="1"/>
  <c r="D18" i="1"/>
  <c r="E18" i="1"/>
  <c r="F18" i="1"/>
  <c r="G18" i="1"/>
  <c r="H18" i="1"/>
  <c r="I18" i="1"/>
  <c r="J18" i="1"/>
  <c r="K18" i="1"/>
  <c r="R18" i="1"/>
  <c r="B19" i="1"/>
  <c r="C19" i="1"/>
  <c r="D19" i="1"/>
  <c r="E19" i="1"/>
  <c r="F19" i="1"/>
  <c r="G19" i="1"/>
  <c r="H19" i="1"/>
  <c r="I19" i="1"/>
  <c r="J19" i="1"/>
  <c r="K19" i="1"/>
  <c r="R19" i="1"/>
  <c r="B20" i="1"/>
  <c r="C20" i="1"/>
  <c r="D20" i="1"/>
  <c r="E20" i="1"/>
  <c r="F20" i="1"/>
  <c r="G20" i="1"/>
  <c r="H20" i="1"/>
  <c r="I20" i="1"/>
  <c r="J20" i="1"/>
  <c r="K20" i="1"/>
  <c r="R20" i="1"/>
  <c r="B21" i="1"/>
  <c r="C21" i="1"/>
  <c r="D21" i="1"/>
  <c r="E21" i="1"/>
  <c r="F21" i="1"/>
  <c r="G21" i="1"/>
  <c r="H21" i="1"/>
  <c r="I21" i="1"/>
  <c r="J21" i="1"/>
  <c r="K21" i="1"/>
  <c r="R21" i="1"/>
  <c r="B22" i="1"/>
  <c r="C22" i="1"/>
  <c r="D22" i="1"/>
  <c r="E22" i="1"/>
  <c r="F22" i="1"/>
  <c r="G22" i="1"/>
  <c r="H22" i="1"/>
  <c r="I22" i="1"/>
  <c r="J22" i="1"/>
  <c r="K22" i="1"/>
  <c r="R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R33" i="1"/>
  <c r="B34" i="1"/>
  <c r="C34" i="1"/>
  <c r="D34" i="1"/>
  <c r="E34" i="1"/>
  <c r="F34" i="1"/>
  <c r="G34" i="1"/>
  <c r="H34" i="1"/>
  <c r="I34" i="1"/>
  <c r="J34" i="1"/>
  <c r="R34" i="1"/>
  <c r="B35" i="1"/>
  <c r="C35" i="1"/>
  <c r="D35" i="1"/>
  <c r="E35" i="1"/>
  <c r="F35" i="1"/>
  <c r="G35" i="1"/>
  <c r="H35" i="1"/>
  <c r="I35" i="1"/>
  <c r="J35" i="1"/>
  <c r="R35" i="1"/>
  <c r="B36" i="1"/>
  <c r="C36" i="1"/>
  <c r="D36" i="1"/>
  <c r="E36" i="1"/>
  <c r="F36" i="1"/>
  <c r="G36" i="1"/>
  <c r="H36" i="1"/>
  <c r="I36" i="1"/>
  <c r="J36" i="1"/>
  <c r="R36" i="1"/>
  <c r="B37" i="1"/>
  <c r="C37" i="1"/>
  <c r="D37" i="1"/>
  <c r="E37" i="1"/>
  <c r="F37" i="1"/>
  <c r="G37" i="1"/>
  <c r="H37" i="1"/>
  <c r="I37" i="1"/>
  <c r="J37" i="1"/>
  <c r="R37" i="1"/>
  <c r="B38" i="1"/>
  <c r="C38" i="1"/>
  <c r="D38" i="1"/>
  <c r="E38" i="1"/>
  <c r="F38" i="1"/>
  <c r="G38" i="1"/>
  <c r="H38" i="1"/>
  <c r="I38" i="1"/>
  <c r="J38" i="1"/>
  <c r="R38" i="1"/>
  <c r="B39" i="1"/>
  <c r="C39" i="1"/>
  <c r="D39" i="1"/>
  <c r="E39" i="1"/>
  <c r="F39" i="1"/>
  <c r="G39" i="1"/>
  <c r="H39" i="1"/>
  <c r="I39" i="1"/>
  <c r="J39" i="1"/>
  <c r="R39" i="1"/>
  <c r="B40" i="1"/>
  <c r="C40" i="1"/>
  <c r="D40" i="1"/>
  <c r="E40" i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E1052" i="1" s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L1050" i="1"/>
  <c r="M1050" i="1"/>
  <c r="N1050" i="1"/>
  <c r="O1050" i="1"/>
  <c r="P1050" i="1"/>
  <c r="S1050" i="1"/>
  <c r="E1051" i="1"/>
  <c r="G1051" i="1"/>
  <c r="L1051" i="1"/>
  <c r="M1051" i="1"/>
  <c r="N1051" i="1"/>
  <c r="O1051" i="1"/>
  <c r="P1051" i="1"/>
  <c r="R1051" i="1"/>
  <c r="L1052" i="1"/>
  <c r="M1052" i="1"/>
  <c r="N1052" i="1"/>
  <c r="O1052" i="1"/>
  <c r="P1052" i="1"/>
  <c r="Q1052" i="1"/>
  <c r="L1053" i="1"/>
  <c r="M1053" i="1"/>
  <c r="N1053" i="1"/>
  <c r="O1053" i="1"/>
  <c r="P1053" i="1"/>
  <c r="Q1053" i="1"/>
  <c r="L1054" i="1"/>
  <c r="M1054" i="1"/>
  <c r="N1054" i="1"/>
  <c r="O1054" i="1"/>
  <c r="P1054" i="1"/>
  <c r="Q1054" i="1"/>
  <c r="D1055" i="1"/>
  <c r="L1055" i="1"/>
  <c r="M1055" i="1"/>
  <c r="N1055" i="1"/>
  <c r="O1055" i="1"/>
  <c r="P1055" i="1"/>
  <c r="Q1055" i="1"/>
  <c r="D1056" i="1"/>
  <c r="L1056" i="1"/>
  <c r="M1056" i="1"/>
  <c r="N1056" i="1"/>
  <c r="O1056" i="1"/>
  <c r="P1056" i="1"/>
  <c r="Q1056" i="1"/>
  <c r="B1057" i="1"/>
  <c r="L1057" i="1"/>
  <c r="M1057" i="1"/>
  <c r="N1057" i="1"/>
  <c r="O1057" i="1"/>
  <c r="P1057" i="1"/>
  <c r="Q1057" i="1"/>
  <c r="L1058" i="1"/>
  <c r="M1058" i="1"/>
  <c r="N1058" i="1"/>
  <c r="O1058" i="1"/>
  <c r="P1058" i="1"/>
  <c r="Q1058" i="1"/>
  <c r="L1059" i="1"/>
  <c r="M1059" i="1"/>
  <c r="N1059" i="1"/>
  <c r="O1059" i="1"/>
  <c r="P1059" i="1"/>
  <c r="Q1059" i="1"/>
  <c r="G1060" i="1"/>
  <c r="L1060" i="1"/>
  <c r="M1060" i="1"/>
  <c r="N1060" i="1"/>
  <c r="O1060" i="1"/>
  <c r="P1060" i="1"/>
  <c r="Q1060" i="1"/>
  <c r="I1061" i="1"/>
  <c r="L1061" i="1"/>
  <c r="M1061" i="1"/>
  <c r="N1061" i="1"/>
  <c r="O1061" i="1"/>
  <c r="P1061" i="1"/>
  <c r="Q1061" i="1"/>
  <c r="B1062" i="1"/>
  <c r="G1062" i="1"/>
  <c r="I1062" i="1"/>
  <c r="L1062" i="1"/>
  <c r="M1062" i="1"/>
  <c r="N1062" i="1"/>
  <c r="O1062" i="1"/>
  <c r="P1062" i="1"/>
  <c r="Q1062" i="1"/>
  <c r="B1063" i="1"/>
  <c r="L1063" i="1"/>
  <c r="M1063" i="1"/>
  <c r="N1063" i="1"/>
  <c r="O1063" i="1"/>
  <c r="P1063" i="1"/>
  <c r="Q1063" i="1"/>
  <c r="D1064" i="1"/>
  <c r="L1064" i="1"/>
  <c r="M1064" i="1"/>
  <c r="N1064" i="1"/>
  <c r="O1064" i="1"/>
  <c r="P1064" i="1"/>
  <c r="Q1064" i="1"/>
  <c r="F1065" i="1"/>
  <c r="L1065" i="1"/>
  <c r="M1065" i="1"/>
  <c r="N1065" i="1"/>
  <c r="O1065" i="1"/>
  <c r="P1065" i="1"/>
  <c r="Q1065" i="1"/>
  <c r="C1066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I1068" i="1"/>
  <c r="L1068" i="1"/>
  <c r="M1068" i="1"/>
  <c r="N1068" i="1"/>
  <c r="O1068" i="1"/>
  <c r="P1068" i="1"/>
  <c r="Q1068" i="1"/>
  <c r="F1069" i="1"/>
  <c r="H1069" i="1"/>
  <c r="L1069" i="1"/>
  <c r="M1069" i="1"/>
  <c r="N1069" i="1"/>
  <c r="O1069" i="1"/>
  <c r="P1069" i="1"/>
  <c r="Q1069" i="1"/>
  <c r="B1070" i="1"/>
  <c r="L1070" i="1"/>
  <c r="M1070" i="1"/>
  <c r="N1070" i="1"/>
  <c r="O1070" i="1"/>
  <c r="P1070" i="1"/>
  <c r="Q1070" i="1"/>
  <c r="L1071" i="1"/>
  <c r="M1071" i="1"/>
  <c r="N1071" i="1"/>
  <c r="O1071" i="1"/>
  <c r="P1071" i="1"/>
  <c r="Q1071" i="1"/>
  <c r="L1072" i="1"/>
  <c r="M1072" i="1"/>
  <c r="N1072" i="1"/>
  <c r="O1072" i="1"/>
  <c r="P1072" i="1"/>
  <c r="Q1072" i="1"/>
  <c r="A1073" i="1"/>
  <c r="I1073" i="1"/>
  <c r="L1073" i="1"/>
  <c r="M1073" i="1"/>
  <c r="N1073" i="1"/>
  <c r="O1073" i="1"/>
  <c r="P1073" i="1"/>
  <c r="Q1073" i="1"/>
  <c r="A1074" i="1"/>
  <c r="A1075" i="1" s="1"/>
  <c r="A1076" i="1" s="1"/>
  <c r="A1077" i="1" s="1"/>
  <c r="C1074" i="1"/>
  <c r="D1074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L1076" i="1"/>
  <c r="M1076" i="1"/>
  <c r="N1076" i="1"/>
  <c r="O1076" i="1"/>
  <c r="P1076" i="1"/>
  <c r="Q1076" i="1"/>
  <c r="L1077" i="1"/>
  <c r="M1077" i="1"/>
  <c r="N1077" i="1"/>
  <c r="O1077" i="1"/>
  <c r="P1077" i="1"/>
  <c r="Q1077" i="1"/>
  <c r="A1078" i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I1078" i="1"/>
  <c r="L1078" i="1"/>
  <c r="M1078" i="1"/>
  <c r="N1078" i="1"/>
  <c r="O1078" i="1"/>
  <c r="P1078" i="1"/>
  <c r="Q1078" i="1"/>
  <c r="D1079" i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L1081" i="1"/>
  <c r="M1081" i="1"/>
  <c r="N1081" i="1"/>
  <c r="O1081" i="1"/>
  <c r="P1081" i="1"/>
  <c r="Q1081" i="1"/>
  <c r="I1082" i="1"/>
  <c r="L1082" i="1"/>
  <c r="M1082" i="1"/>
  <c r="N1082" i="1"/>
  <c r="O1082" i="1"/>
  <c r="P1082" i="1"/>
  <c r="Q1082" i="1"/>
  <c r="C1083" i="1"/>
  <c r="L1083" i="1"/>
  <c r="M1083" i="1"/>
  <c r="N1083" i="1"/>
  <c r="O1083" i="1"/>
  <c r="P1083" i="1"/>
  <c r="Q1083" i="1"/>
  <c r="L1084" i="1"/>
  <c r="M1084" i="1"/>
  <c r="N1084" i="1"/>
  <c r="O1084" i="1"/>
  <c r="P1084" i="1"/>
  <c r="Q1084" i="1"/>
  <c r="L1085" i="1"/>
  <c r="M1085" i="1"/>
  <c r="N1085" i="1"/>
  <c r="O1085" i="1"/>
  <c r="P1085" i="1"/>
  <c r="Q1085" i="1"/>
  <c r="L1086" i="1"/>
  <c r="M1086" i="1"/>
  <c r="N1086" i="1"/>
  <c r="O1086" i="1"/>
  <c r="P1086" i="1"/>
  <c r="Q1086" i="1"/>
  <c r="L1087" i="1"/>
  <c r="M1087" i="1"/>
  <c r="N1087" i="1"/>
  <c r="O1087" i="1"/>
  <c r="P1087" i="1"/>
  <c r="Q1087" i="1"/>
  <c r="L1088" i="1"/>
  <c r="M1088" i="1"/>
  <c r="N1088" i="1"/>
  <c r="O1088" i="1"/>
  <c r="P1088" i="1"/>
  <c r="Q1088" i="1"/>
  <c r="L1089" i="1"/>
  <c r="M1089" i="1"/>
  <c r="N1089" i="1"/>
  <c r="O1089" i="1"/>
  <c r="P1089" i="1"/>
  <c r="Q1089" i="1"/>
  <c r="L1090" i="1"/>
  <c r="M1090" i="1"/>
  <c r="N1090" i="1"/>
  <c r="O1090" i="1"/>
  <c r="P1090" i="1"/>
  <c r="Q1090" i="1"/>
  <c r="L1091" i="1"/>
  <c r="M1091" i="1"/>
  <c r="N1091" i="1"/>
  <c r="O1091" i="1"/>
  <c r="P1091" i="1"/>
  <c r="Q1091" i="1"/>
  <c r="L1092" i="1"/>
  <c r="M1092" i="1"/>
  <c r="N1092" i="1"/>
  <c r="O1092" i="1"/>
  <c r="P1092" i="1"/>
  <c r="Q1092" i="1"/>
  <c r="L1093" i="1"/>
  <c r="M1093" i="1"/>
  <c r="N1093" i="1"/>
  <c r="O1093" i="1"/>
  <c r="P1093" i="1"/>
  <c r="Q1093" i="1"/>
  <c r="L1094" i="1"/>
  <c r="M1094" i="1"/>
  <c r="N1094" i="1"/>
  <c r="O1094" i="1"/>
  <c r="P1094" i="1"/>
  <c r="Q1094" i="1"/>
  <c r="L1095" i="1"/>
  <c r="M1095" i="1"/>
  <c r="N1095" i="1"/>
  <c r="O1095" i="1"/>
  <c r="P1095" i="1"/>
  <c r="Q1095" i="1"/>
  <c r="L1096" i="1"/>
  <c r="M1096" i="1"/>
  <c r="N1096" i="1"/>
  <c r="O1096" i="1"/>
  <c r="P1096" i="1"/>
  <c r="Q1096" i="1"/>
  <c r="C1096" i="1" l="1"/>
  <c r="D1096" i="1"/>
  <c r="E1096" i="1"/>
  <c r="C1095" i="1"/>
  <c r="D1095" i="1"/>
  <c r="E1095" i="1"/>
  <c r="I1095" i="1"/>
  <c r="I1094" i="1"/>
  <c r="C1095" i="3"/>
  <c r="C1087" i="3"/>
  <c r="C1079" i="3"/>
  <c r="C1071" i="3"/>
  <c r="C1067" i="3"/>
  <c r="C1059" i="3"/>
  <c r="K1111" i="4"/>
  <c r="I1111" i="4"/>
  <c r="C1051" i="1"/>
  <c r="B1103" i="4"/>
  <c r="D1097" i="4"/>
  <c r="B1082" i="4"/>
  <c r="C1093" i="1"/>
  <c r="D1093" i="1"/>
  <c r="E1093" i="1"/>
  <c r="I1092" i="1"/>
  <c r="D1092" i="1"/>
  <c r="E1092" i="1"/>
  <c r="C1091" i="1"/>
  <c r="D1091" i="1"/>
  <c r="I1090" i="1"/>
  <c r="D1090" i="1"/>
  <c r="E1089" i="1"/>
  <c r="C1088" i="1"/>
  <c r="C1087" i="1"/>
  <c r="D1087" i="1"/>
  <c r="E1087" i="1"/>
  <c r="I1087" i="1"/>
  <c r="I1086" i="1"/>
  <c r="C1085" i="1"/>
  <c r="D1085" i="1"/>
  <c r="E1085" i="1"/>
  <c r="I1084" i="1"/>
  <c r="D1084" i="1"/>
  <c r="D1083" i="1"/>
  <c r="D1082" i="1"/>
  <c r="E1082" i="1"/>
  <c r="E1081" i="1"/>
  <c r="E1080" i="1"/>
  <c r="C1079" i="1"/>
  <c r="E1079" i="1"/>
  <c r="C1078" i="1"/>
  <c r="C1077" i="1"/>
  <c r="D1077" i="1"/>
  <c r="E1077" i="1"/>
  <c r="I1077" i="1"/>
  <c r="I1076" i="1"/>
  <c r="C1075" i="1"/>
  <c r="D1075" i="1"/>
  <c r="I1074" i="1"/>
  <c r="D1073" i="1"/>
  <c r="E1073" i="1"/>
  <c r="C1072" i="1"/>
  <c r="E1072" i="1"/>
  <c r="C1071" i="1"/>
  <c r="D1071" i="1"/>
  <c r="H1071" i="1"/>
  <c r="G1070" i="1"/>
  <c r="I1070" i="1"/>
  <c r="J1070" i="1"/>
  <c r="B1069" i="1"/>
  <c r="G1068" i="1"/>
  <c r="H1068" i="1"/>
  <c r="E1068" i="1"/>
  <c r="F1067" i="1"/>
  <c r="G1067" i="1"/>
  <c r="G1066" i="1"/>
  <c r="D1065" i="1"/>
  <c r="E1065" i="1"/>
  <c r="I1064" i="1"/>
  <c r="C1063" i="1"/>
  <c r="J1062" i="1"/>
  <c r="F1061" i="1"/>
  <c r="I1060" i="1"/>
  <c r="D1059" i="1"/>
  <c r="F1059" i="1"/>
  <c r="H1059" i="1"/>
  <c r="G1058" i="1"/>
  <c r="C1058" i="1"/>
  <c r="E1058" i="1"/>
  <c r="E1057" i="1"/>
  <c r="F1057" i="1"/>
  <c r="J1057" i="1"/>
  <c r="E1056" i="1"/>
  <c r="C1055" i="1"/>
  <c r="J1055" i="1"/>
  <c r="G1054" i="1"/>
  <c r="I1054" i="1"/>
  <c r="J1054" i="1"/>
  <c r="B1054" i="1"/>
  <c r="F1053" i="1"/>
  <c r="B1053" i="1"/>
  <c r="G1052" i="1"/>
  <c r="I1052" i="1"/>
  <c r="H1052" i="1"/>
  <c r="G1050" i="1"/>
  <c r="C1050" i="1"/>
  <c r="D1095" i="3"/>
  <c r="D1072" i="3"/>
  <c r="D1066" i="3"/>
  <c r="D1063" i="3"/>
  <c r="I1123" i="4"/>
  <c r="I1121" i="4"/>
  <c r="I1119" i="4"/>
  <c r="I1116" i="4"/>
  <c r="I1114" i="4"/>
  <c r="I1110" i="4"/>
  <c r="I1109" i="4"/>
  <c r="I1107" i="4"/>
  <c r="I1103" i="4"/>
  <c r="I1095" i="4"/>
  <c r="I1092" i="4"/>
  <c r="I1087" i="4"/>
  <c r="I1082" i="4"/>
  <c r="I1058" i="4"/>
  <c r="I1053" i="4"/>
  <c r="I1051" i="4"/>
  <c r="I1050" i="4"/>
  <c r="G1085" i="4"/>
  <c r="G1045" i="4"/>
  <c r="F1130" i="4"/>
  <c r="F1129" i="4"/>
  <c r="D1128" i="4"/>
  <c r="B1127" i="4"/>
  <c r="J1126" i="4"/>
  <c r="H1126" i="4"/>
  <c r="B1125" i="4"/>
  <c r="H1124" i="4"/>
  <c r="J1123" i="4"/>
  <c r="H1123" i="4"/>
  <c r="D1122" i="4"/>
  <c r="D1121" i="4"/>
  <c r="F1120" i="4"/>
  <c r="J1119" i="4"/>
  <c r="H1119" i="4"/>
  <c r="D1118" i="4"/>
  <c r="J1117" i="4"/>
  <c r="F1117" i="4"/>
  <c r="D1116" i="4"/>
  <c r="F1115" i="4"/>
  <c r="J1114" i="4"/>
  <c r="H1114" i="4"/>
  <c r="D1113" i="4"/>
  <c r="J1112" i="4"/>
  <c r="H1112" i="4"/>
  <c r="D1111" i="4"/>
  <c r="F1110" i="4"/>
  <c r="B1109" i="4"/>
  <c r="J1108" i="4"/>
  <c r="F1108" i="4"/>
  <c r="B1107" i="4"/>
  <c r="F1107" i="4"/>
  <c r="J1106" i="4"/>
  <c r="B1106" i="4"/>
  <c r="D1106" i="4"/>
  <c r="F1106" i="4"/>
  <c r="H1106" i="4"/>
  <c r="J1105" i="4"/>
  <c r="B1105" i="4"/>
  <c r="D1105" i="4"/>
  <c r="F1105" i="4"/>
  <c r="H1105" i="4"/>
  <c r="J1104" i="4"/>
  <c r="B1104" i="4"/>
  <c r="D1104" i="4"/>
  <c r="F1104" i="4"/>
  <c r="H1104" i="4"/>
  <c r="J1103" i="4"/>
  <c r="D1103" i="4"/>
  <c r="F1103" i="4"/>
  <c r="H1103" i="4"/>
  <c r="J1102" i="4"/>
  <c r="B1102" i="4"/>
  <c r="D1102" i="4"/>
  <c r="F1102" i="4"/>
  <c r="H1102" i="4"/>
  <c r="I1125" i="4"/>
  <c r="I1124" i="4"/>
  <c r="I1120" i="4"/>
  <c r="I1118" i="4"/>
  <c r="I1115" i="4"/>
  <c r="I1113" i="4"/>
  <c r="I1106" i="4"/>
  <c r="I1102" i="4"/>
  <c r="I1101" i="4"/>
  <c r="I1098" i="4"/>
  <c r="I1097" i="4"/>
  <c r="I1093" i="4"/>
  <c r="I1080" i="4"/>
  <c r="I1077" i="4"/>
  <c r="I1076" i="4"/>
  <c r="I1067" i="4"/>
  <c r="I1054" i="4"/>
  <c r="I1047" i="4"/>
  <c r="I1046" i="4"/>
  <c r="B1130" i="4"/>
  <c r="J1129" i="4"/>
  <c r="H1129" i="4"/>
  <c r="B1128" i="4"/>
  <c r="J1127" i="4"/>
  <c r="H1127" i="4"/>
  <c r="D1126" i="4"/>
  <c r="D1125" i="4"/>
  <c r="B1124" i="4"/>
  <c r="B1123" i="4"/>
  <c r="B1122" i="4"/>
  <c r="J1121" i="4"/>
  <c r="H1121" i="4"/>
  <c r="B1120" i="4"/>
  <c r="D1119" i="4"/>
  <c r="B1118" i="4"/>
  <c r="B1117" i="4"/>
  <c r="J1116" i="4"/>
  <c r="H1116" i="4"/>
  <c r="B1115" i="4"/>
  <c r="F1114" i="4"/>
  <c r="B1113" i="4"/>
  <c r="B1112" i="4"/>
  <c r="F1111" i="4"/>
  <c r="J1110" i="4"/>
  <c r="H1110" i="4"/>
  <c r="F1109" i="4"/>
  <c r="H1108" i="4"/>
  <c r="J1107" i="4"/>
  <c r="I1128" i="4"/>
  <c r="I1127" i="4"/>
  <c r="I1117" i="4"/>
  <c r="I1108" i="4"/>
  <c r="I1104" i="4"/>
  <c r="I1094" i="4"/>
  <c r="I1091" i="4"/>
  <c r="I1089" i="4"/>
  <c r="C1082" i="4"/>
  <c r="I1081" i="4"/>
  <c r="I1075" i="4"/>
  <c r="I1066" i="4"/>
  <c r="I1065" i="4"/>
  <c r="I1063" i="4"/>
  <c r="I1060" i="4"/>
  <c r="I1057" i="4"/>
  <c r="I1056" i="4"/>
  <c r="I1049" i="4"/>
  <c r="I1048" i="4"/>
  <c r="J1130" i="4"/>
  <c r="H1130" i="4"/>
  <c r="B1129" i="4"/>
  <c r="J1128" i="4"/>
  <c r="F1128" i="4"/>
  <c r="D1127" i="4"/>
  <c r="F1126" i="4"/>
  <c r="J1125" i="4"/>
  <c r="H1125" i="4"/>
  <c r="D1124" i="4"/>
  <c r="D1123" i="4"/>
  <c r="F1122" i="4"/>
  <c r="F1121" i="4"/>
  <c r="J1120" i="4"/>
  <c r="H1120" i="4"/>
  <c r="F1119" i="4"/>
  <c r="J1118" i="4"/>
  <c r="H1118" i="4"/>
  <c r="H1117" i="4"/>
  <c r="F1116" i="4"/>
  <c r="J1115" i="4"/>
  <c r="H1115" i="4"/>
  <c r="B1114" i="4"/>
  <c r="J1113" i="4"/>
  <c r="H1113" i="4"/>
  <c r="F1112" i="4"/>
  <c r="J1111" i="4"/>
  <c r="H1111" i="4"/>
  <c r="B1110" i="4"/>
  <c r="D1109" i="4"/>
  <c r="B1108" i="4"/>
  <c r="D1107" i="4"/>
  <c r="D1097" i="3"/>
  <c r="E1097" i="3"/>
  <c r="A1098" i="3"/>
  <c r="C1097" i="3"/>
  <c r="I1130" i="4"/>
  <c r="I1129" i="4"/>
  <c r="I1126" i="4"/>
  <c r="I1122" i="4"/>
  <c r="I1112" i="4"/>
  <c r="I1105" i="4"/>
  <c r="I1100" i="4"/>
  <c r="I1099" i="4"/>
  <c r="I1096" i="4"/>
  <c r="I1090" i="4"/>
  <c r="I1088" i="4"/>
  <c r="I1086" i="4"/>
  <c r="I1084" i="4"/>
  <c r="I1083" i="4"/>
  <c r="K1081" i="4"/>
  <c r="I1079" i="4"/>
  <c r="I1078" i="4"/>
  <c r="I1074" i="4"/>
  <c r="I1073" i="4"/>
  <c r="I1072" i="4"/>
  <c r="I1071" i="4"/>
  <c r="I1070" i="4"/>
  <c r="I1069" i="4"/>
  <c r="I1068" i="4"/>
  <c r="C1065" i="4"/>
  <c r="I1064" i="4"/>
  <c r="I1062" i="4"/>
  <c r="I1061" i="4"/>
  <c r="I1059" i="4"/>
  <c r="I1055" i="4"/>
  <c r="I1052" i="4"/>
  <c r="D1130" i="4"/>
  <c r="D1129" i="4"/>
  <c r="H1128" i="4"/>
  <c r="F1127" i="4"/>
  <c r="B1126" i="4"/>
  <c r="F1125" i="4"/>
  <c r="J1124" i="4"/>
  <c r="F1124" i="4"/>
  <c r="F1123" i="4"/>
  <c r="J1122" i="4"/>
  <c r="H1122" i="4"/>
  <c r="B1121" i="4"/>
  <c r="D1120" i="4"/>
  <c r="B1119" i="4"/>
  <c r="F1118" i="4"/>
  <c r="D1117" i="4"/>
  <c r="B1116" i="4"/>
  <c r="D1115" i="4"/>
  <c r="D1114" i="4"/>
  <c r="F1113" i="4"/>
  <c r="D1112" i="4"/>
  <c r="B1111" i="4"/>
  <c r="D1110" i="4"/>
  <c r="J1109" i="4"/>
  <c r="H1109" i="4"/>
  <c r="D1108" i="4"/>
  <c r="H1107" i="4"/>
  <c r="F1097" i="1"/>
  <c r="O1097" i="1"/>
  <c r="G1097" i="1"/>
  <c r="P1097" i="1"/>
  <c r="H1097" i="1"/>
  <c r="Q1097" i="1"/>
  <c r="B1097" i="1"/>
  <c r="J1097" i="1"/>
  <c r="C1097" i="1"/>
  <c r="D1097" i="1"/>
  <c r="I1097" i="1"/>
  <c r="L1097" i="1"/>
  <c r="M1097" i="1"/>
  <c r="A1098" i="1"/>
  <c r="E1097" i="1"/>
  <c r="N1097" i="1"/>
  <c r="J1101" i="4"/>
  <c r="H1101" i="4"/>
  <c r="B1100" i="4"/>
  <c r="B1099" i="4"/>
  <c r="J1098" i="4"/>
  <c r="F1098" i="4"/>
  <c r="J1097" i="4"/>
  <c r="B1096" i="4"/>
  <c r="B1095" i="4"/>
  <c r="B1094" i="4"/>
  <c r="J1093" i="4"/>
  <c r="H1093" i="4"/>
  <c r="B1092" i="4"/>
  <c r="J1091" i="4"/>
  <c r="F1091" i="4"/>
  <c r="J1090" i="4"/>
  <c r="H1090" i="4"/>
  <c r="F1089" i="4"/>
  <c r="D1088" i="4"/>
  <c r="J1087" i="4"/>
  <c r="H1087" i="4"/>
  <c r="D1086" i="4"/>
  <c r="J1084" i="4"/>
  <c r="H1084" i="4"/>
  <c r="F1083" i="4"/>
  <c r="J1082" i="4"/>
  <c r="H1082" i="4"/>
  <c r="D1081" i="4"/>
  <c r="J1080" i="4"/>
  <c r="H1080" i="4"/>
  <c r="D1079" i="4"/>
  <c r="B1078" i="4"/>
  <c r="J1077" i="4"/>
  <c r="H1077" i="4"/>
  <c r="J1076" i="4"/>
  <c r="H1076" i="4"/>
  <c r="J1075" i="4"/>
  <c r="H1075" i="4"/>
  <c r="F1074" i="4"/>
  <c r="B1073" i="4"/>
  <c r="B1072" i="4"/>
  <c r="J1071" i="4"/>
  <c r="F1071" i="4"/>
  <c r="J1070" i="4"/>
  <c r="H1070" i="4"/>
  <c r="J1069" i="4"/>
  <c r="H1069" i="4"/>
  <c r="B1068" i="4"/>
  <c r="D1067" i="4"/>
  <c r="J1066" i="4"/>
  <c r="H1066" i="4"/>
  <c r="B1065" i="4"/>
  <c r="J1064" i="4"/>
  <c r="F1064" i="4"/>
  <c r="F1063" i="4"/>
  <c r="D1062" i="4"/>
  <c r="F1061" i="4"/>
  <c r="F1060" i="4"/>
  <c r="J1059" i="4"/>
  <c r="H1059" i="4"/>
  <c r="B1058" i="4"/>
  <c r="J1057" i="4"/>
  <c r="H1057" i="4"/>
  <c r="F1056" i="4"/>
  <c r="F1055" i="4"/>
  <c r="F1054" i="4"/>
  <c r="F1053" i="4"/>
  <c r="F1052" i="4"/>
  <c r="J1051" i="4"/>
  <c r="F1051" i="4"/>
  <c r="J1050" i="4"/>
  <c r="H1050" i="4"/>
  <c r="F1049" i="4"/>
  <c r="B1048" i="4"/>
  <c r="J1047" i="4"/>
  <c r="F1047" i="4"/>
  <c r="D1046" i="4"/>
  <c r="H1085" i="4"/>
  <c r="H1045" i="4"/>
  <c r="D1045" i="4"/>
  <c r="D1085" i="4"/>
  <c r="J1095" i="1"/>
  <c r="E1094" i="1"/>
  <c r="B1093" i="1"/>
  <c r="C1090" i="1"/>
  <c r="B1089" i="1"/>
  <c r="B1087" i="1"/>
  <c r="B1085" i="1"/>
  <c r="I1083" i="1"/>
  <c r="C1082" i="1"/>
  <c r="J1081" i="1"/>
  <c r="D1080" i="1"/>
  <c r="F1078" i="1"/>
  <c r="D1076" i="1"/>
  <c r="I1075" i="1"/>
  <c r="B1073" i="1"/>
  <c r="J1071" i="1"/>
  <c r="J1069" i="1"/>
  <c r="F1068" i="1"/>
  <c r="B1067" i="1"/>
  <c r="E1066" i="1"/>
  <c r="C1064" i="1"/>
  <c r="F1062" i="1"/>
  <c r="J1061" i="1"/>
  <c r="E1060" i="1"/>
  <c r="B1059" i="1"/>
  <c r="F1058" i="1"/>
  <c r="C1056" i="1"/>
  <c r="F1056" i="1"/>
  <c r="H1055" i="1"/>
  <c r="B1055" i="1"/>
  <c r="F1054" i="1"/>
  <c r="H1053" i="1"/>
  <c r="I1053" i="1"/>
  <c r="J1053" i="1"/>
  <c r="D1052" i="1"/>
  <c r="F1052" i="1"/>
  <c r="J1052" i="1"/>
  <c r="B1052" i="1"/>
  <c r="D1051" i="1"/>
  <c r="F1051" i="1"/>
  <c r="H1051" i="1"/>
  <c r="J1051" i="1"/>
  <c r="B1051" i="1"/>
  <c r="E1050" i="1"/>
  <c r="F1050" i="1"/>
  <c r="G1130" i="4"/>
  <c r="G1129" i="4"/>
  <c r="G1128" i="4"/>
  <c r="G1127" i="4"/>
  <c r="G1126" i="4"/>
  <c r="G1125" i="4"/>
  <c r="G1124" i="4"/>
  <c r="G1123" i="4"/>
  <c r="G1122" i="4"/>
  <c r="G1121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56" i="4"/>
  <c r="D1094" i="1"/>
  <c r="D1086" i="1"/>
  <c r="D1078" i="1"/>
  <c r="D1101" i="4"/>
  <c r="D1100" i="4"/>
  <c r="J1099" i="4"/>
  <c r="H1099" i="4"/>
  <c r="H1098" i="4"/>
  <c r="F1097" i="4"/>
  <c r="D1096" i="4"/>
  <c r="D1095" i="4"/>
  <c r="D1094" i="4"/>
  <c r="B1093" i="4"/>
  <c r="J1092" i="4"/>
  <c r="H1092" i="4"/>
  <c r="H1091" i="4"/>
  <c r="F1090" i="4"/>
  <c r="J1089" i="4"/>
  <c r="H1089" i="4"/>
  <c r="J1088" i="4"/>
  <c r="H1088" i="4"/>
  <c r="D1087" i="4"/>
  <c r="F1086" i="4"/>
  <c r="D1084" i="4"/>
  <c r="B1083" i="4"/>
  <c r="D1082" i="4"/>
  <c r="F1081" i="4"/>
  <c r="F1080" i="4"/>
  <c r="J1079" i="4"/>
  <c r="H1079" i="4"/>
  <c r="J1078" i="4"/>
  <c r="H1078" i="4"/>
  <c r="D1077" i="4"/>
  <c r="D1076" i="4"/>
  <c r="B1075" i="4"/>
  <c r="J1074" i="4"/>
  <c r="H1074" i="4"/>
  <c r="J1073" i="4"/>
  <c r="H1073" i="4"/>
  <c r="D1072" i="4"/>
  <c r="D1071" i="4"/>
  <c r="B1070" i="4"/>
  <c r="D1069" i="4"/>
  <c r="J1068" i="4"/>
  <c r="H1068" i="4"/>
  <c r="B1067" i="4"/>
  <c r="B1066" i="4"/>
  <c r="D1065" i="4"/>
  <c r="D1064" i="4"/>
  <c r="D1063" i="4"/>
  <c r="F1062" i="4"/>
  <c r="J1061" i="4"/>
  <c r="H1061" i="4"/>
  <c r="D1060" i="4"/>
  <c r="D1059" i="4"/>
  <c r="D1058" i="4"/>
  <c r="B1057" i="4"/>
  <c r="D1056" i="4"/>
  <c r="B1055" i="4"/>
  <c r="B1054" i="4"/>
  <c r="B1053" i="4"/>
  <c r="D1052" i="4"/>
  <c r="D1051" i="4"/>
  <c r="F1050" i="4"/>
  <c r="J1049" i="4"/>
  <c r="H1049" i="4"/>
  <c r="F1048" i="4"/>
  <c r="B1047" i="4"/>
  <c r="B1046" i="4"/>
  <c r="F1045" i="4"/>
  <c r="F1085" i="4"/>
  <c r="J1091" i="1"/>
  <c r="D1088" i="1"/>
  <c r="J1087" i="1"/>
  <c r="F1086" i="1"/>
  <c r="J1085" i="1"/>
  <c r="E1084" i="1"/>
  <c r="F1080" i="1"/>
  <c r="I1079" i="1"/>
  <c r="E1078" i="1"/>
  <c r="E1076" i="1"/>
  <c r="F1074" i="1"/>
  <c r="J1073" i="1"/>
  <c r="J1065" i="1"/>
  <c r="J1063" i="1"/>
  <c r="C1062" i="1"/>
  <c r="H1061" i="1"/>
  <c r="J1059" i="1"/>
  <c r="K1130" i="4"/>
  <c r="E1129" i="4"/>
  <c r="E1128" i="4"/>
  <c r="K1127" i="4"/>
  <c r="C1126" i="4"/>
  <c r="E1125" i="4"/>
  <c r="K1124" i="4"/>
  <c r="K1123" i="4"/>
  <c r="C1122" i="4"/>
  <c r="E1121" i="4"/>
  <c r="E1120" i="4"/>
  <c r="C1119" i="4"/>
  <c r="E1118" i="4"/>
  <c r="K1117" i="4"/>
  <c r="K1116" i="4"/>
  <c r="K1115" i="4"/>
  <c r="C1097" i="4"/>
  <c r="K1064" i="4"/>
  <c r="F1101" i="4"/>
  <c r="F1100" i="4"/>
  <c r="F1099" i="4"/>
  <c r="D1098" i="4"/>
  <c r="H1097" i="4"/>
  <c r="F1096" i="4"/>
  <c r="J1095" i="4"/>
  <c r="H1095" i="4"/>
  <c r="F1094" i="4"/>
  <c r="D1093" i="4"/>
  <c r="D1092" i="4"/>
  <c r="B1091" i="4"/>
  <c r="B1090" i="4"/>
  <c r="B1089" i="4"/>
  <c r="B1088" i="4"/>
  <c r="F1087" i="4"/>
  <c r="J1086" i="4"/>
  <c r="H1086" i="4"/>
  <c r="F1084" i="4"/>
  <c r="J1083" i="4"/>
  <c r="H1083" i="4"/>
  <c r="F1082" i="4"/>
  <c r="B1081" i="4"/>
  <c r="D1080" i="4"/>
  <c r="F1079" i="4"/>
  <c r="F1078" i="4"/>
  <c r="B1077" i="4"/>
  <c r="F1076" i="4"/>
  <c r="F1075" i="4"/>
  <c r="B1074" i="4"/>
  <c r="D1073" i="4"/>
  <c r="J1072" i="4"/>
  <c r="H1072" i="4"/>
  <c r="H1071" i="4"/>
  <c r="F1070" i="4"/>
  <c r="F1069" i="4"/>
  <c r="D1068" i="4"/>
  <c r="F1067" i="4"/>
  <c r="F1066" i="4"/>
  <c r="F1065" i="4"/>
  <c r="H1064" i="4"/>
  <c r="J1063" i="4"/>
  <c r="H1063" i="4"/>
  <c r="J1062" i="4"/>
  <c r="H1062" i="4"/>
  <c r="B1061" i="4"/>
  <c r="B1060" i="4"/>
  <c r="B1059" i="4"/>
  <c r="J1058" i="4"/>
  <c r="H1058" i="4"/>
  <c r="D1057" i="4"/>
  <c r="B1056" i="4"/>
  <c r="D1055" i="4"/>
  <c r="D1054" i="4"/>
  <c r="D1053" i="4"/>
  <c r="B1052" i="4"/>
  <c r="B1051" i="4"/>
  <c r="B1050" i="4"/>
  <c r="B1049" i="4"/>
  <c r="D1048" i="4"/>
  <c r="D1047" i="4"/>
  <c r="J1046" i="4"/>
  <c r="H1046" i="4"/>
  <c r="B1045" i="4"/>
  <c r="B1085" i="4"/>
  <c r="C1094" i="1"/>
  <c r="J1093" i="1"/>
  <c r="B1091" i="1"/>
  <c r="F1090" i="1"/>
  <c r="J1089" i="1"/>
  <c r="F1088" i="1"/>
  <c r="E1086" i="1"/>
  <c r="I1085" i="1"/>
  <c r="B1083" i="1"/>
  <c r="F1082" i="1"/>
  <c r="B1081" i="1"/>
  <c r="C1080" i="1"/>
  <c r="B1079" i="1"/>
  <c r="J1077" i="1"/>
  <c r="J1075" i="1"/>
  <c r="E1074" i="1"/>
  <c r="F1072" i="1"/>
  <c r="I1069" i="1"/>
  <c r="H1067" i="1"/>
  <c r="F1064" i="1"/>
  <c r="H1063" i="1"/>
  <c r="B1061" i="1"/>
  <c r="F1060" i="1"/>
  <c r="G1059" i="1"/>
  <c r="E1130" i="4"/>
  <c r="K1129" i="4"/>
  <c r="K1128" i="4"/>
  <c r="E1127" i="4"/>
  <c r="K1126" i="4"/>
  <c r="C1125" i="4"/>
  <c r="C1124" i="4"/>
  <c r="E1123" i="4"/>
  <c r="K1122" i="4"/>
  <c r="K1121" i="4"/>
  <c r="C1120" i="4"/>
  <c r="E1119" i="4"/>
  <c r="C1118" i="4"/>
  <c r="E1117" i="4"/>
  <c r="C1116" i="4"/>
  <c r="C1115" i="4"/>
  <c r="B1101" i="4"/>
  <c r="J1100" i="4"/>
  <c r="H1100" i="4"/>
  <c r="D1099" i="4"/>
  <c r="B1098" i="4"/>
  <c r="B1097" i="4"/>
  <c r="J1096" i="4"/>
  <c r="H1096" i="4"/>
  <c r="F1095" i="4"/>
  <c r="J1094" i="4"/>
  <c r="H1094" i="4"/>
  <c r="F1093" i="4"/>
  <c r="F1092" i="4"/>
  <c r="D1091" i="4"/>
  <c r="D1090" i="4"/>
  <c r="D1089" i="4"/>
  <c r="F1088" i="4"/>
  <c r="B1087" i="4"/>
  <c r="B1086" i="4"/>
  <c r="B1084" i="4"/>
  <c r="D1083" i="4"/>
  <c r="J1081" i="4"/>
  <c r="H1081" i="4"/>
  <c r="B1080" i="4"/>
  <c r="B1079" i="4"/>
  <c r="D1078" i="4"/>
  <c r="F1077" i="4"/>
  <c r="B1076" i="4"/>
  <c r="D1075" i="4"/>
  <c r="D1074" i="4"/>
  <c r="F1073" i="4"/>
  <c r="F1072" i="4"/>
  <c r="B1071" i="4"/>
  <c r="D1070" i="4"/>
  <c r="B1069" i="4"/>
  <c r="F1068" i="4"/>
  <c r="J1067" i="4"/>
  <c r="H1067" i="4"/>
  <c r="D1066" i="4"/>
  <c r="J1065" i="4"/>
  <c r="H1065" i="4"/>
  <c r="B1064" i="4"/>
  <c r="B1063" i="4"/>
  <c r="B1062" i="4"/>
  <c r="D1061" i="4"/>
  <c r="J1060" i="4"/>
  <c r="H1060" i="4"/>
  <c r="F1059" i="4"/>
  <c r="F1058" i="4"/>
  <c r="F1057" i="4"/>
  <c r="J1056" i="4"/>
  <c r="H1056" i="4"/>
  <c r="J1055" i="4"/>
  <c r="H1055" i="4"/>
  <c r="J1054" i="4"/>
  <c r="H1054" i="4"/>
  <c r="J1053" i="4"/>
  <c r="H1053" i="4"/>
  <c r="J1052" i="4"/>
  <c r="H1052" i="4"/>
  <c r="H1051" i="4"/>
  <c r="D1050" i="4"/>
  <c r="D1049" i="4"/>
  <c r="J1048" i="4"/>
  <c r="H1048" i="4"/>
  <c r="H1047" i="4"/>
  <c r="F1046" i="4"/>
  <c r="J1045" i="4"/>
  <c r="J1085" i="4"/>
  <c r="F1096" i="1"/>
  <c r="B1095" i="1"/>
  <c r="F1094" i="1"/>
  <c r="I1093" i="1"/>
  <c r="F1092" i="1"/>
  <c r="I1091" i="1"/>
  <c r="E1090" i="1"/>
  <c r="I1089" i="1"/>
  <c r="E1088" i="1"/>
  <c r="C1086" i="1"/>
  <c r="F1084" i="1"/>
  <c r="J1083" i="1"/>
  <c r="I1081" i="1"/>
  <c r="J1079" i="1"/>
  <c r="B1077" i="1"/>
  <c r="C1076" i="1"/>
  <c r="F1076" i="1"/>
  <c r="B1075" i="1"/>
  <c r="D1072" i="1"/>
  <c r="B1071" i="1"/>
  <c r="F1070" i="1"/>
  <c r="J1067" i="1"/>
  <c r="F1066" i="1"/>
  <c r="B1065" i="1"/>
  <c r="E1064" i="1"/>
  <c r="C1130" i="4"/>
  <c r="C1129" i="4"/>
  <c r="C1128" i="4"/>
  <c r="C1127" i="4"/>
  <c r="E1126" i="4"/>
  <c r="K1125" i="4"/>
  <c r="E1124" i="4"/>
  <c r="C1123" i="4"/>
  <c r="E1122" i="4"/>
  <c r="C1121" i="4"/>
  <c r="K1120" i="4"/>
  <c r="K1119" i="4"/>
  <c r="K1118" i="4"/>
  <c r="C1117" i="4"/>
  <c r="E1116" i="4"/>
  <c r="E1115" i="4"/>
  <c r="K1089" i="4"/>
  <c r="G1086" i="4"/>
  <c r="G1084" i="4"/>
  <c r="G1083" i="4"/>
  <c r="G1082" i="4"/>
  <c r="G1081" i="4"/>
  <c r="G1080" i="4"/>
  <c r="G1079" i="4"/>
  <c r="G1078" i="4"/>
  <c r="G1077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G1058" i="4"/>
  <c r="G1057" i="4"/>
  <c r="G1055" i="4"/>
  <c r="G1054" i="4"/>
  <c r="G1053" i="4"/>
  <c r="G1052" i="4"/>
  <c r="G1051" i="4"/>
  <c r="G1050" i="4"/>
  <c r="G1049" i="4"/>
  <c r="G1048" i="4"/>
  <c r="G1047" i="4"/>
  <c r="G1046" i="4"/>
  <c r="E1045" i="4"/>
  <c r="E1085" i="4"/>
  <c r="H1096" i="1"/>
  <c r="I1096" i="1"/>
  <c r="J1096" i="1"/>
  <c r="B1096" i="1"/>
  <c r="F1095" i="1"/>
  <c r="G1095" i="1"/>
  <c r="H1094" i="1"/>
  <c r="J1094" i="1"/>
  <c r="B1094" i="1"/>
  <c r="F1093" i="1"/>
  <c r="G1093" i="1"/>
  <c r="H1092" i="1"/>
  <c r="J1092" i="1"/>
  <c r="B1092" i="1"/>
  <c r="C1092" i="1"/>
  <c r="E1091" i="1"/>
  <c r="F1091" i="1"/>
  <c r="G1091" i="1"/>
  <c r="H1090" i="1"/>
  <c r="J1090" i="1"/>
  <c r="B1090" i="1"/>
  <c r="D1089" i="1"/>
  <c r="F1089" i="1"/>
  <c r="G1089" i="1"/>
  <c r="H1088" i="1"/>
  <c r="I1088" i="1"/>
  <c r="J1088" i="1"/>
  <c r="B1088" i="1"/>
  <c r="F1087" i="1"/>
  <c r="G1087" i="1"/>
  <c r="H1086" i="1"/>
  <c r="J1086" i="1"/>
  <c r="B1086" i="1"/>
  <c r="F1085" i="1"/>
  <c r="G1085" i="1"/>
  <c r="H1084" i="1"/>
  <c r="J1084" i="1"/>
  <c r="B1084" i="1"/>
  <c r="C1084" i="1"/>
  <c r="E1083" i="1"/>
  <c r="F1083" i="1"/>
  <c r="G1083" i="1"/>
  <c r="H1082" i="1"/>
  <c r="J1082" i="1"/>
  <c r="B1082" i="1"/>
  <c r="D1081" i="1"/>
  <c r="F1081" i="1"/>
  <c r="G1081" i="1"/>
  <c r="I1080" i="1"/>
  <c r="E1075" i="1"/>
  <c r="I1072" i="1"/>
  <c r="C1070" i="1"/>
  <c r="D1067" i="1"/>
  <c r="D1063" i="1"/>
  <c r="H1060" i="1"/>
  <c r="D1057" i="1"/>
  <c r="I1056" i="1"/>
  <c r="C1054" i="1"/>
  <c r="C1114" i="4"/>
  <c r="K1113" i="4"/>
  <c r="E1112" i="4"/>
  <c r="E1110" i="4"/>
  <c r="C1109" i="4"/>
  <c r="K1108" i="4"/>
  <c r="K1107" i="4"/>
  <c r="C1106" i="4"/>
  <c r="K1105" i="4"/>
  <c r="K1104" i="4"/>
  <c r="K1103" i="4"/>
  <c r="C1102" i="4"/>
  <c r="K1101" i="4"/>
  <c r="E1100" i="4"/>
  <c r="C1099" i="4"/>
  <c r="C1098" i="4"/>
  <c r="K1097" i="4"/>
  <c r="C1096" i="4"/>
  <c r="E1095" i="4"/>
  <c r="E1094" i="4"/>
  <c r="C1093" i="4"/>
  <c r="C1092" i="4"/>
  <c r="K1091" i="4"/>
  <c r="K1090" i="4"/>
  <c r="E1089" i="4"/>
  <c r="C1088" i="4"/>
  <c r="C1087" i="4"/>
  <c r="E1086" i="4"/>
  <c r="K1084" i="4"/>
  <c r="E1083" i="4"/>
  <c r="K1082" i="4"/>
  <c r="E1081" i="4"/>
  <c r="E1080" i="4"/>
  <c r="C1079" i="4"/>
  <c r="C1078" i="4"/>
  <c r="C1077" i="4"/>
  <c r="E1076" i="4"/>
  <c r="E1075" i="4"/>
  <c r="C1074" i="4"/>
  <c r="E1073" i="4"/>
  <c r="C1072" i="4"/>
  <c r="K1071" i="4"/>
  <c r="C1070" i="4"/>
  <c r="C1069" i="4"/>
  <c r="C1068" i="4"/>
  <c r="E1067" i="4"/>
  <c r="K1066" i="4"/>
  <c r="K1065" i="4"/>
  <c r="E1064" i="4"/>
  <c r="K1063" i="4"/>
  <c r="E1062" i="4"/>
  <c r="E1061" i="4"/>
  <c r="K1060" i="4"/>
  <c r="C1059" i="4"/>
  <c r="C1058" i="4"/>
  <c r="E1057" i="4"/>
  <c r="E1056" i="4"/>
  <c r="E1055" i="4"/>
  <c r="K1054" i="4"/>
  <c r="K1053" i="4"/>
  <c r="K1052" i="4"/>
  <c r="C1051" i="4"/>
  <c r="C1050" i="4"/>
  <c r="E1049" i="4"/>
  <c r="E1048" i="4"/>
  <c r="K1047" i="4"/>
  <c r="E1046" i="4"/>
  <c r="C1045" i="4"/>
  <c r="C1085" i="4"/>
  <c r="E1114" i="4"/>
  <c r="C1113" i="4"/>
  <c r="K1112" i="4"/>
  <c r="C1111" i="4"/>
  <c r="C1110" i="4"/>
  <c r="E1109" i="4"/>
  <c r="C1108" i="4"/>
  <c r="C1107" i="4"/>
  <c r="E1106" i="4"/>
  <c r="C1105" i="4"/>
  <c r="C1104" i="4"/>
  <c r="E1103" i="4"/>
  <c r="E1102" i="4"/>
  <c r="C1101" i="4"/>
  <c r="K1100" i="4"/>
  <c r="E1099" i="4"/>
  <c r="K1098" i="4"/>
  <c r="E1097" i="4"/>
  <c r="K1096" i="4"/>
  <c r="K1095" i="4"/>
  <c r="K1094" i="4"/>
  <c r="E1093" i="4"/>
  <c r="K1092" i="4"/>
  <c r="C1091" i="4"/>
  <c r="C1090" i="4"/>
  <c r="C1089" i="4"/>
  <c r="K1088" i="4"/>
  <c r="K1087" i="4"/>
  <c r="C1086" i="4"/>
  <c r="E1084" i="4"/>
  <c r="C1083" i="4"/>
  <c r="E1082" i="4"/>
  <c r="C1081" i="4"/>
  <c r="C1080" i="4"/>
  <c r="K1079" i="4"/>
  <c r="K1078" i="4"/>
  <c r="K1077" i="4"/>
  <c r="K1076" i="4"/>
  <c r="K1075" i="4"/>
  <c r="K1074" i="4"/>
  <c r="K1073" i="4"/>
  <c r="E1072" i="4"/>
  <c r="E1071" i="4"/>
  <c r="K1070" i="4"/>
  <c r="K1069" i="4"/>
  <c r="K1068" i="4"/>
  <c r="K1067" i="4"/>
  <c r="C1066" i="4"/>
  <c r="C1064" i="4"/>
  <c r="C1063" i="4"/>
  <c r="C1062" i="4"/>
  <c r="C1061" i="4"/>
  <c r="E1060" i="4"/>
  <c r="E1059" i="4"/>
  <c r="E1058" i="4"/>
  <c r="C1057" i="4"/>
  <c r="C1056" i="4"/>
  <c r="K1055" i="4"/>
  <c r="C1054" i="4"/>
  <c r="C1053" i="4"/>
  <c r="E1052" i="4"/>
  <c r="K1051" i="4"/>
  <c r="E1050" i="4"/>
  <c r="C1049" i="4"/>
  <c r="C1048" i="4"/>
  <c r="E1047" i="4"/>
  <c r="C1046" i="4"/>
  <c r="I1085" i="4"/>
  <c r="I1045" i="4"/>
  <c r="K1114" i="4"/>
  <c r="E1113" i="4"/>
  <c r="C1112" i="4"/>
  <c r="E1111" i="4"/>
  <c r="K1110" i="4"/>
  <c r="K1109" i="4"/>
  <c r="E1108" i="4"/>
  <c r="E1107" i="4"/>
  <c r="K1106" i="4"/>
  <c r="E1105" i="4"/>
  <c r="E1104" i="4"/>
  <c r="C1103" i="4"/>
  <c r="K1102" i="4"/>
  <c r="E1101" i="4"/>
  <c r="C1100" i="4"/>
  <c r="K1099" i="4"/>
  <c r="E1098" i="4"/>
  <c r="E1096" i="4"/>
  <c r="C1095" i="4"/>
  <c r="C1094" i="4"/>
  <c r="K1093" i="4"/>
  <c r="E1092" i="4"/>
  <c r="E1091" i="4"/>
  <c r="E1090" i="4"/>
  <c r="E1088" i="4"/>
  <c r="E1087" i="4"/>
  <c r="K1086" i="4"/>
  <c r="C1084" i="4"/>
  <c r="K1083" i="4"/>
  <c r="K1080" i="4"/>
  <c r="E1079" i="4"/>
  <c r="E1078" i="4"/>
  <c r="E1077" i="4"/>
  <c r="C1076" i="4"/>
  <c r="C1075" i="4"/>
  <c r="E1074" i="4"/>
  <c r="C1073" i="4"/>
  <c r="K1072" i="4"/>
  <c r="C1071" i="4"/>
  <c r="E1070" i="4"/>
  <c r="E1069" i="4"/>
  <c r="E1068" i="4"/>
  <c r="C1067" i="4"/>
  <c r="E1066" i="4"/>
  <c r="E1065" i="4"/>
  <c r="E1063" i="4"/>
  <c r="K1062" i="4"/>
  <c r="K1061" i="4"/>
  <c r="C1060" i="4"/>
  <c r="K1059" i="4"/>
  <c r="K1058" i="4"/>
  <c r="K1057" i="4"/>
  <c r="K1056" i="4"/>
  <c r="C1055" i="4"/>
  <c r="E1054" i="4"/>
  <c r="E1053" i="4"/>
  <c r="C1052" i="4"/>
  <c r="E1051" i="4"/>
  <c r="K1050" i="4"/>
  <c r="K1049" i="4"/>
  <c r="K1048" i="4"/>
  <c r="C1047" i="4"/>
  <c r="K1046" i="4"/>
  <c r="K1045" i="4"/>
  <c r="K1085" i="4"/>
  <c r="C1089" i="1"/>
  <c r="C1081" i="1"/>
  <c r="C1073" i="1"/>
  <c r="G1096" i="1"/>
  <c r="G1094" i="1"/>
  <c r="G1092" i="1"/>
  <c r="G1090" i="1"/>
  <c r="G1088" i="1"/>
  <c r="G1086" i="1"/>
  <c r="G1084" i="1"/>
  <c r="G1082" i="1"/>
  <c r="G1080" i="1"/>
  <c r="G1078" i="1"/>
  <c r="G1076" i="1"/>
  <c r="G1074" i="1"/>
  <c r="G1072" i="1"/>
  <c r="C1069" i="1"/>
  <c r="C1067" i="1"/>
  <c r="C1065" i="1"/>
  <c r="G1064" i="1"/>
  <c r="C1061" i="1"/>
  <c r="C1059" i="1"/>
  <c r="C1057" i="1"/>
  <c r="G1056" i="1"/>
  <c r="C1053" i="1"/>
  <c r="C1052" i="1"/>
  <c r="H1095" i="1"/>
  <c r="H1093" i="1"/>
  <c r="H1089" i="1"/>
  <c r="H1087" i="1"/>
  <c r="H1085" i="1"/>
  <c r="H1077" i="1"/>
  <c r="H1075" i="1"/>
  <c r="H1073" i="1"/>
  <c r="I1071" i="1"/>
  <c r="D1070" i="1"/>
  <c r="E1070" i="1"/>
  <c r="D1068" i="1"/>
  <c r="I1067" i="1"/>
  <c r="D1066" i="1"/>
  <c r="H1065" i="1"/>
  <c r="I1065" i="1"/>
  <c r="I1063" i="1"/>
  <c r="D1062" i="1"/>
  <c r="E1062" i="1"/>
  <c r="D1060" i="1"/>
  <c r="I1059" i="1"/>
  <c r="D1058" i="1"/>
  <c r="H1057" i="1"/>
  <c r="I1057" i="1"/>
  <c r="I1055" i="1"/>
  <c r="D1054" i="1"/>
  <c r="E1054" i="1"/>
  <c r="R1050" i="1"/>
  <c r="D1050" i="1"/>
  <c r="J1050" i="1"/>
  <c r="B1050" i="1"/>
  <c r="H1091" i="1"/>
  <c r="H1083" i="1"/>
  <c r="H1081" i="1"/>
  <c r="H1079" i="1"/>
  <c r="H1080" i="1"/>
  <c r="J1080" i="1"/>
  <c r="B1080" i="1"/>
  <c r="F1079" i="1"/>
  <c r="G1079" i="1"/>
  <c r="H1078" i="1"/>
  <c r="J1078" i="1"/>
  <c r="B1078" i="1"/>
  <c r="F1077" i="1"/>
  <c r="G1077" i="1"/>
  <c r="H1076" i="1"/>
  <c r="J1076" i="1"/>
  <c r="B1076" i="1"/>
  <c r="F1075" i="1"/>
  <c r="G1075" i="1"/>
  <c r="H1074" i="1"/>
  <c r="J1074" i="1"/>
  <c r="B1074" i="1"/>
  <c r="F1073" i="1"/>
  <c r="G1073" i="1"/>
  <c r="H1072" i="1"/>
  <c r="J1072" i="1"/>
  <c r="B1072" i="1"/>
  <c r="E1071" i="1"/>
  <c r="F1071" i="1"/>
  <c r="G1071" i="1"/>
  <c r="H1070" i="1"/>
  <c r="D1069" i="1"/>
  <c r="E1069" i="1"/>
  <c r="G1069" i="1"/>
  <c r="J1068" i="1"/>
  <c r="B1068" i="1"/>
  <c r="C1068" i="1"/>
  <c r="E1067" i="1"/>
  <c r="H1066" i="1"/>
  <c r="I1066" i="1"/>
  <c r="J1066" i="1"/>
  <c r="B1066" i="1"/>
  <c r="G1065" i="1"/>
  <c r="H1064" i="1"/>
  <c r="J1064" i="1"/>
  <c r="B1064" i="1"/>
  <c r="E1063" i="1"/>
  <c r="F1063" i="1"/>
  <c r="G1063" i="1"/>
  <c r="H1062" i="1"/>
  <c r="D1061" i="1"/>
  <c r="E1061" i="1"/>
  <c r="G1061" i="1"/>
  <c r="J1060" i="1"/>
  <c r="B1060" i="1"/>
  <c r="C1060" i="1"/>
  <c r="E1059" i="1"/>
  <c r="H1058" i="1"/>
  <c r="I1058" i="1"/>
  <c r="J1058" i="1"/>
  <c r="B1058" i="1"/>
  <c r="G1057" i="1"/>
  <c r="H1056" i="1"/>
  <c r="J1056" i="1"/>
  <c r="B1056" i="1"/>
  <c r="E1055" i="1"/>
  <c r="F1055" i="1"/>
  <c r="G1055" i="1"/>
  <c r="H1054" i="1"/>
  <c r="D1053" i="1"/>
  <c r="E1053" i="1"/>
  <c r="G1053" i="1"/>
  <c r="H1050" i="1"/>
  <c r="K1050" i="1"/>
  <c r="B1073" i="2"/>
  <c r="A1074" i="2"/>
  <c r="D1094" i="3"/>
  <c r="D1093" i="3"/>
  <c r="D1092" i="3"/>
  <c r="D1091" i="3"/>
  <c r="D1090" i="3"/>
  <c r="D1089" i="3"/>
  <c r="D1086" i="3"/>
  <c r="D1085" i="3"/>
  <c r="D1084" i="3"/>
  <c r="D1083" i="3"/>
  <c r="D1082" i="3"/>
  <c r="D1081" i="3"/>
  <c r="D1078" i="3"/>
  <c r="D1077" i="3"/>
  <c r="D1076" i="3"/>
  <c r="D1075" i="3"/>
  <c r="D1074" i="3"/>
  <c r="D1073" i="3"/>
  <c r="D1055" i="3"/>
  <c r="D1054" i="3"/>
  <c r="D1051" i="3"/>
  <c r="C1096" i="3"/>
  <c r="C1094" i="3"/>
  <c r="C1091" i="3"/>
  <c r="C1090" i="3"/>
  <c r="C1088" i="3"/>
  <c r="C1086" i="3"/>
  <c r="C1083" i="3"/>
  <c r="C1082" i="3"/>
  <c r="C1080" i="3"/>
  <c r="C1078" i="3"/>
  <c r="C1075" i="3"/>
  <c r="C1074" i="3"/>
  <c r="C1072" i="3"/>
  <c r="C1070" i="3"/>
  <c r="C1068" i="3"/>
  <c r="C1066" i="3"/>
  <c r="C1064" i="3"/>
  <c r="C1062" i="3"/>
  <c r="C1060" i="3"/>
  <c r="C1058" i="3"/>
  <c r="B1096" i="3"/>
  <c r="B1095" i="3"/>
  <c r="B1093" i="3"/>
  <c r="B1091" i="3"/>
  <c r="B1088" i="3"/>
  <c r="B1087" i="3"/>
  <c r="B1085" i="3"/>
  <c r="B1083" i="3"/>
  <c r="B1080" i="3"/>
  <c r="B1079" i="3"/>
  <c r="B1077" i="3"/>
  <c r="B1075" i="3"/>
  <c r="B1072" i="3"/>
  <c r="B1070" i="3"/>
  <c r="B1068" i="3"/>
  <c r="B1066" i="3"/>
  <c r="B1064" i="3"/>
  <c r="B1062" i="3"/>
  <c r="B1060" i="3"/>
  <c r="B1058" i="3"/>
  <c r="B1056" i="3"/>
  <c r="B1054" i="3"/>
  <c r="B1052" i="3"/>
  <c r="B1050" i="3"/>
  <c r="B1074" i="2" l="1"/>
  <c r="A1075" i="2"/>
  <c r="F1098" i="1"/>
  <c r="O1098" i="1"/>
  <c r="G1098" i="1"/>
  <c r="P1098" i="1"/>
  <c r="H1098" i="1"/>
  <c r="Q1098" i="1"/>
  <c r="B1098" i="1"/>
  <c r="J1098" i="1"/>
  <c r="C1098" i="1"/>
  <c r="D1098" i="1"/>
  <c r="M1098" i="1"/>
  <c r="N1098" i="1"/>
  <c r="A1099" i="1"/>
  <c r="E1098" i="1"/>
  <c r="L1098" i="1"/>
  <c r="I1098" i="1"/>
  <c r="C1098" i="3"/>
  <c r="B1098" i="3"/>
  <c r="E1098" i="3"/>
  <c r="D1098" i="3"/>
  <c r="A1099" i="3"/>
  <c r="B1099" i="3" l="1"/>
  <c r="C1099" i="3"/>
  <c r="D1099" i="3"/>
  <c r="A1100" i="3"/>
  <c r="E1099" i="3"/>
  <c r="F1099" i="1"/>
  <c r="O1099" i="1"/>
  <c r="G1099" i="1"/>
  <c r="P1099" i="1"/>
  <c r="H1099" i="1"/>
  <c r="Q1099" i="1"/>
  <c r="B1099" i="1"/>
  <c r="J1099" i="1"/>
  <c r="C1099" i="1"/>
  <c r="D1099" i="1"/>
  <c r="A1100" i="1"/>
  <c r="I1099" i="1"/>
  <c r="E1099" i="1"/>
  <c r="L1099" i="1"/>
  <c r="M1099" i="1"/>
  <c r="N1099" i="1"/>
  <c r="B1075" i="2"/>
  <c r="A1076" i="2"/>
  <c r="E1100" i="3" l="1"/>
  <c r="A1101" i="3"/>
  <c r="B1100" i="3"/>
  <c r="D1100" i="3"/>
  <c r="C1100" i="3"/>
  <c r="F1100" i="1"/>
  <c r="O1100" i="1"/>
  <c r="G1100" i="1"/>
  <c r="P1100" i="1"/>
  <c r="H1100" i="1"/>
  <c r="Q1100" i="1"/>
  <c r="B1100" i="1"/>
  <c r="J1100" i="1"/>
  <c r="C1100" i="1"/>
  <c r="D1100" i="1"/>
  <c r="E1100" i="1"/>
  <c r="I1100" i="1"/>
  <c r="M1100" i="1"/>
  <c r="L1100" i="1"/>
  <c r="N1100" i="1"/>
  <c r="A1101" i="1"/>
  <c r="B1076" i="2"/>
  <c r="A1077" i="2"/>
  <c r="F1101" i="1" l="1"/>
  <c r="O1101" i="1"/>
  <c r="G1101" i="1"/>
  <c r="H1101" i="1"/>
  <c r="B1101" i="1"/>
  <c r="J1101" i="1"/>
  <c r="C1101" i="1"/>
  <c r="Q1101" i="1"/>
  <c r="A1102" i="1"/>
  <c r="D1101" i="1"/>
  <c r="I1101" i="1"/>
  <c r="L1101" i="1"/>
  <c r="M1101" i="1"/>
  <c r="P1101" i="1"/>
  <c r="N1101" i="1"/>
  <c r="E1101" i="1"/>
  <c r="B1077" i="2"/>
  <c r="A1078" i="2"/>
  <c r="B1101" i="3"/>
  <c r="D1101" i="3"/>
  <c r="C1101" i="3"/>
  <c r="A1102" i="3"/>
  <c r="E1101" i="3"/>
  <c r="A1079" i="2" l="1"/>
  <c r="B1078" i="2"/>
  <c r="H1102" i="1"/>
  <c r="Q1102" i="1"/>
  <c r="A1103" i="1"/>
  <c r="I1102" i="1"/>
  <c r="E1102" i="1"/>
  <c r="P1102" i="1"/>
  <c r="F1102" i="1"/>
  <c r="G1102" i="1"/>
  <c r="L1102" i="1"/>
  <c r="B1102" i="1"/>
  <c r="D1102" i="1"/>
  <c r="C1102" i="1"/>
  <c r="M1102" i="1"/>
  <c r="J1102" i="1"/>
  <c r="N1102" i="1"/>
  <c r="O1102" i="1"/>
  <c r="C1102" i="3"/>
  <c r="D1102" i="3"/>
  <c r="E1102" i="3"/>
  <c r="A1103" i="3"/>
  <c r="B1102" i="3"/>
  <c r="A1104" i="3" l="1"/>
  <c r="B1103" i="3"/>
  <c r="D1103" i="3"/>
  <c r="E1103" i="3"/>
  <c r="C1103" i="3"/>
  <c r="H1103" i="1"/>
  <c r="Q1103" i="1"/>
  <c r="A1104" i="1"/>
  <c r="I1103" i="1"/>
  <c r="L1103" i="1"/>
  <c r="B1103" i="1"/>
  <c r="M1103" i="1"/>
  <c r="C1103" i="1"/>
  <c r="N1103" i="1"/>
  <c r="E1103" i="1"/>
  <c r="P1103" i="1"/>
  <c r="D1103" i="1"/>
  <c r="J1103" i="1"/>
  <c r="F1103" i="1"/>
  <c r="G1103" i="1"/>
  <c r="O1103" i="1"/>
  <c r="B1079" i="2"/>
  <c r="A1080" i="2"/>
  <c r="H1104" i="1" l="1"/>
  <c r="Q1104" i="1"/>
  <c r="A1105" i="1"/>
  <c r="I1104" i="1"/>
  <c r="E1104" i="1"/>
  <c r="P1104" i="1"/>
  <c r="F1104" i="1"/>
  <c r="G1104" i="1"/>
  <c r="L1104" i="1"/>
  <c r="J1104" i="1"/>
  <c r="B1104" i="1"/>
  <c r="M1104" i="1"/>
  <c r="N1104" i="1"/>
  <c r="O1104" i="1"/>
  <c r="D1104" i="1"/>
  <c r="C1104" i="1"/>
  <c r="B1080" i="2"/>
  <c r="A1081" i="2"/>
  <c r="B1104" i="3"/>
  <c r="C1104" i="3"/>
  <c r="E1104" i="3"/>
  <c r="D1104" i="3"/>
  <c r="A1105" i="3"/>
  <c r="D1105" i="3" l="1"/>
  <c r="E1105" i="3"/>
  <c r="A1106" i="3"/>
  <c r="B1105" i="3"/>
  <c r="C1105" i="3"/>
  <c r="H1105" i="1"/>
  <c r="Q1105" i="1"/>
  <c r="I1105" i="1"/>
  <c r="A1106" i="1"/>
  <c r="L1105" i="1"/>
  <c r="B1105" i="1"/>
  <c r="M1105" i="1"/>
  <c r="C1105" i="1"/>
  <c r="N1105" i="1"/>
  <c r="E1105" i="1"/>
  <c r="P1105" i="1"/>
  <c r="O1105" i="1"/>
  <c r="F1105" i="1"/>
  <c r="D1105" i="1"/>
  <c r="J1105" i="1"/>
  <c r="G1105" i="1"/>
  <c r="B1081" i="2"/>
  <c r="A1082" i="2"/>
  <c r="C1106" i="3" l="1"/>
  <c r="B1106" i="3"/>
  <c r="D1106" i="3"/>
  <c r="E1106" i="3"/>
  <c r="A1107" i="3"/>
  <c r="B1082" i="2"/>
  <c r="A1083" i="2"/>
  <c r="H1106" i="1"/>
  <c r="Q1106" i="1"/>
  <c r="I1106" i="1"/>
  <c r="A1107" i="1"/>
  <c r="E1106" i="1"/>
  <c r="P1106" i="1"/>
  <c r="F1106" i="1"/>
  <c r="G1106" i="1"/>
  <c r="L1106" i="1"/>
  <c r="B1106" i="1"/>
  <c r="D1106" i="1"/>
  <c r="C1106" i="1"/>
  <c r="M1106" i="1"/>
  <c r="J1106" i="1"/>
  <c r="N1106" i="1"/>
  <c r="O1106" i="1"/>
  <c r="B1083" i="2" l="1"/>
  <c r="A1084" i="2"/>
  <c r="B1107" i="3"/>
  <c r="C1107" i="3"/>
  <c r="D1107" i="3"/>
  <c r="A1108" i="3"/>
  <c r="E1107" i="3"/>
  <c r="H1107" i="1"/>
  <c r="Q1107" i="1"/>
  <c r="I1107" i="1"/>
  <c r="A1108" i="1"/>
  <c r="L1107" i="1"/>
  <c r="B1107" i="1"/>
  <c r="M1107" i="1"/>
  <c r="C1107" i="1"/>
  <c r="N1107" i="1"/>
  <c r="E1107" i="1"/>
  <c r="P1107" i="1"/>
  <c r="D1107" i="1"/>
  <c r="J1107" i="1"/>
  <c r="F1107" i="1"/>
  <c r="G1107" i="1"/>
  <c r="O1107" i="1"/>
  <c r="E1108" i="3" l="1"/>
  <c r="A1109" i="3"/>
  <c r="C1108" i="3"/>
  <c r="D1108" i="3"/>
  <c r="B1108" i="3"/>
  <c r="H1108" i="1"/>
  <c r="Q1108" i="1"/>
  <c r="I1108" i="1"/>
  <c r="A1109" i="1"/>
  <c r="E1108" i="1"/>
  <c r="P1108" i="1"/>
  <c r="F1108" i="1"/>
  <c r="G1108" i="1"/>
  <c r="L1108" i="1"/>
  <c r="J1108" i="1"/>
  <c r="M1108" i="1"/>
  <c r="N1108" i="1"/>
  <c r="O1108" i="1"/>
  <c r="B1108" i="1"/>
  <c r="C1108" i="1"/>
  <c r="D1108" i="1"/>
  <c r="B1084" i="2"/>
  <c r="A1085" i="2"/>
  <c r="B1109" i="3" l="1"/>
  <c r="D1109" i="3"/>
  <c r="C1109" i="3"/>
  <c r="E1109" i="3"/>
  <c r="A1110" i="3"/>
  <c r="B1085" i="2"/>
  <c r="A1086" i="2"/>
  <c r="H1109" i="1"/>
  <c r="Q1109" i="1"/>
  <c r="A1110" i="1"/>
  <c r="I1109" i="1"/>
  <c r="L1109" i="1"/>
  <c r="B1109" i="1"/>
  <c r="M1109" i="1"/>
  <c r="C1109" i="1"/>
  <c r="N1109" i="1"/>
  <c r="E1109" i="1"/>
  <c r="P1109" i="1"/>
  <c r="O1109" i="1"/>
  <c r="F1109" i="1"/>
  <c r="D1109" i="1"/>
  <c r="J1109" i="1"/>
  <c r="G1109" i="1"/>
  <c r="C1110" i="3" l="1"/>
  <c r="D1110" i="3"/>
  <c r="E1110" i="3"/>
  <c r="A1111" i="3"/>
  <c r="B1110" i="3"/>
  <c r="H1110" i="1"/>
  <c r="Q1110" i="1"/>
  <c r="A1111" i="1"/>
  <c r="I1110" i="1"/>
  <c r="E1110" i="1"/>
  <c r="P1110" i="1"/>
  <c r="F1110" i="1"/>
  <c r="G1110" i="1"/>
  <c r="L1110" i="1"/>
  <c r="M1110" i="1"/>
  <c r="B1110" i="1"/>
  <c r="D1110" i="1"/>
  <c r="C1110" i="1"/>
  <c r="J1110" i="1"/>
  <c r="O1110" i="1"/>
  <c r="N1110" i="1"/>
  <c r="A1087" i="2"/>
  <c r="B1086" i="2"/>
  <c r="H1111" i="1" l="1"/>
  <c r="Q1111" i="1"/>
  <c r="A1112" i="1"/>
  <c r="I1111" i="1"/>
  <c r="L1111" i="1"/>
  <c r="B1111" i="1"/>
  <c r="M1111" i="1"/>
  <c r="C1111" i="1"/>
  <c r="N1111" i="1"/>
  <c r="E1111" i="1"/>
  <c r="P1111" i="1"/>
  <c r="D1111" i="1"/>
  <c r="J1111" i="1"/>
  <c r="F1111" i="1"/>
  <c r="G1111" i="1"/>
  <c r="O1111" i="1"/>
  <c r="B1087" i="2"/>
  <c r="A1088" i="2"/>
  <c r="A1112" i="3"/>
  <c r="B1111" i="3"/>
  <c r="D1111" i="3"/>
  <c r="C1111" i="3"/>
  <c r="E1111" i="3"/>
  <c r="B1112" i="3" l="1"/>
  <c r="C1112" i="3"/>
  <c r="E1112" i="3"/>
  <c r="D1112" i="3"/>
  <c r="A1113" i="3"/>
  <c r="H1112" i="1"/>
  <c r="Q1112" i="1"/>
  <c r="I1112" i="1"/>
  <c r="E1112" i="1"/>
  <c r="P1112" i="1"/>
  <c r="F1112" i="1"/>
  <c r="A1113" i="1"/>
  <c r="G1112" i="1"/>
  <c r="L1112" i="1"/>
  <c r="J1112" i="1"/>
  <c r="M1112" i="1"/>
  <c r="N1112" i="1"/>
  <c r="O1112" i="1"/>
  <c r="B1112" i="1"/>
  <c r="C1112" i="1"/>
  <c r="D1112" i="1"/>
  <c r="A1089" i="2"/>
  <c r="B1088" i="2"/>
  <c r="H1113" i="1" l="1"/>
  <c r="Q1113" i="1"/>
  <c r="I1113" i="1"/>
  <c r="J1113" i="1"/>
  <c r="B1113" i="1"/>
  <c r="L1113" i="1"/>
  <c r="D1113" i="1"/>
  <c r="N1113" i="1"/>
  <c r="M1113" i="1"/>
  <c r="O1113" i="1"/>
  <c r="A1114" i="1"/>
  <c r="E1113" i="1"/>
  <c r="P1113" i="1"/>
  <c r="C1113" i="1"/>
  <c r="F1113" i="1"/>
  <c r="G1113" i="1"/>
  <c r="B1089" i="2"/>
  <c r="A1090" i="2"/>
  <c r="D1113" i="3"/>
  <c r="E1113" i="3"/>
  <c r="A1114" i="3"/>
  <c r="C1113" i="3"/>
  <c r="B1113" i="3"/>
  <c r="C1114" i="3" l="1"/>
  <c r="B1114" i="3"/>
  <c r="E1114" i="3"/>
  <c r="D1114" i="3"/>
  <c r="A1115" i="3"/>
  <c r="H1114" i="1"/>
  <c r="Q1114" i="1"/>
  <c r="B1114" i="1"/>
  <c r="L1114" i="1"/>
  <c r="C1114" i="1"/>
  <c r="M1114" i="1"/>
  <c r="D1114" i="1"/>
  <c r="N1114" i="1"/>
  <c r="F1114" i="1"/>
  <c r="P1114" i="1"/>
  <c r="O1114" i="1"/>
  <c r="A1115" i="1"/>
  <c r="E1114" i="1"/>
  <c r="G1114" i="1"/>
  <c r="I1114" i="1"/>
  <c r="J1114" i="1"/>
  <c r="B1090" i="2"/>
  <c r="A1091" i="2"/>
  <c r="B1091" i="2" l="1"/>
  <c r="A1092" i="2"/>
  <c r="C1115" i="3"/>
  <c r="D1115" i="3"/>
  <c r="A1116" i="3"/>
  <c r="B1115" i="3"/>
  <c r="E1115" i="3"/>
  <c r="H1115" i="1"/>
  <c r="Q1115" i="1"/>
  <c r="D1115" i="1"/>
  <c r="N1115" i="1"/>
  <c r="E1115" i="1"/>
  <c r="O1115" i="1"/>
  <c r="F1115" i="1"/>
  <c r="P1115" i="1"/>
  <c r="I1115" i="1"/>
  <c r="A1116" i="1"/>
  <c r="C1115" i="1"/>
  <c r="J1115" i="1"/>
  <c r="B1115" i="1"/>
  <c r="G1115" i="1"/>
  <c r="M1115" i="1"/>
  <c r="L1115" i="1"/>
  <c r="A1117" i="3" l="1"/>
  <c r="D1116" i="3"/>
  <c r="B1116" i="3"/>
  <c r="C1116" i="3"/>
  <c r="E1116" i="3"/>
  <c r="B1092" i="2"/>
  <c r="A1093" i="2"/>
  <c r="H1116" i="1"/>
  <c r="Q1116" i="1"/>
  <c r="F1116" i="1"/>
  <c r="P1116" i="1"/>
  <c r="G1116" i="1"/>
  <c r="A1117" i="1"/>
  <c r="I1116" i="1"/>
  <c r="B1116" i="1"/>
  <c r="L1116" i="1"/>
  <c r="C1116" i="1"/>
  <c r="M1116" i="1"/>
  <c r="D1116" i="1"/>
  <c r="E1116" i="1"/>
  <c r="J1116" i="1"/>
  <c r="N1116" i="1"/>
  <c r="O1116" i="1"/>
  <c r="B1093" i="2" l="1"/>
  <c r="A1094" i="2"/>
  <c r="H1117" i="1"/>
  <c r="Q1117" i="1"/>
  <c r="I1117" i="1"/>
  <c r="J1117" i="1"/>
  <c r="B1117" i="1"/>
  <c r="L1117" i="1"/>
  <c r="D1117" i="1"/>
  <c r="N1117" i="1"/>
  <c r="C1117" i="1"/>
  <c r="E1117" i="1"/>
  <c r="G1117" i="1"/>
  <c r="F1117" i="1"/>
  <c r="O1117" i="1"/>
  <c r="M1117" i="1"/>
  <c r="P1117" i="1"/>
  <c r="A1118" i="1"/>
  <c r="B1117" i="3"/>
  <c r="D1117" i="3"/>
  <c r="C1117" i="3"/>
  <c r="A1118" i="3"/>
  <c r="E1117" i="3"/>
  <c r="D1118" i="3" l="1"/>
  <c r="E1118" i="3"/>
  <c r="B1118" i="3"/>
  <c r="C1118" i="3"/>
  <c r="A1119" i="3"/>
  <c r="H1118" i="1"/>
  <c r="Q1118" i="1"/>
  <c r="B1118" i="1"/>
  <c r="L1118" i="1"/>
  <c r="C1118" i="1"/>
  <c r="M1118" i="1"/>
  <c r="D1118" i="1"/>
  <c r="N1118" i="1"/>
  <c r="F1118" i="1"/>
  <c r="P1118" i="1"/>
  <c r="E1118" i="1"/>
  <c r="J1118" i="1"/>
  <c r="G1118" i="1"/>
  <c r="I1118" i="1"/>
  <c r="O1118" i="1"/>
  <c r="A1119" i="1"/>
  <c r="A1095" i="2"/>
  <c r="B1094" i="2"/>
  <c r="B1095" i="2" l="1"/>
  <c r="A1096" i="2"/>
  <c r="H1119" i="1"/>
  <c r="Q1119" i="1"/>
  <c r="D1119" i="1"/>
  <c r="N1119" i="1"/>
  <c r="E1119" i="1"/>
  <c r="O1119" i="1"/>
  <c r="F1119" i="1"/>
  <c r="P1119" i="1"/>
  <c r="I1119" i="1"/>
  <c r="G1119" i="1"/>
  <c r="J1119" i="1"/>
  <c r="L1119" i="1"/>
  <c r="M1119" i="1"/>
  <c r="A1120" i="1"/>
  <c r="C1119" i="1"/>
  <c r="B1119" i="1"/>
  <c r="B1119" i="3"/>
  <c r="C1119" i="3"/>
  <c r="E1119" i="3"/>
  <c r="A1120" i="3"/>
  <c r="D1119" i="3"/>
  <c r="B1120" i="3" l="1"/>
  <c r="C1120" i="3"/>
  <c r="E1120" i="3"/>
  <c r="D1120" i="3"/>
  <c r="A1121" i="3"/>
  <c r="H1120" i="1"/>
  <c r="Q1120" i="1"/>
  <c r="F1120" i="1"/>
  <c r="P1120" i="1"/>
  <c r="G1120" i="1"/>
  <c r="A1121" i="1"/>
  <c r="I1120" i="1"/>
  <c r="B1120" i="1"/>
  <c r="L1120" i="1"/>
  <c r="J1120" i="1"/>
  <c r="O1120" i="1"/>
  <c r="M1120" i="1"/>
  <c r="C1120" i="1"/>
  <c r="N1120" i="1"/>
  <c r="E1120" i="1"/>
  <c r="D1120" i="1"/>
  <c r="B1096" i="2"/>
  <c r="A1097" i="2"/>
  <c r="E1121" i="3" l="1"/>
  <c r="D1121" i="3"/>
  <c r="A1122" i="3"/>
  <c r="C1121" i="3"/>
  <c r="B1121" i="3"/>
  <c r="H1121" i="1"/>
  <c r="Q1121" i="1"/>
  <c r="I1121" i="1"/>
  <c r="J1121" i="1"/>
  <c r="B1121" i="1"/>
  <c r="L1121" i="1"/>
  <c r="D1121" i="1"/>
  <c r="N1121" i="1"/>
  <c r="M1121" i="1"/>
  <c r="E1121" i="1"/>
  <c r="O1121" i="1"/>
  <c r="A1122" i="1"/>
  <c r="P1121" i="1"/>
  <c r="C1121" i="1"/>
  <c r="F1121" i="1"/>
  <c r="G1121" i="1"/>
  <c r="B1097" i="2"/>
  <c r="J1097" i="2"/>
  <c r="F1097" i="2"/>
  <c r="H1097" i="2"/>
  <c r="I1097" i="2"/>
  <c r="A1098" i="2"/>
  <c r="C1097" i="2"/>
  <c r="D1097" i="2"/>
  <c r="G1097" i="2"/>
  <c r="E1097" i="2"/>
  <c r="H1098" i="2" l="1"/>
  <c r="D1098" i="2"/>
  <c r="I1098" i="2"/>
  <c r="J1098" i="2"/>
  <c r="A1099" i="2"/>
  <c r="C1098" i="2"/>
  <c r="G1098" i="2"/>
  <c r="B1098" i="2"/>
  <c r="E1098" i="2"/>
  <c r="F1098" i="2"/>
  <c r="C1122" i="3"/>
  <c r="E1122" i="3"/>
  <c r="B1122" i="3"/>
  <c r="D1122" i="3"/>
  <c r="A1123" i="3"/>
  <c r="H1122" i="1"/>
  <c r="Q1122" i="1"/>
  <c r="B1122" i="1"/>
  <c r="L1122" i="1"/>
  <c r="C1122" i="1"/>
  <c r="M1122" i="1"/>
  <c r="D1122" i="1"/>
  <c r="N1122" i="1"/>
  <c r="F1122" i="1"/>
  <c r="P1122" i="1"/>
  <c r="O1122" i="1"/>
  <c r="A1123" i="1"/>
  <c r="G1122" i="1"/>
  <c r="E1122" i="1"/>
  <c r="I1122" i="1"/>
  <c r="J1122" i="1"/>
  <c r="F1099" i="2" l="1"/>
  <c r="B1099" i="2"/>
  <c r="J1099" i="2"/>
  <c r="I1099" i="2"/>
  <c r="A1100" i="2"/>
  <c r="D1099" i="2"/>
  <c r="C1099" i="2"/>
  <c r="E1099" i="2"/>
  <c r="H1099" i="2"/>
  <c r="G1099" i="2"/>
  <c r="H1123" i="1"/>
  <c r="Q1123" i="1"/>
  <c r="D1123" i="1"/>
  <c r="N1123" i="1"/>
  <c r="E1123" i="1"/>
  <c r="O1123" i="1"/>
  <c r="F1123" i="1"/>
  <c r="P1123" i="1"/>
  <c r="I1123" i="1"/>
  <c r="A1124" i="1"/>
  <c r="B1123" i="1"/>
  <c r="C1123" i="1"/>
  <c r="G1123" i="1"/>
  <c r="J1123" i="1"/>
  <c r="M1123" i="1"/>
  <c r="L1123" i="1"/>
  <c r="A1124" i="3"/>
  <c r="D1123" i="3"/>
  <c r="B1123" i="3"/>
  <c r="C1123" i="3"/>
  <c r="E1123" i="3"/>
  <c r="D1124" i="3" l="1"/>
  <c r="C1124" i="3"/>
  <c r="E1124" i="3"/>
  <c r="A1125" i="3"/>
  <c r="B1124" i="3"/>
  <c r="D1100" i="2"/>
  <c r="H1100" i="2"/>
  <c r="J1100" i="2"/>
  <c r="A1101" i="2"/>
  <c r="B1100" i="2"/>
  <c r="E1100" i="2"/>
  <c r="I1100" i="2"/>
  <c r="C1100" i="2"/>
  <c r="F1100" i="2"/>
  <c r="G1100" i="2"/>
  <c r="H1124" i="1"/>
  <c r="Q1124" i="1"/>
  <c r="F1124" i="1"/>
  <c r="P1124" i="1"/>
  <c r="G1124" i="1"/>
  <c r="A1125" i="1"/>
  <c r="I1124" i="1"/>
  <c r="B1124" i="1"/>
  <c r="L1124" i="1"/>
  <c r="E1124" i="1"/>
  <c r="C1124" i="1"/>
  <c r="M1124" i="1"/>
  <c r="D1124" i="1"/>
  <c r="J1124" i="1"/>
  <c r="O1124" i="1"/>
  <c r="N1124" i="1"/>
  <c r="H1125" i="1" l="1"/>
  <c r="Q1125" i="1"/>
  <c r="I1125" i="1"/>
  <c r="J1125" i="1"/>
  <c r="B1125" i="1"/>
  <c r="L1125" i="1"/>
  <c r="D1125" i="1"/>
  <c r="N1125" i="1"/>
  <c r="C1125" i="1"/>
  <c r="O1125" i="1"/>
  <c r="E1125" i="1"/>
  <c r="G1125" i="1"/>
  <c r="F1125" i="1"/>
  <c r="M1125" i="1"/>
  <c r="P1125" i="1"/>
  <c r="A1126" i="1"/>
  <c r="D1125" i="3"/>
  <c r="C1125" i="3"/>
  <c r="E1125" i="3"/>
  <c r="B1125" i="3"/>
  <c r="A1126" i="3"/>
  <c r="B1101" i="2"/>
  <c r="J1101" i="2"/>
  <c r="F1101" i="2"/>
  <c r="A1102" i="2"/>
  <c r="C1101" i="2"/>
  <c r="E1101" i="2"/>
  <c r="D1101" i="2"/>
  <c r="G1101" i="2"/>
  <c r="I1101" i="2"/>
  <c r="H1101" i="2"/>
  <c r="H1126" i="1" l="1"/>
  <c r="Q1126" i="1"/>
  <c r="B1126" i="1"/>
  <c r="L1126" i="1"/>
  <c r="C1126" i="1"/>
  <c r="M1126" i="1"/>
  <c r="D1126" i="1"/>
  <c r="N1126" i="1"/>
  <c r="F1126" i="1"/>
  <c r="P1126" i="1"/>
  <c r="E1126" i="1"/>
  <c r="G1126" i="1"/>
  <c r="I1126" i="1"/>
  <c r="J1126" i="1"/>
  <c r="A1127" i="1"/>
  <c r="O1126" i="1"/>
  <c r="C1126" i="3"/>
  <c r="E1126" i="3"/>
  <c r="A1127" i="3"/>
  <c r="D1126" i="3"/>
  <c r="B1126" i="3"/>
  <c r="H1102" i="2"/>
  <c r="D1102" i="2"/>
  <c r="A1103" i="2"/>
  <c r="B1102" i="2"/>
  <c r="C1102" i="2"/>
  <c r="F1102" i="2"/>
  <c r="J1102" i="2"/>
  <c r="E1102" i="2"/>
  <c r="G1102" i="2"/>
  <c r="I1102" i="2"/>
  <c r="H1127" i="1" l="1"/>
  <c r="Q1127" i="1"/>
  <c r="D1127" i="1"/>
  <c r="N1127" i="1"/>
  <c r="E1127" i="1"/>
  <c r="O1127" i="1"/>
  <c r="F1127" i="1"/>
  <c r="P1127" i="1"/>
  <c r="I1127" i="1"/>
  <c r="G1127" i="1"/>
  <c r="M1127" i="1"/>
  <c r="J1127" i="1"/>
  <c r="L1127" i="1"/>
  <c r="A1128" i="1"/>
  <c r="B1127" i="1"/>
  <c r="C1127" i="1"/>
  <c r="B1127" i="3"/>
  <c r="C1127" i="3"/>
  <c r="D1127" i="3"/>
  <c r="A1128" i="3"/>
  <c r="E1127" i="3"/>
  <c r="F1103" i="2"/>
  <c r="B1103" i="2"/>
  <c r="J1103" i="2"/>
  <c r="C1103" i="2"/>
  <c r="D1103" i="2"/>
  <c r="G1103" i="2"/>
  <c r="E1103" i="2"/>
  <c r="H1103" i="2"/>
  <c r="A1104" i="2"/>
  <c r="I1103" i="2"/>
  <c r="D1104" i="2" l="1"/>
  <c r="H1104" i="2"/>
  <c r="B1104" i="2"/>
  <c r="C1104" i="2"/>
  <c r="E1104" i="2"/>
  <c r="G1104" i="2"/>
  <c r="A1105" i="2"/>
  <c r="F1104" i="2"/>
  <c r="I1104" i="2"/>
  <c r="J1104" i="2"/>
  <c r="H1128" i="1"/>
  <c r="Q1128" i="1"/>
  <c r="F1128" i="1"/>
  <c r="P1128" i="1"/>
  <c r="G1128" i="1"/>
  <c r="A1129" i="1"/>
  <c r="I1128" i="1"/>
  <c r="B1128" i="1"/>
  <c r="L1128" i="1"/>
  <c r="J1128" i="1"/>
  <c r="M1128" i="1"/>
  <c r="N1128" i="1"/>
  <c r="O1128" i="1"/>
  <c r="C1128" i="1"/>
  <c r="D1128" i="1"/>
  <c r="E1128" i="1"/>
  <c r="E1128" i="3"/>
  <c r="B1128" i="3"/>
  <c r="C1128" i="3"/>
  <c r="A1129" i="3"/>
  <c r="D1128" i="3"/>
  <c r="B1105" i="2" l="1"/>
  <c r="J1105" i="2"/>
  <c r="F1105" i="2"/>
  <c r="C1105" i="2"/>
  <c r="D1105" i="2"/>
  <c r="E1105" i="2"/>
  <c r="H1105" i="2"/>
  <c r="G1105" i="2"/>
  <c r="I1105" i="2"/>
  <c r="A1106" i="2"/>
  <c r="B1129" i="3"/>
  <c r="A1130" i="3"/>
  <c r="C1129" i="3"/>
  <c r="D1129" i="3"/>
  <c r="E1129" i="3"/>
  <c r="H1129" i="1"/>
  <c r="Q1129" i="1"/>
  <c r="I1129" i="1"/>
  <c r="J1129" i="1"/>
  <c r="B1129" i="1"/>
  <c r="L1129" i="1"/>
  <c r="D1129" i="1"/>
  <c r="N1129" i="1"/>
  <c r="M1129" i="1"/>
  <c r="O1129" i="1"/>
  <c r="E1129" i="1"/>
  <c r="P1129" i="1"/>
  <c r="A1130" i="1"/>
  <c r="C1129" i="1"/>
  <c r="G1129" i="1"/>
  <c r="F1129" i="1"/>
  <c r="C1130" i="3" l="1"/>
  <c r="A1131" i="3"/>
  <c r="D1130" i="3"/>
  <c r="B1130" i="3"/>
  <c r="E1130" i="3"/>
  <c r="H1106" i="2"/>
  <c r="D1106" i="2"/>
  <c r="C1106" i="2"/>
  <c r="E1106" i="2"/>
  <c r="F1106" i="2"/>
  <c r="I1106" i="2"/>
  <c r="B1106" i="2"/>
  <c r="G1106" i="2"/>
  <c r="J1106" i="2"/>
  <c r="A1107" i="2"/>
  <c r="H1130" i="1"/>
  <c r="Q1130" i="1"/>
  <c r="B1130" i="1"/>
  <c r="L1130" i="1"/>
  <c r="M1130" i="1"/>
  <c r="C1130" i="1"/>
  <c r="D1130" i="1"/>
  <c r="N1130" i="1"/>
  <c r="F1130" i="1"/>
  <c r="P1130" i="1"/>
  <c r="O1130" i="1"/>
  <c r="G1130" i="1"/>
  <c r="A1131" i="1"/>
  <c r="E1130" i="1"/>
  <c r="I1130" i="1"/>
  <c r="J1130" i="1"/>
  <c r="F1107" i="2" l="1"/>
  <c r="B1107" i="2"/>
  <c r="J1107" i="2"/>
  <c r="D1107" i="2"/>
  <c r="E1107" i="2"/>
  <c r="G1107" i="2"/>
  <c r="I1107" i="2"/>
  <c r="C1107" i="2"/>
  <c r="H1107" i="2"/>
  <c r="A1108" i="2"/>
  <c r="H1131" i="1"/>
  <c r="Q1131" i="1"/>
  <c r="D1131" i="1"/>
  <c r="N1131" i="1"/>
  <c r="E1131" i="1"/>
  <c r="O1131" i="1"/>
  <c r="F1131" i="1"/>
  <c r="P1131" i="1"/>
  <c r="I1131" i="1"/>
  <c r="A1132" i="1"/>
  <c r="C1131" i="1"/>
  <c r="B1131" i="1"/>
  <c r="J1131" i="1"/>
  <c r="G1131" i="1"/>
  <c r="L1131" i="1"/>
  <c r="M1131" i="1"/>
  <c r="A1132" i="3"/>
  <c r="E1131" i="3"/>
  <c r="D1131" i="3"/>
  <c r="C1131" i="3"/>
  <c r="B1131" i="3"/>
  <c r="H1132" i="1" l="1"/>
  <c r="Q1132" i="1"/>
  <c r="F1132" i="1"/>
  <c r="P1132" i="1"/>
  <c r="G1132" i="1"/>
  <c r="A1133" i="1"/>
  <c r="I1132" i="1"/>
  <c r="B1132" i="1"/>
  <c r="L1132" i="1"/>
  <c r="C1132" i="1"/>
  <c r="E1132" i="1"/>
  <c r="D1132" i="1"/>
  <c r="J1132" i="1"/>
  <c r="M1132" i="1"/>
  <c r="O1132" i="1"/>
  <c r="N1132" i="1"/>
  <c r="E1132" i="3"/>
  <c r="B1132" i="3"/>
  <c r="C1132" i="3"/>
  <c r="A1133" i="3"/>
  <c r="D1132" i="3"/>
  <c r="D1108" i="2"/>
  <c r="H1108" i="2"/>
  <c r="E1108" i="2"/>
  <c r="F1108" i="2"/>
  <c r="G1108" i="2"/>
  <c r="J1108" i="2"/>
  <c r="C1108" i="2"/>
  <c r="B1108" i="2"/>
  <c r="I1108" i="2"/>
  <c r="A1109" i="2"/>
  <c r="B1109" i="2" l="1"/>
  <c r="J1109" i="2"/>
  <c r="F1109" i="2"/>
  <c r="E1109" i="2"/>
  <c r="G1109" i="2"/>
  <c r="H1109" i="2"/>
  <c r="A1110" i="2"/>
  <c r="D1109" i="2"/>
  <c r="I1109" i="2"/>
  <c r="C1109" i="2"/>
  <c r="H1133" i="1"/>
  <c r="Q1133" i="1"/>
  <c r="I1133" i="1"/>
  <c r="J1133" i="1"/>
  <c r="B1133" i="1"/>
  <c r="L1133" i="1"/>
  <c r="D1133" i="1"/>
  <c r="N1133" i="1"/>
  <c r="C1133" i="1"/>
  <c r="F1133" i="1"/>
  <c r="O1133" i="1"/>
  <c r="E1133" i="1"/>
  <c r="G1133" i="1"/>
  <c r="M1133" i="1"/>
  <c r="A1134" i="1"/>
  <c r="P1133" i="1"/>
  <c r="D1133" i="3"/>
  <c r="E1133" i="3"/>
  <c r="B1133" i="3"/>
  <c r="A1134" i="3"/>
  <c r="C1133" i="3"/>
  <c r="H1110" i="2" l="1"/>
  <c r="D1110" i="2"/>
  <c r="F1110" i="2"/>
  <c r="G1110" i="2"/>
  <c r="I1110" i="2"/>
  <c r="A1111" i="2"/>
  <c r="B1110" i="2"/>
  <c r="E1110" i="2"/>
  <c r="C1110" i="2"/>
  <c r="J1110" i="2"/>
  <c r="D1134" i="3"/>
  <c r="B1134" i="3"/>
  <c r="C1134" i="3"/>
  <c r="E1134" i="3"/>
  <c r="A1135" i="3"/>
  <c r="H1134" i="1"/>
  <c r="Q1134" i="1"/>
  <c r="B1134" i="1"/>
  <c r="L1134" i="1"/>
  <c r="M1134" i="1"/>
  <c r="C1134" i="1"/>
  <c r="D1134" i="1"/>
  <c r="N1134" i="1"/>
  <c r="F1134" i="1"/>
  <c r="P1134" i="1"/>
  <c r="E1134" i="1"/>
  <c r="J1134" i="1"/>
  <c r="G1134" i="1"/>
  <c r="I1134" i="1"/>
  <c r="A1135" i="1"/>
  <c r="O1134" i="1"/>
  <c r="B1135" i="3" l="1"/>
  <c r="D1135" i="3"/>
  <c r="C1135" i="3"/>
  <c r="E1135" i="3"/>
  <c r="H1135" i="1"/>
  <c r="Q1135" i="1"/>
  <c r="D1135" i="1"/>
  <c r="N1135" i="1"/>
  <c r="E1135" i="1"/>
  <c r="O1135" i="1"/>
  <c r="F1135" i="1"/>
  <c r="P1135" i="1"/>
  <c r="I1135" i="1"/>
  <c r="G1135" i="1"/>
  <c r="J1135" i="1"/>
  <c r="M1135" i="1"/>
  <c r="L1135" i="1"/>
  <c r="B1135" i="1"/>
  <c r="C1135" i="1"/>
  <c r="F1111" i="2"/>
  <c r="B1111" i="2"/>
  <c r="J1111" i="2"/>
  <c r="G1111" i="2"/>
  <c r="H1111" i="2"/>
  <c r="I1111" i="2"/>
  <c r="E1111" i="2"/>
  <c r="A1112" i="2"/>
  <c r="C1111" i="2"/>
  <c r="D1111" i="2"/>
  <c r="D1112" i="2" l="1"/>
  <c r="H1112" i="2"/>
  <c r="G1112" i="2"/>
  <c r="I1112" i="2"/>
  <c r="J1112" i="2"/>
  <c r="B1112" i="2"/>
  <c r="C1112" i="2"/>
  <c r="F1112" i="2"/>
  <c r="E1112" i="2"/>
  <c r="A1113" i="2"/>
  <c r="B1113" i="2" l="1"/>
  <c r="J1113" i="2"/>
  <c r="F1113" i="2"/>
  <c r="H1113" i="2"/>
  <c r="I1113" i="2"/>
  <c r="A1114" i="2"/>
  <c r="C1113" i="2"/>
  <c r="G1113" i="2"/>
  <c r="D1113" i="2"/>
  <c r="E1113" i="2"/>
  <c r="H1114" i="2" l="1"/>
  <c r="D1114" i="2"/>
  <c r="I1114" i="2"/>
  <c r="J1114" i="2"/>
  <c r="A1115" i="2"/>
  <c r="C1114" i="2"/>
  <c r="B1114" i="2"/>
  <c r="E1114" i="2"/>
  <c r="G1114" i="2"/>
  <c r="F1114" i="2"/>
  <c r="F1115" i="2" l="1"/>
  <c r="B1115" i="2"/>
  <c r="J1115" i="2"/>
  <c r="I1115" i="2"/>
  <c r="A1116" i="2"/>
  <c r="D1115" i="2"/>
  <c r="H1115" i="2"/>
  <c r="C1115" i="2"/>
  <c r="E1115" i="2"/>
  <c r="G1115" i="2"/>
  <c r="D1116" i="2" l="1"/>
  <c r="H1116" i="2"/>
  <c r="J1116" i="2"/>
  <c r="A1117" i="2"/>
  <c r="B1116" i="2"/>
  <c r="E1116" i="2"/>
  <c r="C1116" i="2"/>
  <c r="F1116" i="2"/>
  <c r="I1116" i="2"/>
  <c r="G1116" i="2"/>
  <c r="B1117" i="2" l="1"/>
  <c r="J1117" i="2"/>
  <c r="F1117" i="2"/>
  <c r="A1118" i="2"/>
  <c r="C1117" i="2"/>
  <c r="E1117" i="2"/>
  <c r="I1117" i="2"/>
  <c r="D1117" i="2"/>
  <c r="G1117" i="2"/>
  <c r="H1117" i="2"/>
  <c r="H1118" i="2" l="1"/>
  <c r="D1118" i="2"/>
  <c r="A1119" i="2"/>
  <c r="B1118" i="2"/>
  <c r="C1118" i="2"/>
  <c r="F1118" i="2"/>
  <c r="E1118" i="2"/>
  <c r="G1118" i="2"/>
  <c r="J1118" i="2"/>
  <c r="I1118" i="2"/>
  <c r="F1119" i="2" l="1"/>
  <c r="B1119" i="2"/>
  <c r="J1119" i="2"/>
  <c r="C1119" i="2"/>
  <c r="D1119" i="2"/>
  <c r="G1119" i="2"/>
  <c r="A1120" i="2"/>
  <c r="E1119" i="2"/>
  <c r="H1119" i="2"/>
  <c r="I1119" i="2"/>
  <c r="D1120" i="2" l="1"/>
  <c r="H1120" i="2"/>
  <c r="B1120" i="2"/>
  <c r="C1120" i="2"/>
  <c r="E1120" i="2"/>
  <c r="G1120" i="2"/>
  <c r="F1120" i="2"/>
  <c r="I1120" i="2"/>
  <c r="A1121" i="2"/>
  <c r="J1120" i="2"/>
  <c r="B1121" i="2" l="1"/>
  <c r="J1121" i="2"/>
  <c r="F1121" i="2"/>
  <c r="C1121" i="2"/>
  <c r="D1121" i="2"/>
  <c r="E1121" i="2"/>
  <c r="H1121" i="2"/>
  <c r="G1121" i="2"/>
  <c r="I1121" i="2"/>
  <c r="A1122" i="2"/>
  <c r="D1122" i="2" l="1"/>
  <c r="C1122" i="2"/>
  <c r="E1122" i="2"/>
  <c r="F1122" i="2"/>
  <c r="H1122" i="2"/>
  <c r="B1122" i="2"/>
  <c r="G1122" i="2"/>
  <c r="I1122" i="2"/>
  <c r="A1123" i="2"/>
  <c r="J1122" i="2"/>
  <c r="B1123" i="2" l="1"/>
  <c r="J1123" i="2"/>
  <c r="C1123" i="2"/>
  <c r="D1123" i="2"/>
  <c r="E1123" i="2"/>
  <c r="G1123" i="2"/>
  <c r="A1124" i="2"/>
  <c r="F1123" i="2"/>
  <c r="H1123" i="2"/>
  <c r="I1123" i="2"/>
  <c r="H1124" i="2" l="1"/>
  <c r="B1124" i="2"/>
  <c r="A1125" i="2"/>
  <c r="C1124" i="2"/>
  <c r="D1124" i="2"/>
  <c r="F1124" i="2"/>
  <c r="E1124" i="2"/>
  <c r="G1124" i="2"/>
  <c r="J1124" i="2"/>
  <c r="I1124" i="2"/>
  <c r="F1125" i="2" l="1"/>
  <c r="J1125" i="2"/>
  <c r="B1125" i="2"/>
  <c r="A1126" i="2"/>
  <c r="C1125" i="2"/>
  <c r="E1125" i="2"/>
  <c r="I1125" i="2"/>
  <c r="D1125" i="2"/>
  <c r="G1125" i="2"/>
  <c r="H1125" i="2"/>
  <c r="D1126" i="2" l="1"/>
  <c r="I1126" i="2"/>
  <c r="J1126" i="2"/>
  <c r="B1126" i="2"/>
  <c r="A1127" i="2"/>
  <c r="E1126" i="2"/>
  <c r="C1126" i="2"/>
  <c r="F1126" i="2"/>
  <c r="H1126" i="2"/>
  <c r="G1126" i="2"/>
  <c r="B1127" i="2" l="1"/>
  <c r="J1127" i="2"/>
  <c r="H1127" i="2"/>
  <c r="I1127" i="2"/>
  <c r="A1128" i="2"/>
  <c r="D1127" i="2"/>
  <c r="G1127" i="2"/>
  <c r="C1127" i="2"/>
  <c r="E1127" i="2"/>
  <c r="F1127" i="2"/>
  <c r="H1128" i="2" l="1"/>
  <c r="G1128" i="2"/>
  <c r="I1128" i="2"/>
  <c r="J1128" i="2"/>
  <c r="C1128" i="2"/>
  <c r="B1128" i="2"/>
  <c r="D1128" i="2"/>
  <c r="F1128" i="2"/>
  <c r="E1128" i="2"/>
  <c r="A1129" i="2"/>
  <c r="F1129" i="2" l="1"/>
  <c r="G1129" i="2"/>
  <c r="H1129" i="2"/>
  <c r="I1129" i="2"/>
  <c r="B1129" i="2"/>
  <c r="A1130" i="2"/>
  <c r="E1129" i="2"/>
  <c r="J1129" i="2"/>
  <c r="C1129" i="2"/>
  <c r="D1129" i="2"/>
  <c r="D1130" i="2" l="1"/>
  <c r="F1130" i="2"/>
  <c r="G1130" i="2"/>
  <c r="H1130" i="2"/>
  <c r="J1130" i="2"/>
  <c r="B1130" i="2"/>
  <c r="E1130" i="2"/>
  <c r="C1130" i="2"/>
  <c r="I1130" i="2"/>
  <c r="A1131" i="2"/>
  <c r="B1131" i="2" l="1"/>
  <c r="J1131" i="2"/>
  <c r="E1131" i="2"/>
  <c r="F1131" i="2"/>
  <c r="G1131" i="2"/>
  <c r="I1131" i="2"/>
  <c r="D1131" i="2"/>
  <c r="H1131" i="2"/>
  <c r="A1132" i="2"/>
  <c r="C1131" i="2"/>
  <c r="H1132" i="2" l="1"/>
  <c r="D1132" i="2"/>
  <c r="E1132" i="2"/>
  <c r="F1132" i="2"/>
  <c r="I1132" i="2"/>
  <c r="C1132" i="2"/>
  <c r="B1132" i="2"/>
  <c r="G1132" i="2"/>
  <c r="J1132" i="2"/>
  <c r="A1133" i="2"/>
  <c r="F1133" i="2" l="1"/>
  <c r="C1133" i="2"/>
  <c r="D1133" i="2"/>
  <c r="E1133" i="2"/>
  <c r="H1133" i="2"/>
  <c r="B1133" i="2"/>
  <c r="G1133" i="2"/>
  <c r="I1133" i="2"/>
  <c r="A1134" i="2"/>
  <c r="J1133" i="2"/>
  <c r="D1134" i="2" l="1"/>
  <c r="B1134" i="2"/>
  <c r="A1135" i="2"/>
  <c r="C1134" i="2"/>
  <c r="E1134" i="2"/>
  <c r="G1134" i="2"/>
  <c r="J1134" i="2"/>
  <c r="F1134" i="2"/>
  <c r="H1134" i="2"/>
  <c r="I1134" i="2"/>
  <c r="B1135" i="2" l="1"/>
  <c r="J1135" i="2"/>
  <c r="C1135" i="2"/>
  <c r="D1135" i="2"/>
  <c r="F1135" i="2"/>
  <c r="E1135" i="2"/>
  <c r="G1135" i="2"/>
  <c r="I1135" i="2"/>
  <c r="H1135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<sst xmlns="http://schemas.openxmlformats.org/spreadsheetml/2006/main" count="161" uniqueCount="74">
  <si>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</si>
  <si>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</si>
  <si>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</si>
  <si>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</si>
  <si>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</si>
  <si>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</si>
  <si>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</si>
  <si>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</si>
  <si>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</si>
  <si>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</si>
  <si>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</si>
  <si>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</si>
  <si>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</si>
  <si>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</si>
  <si>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</si>
  <si>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</si>
  <si>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</si>
  <si>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</si>
  <si>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</si>
  <si>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</si>
  <si>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</si>
  <si>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</si>
  <si>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</si>
  <si>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</si>
  <si>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</si>
  <si>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December 07, 2015 -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</si>
  <si>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</si>
  <si>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</si>
  <si>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</si>
  <si>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</si>
  <si>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</si>
  <si>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</si>
  <si>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</si>
  <si>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</si>
  <si>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</si>
  <si>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</si>
  <si>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</si>
  <si>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</si>
  <si>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</si>
  <si>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</si>
  <si>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</si>
  <si>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</si>
  <si>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</si>
  <si>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</si>
  <si>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</si>
  <si>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</si>
  <si>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</si>
  <si>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</si>
  <si>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</si>
  <si>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</si>
  <si>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</si>
  <si>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</si>
  <si>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</si>
  <si>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</si>
  <si>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</si>
  <si>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</si>
  <si>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</si>
  <si>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</si>
  <si>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</si>
  <si>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</si>
  <si>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</si>
  <si>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</si>
  <si>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</si>
  <si>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</si>
  <si>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</si>
  <si>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</si>
  <si>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</si>
  <si>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</si>
  <si>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</si>
  <si>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47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</si>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</sst>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6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6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7" borderId="0" xfId="4" applyNumberFormat="1" applyFont="1" applyFill="1" applyAlignment="1">
      <alignment horizontal="center"/>
    </xf>
    <xf numFmtId="0" fontId="6" fillId="7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8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8" borderId="0" xfId="4" applyNumberFormat="1" applyFont="1" applyFill="1" applyAlignment="1">
      <alignment horizontal="center"/>
    </xf>
    <xf numFmtId="171" fontId="6" fillId="9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0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8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3" borderId="0" xfId="3" applyFont="1" applyFill="1" applyAlignment="1">
      <alignment horizontal="center"/>
    </xf>
    <xf numFmtId="0" fontId="12" fillId="13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0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7" borderId="0" xfId="4" quotePrefix="1" applyNumberFormat="1" applyFont="1" applyFill="1" applyAlignment="1">
      <alignment horizontal="center"/>
    </xf>
    <xf numFmtId="15" fontId="6" fillId="7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6" borderId="0" xfId="4" quotePrefix="1" applyFont="1" applyFill="1" applyAlignment="1">
      <alignment horizontal="center"/>
    </xf>
    <xf numFmtId="0" fontId="6" fillId="11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9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0" fontId="6" fillId="11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142875</xdr:rowOff>
        </xdr:from>
        <xdr:to>
          <xdr:col>4</xdr:col>
          <xdr:colOff>533400</xdr:colOff>
          <xdr:row>13</xdr:row>
          <xdr:rowOff>57150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142875</xdr:rowOff>
        </xdr:from>
        <xdr:to>
          <xdr:col>6</xdr:col>
          <xdr:colOff>257175</xdr:colOff>
          <xdr:row>13</xdr:row>
          <xdr:rowOff>47625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5.zip\2015\12.%20December\151208%202015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50"/>
  <sheetViews>
    <sheetView tabSelected="1" zoomScale="70" zoomScaleNormal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sqref="A1:A6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4" t="s">
        <v>64</v>
      </c>
    </row>
    <row r="2" spans="1:19" ht="15.75">
      <c r="A2" s="84" t="s">
        <v>65</v>
      </c>
    </row>
    <row r="3" spans="1:19" ht="15.75">
      <c r="A3" s="84" t="s">
        <v>66</v>
      </c>
    </row>
    <row r="4" spans="1:19" ht="15.75">
      <c r="A4" s="84" t="s">
        <v>67</v>
      </c>
    </row>
    <row r="5" spans="1:19" ht="15.75">
      <c r="A5" s="84" t="s">
        <v>69</v>
      </c>
    </row>
    <row r="6" spans="1:19" ht="15.75">
      <c r="A6" s="84" t="s">
        <v>68</v>
      </c>
    </row>
    <row r="8" spans="1:19" ht="24.75" customHeight="1">
      <c r="A8" s="31" t="s">
        <v>26</v>
      </c>
    </row>
    <row r="9" spans="1:19" ht="15" customHeight="1">
      <c r="A9" s="30" t="s">
        <v>25</v>
      </c>
    </row>
    <row r="10" spans="1:19" ht="15" customHeight="1">
      <c r="A10" s="1"/>
      <c r="G10" s="29"/>
      <c r="N10" s="28"/>
    </row>
    <row r="11" spans="1:19" ht="15" customHeight="1">
      <c r="C11" s="27" t="s">
        <v>24</v>
      </c>
      <c r="D11" s="26">
        <f>1-0.198</f>
        <v>0.80200000000000005</v>
      </c>
      <c r="E11" s="27" t="s">
        <v>23</v>
      </c>
      <c r="F11" s="26">
        <f>1+0.198</f>
        <v>1.198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5"/>
      <c r="L13" s="85" t="s">
        <v>22</v>
      </c>
      <c r="M13" s="85"/>
      <c r="N13" s="85"/>
      <c r="O13" s="85"/>
      <c r="P13" s="85"/>
      <c r="Q13" s="85"/>
      <c r="R13" s="85"/>
      <c r="S13" s="85"/>
    </row>
    <row r="14" spans="1:19" ht="15" customHeight="1">
      <c r="B14" s="10"/>
      <c r="C14" s="10"/>
      <c r="D14" s="10"/>
      <c r="E14" s="10"/>
      <c r="F14" s="10"/>
      <c r="G14" s="10"/>
      <c r="I14" s="10"/>
      <c r="K14" s="24"/>
      <c r="L14" s="85" t="s">
        <v>21</v>
      </c>
      <c r="M14" s="85"/>
      <c r="N14" s="85"/>
      <c r="O14" s="85"/>
      <c r="P14" s="85"/>
      <c r="Q14" s="85"/>
      <c r="R14" s="85"/>
      <c r="S14" s="85"/>
    </row>
    <row r="15" spans="1:19" s="18" customFormat="1" ht="112.5" customHeight="1">
      <c r="B15" s="21" t="s">
        <v>20</v>
      </c>
      <c r="C15" s="21" t="s">
        <v>19</v>
      </c>
      <c r="D15" s="21" t="s">
        <v>18</v>
      </c>
      <c r="E15" s="21" t="s">
        <v>17</v>
      </c>
      <c r="F15" s="20" t="s">
        <v>16</v>
      </c>
      <c r="G15" s="21" t="s">
        <v>15</v>
      </c>
      <c r="H15" s="20" t="s">
        <v>14</v>
      </c>
      <c r="I15" s="21" t="s">
        <v>13</v>
      </c>
      <c r="J15" s="20" t="s">
        <v>12</v>
      </c>
      <c r="K15" s="23" t="s">
        <v>11</v>
      </c>
      <c r="L15" s="19" t="s">
        <v>10</v>
      </c>
      <c r="M15" s="19" t="s">
        <v>9</v>
      </c>
      <c r="N15" s="19" t="s">
        <v>8</v>
      </c>
      <c r="O15" s="19" t="s">
        <v>7</v>
      </c>
      <c r="P15" s="19" t="s">
        <v>6</v>
      </c>
      <c r="Q15" s="19" t="s">
        <v>5</v>
      </c>
      <c r="R15" s="19" t="s">
        <v>4</v>
      </c>
      <c r="S15" s="22" t="s">
        <v>3</v>
      </c>
    </row>
    <row r="16" spans="1:19" s="18" customFormat="1" ht="15" customHeight="1">
      <c r="A16" s="20" t="s">
        <v>2</v>
      </c>
      <c r="B16" s="21" t="s">
        <v>1</v>
      </c>
      <c r="C16" s="21" t="s">
        <v>1</v>
      </c>
      <c r="D16" s="21" t="s">
        <v>1</v>
      </c>
      <c r="E16" s="21" t="s">
        <v>1</v>
      </c>
      <c r="F16" s="20" t="s">
        <v>1</v>
      </c>
      <c r="G16" s="21" t="s">
        <v>1</v>
      </c>
      <c r="H16" s="20" t="s">
        <v>1</v>
      </c>
      <c r="I16" s="21" t="s">
        <v>1</v>
      </c>
      <c r="J16" s="20" t="s">
        <v>1</v>
      </c>
      <c r="K16" s="20" t="s">
        <v>1</v>
      </c>
      <c r="L16" s="19" t="s">
        <v>0</v>
      </c>
      <c r="M16" s="19" t="s">
        <v>0</v>
      </c>
      <c r="N16" s="19" t="s">
        <v>0</v>
      </c>
      <c r="O16" s="19" t="s">
        <v>0</v>
      </c>
      <c r="P16" s="19" t="s">
        <v>0</v>
      </c>
      <c r="Q16" s="19" t="s">
        <v>0</v>
      </c>
      <c r="R16" s="19" t="s">
        <v>0</v>
      </c>
      <c r="S16" s="19" t="s">
        <v>0</v>
      </c>
    </row>
    <row r="17" spans="1:19" ht="15" customHeight="1">
      <c r="A17" s="13">
        <v>42005</v>
      </c>
      <c r="B17" s="8">
        <f>3.329 * CHOOSE(CONTROL!$C$15, $D$11, 100%, $F$11)</f>
        <v>3.3290000000000002</v>
      </c>
      <c r="C17" s="8">
        <f>3.3341 * CHOOSE(CONTROL!$C$15, $D$11, 100%, $F$11)</f>
        <v>3.3340999999999998</v>
      </c>
      <c r="D17" s="8">
        <f>3.3295 * CHOOSE( CONTROL!$C$15, $D$11, 100%, $F$11)</f>
        <v>3.3294999999999999</v>
      </c>
      <c r="E17" s="12">
        <f>3.3306 * CHOOSE( CONTROL!$C$15, $D$11, 100%, $F$11)</f>
        <v>3.3306</v>
      </c>
      <c r="F17" s="4">
        <f>3.9713 * CHOOSE(CONTROL!$C$15, $D$11, 100%, $F$11)</f>
        <v>3.9712999999999998</v>
      </c>
      <c r="G17" s="8">
        <f>3.2635 * CHOOSE( CONTROL!$C$15, $D$11, 100%, $F$11)</f>
        <v>3.2635000000000001</v>
      </c>
      <c r="H17" s="4">
        <f>4.1342 * CHOOSE(CONTROL!$C$15, $D$11, 100%, $F$11)</f>
        <v>4.1341999999999999</v>
      </c>
      <c r="I17" s="8">
        <f>3.3042 * CHOOSE(CONTROL!$C$15, $D$11, 100%, $F$11)</f>
        <v>3.3041999999999998</v>
      </c>
      <c r="J17" s="4">
        <f>3.189 * CHOOSE(CONTROL!$C$15, $D$11, 100%, $F$11)</f>
        <v>3.1890000000000001</v>
      </c>
      <c r="K17" s="4">
        <f>3.2683 * CHOOSE(CONTROL!$C$15, $D$11, 100%, $F$11)</f>
        <v>3.2683</v>
      </c>
      <c r="L17" s="9">
        <v>28.872</v>
      </c>
      <c r="M17" s="9">
        <v>12.063700000000001</v>
      </c>
      <c r="N17" s="9">
        <v>4.9444999999999997</v>
      </c>
      <c r="O17" s="9">
        <v>0.61570000000000003</v>
      </c>
      <c r="P17" s="9">
        <v>0</v>
      </c>
      <c r="Q17" s="9"/>
      <c r="R17" s="9">
        <f t="shared" ref="R17:R28" si="0">(0.12*2500000)/1000000</f>
        <v>0.3</v>
      </c>
      <c r="S17" s="17">
        <v>1.0592999999999999</v>
      </c>
    </row>
    <row r="18" spans="1:19" ht="15" customHeight="1">
      <c r="A18" s="13">
        <v>42036</v>
      </c>
      <c r="B18" s="8">
        <f>2.9949 * CHOOSE(CONTROL!$C$15, $D$11, 100%, $F$11)</f>
        <v>2.9948999999999999</v>
      </c>
      <c r="C18" s="8">
        <f>3 * CHOOSE(CONTROL!$C$15, $D$11, 100%, $F$11)</f>
        <v>3</v>
      </c>
      <c r="D18" s="8">
        <f>2.9973 * CHOOSE( CONTROL!$C$15, $D$11, 100%, $F$11)</f>
        <v>2.9973000000000001</v>
      </c>
      <c r="E18" s="12">
        <f>2.9977 * CHOOSE( CONTROL!$C$15, $D$11, 100%, $F$11)</f>
        <v>2.9977</v>
      </c>
      <c r="F18" s="4">
        <f>3.645 * CHOOSE(CONTROL!$C$15, $D$11, 100%, $F$11)</f>
        <v>3.645</v>
      </c>
      <c r="G18" s="8">
        <f>2.937 * CHOOSE( CONTROL!$C$15, $D$11, 100%, $F$11)</f>
        <v>2.9369999999999998</v>
      </c>
      <c r="H18" s="4">
        <f>3.8133 * CHOOSE(CONTROL!$C$15, $D$11, 100%, $F$11)</f>
        <v>3.8132999999999999</v>
      </c>
      <c r="I18" s="8">
        <f>2.982 * CHOOSE(CONTROL!$C$15, $D$11, 100%, $F$11)</f>
        <v>2.9820000000000002</v>
      </c>
      <c r="J18" s="4">
        <f>2.866 * CHOOSE(CONTROL!$C$15, $D$11, 100%, $F$11)</f>
        <v>2.8660000000000001</v>
      </c>
      <c r="K18" s="4">
        <f>2.9392 * CHOOSE(CONTROL!$C$15, $D$11, 100%, $F$11)</f>
        <v>2.9392</v>
      </c>
      <c r="L18" s="9">
        <v>26.0779</v>
      </c>
      <c r="M18" s="9">
        <v>10.8962</v>
      </c>
      <c r="N18" s="9">
        <v>4.4660000000000002</v>
      </c>
      <c r="O18" s="9">
        <v>0.55610000000000004</v>
      </c>
      <c r="P18" s="9">
        <v>0</v>
      </c>
      <c r="Q18" s="9"/>
      <c r="R18" s="9">
        <f t="shared" si="0"/>
        <v>0.3</v>
      </c>
      <c r="S18" s="17">
        <v>1.0592999999999999</v>
      </c>
    </row>
    <row r="19" spans="1:19" ht="15" customHeight="1">
      <c r="A19" s="13">
        <v>42064</v>
      </c>
      <c r="B19" s="8">
        <f>3.0239 * CHOOSE(CONTROL!$C$15, $D$11, 100%, $F$11)</f>
        <v>3.0238999999999998</v>
      </c>
      <c r="C19" s="8">
        <f>3.029 * CHOOSE(CONTROL!$C$15, $D$11, 100%, $F$11)</f>
        <v>3.0289999999999999</v>
      </c>
      <c r="D19" s="8">
        <f>3.0369 * CHOOSE( CONTROL!$C$15, $D$11, 100%, $F$11)</f>
        <v>3.0369000000000002</v>
      </c>
      <c r="E19" s="12">
        <f>3.0335 * CHOOSE( CONTROL!$C$15, $D$11, 100%, $F$11)</f>
        <v>3.0335000000000001</v>
      </c>
      <c r="F19" s="4">
        <f>3.6843 * CHOOSE(CONTROL!$C$15, $D$11, 100%, $F$11)</f>
        <v>3.6842999999999999</v>
      </c>
      <c r="G19" s="8">
        <f>2.9756 * CHOOSE( CONTROL!$C$15, $D$11, 100%, $F$11)</f>
        <v>2.9756</v>
      </c>
      <c r="H19" s="4">
        <f>3.8519 * CHOOSE(CONTROL!$C$15, $D$11, 100%, $F$11)</f>
        <v>3.8519000000000001</v>
      </c>
      <c r="I19" s="8">
        <f>2.9903 * CHOOSE(CONTROL!$C$15, $D$11, 100%, $F$11)</f>
        <v>2.9903</v>
      </c>
      <c r="J19" s="4">
        <f>2.894 * CHOOSE(CONTROL!$C$15, $D$11, 100%, $F$11)</f>
        <v>2.8940000000000001</v>
      </c>
      <c r="K19" s="4">
        <f>2.974 * CHOOSE(CONTROL!$C$15, $D$11, 100%, $F$11)</f>
        <v>2.9740000000000002</v>
      </c>
      <c r="L19" s="9">
        <v>28.872</v>
      </c>
      <c r="M19" s="9">
        <v>12.063700000000001</v>
      </c>
      <c r="N19" s="9">
        <v>4.9444999999999997</v>
      </c>
      <c r="O19" s="9">
        <v>0.61570000000000003</v>
      </c>
      <c r="P19" s="9">
        <v>0</v>
      </c>
      <c r="Q19" s="9"/>
      <c r="R19" s="9">
        <f t="shared" si="0"/>
        <v>0.3</v>
      </c>
      <c r="S19" s="17">
        <v>1.0592999999999999</v>
      </c>
    </row>
    <row r="20" spans="1:19" ht="15" customHeight="1">
      <c r="A20" s="13">
        <v>42095</v>
      </c>
      <c r="B20" s="8">
        <f>2.7102 * CHOOSE(CONTROL!$C$15, $D$11, 100%, $F$11)</f>
        <v>2.7101999999999999</v>
      </c>
      <c r="C20" s="8">
        <f>2.7147 * CHOOSE(CONTROL!$C$15, $D$11, 100%, $F$11)</f>
        <v>2.7147000000000001</v>
      </c>
      <c r="D20" s="8">
        <f>2.6934 * CHOOSE( CONTROL!$C$15, $D$11, 100%, $F$11)</f>
        <v>2.6934</v>
      </c>
      <c r="E20" s="12">
        <f>2.6999 * CHOOSE( CONTROL!$C$15, $D$11, 100%, $F$11)</f>
        <v>2.6999</v>
      </c>
      <c r="F20" s="4">
        <f>3.3698 * CHOOSE(CONTROL!$C$15, $D$11, 100%, $F$11)</f>
        <v>3.3698000000000001</v>
      </c>
      <c r="G20" s="8">
        <f>2.6312 * CHOOSE( CONTROL!$C$15, $D$11, 100%, $F$11)</f>
        <v>2.6312000000000002</v>
      </c>
      <c r="H20" s="4">
        <f>3.5427 * CHOOSE(CONTROL!$C$15, $D$11, 100%, $F$11)</f>
        <v>3.5427</v>
      </c>
      <c r="I20" s="8">
        <f>2.6501 * CHOOSE(CONTROL!$C$15, $D$11, 100%, $F$11)</f>
        <v>2.6501000000000001</v>
      </c>
      <c r="J20" s="4">
        <f>2.59 * CHOOSE(CONTROL!$C$15, $D$11, 100%, $F$11)</f>
        <v>2.59</v>
      </c>
      <c r="K20" s="4">
        <f>2.6424 * CHOOSE(CONTROL!$C$15, $D$11, 100%, $F$11)</f>
        <v>2.6423999999999999</v>
      </c>
      <c r="L20" s="9">
        <v>30.092199999999998</v>
      </c>
      <c r="M20" s="9">
        <v>11.6745</v>
      </c>
      <c r="N20" s="9">
        <v>4.7850000000000001</v>
      </c>
      <c r="O20" s="9">
        <v>0.59589999999999999</v>
      </c>
      <c r="P20" s="9">
        <v>2.0339999999999998</v>
      </c>
      <c r="Q20" s="9"/>
      <c r="R20" s="9">
        <f t="shared" si="0"/>
        <v>0.3</v>
      </c>
      <c r="S20" s="17">
        <v>1.0592999999999999</v>
      </c>
    </row>
    <row r="21" spans="1:19" ht="15" customHeight="1">
      <c r="A21" s="13">
        <v>42125</v>
      </c>
      <c r="B21" s="8">
        <f>CHOOSE( CONTROL!$C$32, 2.6392, 2.636) * CHOOSE(CONTROL!$C$15, $D$11, 100%, $F$11)</f>
        <v>2.6392000000000002</v>
      </c>
      <c r="C21" s="8">
        <f>CHOOSE( CONTROL!$C$32, 2.6472, 2.644) * CHOOSE(CONTROL!$C$15, $D$11, 100%, $F$11)</f>
        <v>2.6472000000000002</v>
      </c>
      <c r="D21" s="8">
        <f>CHOOSE( CONTROL!$C$32, 2.6292, 2.626) * CHOOSE( CONTROL!$C$15, $D$11, 100%, $F$11)</f>
        <v>2.6292</v>
      </c>
      <c r="E21" s="12">
        <f>CHOOSE( CONTROL!$C$32, 2.6341, 2.6309) * CHOOSE( CONTROL!$C$15, $D$11, 100%, $F$11)</f>
        <v>2.6341000000000001</v>
      </c>
      <c r="F21" s="4">
        <f>CHOOSE( CONTROL!$C$32, 3.3052, 3.302) * CHOOSE(CONTROL!$C$15, $D$11, 100%, $F$11)</f>
        <v>3.3052000000000001</v>
      </c>
      <c r="G21" s="8">
        <f>CHOOSE( CONTROL!$C$32, 2.5643, 2.5612) * CHOOSE( CONTROL!$C$15, $D$11, 100%, $F$11)</f>
        <v>2.5642999999999998</v>
      </c>
      <c r="H21" s="4">
        <f>CHOOSE( CONTROL!$C$32, 3.4792, 3.4761) * CHOOSE(CONTROL!$C$15, $D$11, 100%, $F$11)</f>
        <v>3.4792000000000001</v>
      </c>
      <c r="I21" s="8">
        <f>CHOOSE( CONTROL!$C$32, 2.5883, 2.5852) * CHOOSE(CONTROL!$C$15, $D$11, 100%, $F$11)</f>
        <v>2.5882999999999998</v>
      </c>
      <c r="J21" s="4">
        <f>CHOOSE( CONTROL!$C$32, 2.5201, 2.517) * CHOOSE(CONTROL!$C$15, $D$11, 100%, $F$11)</f>
        <v>2.5200999999999998</v>
      </c>
      <c r="K21" s="4">
        <f>CHOOSE( CONTROL!$C$32, 2.5734, 2.5702) * CHOOSE(CONTROL!$C$15, $D$11, 100%, $F$11)</f>
        <v>2.5733999999999999</v>
      </c>
      <c r="L21" s="9">
        <v>33.7545</v>
      </c>
      <c r="M21" s="9">
        <v>12.063700000000001</v>
      </c>
      <c r="N21" s="9">
        <v>4.9444999999999997</v>
      </c>
      <c r="O21" s="9">
        <v>0.61570000000000003</v>
      </c>
      <c r="P21" s="9">
        <v>1.4925999999999999</v>
      </c>
      <c r="Q21" s="9"/>
      <c r="R21" s="9">
        <f t="shared" si="0"/>
        <v>0.3</v>
      </c>
      <c r="S21" s="17">
        <v>1.0592999999999999</v>
      </c>
    </row>
    <row r="22" spans="1:19" ht="15" customHeight="1">
      <c r="A22" s="13">
        <v>42156</v>
      </c>
      <c r="B22" s="8">
        <f>CHOOSE( CONTROL!$C$32, 2.9475, 2.9443) * CHOOSE(CONTROL!$C$15, $D$11, 100%, $F$11)</f>
        <v>2.9474999999999998</v>
      </c>
      <c r="C22" s="8">
        <f>CHOOSE( CONTROL!$C$32, 2.9555, 2.9523) * CHOOSE(CONTROL!$C$15, $D$11, 100%, $F$11)</f>
        <v>2.9554999999999998</v>
      </c>
      <c r="D22" s="8">
        <f>CHOOSE( CONTROL!$C$32, 2.9521, 2.9489) * CHOOSE( CONTROL!$C$15, $D$11, 100%, $F$11)</f>
        <v>2.9521000000000002</v>
      </c>
      <c r="E22" s="12">
        <f>CHOOSE( CONTROL!$C$32, 2.9521, 2.9489) * CHOOSE( CONTROL!$C$15, $D$11, 100%, $F$11)</f>
        <v>2.9521000000000002</v>
      </c>
      <c r="F22" s="4">
        <f>CHOOSE( CONTROL!$C$32, 3.6342, 3.631) * CHOOSE(CONTROL!$C$15, $D$11, 100%, $F$11)</f>
        <v>3.6341999999999999</v>
      </c>
      <c r="G22" s="8">
        <f>CHOOSE( CONTROL!$C$32, 2.8812, 2.878) * CHOOSE( CONTROL!$C$15, $D$11, 100%, $F$11)</f>
        <v>2.8812000000000002</v>
      </c>
      <c r="H22" s="4">
        <f>CHOOSE( CONTROL!$C$32, 3.8027, 3.7996) * CHOOSE(CONTROL!$C$15, $D$11, 100%, $F$11)</f>
        <v>3.8027000000000002</v>
      </c>
      <c r="I22" s="8">
        <f>CHOOSE( CONTROL!$C$32, 2.911, 2.9079) * CHOOSE(CONTROL!$C$15, $D$11, 100%, $F$11)</f>
        <v>2.911</v>
      </c>
      <c r="J22" s="4">
        <f>CHOOSE( CONTROL!$C$32, 2.8181, 2.815) * CHOOSE(CONTROL!$C$15, $D$11, 100%, $F$11)</f>
        <v>2.8180999999999998</v>
      </c>
      <c r="K22" s="4">
        <f>CHOOSE( CONTROL!$C$32, 2.8845, 2.8814) * CHOOSE(CONTROL!$C$15, $D$11, 100%, $F$11)</f>
        <v>2.8845000000000001</v>
      </c>
      <c r="L22" s="9">
        <v>32.665700000000001</v>
      </c>
      <c r="M22" s="9">
        <v>11.6745</v>
      </c>
      <c r="N22" s="9">
        <v>4.7850000000000001</v>
      </c>
      <c r="O22" s="9">
        <v>0.59589999999999999</v>
      </c>
      <c r="P22" s="9">
        <v>1.4443999999999999</v>
      </c>
      <c r="Q22" s="9"/>
      <c r="R22" s="9">
        <f t="shared" si="0"/>
        <v>0.3</v>
      </c>
      <c r="S22" s="16">
        <v>1.0722</v>
      </c>
    </row>
    <row r="23" spans="1:19" ht="15" customHeight="1">
      <c r="A23" s="13">
        <v>42186</v>
      </c>
      <c r="B23" s="8">
        <f>CHOOSE( CONTROL!$C$32, 2.904, 2.9008) * CHOOSE(CONTROL!$C$15, $D$11, 100%, $F$11)</f>
        <v>2.9039999999999999</v>
      </c>
      <c r="C23" s="8">
        <f>CHOOSE( CONTROL!$C$32, 2.912, 2.9088) * CHOOSE(CONTROL!$C$15, $D$11, 100%, $F$11)</f>
        <v>2.9119999999999999</v>
      </c>
      <c r="D23" s="8">
        <f>CHOOSE( CONTROL!$C$32, 2.9138, 2.9106) * CHOOSE( CONTROL!$C$15, $D$11, 100%, $F$11)</f>
        <v>2.9138000000000002</v>
      </c>
      <c r="E23" s="12">
        <f>CHOOSE( CONTROL!$C$32, 2.9121, 2.9089) * CHOOSE( CONTROL!$C$15, $D$11, 100%, $F$11)</f>
        <v>2.9121000000000001</v>
      </c>
      <c r="F23" s="4">
        <f>CHOOSE( CONTROL!$C$32, 3.5959, 3.5927) * CHOOSE(CONTROL!$C$15, $D$11, 100%, $F$11)</f>
        <v>3.5958999999999999</v>
      </c>
      <c r="G23" s="8">
        <f>CHOOSE( CONTROL!$C$32, 2.8438, 2.8407) * CHOOSE( CONTROL!$C$15, $D$11, 100%, $F$11)</f>
        <v>2.8437999999999999</v>
      </c>
      <c r="H23" s="4">
        <f>CHOOSE( CONTROL!$C$32, 3.7651, 3.7619) * CHOOSE(CONTROL!$C$15, $D$11, 100%, $F$11)</f>
        <v>3.7650999999999999</v>
      </c>
      <c r="I23" s="8">
        <f>CHOOSE( CONTROL!$C$32, 2.8884, 2.8853) * CHOOSE(CONTROL!$C$15, $D$11, 100%, $F$11)</f>
        <v>2.8883999999999999</v>
      </c>
      <c r="J23" s="4">
        <f>CHOOSE( CONTROL!$C$32, 2.7761, 2.773) * CHOOSE(CONTROL!$C$15, $D$11, 100%, $F$11)</f>
        <v>2.7761</v>
      </c>
      <c r="K23" s="4">
        <f>CHOOSE( CONTROL!$C$32, 2.8456, 2.8425) * CHOOSE(CONTROL!$C$15, $D$11, 100%, $F$11)</f>
        <v>2.8456000000000001</v>
      </c>
      <c r="L23" s="9">
        <v>33.7545</v>
      </c>
      <c r="M23" s="9">
        <v>12.063700000000001</v>
      </c>
      <c r="N23" s="9">
        <v>4.9444999999999997</v>
      </c>
      <c r="O23" s="9">
        <v>0.61570000000000003</v>
      </c>
      <c r="P23" s="9">
        <v>1.4925999999999999</v>
      </c>
      <c r="Q23" s="9"/>
      <c r="R23" s="9">
        <f t="shared" si="0"/>
        <v>0.3</v>
      </c>
      <c r="S23" s="15">
        <v>1.0738000000000001</v>
      </c>
    </row>
    <row r="24" spans="1:19" ht="15" customHeight="1">
      <c r="A24" s="13">
        <v>42217</v>
      </c>
      <c r="B24" s="8">
        <f>CHOOSE( CONTROL!$C$32, 3.0209, 3.0177) * CHOOSE(CONTROL!$C$15, $D$11, 100%, $F$11)</f>
        <v>3.0209000000000001</v>
      </c>
      <c r="C24" s="8">
        <f>CHOOSE( CONTROL!$C$32, 3.0289, 3.0257) * CHOOSE(CONTROL!$C$15, $D$11, 100%, $F$11)</f>
        <v>3.0289000000000001</v>
      </c>
      <c r="D24" s="8">
        <f>CHOOSE( CONTROL!$C$32, 3.0295, 3.0263) * CHOOSE( CONTROL!$C$15, $D$11, 100%, $F$11)</f>
        <v>3.0295000000000001</v>
      </c>
      <c r="E24" s="12">
        <f>CHOOSE( CONTROL!$C$32, 3.0282, 3.025) * CHOOSE( CONTROL!$C$15, $D$11, 100%, $F$11)</f>
        <v>3.0282</v>
      </c>
      <c r="F24" s="4">
        <f>CHOOSE( CONTROL!$C$32, 3.6932, 3.69) * CHOOSE(CONTROL!$C$15, $D$11, 100%, $F$11)</f>
        <v>3.6932</v>
      </c>
      <c r="G24" s="8">
        <f>CHOOSE( CONTROL!$C$32, 2.9599, 2.9568) * CHOOSE( CONTROL!$C$15, $D$11, 100%, $F$11)</f>
        <v>2.9599000000000002</v>
      </c>
      <c r="H24" s="4">
        <f>CHOOSE( CONTROL!$C$32, 3.8607, 3.8575) * CHOOSE(CONTROL!$C$15, $D$11, 100%, $F$11)</f>
        <v>3.8607</v>
      </c>
      <c r="I24" s="8">
        <f>CHOOSE( CONTROL!$C$32, 2.9944, 2.9913) * CHOOSE(CONTROL!$C$15, $D$11, 100%, $F$11)</f>
        <v>2.9944000000000002</v>
      </c>
      <c r="J24" s="4">
        <f>CHOOSE( CONTROL!$C$32, 2.8891, 2.886) * CHOOSE(CONTROL!$C$15, $D$11, 100%, $F$11)</f>
        <v>2.8891</v>
      </c>
      <c r="K24" s="4">
        <f>CHOOSE( CONTROL!$C$32, 2.9536, 2.9505) * CHOOSE(CONTROL!$C$15, $D$11, 100%, $F$11)</f>
        <v>2.9535999999999998</v>
      </c>
      <c r="L24" s="9">
        <v>33.7545</v>
      </c>
      <c r="M24" s="9">
        <v>12.063700000000001</v>
      </c>
      <c r="N24" s="9">
        <v>4.9444999999999997</v>
      </c>
      <c r="O24" s="9">
        <v>0.61570000000000003</v>
      </c>
      <c r="P24" s="9">
        <v>1.4925999999999999</v>
      </c>
      <c r="Q24" s="9"/>
      <c r="R24" s="9">
        <f t="shared" si="0"/>
        <v>0.3</v>
      </c>
      <c r="S24" s="15">
        <v>1.0738000000000001</v>
      </c>
    </row>
    <row r="25" spans="1:19" ht="15" customHeight="1">
      <c r="A25" s="13">
        <v>42248</v>
      </c>
      <c r="B25" s="8">
        <f>CHOOSE( CONTROL!$C$32, 2.7644, 2.7612) * CHOOSE(CONTROL!$C$15, $D$11, 100%, $F$11)</f>
        <v>2.7644000000000002</v>
      </c>
      <c r="C25" s="8">
        <f>CHOOSE( CONTROL!$C$32, 2.7724, 2.7692) * CHOOSE(CONTROL!$C$15, $D$11, 100%, $F$11)</f>
        <v>2.7724000000000002</v>
      </c>
      <c r="D25" s="8">
        <f>CHOOSE( CONTROL!$C$32, 2.7626, 2.7594) * CHOOSE( CONTROL!$C$15, $D$11, 100%, $F$11)</f>
        <v>2.7625999999999999</v>
      </c>
      <c r="E25" s="12">
        <f>CHOOSE( CONTROL!$C$32, 2.7648, 2.7616) * CHOOSE( CONTROL!$C$15, $D$11, 100%, $F$11)</f>
        <v>2.7648000000000001</v>
      </c>
      <c r="F25" s="4">
        <f>CHOOSE( CONTROL!$C$32, 3.4252, 3.422) * CHOOSE(CONTROL!$C$15, $D$11, 100%, $F$11)</f>
        <v>3.4251999999999998</v>
      </c>
      <c r="G25" s="8">
        <f>CHOOSE( CONTROL!$C$32, 2.6975, 2.6943) * CHOOSE( CONTROL!$C$15, $D$11, 100%, $F$11)</f>
        <v>2.6974999999999998</v>
      </c>
      <c r="H25" s="4">
        <f>CHOOSE( CONTROL!$C$32, 3.5972, 3.5941) * CHOOSE(CONTROL!$C$15, $D$11, 100%, $F$11)</f>
        <v>3.5972</v>
      </c>
      <c r="I25" s="8">
        <f>CHOOSE( CONTROL!$C$32, 2.7247, 2.7216) * CHOOSE(CONTROL!$C$15, $D$11, 100%, $F$11)</f>
        <v>2.7246999999999999</v>
      </c>
      <c r="J25" s="4">
        <f>CHOOSE( CONTROL!$C$32, 2.6411, 2.638) * CHOOSE(CONTROL!$C$15, $D$11, 100%, $F$11)</f>
        <v>2.6410999999999998</v>
      </c>
      <c r="K25" s="4">
        <f>CHOOSE( CONTROL!$C$32, 2.6972, 2.6941) * CHOOSE(CONTROL!$C$15, $D$11, 100%, $F$11)</f>
        <v>2.6972</v>
      </c>
      <c r="L25" s="9">
        <v>32.665700000000001</v>
      </c>
      <c r="M25" s="9">
        <v>11.6745</v>
      </c>
      <c r="N25" s="9">
        <v>4.7850000000000001</v>
      </c>
      <c r="O25" s="9">
        <v>0.59589999999999999</v>
      </c>
      <c r="P25" s="9">
        <v>1.4443999999999999</v>
      </c>
      <c r="Q25" s="9"/>
      <c r="R25" s="9">
        <f t="shared" si="0"/>
        <v>0.3</v>
      </c>
      <c r="S25" s="15">
        <v>1.0738000000000001</v>
      </c>
    </row>
    <row r="26" spans="1:19" ht="15" customHeight="1">
      <c r="A26" s="13">
        <v>42278</v>
      </c>
      <c r="B26" s="8">
        <f>2.6819 * CHOOSE(CONTROL!$C$15, $D$11, 100%, $F$11)</f>
        <v>2.6819000000000002</v>
      </c>
      <c r="C26" s="8">
        <f>2.6872 * CHOOSE(CONTROL!$C$15, $D$11, 100%, $F$11)</f>
        <v>2.6871999999999998</v>
      </c>
      <c r="D26" s="8">
        <f>2.6398 * CHOOSE( CONTROL!$C$15, $D$11, 100%, $F$11)</f>
        <v>2.6398000000000001</v>
      </c>
      <c r="E26" s="12">
        <f>2.6549 * CHOOSE( CONTROL!$C$15, $D$11, 100%, $F$11)</f>
        <v>2.6549</v>
      </c>
      <c r="F26" s="4">
        <f>3.302 * CHOOSE(CONTROL!$C$15, $D$11, 100%, $F$11)</f>
        <v>3.302</v>
      </c>
      <c r="G26" s="8">
        <f>2.5795 * CHOOSE( CONTROL!$C$15, $D$11, 100%, $F$11)</f>
        <v>2.5794999999999999</v>
      </c>
      <c r="H26" s="4">
        <f>3.4761 * CHOOSE(CONTROL!$C$15, $D$11, 100%, $F$11)</f>
        <v>3.4761000000000002</v>
      </c>
      <c r="I26" s="8">
        <f>2.6212 * CHOOSE(CONTROL!$C$15, $D$11, 100%, $F$11)</f>
        <v>2.6212</v>
      </c>
      <c r="J26" s="4">
        <f>2.563 * CHOOSE(CONTROL!$C$15, $D$11, 100%, $F$11)</f>
        <v>2.5630000000000002</v>
      </c>
      <c r="K26" s="4">
        <f>2.6071 * CHOOSE(CONTROL!$C$15, $D$11, 100%, $F$11)</f>
        <v>2.6071</v>
      </c>
      <c r="L26" s="9">
        <v>31.095300000000002</v>
      </c>
      <c r="M26" s="9">
        <v>12.063700000000001</v>
      </c>
      <c r="N26" s="9">
        <v>4.9444999999999997</v>
      </c>
      <c r="O26" s="9">
        <v>0.61570000000000003</v>
      </c>
      <c r="P26" s="9">
        <v>2.1017999999999999</v>
      </c>
      <c r="Q26" s="9"/>
      <c r="R26" s="9">
        <f t="shared" si="0"/>
        <v>0.3</v>
      </c>
      <c r="S26" s="15">
        <v>1.0738000000000001</v>
      </c>
    </row>
    <row r="27" spans="1:19" ht="15" customHeight="1">
      <c r="A27" s="13">
        <v>42309</v>
      </c>
      <c r="B27" s="8">
        <f>2.1332 * CHOOSE(CONTROL!$C$15, $D$11, 100%, $F$11)</f>
        <v>2.1332</v>
      </c>
      <c r="C27" s="8">
        <f>2.1383 * CHOOSE(CONTROL!$C$15, $D$11, 100%, $F$11)</f>
        <v>2.1383000000000001</v>
      </c>
      <c r="D27" s="8">
        <f>2.0925 * CHOOSE( CONTROL!$C$15, $D$11, 100%, $F$11)</f>
        <v>2.0924999999999998</v>
      </c>
      <c r="E27" s="12">
        <f>2.1087 * CHOOSE( CONTROL!$C$15, $D$11, 100%, $F$11)</f>
        <v>2.1086999999999998</v>
      </c>
      <c r="F27" s="4">
        <f>2.7496 * CHOOSE(CONTROL!$C$15, $D$11, 100%, $F$11)</f>
        <v>2.7496</v>
      </c>
      <c r="G27" s="8">
        <f>2.0539 * CHOOSE( CONTROL!$C$15, $D$11, 100%, $F$11)</f>
        <v>2.0539000000000001</v>
      </c>
      <c r="H27" s="4">
        <f>2.9328 * CHOOSE(CONTROL!$C$15, $D$11, 100%, $F$11)</f>
        <v>2.9327999999999999</v>
      </c>
      <c r="I27" s="8">
        <f>2.0886 * CHOOSE(CONTROL!$C$15, $D$11, 100%, $F$11)</f>
        <v>2.0886</v>
      </c>
      <c r="J27" s="4">
        <f>2.033 * CHOOSE(CONTROL!$C$15, $D$11, 100%, $F$11)</f>
        <v>2.0329999999999999</v>
      </c>
      <c r="K27" s="4">
        <f>2.0646 * CHOOSE(CONTROL!$C$15, $D$11, 100%, $F$11)</f>
        <v>2.0646</v>
      </c>
      <c r="L27" s="9">
        <v>28.360600000000002</v>
      </c>
      <c r="M27" s="9">
        <v>11.6745</v>
      </c>
      <c r="N27" s="9">
        <v>4.7850000000000001</v>
      </c>
      <c r="O27" s="9">
        <v>0.59589999999999999</v>
      </c>
      <c r="P27" s="9">
        <v>1.2509999999999999</v>
      </c>
      <c r="Q27" s="9"/>
      <c r="R27" s="9">
        <f t="shared" si="0"/>
        <v>0.3</v>
      </c>
      <c r="S27" s="15">
        <v>1.0738000000000001</v>
      </c>
    </row>
    <row r="28" spans="1:19" ht="15" customHeight="1">
      <c r="A28" s="13">
        <v>42339</v>
      </c>
      <c r="B28" s="8">
        <f>2.3122 * CHOOSE(CONTROL!$C$15, $D$11, 100%, $F$11)</f>
        <v>2.3121999999999998</v>
      </c>
      <c r="C28" s="8">
        <f>2.3173 * CHOOSE(CONTROL!$C$15, $D$11, 100%, $F$11)</f>
        <v>2.3172999999999999</v>
      </c>
      <c r="D28" s="8">
        <f>2.2922 * CHOOSE( CONTROL!$C$15, $D$11, 100%, $F$11)</f>
        <v>2.2921999999999998</v>
      </c>
      <c r="E28" s="12">
        <f>2.3008 * CHOOSE( CONTROL!$C$15, $D$11, 100%, $F$11)</f>
        <v>2.3008000000000002</v>
      </c>
      <c r="F28" s="4">
        <f>2.9581 * CHOOSE(CONTROL!$C$15, $D$11, 100%, $F$11)</f>
        <v>2.9581</v>
      </c>
      <c r="G28" s="8">
        <f>2.2526 * CHOOSE( CONTROL!$C$15, $D$11, 100%, $F$11)</f>
        <v>2.2526000000000002</v>
      </c>
      <c r="H28" s="4">
        <f>3.1378 * CHOOSE(CONTROL!$C$15, $D$11, 100%, $F$11)</f>
        <v>3.1377999999999999</v>
      </c>
      <c r="I28" s="8">
        <f>2.296 * CHOOSE(CONTROL!$C$15, $D$11, 100%, $F$11)</f>
        <v>2.2959999999999998</v>
      </c>
      <c r="J28" s="4">
        <f>2.206 * CHOOSE(CONTROL!$C$15, $D$11, 100%, $F$11)</f>
        <v>2.206</v>
      </c>
      <c r="K28" s="4">
        <f>2.2534 * CHOOSE(CONTROL!$C$15, $D$11, 100%, $F$11)</f>
        <v>2.2534000000000001</v>
      </c>
      <c r="L28" s="9">
        <v>29.306000000000001</v>
      </c>
      <c r="M28" s="9">
        <v>12.063700000000001</v>
      </c>
      <c r="N28" s="9">
        <v>4.9444999999999997</v>
      </c>
      <c r="O28" s="9">
        <v>0.61570000000000003</v>
      </c>
      <c r="P28" s="9">
        <v>1.2927</v>
      </c>
      <c r="Q28" s="9"/>
      <c r="R28" s="9">
        <f t="shared" si="0"/>
        <v>0.3</v>
      </c>
      <c r="S28" s="15">
        <v>1.0738000000000001</v>
      </c>
    </row>
    <row r="29" spans="1:19" ht="15" customHeight="1">
      <c r="A29" s="13">
        <v>42370</v>
      </c>
      <c r="B29" s="8">
        <f>2.1684 * CHOOSE(CONTROL!$C$15, $D$11, 100%, $F$11)</f>
        <v>2.1684000000000001</v>
      </c>
      <c r="C29" s="8">
        <f>2.1735 * CHOOSE(CONTROL!$C$15, $D$11, 100%, $F$11)</f>
        <v>2.1735000000000002</v>
      </c>
      <c r="D29" s="8">
        <f>2.1518 * CHOOSE( CONTROL!$C$15, $D$11, 100%, $F$11)</f>
        <v>2.1518000000000002</v>
      </c>
      <c r="E29" s="12">
        <f>2.1592 * CHOOSE( CONTROL!$C$15, $D$11, 100%, $F$11)</f>
        <v>2.1591999999999998</v>
      </c>
      <c r="F29" s="4">
        <f>2.8133 * CHOOSE(CONTROL!$C$15, $D$11, 100%, $F$11)</f>
        <v>2.8132999999999999</v>
      </c>
      <c r="G29" s="8">
        <f>2.1139 * CHOOSE( CONTROL!$C$15, $D$11, 100%, $F$11)</f>
        <v>2.1139000000000001</v>
      </c>
      <c r="H29" s="4">
        <f>2.9954 * CHOOSE(CONTROL!$C$15, $D$11, 100%, $F$11)</f>
        <v>2.9954000000000001</v>
      </c>
      <c r="I29" s="8">
        <f>2.1647 * CHOOSE(CONTROL!$C$15, $D$11, 100%, $F$11)</f>
        <v>2.1646999999999998</v>
      </c>
      <c r="J29" s="4">
        <f>2.067 * CHOOSE(CONTROL!$C$15, $D$11, 100%, $F$11)</f>
        <v>2.0670000000000002</v>
      </c>
      <c r="K29" s="4"/>
      <c r="L29" s="9">
        <v>29.306000000000001</v>
      </c>
      <c r="M29" s="9">
        <v>12.063700000000001</v>
      </c>
      <c r="N29" s="9">
        <v>4.9444999999999997</v>
      </c>
      <c r="O29" s="9">
        <v>0.61570000000000003</v>
      </c>
      <c r="P29" s="9">
        <v>1.2927</v>
      </c>
      <c r="Q29" s="9"/>
      <c r="R29" s="9">
        <f t="shared" ref="R29:R44" si="1">(0.1*4000000)/1000000</f>
        <v>0.4</v>
      </c>
      <c r="S29" s="11"/>
    </row>
    <row r="30" spans="1:19" ht="15" customHeight="1">
      <c r="A30" s="13">
        <v>42401</v>
      </c>
      <c r="B30" s="8">
        <f>2.2356 * CHOOSE(CONTROL!$C$15, $D$11, 100%, $F$11)</f>
        <v>2.2355999999999998</v>
      </c>
      <c r="C30" s="8">
        <f>2.2407 * CHOOSE(CONTROL!$C$15, $D$11, 100%, $F$11)</f>
        <v>2.2406999999999999</v>
      </c>
      <c r="D30" s="8">
        <f>2.2104 * CHOOSE( CONTROL!$C$15, $D$11, 100%, $F$11)</f>
        <v>2.2103999999999999</v>
      </c>
      <c r="E30" s="12">
        <f>2.2209 * CHOOSE( CONTROL!$C$15, $D$11, 100%, $F$11)</f>
        <v>2.2208999999999999</v>
      </c>
      <c r="F30" s="4">
        <f>2.8805 * CHOOSE(CONTROL!$C$15, $D$11, 100%, $F$11)</f>
        <v>2.8805000000000001</v>
      </c>
      <c r="G30" s="8">
        <f>2.1725 * CHOOSE( CONTROL!$C$15, $D$11, 100%, $F$11)</f>
        <v>2.1724999999999999</v>
      </c>
      <c r="H30" s="4">
        <f>3.0615 * CHOOSE(CONTROL!$C$15, $D$11, 100%, $F$11)</f>
        <v>3.0615000000000001</v>
      </c>
      <c r="I30" s="8">
        <f>2.2008 * CHOOSE(CONTROL!$C$15, $D$11, 100%, $F$11)</f>
        <v>2.2008000000000001</v>
      </c>
      <c r="J30" s="4">
        <f>2.132 * CHOOSE(CONTROL!$C$15, $D$11, 100%, $F$11)</f>
        <v>2.1320000000000001</v>
      </c>
      <c r="K30" s="4"/>
      <c r="L30" s="9">
        <v>27.415299999999998</v>
      </c>
      <c r="M30" s="9">
        <v>11.285299999999999</v>
      </c>
      <c r="N30" s="9">
        <v>4.6254999999999997</v>
      </c>
      <c r="O30" s="9">
        <v>0.57599999999999996</v>
      </c>
      <c r="P30" s="9">
        <v>1.2093</v>
      </c>
      <c r="Q30" s="9"/>
      <c r="R30" s="9">
        <f t="shared" si="1"/>
        <v>0.4</v>
      </c>
      <c r="S30" s="11"/>
    </row>
    <row r="31" spans="1:19" ht="15" customHeight="1">
      <c r="A31" s="13">
        <v>42430</v>
      </c>
      <c r="B31" s="8">
        <f>2.2791 * CHOOSE(CONTROL!$C$15, $D$11, 100%, $F$11)</f>
        <v>2.2791000000000001</v>
      </c>
      <c r="C31" s="8">
        <f>2.2842 * CHOOSE(CONTROL!$C$15, $D$11, 100%, $F$11)</f>
        <v>2.2841999999999998</v>
      </c>
      <c r="D31" s="8">
        <f>2.2543 * CHOOSE( CONTROL!$C$15, $D$11, 100%, $F$11)</f>
        <v>2.2543000000000002</v>
      </c>
      <c r="E31" s="12">
        <f>2.2647 * CHOOSE( CONTROL!$C$15, $D$11, 100%, $F$11)</f>
        <v>2.2646999999999999</v>
      </c>
      <c r="F31" s="4">
        <f>2.924 * CHOOSE(CONTROL!$C$15, $D$11, 100%, $F$11)</f>
        <v>2.9239999999999999</v>
      </c>
      <c r="G31" s="8">
        <f>2.2155 * CHOOSE( CONTROL!$C$15, $D$11, 100%, $F$11)</f>
        <v>2.2155</v>
      </c>
      <c r="H31" s="4">
        <f>3.1042 * CHOOSE(CONTROL!$C$15, $D$11, 100%, $F$11)</f>
        <v>3.1042000000000001</v>
      </c>
      <c r="I31" s="8">
        <f>2.244 * CHOOSE(CONTROL!$C$15, $D$11, 100%, $F$11)</f>
        <v>2.2440000000000002</v>
      </c>
      <c r="J31" s="4">
        <f>2.174 * CHOOSE(CONTROL!$C$15, $D$11, 100%, $F$11)</f>
        <v>2.1739999999999999</v>
      </c>
      <c r="K31" s="4"/>
      <c r="L31" s="9">
        <v>29.306000000000001</v>
      </c>
      <c r="M31" s="9">
        <v>12.063700000000001</v>
      </c>
      <c r="N31" s="9">
        <v>4.9444999999999997</v>
      </c>
      <c r="O31" s="9">
        <v>0.61570000000000003</v>
      </c>
      <c r="P31" s="9">
        <v>1.2927</v>
      </c>
      <c r="Q31" s="9"/>
      <c r="R31" s="9">
        <f t="shared" si="1"/>
        <v>0.4</v>
      </c>
      <c r="S31" s="11"/>
    </row>
    <row r="32" spans="1:19" ht="15" customHeight="1">
      <c r="A32" s="13">
        <v>42461</v>
      </c>
      <c r="B32" s="8">
        <f>2.345 * CHOOSE(CONTROL!$C$15, $D$11, 100%, $F$11)</f>
        <v>2.3450000000000002</v>
      </c>
      <c r="C32" s="8">
        <f>2.3495 * CHOOSE(CONTROL!$C$15, $D$11, 100%, $F$11)</f>
        <v>2.3494999999999999</v>
      </c>
      <c r="D32" s="8">
        <f>2.3316 * CHOOSE( CONTROL!$C$15, $D$11, 100%, $F$11)</f>
        <v>2.3315999999999999</v>
      </c>
      <c r="E32" s="12">
        <f>2.337 * CHOOSE( CONTROL!$C$15, $D$11, 100%, $F$11)</f>
        <v>2.3370000000000002</v>
      </c>
      <c r="F32" s="4">
        <f>3.0279 * CHOOSE(CONTROL!$C$15, $D$11, 100%, $F$11)</f>
        <v>3.0278999999999998</v>
      </c>
      <c r="G32" s="8">
        <f>2.2755 * CHOOSE( CONTROL!$C$15, $D$11, 100%, $F$11)</f>
        <v>2.2755000000000001</v>
      </c>
      <c r="H32" s="4">
        <f>3.2065 * CHOOSE(CONTROL!$C$15, $D$11, 100%, $F$11)</f>
        <v>3.2065000000000001</v>
      </c>
      <c r="I32" s="8">
        <f>2.3269 * CHOOSE(CONTROL!$C$15, $D$11, 100%, $F$11)</f>
        <v>2.3269000000000002</v>
      </c>
      <c r="J32" s="4">
        <f>2.237 * CHOOSE(CONTROL!$C$15, $D$11, 100%, $F$11)</f>
        <v>2.2370000000000001</v>
      </c>
      <c r="K32" s="4"/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1"/>
        <v>0.4</v>
      </c>
      <c r="S32" s="11"/>
    </row>
    <row r="33" spans="1:19" ht="15" customHeight="1">
      <c r="A33" s="13">
        <v>42491</v>
      </c>
      <c r="B33" s="8">
        <f>CHOOSE( CONTROL!$C$32, 2.4054, 2.4022) * CHOOSE(CONTROL!$C$15, $D$11, 100%, $F$11)</f>
        <v>2.4054000000000002</v>
      </c>
      <c r="C33" s="8">
        <f>CHOOSE( CONTROL!$C$32, 2.4134, 2.4102) * CHOOSE(CONTROL!$C$15, $D$11, 100%, $F$11)</f>
        <v>2.4134000000000002</v>
      </c>
      <c r="D33" s="8">
        <f>CHOOSE( CONTROL!$C$32, 2.4025, 2.3993) * CHOOSE( CONTROL!$C$15, $D$11, 100%, $F$11)</f>
        <v>2.4024999999999999</v>
      </c>
      <c r="E33" s="12">
        <f>CHOOSE( CONTROL!$C$32, 2.405, 2.4018) * CHOOSE( CONTROL!$C$15, $D$11, 100%, $F$11)</f>
        <v>2.4049999999999998</v>
      </c>
      <c r="F33" s="4">
        <f>CHOOSE( CONTROL!$C$32, 3.087, 3.0838) * CHOOSE(CONTROL!$C$15, $D$11, 100%, $F$11)</f>
        <v>3.0870000000000002</v>
      </c>
      <c r="G33" s="8">
        <f>CHOOSE( CONTROL!$C$32, 2.3328, 2.3296) * CHOOSE( CONTROL!$C$15, $D$11, 100%, $F$11)</f>
        <v>2.3328000000000002</v>
      </c>
      <c r="H33" s="4">
        <f>CHOOSE( CONTROL!$C$32, 3.2646, 3.2614) * CHOOSE(CONTROL!$C$15, $D$11, 100%, $F$11)</f>
        <v>3.2646000000000002</v>
      </c>
      <c r="I33" s="8">
        <f>CHOOSE( CONTROL!$C$32, 2.3855, 2.3824) * CHOOSE(CONTROL!$C$15, $D$11, 100%, $F$11)</f>
        <v>2.3855</v>
      </c>
      <c r="J33" s="4">
        <f>CHOOSE( CONTROL!$C$32, 2.2941, 2.291) * CHOOSE(CONTROL!$C$15, $D$11, 100%, $F$11)</f>
        <v>2.2940999999999998</v>
      </c>
      <c r="K33" s="4"/>
      <c r="L33" s="9">
        <v>33.7545</v>
      </c>
      <c r="M33" s="9">
        <v>12.063700000000001</v>
      </c>
      <c r="N33" s="9">
        <v>4.9444999999999997</v>
      </c>
      <c r="O33" s="9">
        <v>0.37409999999999999</v>
      </c>
      <c r="P33" s="9">
        <v>1.4925999999999999</v>
      </c>
      <c r="Q33" s="9"/>
      <c r="R33" s="9">
        <f t="shared" si="1"/>
        <v>0.4</v>
      </c>
      <c r="S33" s="11"/>
    </row>
    <row r="34" spans="1:19" ht="15" customHeight="1">
      <c r="A34" s="13">
        <v>42522</v>
      </c>
      <c r="B34" s="8">
        <f>CHOOSE( CONTROL!$C$32, 2.4561, 2.4529) * CHOOSE(CONTROL!$C$15, $D$11, 100%, $F$11)</f>
        <v>2.4561000000000002</v>
      </c>
      <c r="C34" s="8">
        <f>CHOOSE( CONTROL!$C$32, 2.4641, 2.4609) * CHOOSE(CONTROL!$C$15, $D$11, 100%, $F$11)</f>
        <v>2.4641000000000002</v>
      </c>
      <c r="D34" s="8">
        <f>CHOOSE( CONTROL!$C$32, 2.4535, 2.4503) * CHOOSE( CONTROL!$C$15, $D$11, 100%, $F$11)</f>
        <v>2.4535</v>
      </c>
      <c r="E34" s="12">
        <f>CHOOSE( CONTROL!$C$32, 2.4559, 2.4527) * CHOOSE( CONTROL!$C$15, $D$11, 100%, $F$11)</f>
        <v>2.4559000000000002</v>
      </c>
      <c r="F34" s="4">
        <f>CHOOSE( CONTROL!$C$32, 3.1377, 3.1345) * CHOOSE(CONTROL!$C$15, $D$11, 100%, $F$11)</f>
        <v>3.1377000000000002</v>
      </c>
      <c r="G34" s="8">
        <f>CHOOSE( CONTROL!$C$32, 2.383, 2.3799) * CHOOSE( CONTROL!$C$15, $D$11, 100%, $F$11)</f>
        <v>2.383</v>
      </c>
      <c r="H34" s="4">
        <f>CHOOSE( CONTROL!$C$32, 3.3144, 3.3113) * CHOOSE(CONTROL!$C$15, $D$11, 100%, $F$11)</f>
        <v>3.3144</v>
      </c>
      <c r="I34" s="8">
        <f>CHOOSE( CONTROL!$C$32, 2.436, 2.4329) * CHOOSE(CONTROL!$C$15, $D$11, 100%, $F$11)</f>
        <v>2.4359999999999999</v>
      </c>
      <c r="J34" s="4">
        <f>CHOOSE( CONTROL!$C$32, 2.3431, 2.34) * CHOOSE(CONTROL!$C$15, $D$11, 100%, $F$11)</f>
        <v>2.3431000000000002</v>
      </c>
      <c r="K34" s="4"/>
      <c r="L34" s="9">
        <v>32.665700000000001</v>
      </c>
      <c r="M34" s="9">
        <v>11.6745</v>
      </c>
      <c r="N34" s="9">
        <v>4.7850000000000001</v>
      </c>
      <c r="O34" s="9">
        <v>0.36199999999999999</v>
      </c>
      <c r="P34" s="9">
        <v>1.4443999999999999</v>
      </c>
      <c r="Q34" s="9"/>
      <c r="R34" s="9">
        <f t="shared" si="1"/>
        <v>0.4</v>
      </c>
      <c r="S34" s="11"/>
    </row>
    <row r="35" spans="1:19" ht="15" customHeight="1">
      <c r="A35" s="13">
        <v>42552</v>
      </c>
      <c r="B35" s="8">
        <f>CHOOSE( CONTROL!$C$32, 2.5078, 2.5046) * CHOOSE(CONTROL!$C$15, $D$11, 100%, $F$11)</f>
        <v>2.5078</v>
      </c>
      <c r="C35" s="8">
        <f>CHOOSE( CONTROL!$C$32, 2.5159, 2.5127) * CHOOSE(CONTROL!$C$15, $D$11, 100%, $F$11)</f>
        <v>2.5158999999999998</v>
      </c>
      <c r="D35" s="8">
        <f>CHOOSE( CONTROL!$C$32, 2.5056, 2.5024) * CHOOSE( CONTROL!$C$15, $D$11, 100%, $F$11)</f>
        <v>2.5055999999999998</v>
      </c>
      <c r="E35" s="12">
        <f>CHOOSE( CONTROL!$C$32, 2.5079, 2.5047) * CHOOSE( CONTROL!$C$15, $D$11, 100%, $F$11)</f>
        <v>2.5078999999999998</v>
      </c>
      <c r="F35" s="4">
        <f>CHOOSE( CONTROL!$C$32, 3.1894, 3.1862) * CHOOSE(CONTROL!$C$15, $D$11, 100%, $F$11)</f>
        <v>3.1894</v>
      </c>
      <c r="G35" s="8">
        <f>CHOOSE( CONTROL!$C$32, 2.4344, 2.4312) * CHOOSE( CONTROL!$C$15, $D$11, 100%, $F$11)</f>
        <v>2.4344000000000001</v>
      </c>
      <c r="H35" s="4">
        <f>CHOOSE( CONTROL!$C$32, 3.3653, 3.3621) * CHOOSE(CONTROL!$C$15, $D$11, 100%, $F$11)</f>
        <v>3.3653</v>
      </c>
      <c r="I35" s="8">
        <f>CHOOSE( CONTROL!$C$32, 2.4874, 2.4843) * CHOOSE(CONTROL!$C$15, $D$11, 100%, $F$11)</f>
        <v>2.4874000000000001</v>
      </c>
      <c r="J35" s="4">
        <f>CHOOSE( CONTROL!$C$32, 2.3931, 2.39) * CHOOSE(CONTROL!$C$15, $D$11, 100%, $F$11)</f>
        <v>2.3931</v>
      </c>
      <c r="K35" s="4"/>
      <c r="L35" s="9">
        <v>33.7545</v>
      </c>
      <c r="M35" s="9">
        <v>12.063700000000001</v>
      </c>
      <c r="N35" s="9">
        <v>4.9444999999999997</v>
      </c>
      <c r="O35" s="9">
        <v>0.37409999999999999</v>
      </c>
      <c r="P35" s="9">
        <v>1.4925999999999999</v>
      </c>
      <c r="Q35" s="9"/>
      <c r="R35" s="9">
        <f t="shared" si="1"/>
        <v>0.4</v>
      </c>
      <c r="S35" s="11"/>
    </row>
    <row r="36" spans="1:19" ht="15" customHeight="1">
      <c r="A36" s="13">
        <v>42583</v>
      </c>
      <c r="B36" s="8">
        <f>CHOOSE( CONTROL!$C$32, 2.5358, 2.5326) * CHOOSE(CONTROL!$C$15, $D$11, 100%, $F$11)</f>
        <v>2.5358000000000001</v>
      </c>
      <c r="C36" s="8">
        <f>CHOOSE( CONTROL!$C$32, 2.5438, 2.5406) * CHOOSE(CONTROL!$C$15, $D$11, 100%, $F$11)</f>
        <v>2.5438000000000001</v>
      </c>
      <c r="D36" s="8">
        <f>CHOOSE( CONTROL!$C$32, 2.5338, 2.5306) * CHOOSE( CONTROL!$C$15, $D$11, 100%, $F$11)</f>
        <v>2.5337999999999998</v>
      </c>
      <c r="E36" s="12">
        <f>CHOOSE( CONTROL!$C$32, 2.536, 2.5328) * CHOOSE( CONTROL!$C$15, $D$11, 100%, $F$11)</f>
        <v>2.536</v>
      </c>
      <c r="F36" s="4">
        <f>CHOOSE( CONTROL!$C$32, 3.2173, 3.2141) * CHOOSE(CONTROL!$C$15, $D$11, 100%, $F$11)</f>
        <v>3.2172999999999998</v>
      </c>
      <c r="G36" s="8">
        <f>CHOOSE( CONTROL!$C$32, 2.4621, 2.4589) * CHOOSE( CONTROL!$C$15, $D$11, 100%, $F$11)</f>
        <v>2.4621</v>
      </c>
      <c r="H36" s="4">
        <f>CHOOSE( CONTROL!$C$32, 3.3927, 3.3896) * CHOOSE(CONTROL!$C$15, $D$11, 100%, $F$11)</f>
        <v>3.3927</v>
      </c>
      <c r="I36" s="8">
        <f>CHOOSE( CONTROL!$C$32, 2.5152, 2.5121) * CHOOSE(CONTROL!$C$15, $D$11, 100%, $F$11)</f>
        <v>2.5152000000000001</v>
      </c>
      <c r="J36" s="4">
        <f>CHOOSE( CONTROL!$C$32, 2.4201, 2.417) * CHOOSE(CONTROL!$C$15, $D$11, 100%, $F$11)</f>
        <v>2.4201000000000001</v>
      </c>
      <c r="K36" s="4"/>
      <c r="L36" s="9">
        <v>33.7545</v>
      </c>
      <c r="M36" s="9">
        <v>12.063700000000001</v>
      </c>
      <c r="N36" s="9">
        <v>4.9444999999999997</v>
      </c>
      <c r="O36" s="9">
        <v>0.37409999999999999</v>
      </c>
      <c r="P36" s="9">
        <v>1.4925999999999999</v>
      </c>
      <c r="Q36" s="9"/>
      <c r="R36" s="9">
        <f t="shared" si="1"/>
        <v>0.4</v>
      </c>
      <c r="S36" s="11"/>
    </row>
    <row r="37" spans="1:19" ht="15" customHeight="1">
      <c r="A37" s="13">
        <v>42614</v>
      </c>
      <c r="B37" s="8">
        <f>CHOOSE( CONTROL!$C$32, 2.5409, 2.5377) * CHOOSE(CONTROL!$C$15, $D$11, 100%, $F$11)</f>
        <v>2.5409000000000002</v>
      </c>
      <c r="C37" s="8">
        <f>CHOOSE( CONTROL!$C$32, 2.549, 2.5458) * CHOOSE(CONTROL!$C$15, $D$11, 100%, $F$11)</f>
        <v>2.5489999999999999</v>
      </c>
      <c r="D37" s="8">
        <f>CHOOSE( CONTROL!$C$32, 2.539, 2.5358) * CHOOSE( CONTROL!$C$15, $D$11, 100%, $F$11)</f>
        <v>2.5390000000000001</v>
      </c>
      <c r="E37" s="12">
        <f>CHOOSE( CONTROL!$C$32, 2.5412, 2.538) * CHOOSE( CONTROL!$C$15, $D$11, 100%, $F$11)</f>
        <v>2.5411999999999999</v>
      </c>
      <c r="F37" s="4">
        <f>CHOOSE( CONTROL!$C$32, 3.2225, 3.2193) * CHOOSE(CONTROL!$C$15, $D$11, 100%, $F$11)</f>
        <v>3.2225000000000001</v>
      </c>
      <c r="G37" s="8">
        <f>CHOOSE( CONTROL!$C$32, 2.4672, 2.4641) * CHOOSE( CONTROL!$C$15, $D$11, 100%, $F$11)</f>
        <v>2.4672000000000001</v>
      </c>
      <c r="H37" s="4">
        <f>CHOOSE( CONTROL!$C$32, 3.3978, 3.3947) * CHOOSE(CONTROL!$C$15, $D$11, 100%, $F$11)</f>
        <v>3.3978000000000002</v>
      </c>
      <c r="I37" s="8">
        <f>CHOOSE( CONTROL!$C$32, 2.5204, 2.5173) * CHOOSE(CONTROL!$C$15, $D$11, 100%, $F$11)</f>
        <v>2.5204</v>
      </c>
      <c r="J37" s="4">
        <f>CHOOSE( CONTROL!$C$32, 2.4251, 2.422) * CHOOSE(CONTROL!$C$15, $D$11, 100%, $F$11)</f>
        <v>2.4251</v>
      </c>
      <c r="K37" s="4"/>
      <c r="L37" s="9">
        <v>32.665700000000001</v>
      </c>
      <c r="M37" s="9">
        <v>11.6745</v>
      </c>
      <c r="N37" s="9">
        <v>4.7850000000000001</v>
      </c>
      <c r="O37" s="9">
        <v>0.36199999999999999</v>
      </c>
      <c r="P37" s="9">
        <v>1.4443999999999999</v>
      </c>
      <c r="Q37" s="9"/>
      <c r="R37" s="9">
        <f t="shared" si="1"/>
        <v>0.4</v>
      </c>
      <c r="S37" s="11"/>
    </row>
    <row r="38" spans="1:19" ht="15" customHeight="1">
      <c r="A38" s="13">
        <v>42644</v>
      </c>
      <c r="B38" s="8">
        <f>2.5577 * CHOOSE(CONTROL!$C$15, $D$11, 100%, $F$11)</f>
        <v>2.5577000000000001</v>
      </c>
      <c r="C38" s="8">
        <f>2.5631 * CHOOSE(CONTROL!$C$15, $D$11, 100%, $F$11)</f>
        <v>2.5630999999999999</v>
      </c>
      <c r="D38" s="8">
        <f>2.5524 * CHOOSE( CONTROL!$C$15, $D$11, 100%, $F$11)</f>
        <v>2.5524</v>
      </c>
      <c r="E38" s="12">
        <f>2.5554 * CHOOSE( CONTROL!$C$15, $D$11, 100%, $F$11)</f>
        <v>2.5554000000000001</v>
      </c>
      <c r="F38" s="4">
        <f>3.241 * CHOOSE(CONTROL!$C$15, $D$11, 100%, $F$11)</f>
        <v>3.2410000000000001</v>
      </c>
      <c r="G38" s="8">
        <f>2.4849 * CHOOSE( CONTROL!$C$15, $D$11, 100%, $F$11)</f>
        <v>2.4849000000000001</v>
      </c>
      <c r="H38" s="4">
        <f>3.416 * CHOOSE(CONTROL!$C$15, $D$11, 100%, $F$11)</f>
        <v>3.4159999999999999</v>
      </c>
      <c r="I38" s="8">
        <f>2.5389 * CHOOSE(CONTROL!$C$15, $D$11, 100%, $F$11)</f>
        <v>2.5388999999999999</v>
      </c>
      <c r="J38" s="4">
        <f>2.443 * CHOOSE(CONTROL!$C$15, $D$11, 100%, $F$11)</f>
        <v>2.4430000000000001</v>
      </c>
      <c r="K38" s="4"/>
      <c r="L38" s="9">
        <v>31.095300000000002</v>
      </c>
      <c r="M38" s="9">
        <v>12.063700000000001</v>
      </c>
      <c r="N38" s="9">
        <v>4.9444999999999997</v>
      </c>
      <c r="O38" s="9">
        <v>0.37409999999999999</v>
      </c>
      <c r="P38" s="9">
        <v>2.1017999999999999</v>
      </c>
      <c r="Q38" s="9"/>
      <c r="R38" s="9">
        <f t="shared" si="1"/>
        <v>0.4</v>
      </c>
      <c r="S38" s="11"/>
    </row>
    <row r="39" spans="1:19" ht="15" customHeight="1">
      <c r="A39" s="13">
        <v>42675</v>
      </c>
      <c r="B39" s="8">
        <f>2.6463 * CHOOSE(CONTROL!$C$15, $D$11, 100%, $F$11)</f>
        <v>2.6463000000000001</v>
      </c>
      <c r="C39" s="8">
        <f>2.6514 * CHOOSE(CONTROL!$C$15, $D$11, 100%, $F$11)</f>
        <v>2.6514000000000002</v>
      </c>
      <c r="D39" s="8">
        <f>2.6289 * CHOOSE( CONTROL!$C$15, $D$11, 100%, $F$11)</f>
        <v>2.6288999999999998</v>
      </c>
      <c r="E39" s="12">
        <f>2.6366 * CHOOSE( CONTROL!$C$15, $D$11, 100%, $F$11)</f>
        <v>2.6366000000000001</v>
      </c>
      <c r="F39" s="4">
        <f>3.2912 * CHOOSE(CONTROL!$C$15, $D$11, 100%, $F$11)</f>
        <v>3.2911999999999999</v>
      </c>
      <c r="G39" s="8">
        <f>2.585 * CHOOSE( CONTROL!$C$15, $D$11, 100%, $F$11)</f>
        <v>2.585</v>
      </c>
      <c r="H39" s="4">
        <f>3.4654 * CHOOSE(CONTROL!$C$15, $D$11, 100%, $F$11)</f>
        <v>3.4653999999999998</v>
      </c>
      <c r="I39" s="8">
        <f>2.6506 * CHOOSE(CONTROL!$C$15, $D$11, 100%, $F$11)</f>
        <v>2.6505999999999998</v>
      </c>
      <c r="J39" s="4">
        <f>2.529 * CHOOSE(CONTROL!$C$15, $D$11, 100%, $F$11)</f>
        <v>2.5289999999999999</v>
      </c>
      <c r="K39" s="4"/>
      <c r="L39" s="9">
        <v>28.360600000000002</v>
      </c>
      <c r="M39" s="9">
        <v>11.6745</v>
      </c>
      <c r="N39" s="9">
        <v>4.7850000000000001</v>
      </c>
      <c r="O39" s="9">
        <v>0.36199999999999999</v>
      </c>
      <c r="P39" s="9">
        <v>1.2509999999999999</v>
      </c>
      <c r="Q39" s="9"/>
      <c r="R39" s="9">
        <f t="shared" si="1"/>
        <v>0.4</v>
      </c>
      <c r="S39" s="11"/>
    </row>
    <row r="40" spans="1:19" ht="15" customHeight="1">
      <c r="A40" s="13">
        <v>42705</v>
      </c>
      <c r="B40" s="8">
        <f>2.8118 * CHOOSE(CONTROL!$C$15, $D$11, 100%, $F$11)</f>
        <v>2.8117999999999999</v>
      </c>
      <c r="C40" s="8">
        <f>2.8169 * CHOOSE(CONTROL!$C$15, $D$11, 100%, $F$11)</f>
        <v>2.8169</v>
      </c>
      <c r="D40" s="8">
        <f>2.7959 * CHOOSE( CONTROL!$C$15, $D$11, 100%, $F$11)</f>
        <v>2.7959000000000001</v>
      </c>
      <c r="E40" s="12">
        <f>2.803 * CHOOSE( CONTROL!$C$15, $D$11, 100%, $F$11)</f>
        <v>2.8029999999999999</v>
      </c>
      <c r="F40" s="4">
        <f>3.4567 * CHOOSE(CONTROL!$C$15, $D$11, 100%, $F$11)</f>
        <v>3.4567000000000001</v>
      </c>
      <c r="G40" s="8">
        <f>2.7488 * CHOOSE( CONTROL!$C$15, $D$11, 100%, $F$11)</f>
        <v>2.7488000000000001</v>
      </c>
      <c r="H40" s="4">
        <f>3.6281 * CHOOSE(CONTROL!$C$15, $D$11, 100%, $F$11)</f>
        <v>3.6280999999999999</v>
      </c>
      <c r="I40" s="8">
        <f>2.8153 * CHOOSE(CONTROL!$C$15, $D$11, 100%, $F$11)</f>
        <v>2.8153000000000001</v>
      </c>
      <c r="J40" s="4">
        <f>2.689 * CHOOSE(CONTROL!$C$15, $D$11, 100%, $F$11)</f>
        <v>2.6890000000000001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/>
      <c r="R40" s="9">
        <f t="shared" si="1"/>
        <v>0.4</v>
      </c>
      <c r="S40" s="11"/>
    </row>
    <row r="41" spans="1:19" ht="15" customHeight="1">
      <c r="A41" s="13">
        <v>42736</v>
      </c>
      <c r="B41" s="8">
        <f>2.9235 * CHOOSE(CONTROL!$C$15, $D$11, 100%, $F$11)</f>
        <v>2.9235000000000002</v>
      </c>
      <c r="C41" s="8">
        <f>2.9286 * CHOOSE(CONTROL!$C$15, $D$11, 100%, $F$11)</f>
        <v>2.9285999999999999</v>
      </c>
      <c r="D41" s="8">
        <f>2.9066 * CHOOSE( CONTROL!$C$15, $D$11, 100%, $F$11)</f>
        <v>2.9066000000000001</v>
      </c>
      <c r="E41" s="12">
        <f>2.9141 * CHOOSE( CONTROL!$C$15, $D$11, 100%, $F$11)</f>
        <v>2.9140999999999999</v>
      </c>
      <c r="F41" s="4">
        <f>3.5684 * CHOOSE(CONTROL!$C$15, $D$11, 100%, $F$11)</f>
        <v>3.5684</v>
      </c>
      <c r="G41" s="8">
        <f>2.8561 * CHOOSE( CONTROL!$C$15, $D$11, 100%, $F$11)</f>
        <v>2.8561000000000001</v>
      </c>
      <c r="H41" s="4">
        <f>3.738 * CHOOSE(CONTROL!$C$15, $D$11, 100%, $F$11)</f>
        <v>3.738</v>
      </c>
      <c r="I41" s="8">
        <f>2.8951 * CHOOSE(CONTROL!$C$15, $D$11, 100%, $F$11)</f>
        <v>2.8950999999999998</v>
      </c>
      <c r="J41" s="4">
        <f>2.797 * CHOOSE(CONTROL!$C$15, $D$11, 100%, $F$11)</f>
        <v>2.7970000000000002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0.37409999999999999</v>
      </c>
      <c r="P41" s="9">
        <v>1.2927</v>
      </c>
      <c r="Q41" s="9"/>
      <c r="R41" s="9">
        <f t="shared" si="1"/>
        <v>0.4</v>
      </c>
      <c r="S41" s="11"/>
    </row>
    <row r="42" spans="1:19" ht="15" customHeight="1">
      <c r="A42" s="13">
        <v>42767</v>
      </c>
      <c r="B42" s="8">
        <f>2.9194 * CHOOSE(CONTROL!$C$15, $D$11, 100%, $F$11)</f>
        <v>2.9194</v>
      </c>
      <c r="C42" s="8">
        <f>2.9245 * CHOOSE(CONTROL!$C$15, $D$11, 100%, $F$11)</f>
        <v>2.9245000000000001</v>
      </c>
      <c r="D42" s="8">
        <f>2.8981 * CHOOSE( CONTROL!$C$15, $D$11, 100%, $F$11)</f>
        <v>2.8980999999999999</v>
      </c>
      <c r="E42" s="12">
        <f>2.9072 * CHOOSE( CONTROL!$C$15, $D$11, 100%, $F$11)</f>
        <v>2.9072</v>
      </c>
      <c r="F42" s="4">
        <f>3.5643 * CHOOSE(CONTROL!$C$15, $D$11, 100%, $F$11)</f>
        <v>3.5642999999999998</v>
      </c>
      <c r="G42" s="8">
        <f>2.8436 * CHOOSE( CONTROL!$C$15, $D$11, 100%, $F$11)</f>
        <v>2.8435999999999999</v>
      </c>
      <c r="H42" s="4">
        <f>3.7339 * CHOOSE(CONTROL!$C$15, $D$11, 100%, $F$11)</f>
        <v>3.7339000000000002</v>
      </c>
      <c r="I42" s="8">
        <f>2.8621 * CHOOSE(CONTROL!$C$15, $D$11, 100%, $F$11)</f>
        <v>2.8620999999999999</v>
      </c>
      <c r="J42" s="4">
        <f>2.793 * CHOOSE(CONTROL!$C$15, $D$11, 100%, $F$11)</f>
        <v>2.7930000000000001</v>
      </c>
      <c r="K42" s="4"/>
      <c r="L42" s="9">
        <v>26.469899999999999</v>
      </c>
      <c r="M42" s="9">
        <v>10.8962</v>
      </c>
      <c r="N42" s="9">
        <v>4.4660000000000002</v>
      </c>
      <c r="O42" s="9">
        <v>0.33789999999999998</v>
      </c>
      <c r="P42" s="9">
        <v>1.1676</v>
      </c>
      <c r="Q42" s="9"/>
      <c r="R42" s="9">
        <f t="shared" si="1"/>
        <v>0.4</v>
      </c>
      <c r="S42" s="11"/>
    </row>
    <row r="43" spans="1:19" ht="15" customHeight="1">
      <c r="A43" s="13">
        <v>42795</v>
      </c>
      <c r="B43" s="8">
        <f>2.8801 * CHOOSE(CONTROL!$C$15, $D$11, 100%, $F$11)</f>
        <v>2.8801000000000001</v>
      </c>
      <c r="C43" s="8">
        <f>2.8852 * CHOOSE(CONTROL!$C$15, $D$11, 100%, $F$11)</f>
        <v>2.8852000000000002</v>
      </c>
      <c r="D43" s="8">
        <f>2.8592 * CHOOSE( CONTROL!$C$15, $D$11, 100%, $F$11)</f>
        <v>2.8592</v>
      </c>
      <c r="E43" s="12">
        <f>2.8682 * CHOOSE( CONTROL!$C$15, $D$11, 100%, $F$11)</f>
        <v>2.8681999999999999</v>
      </c>
      <c r="F43" s="4">
        <f>3.525 * CHOOSE(CONTROL!$C$15, $D$11, 100%, $F$11)</f>
        <v>3.5249999999999999</v>
      </c>
      <c r="G43" s="8">
        <f>2.8052 * CHOOSE( CONTROL!$C$15, $D$11, 100%, $F$11)</f>
        <v>2.8052000000000001</v>
      </c>
      <c r="H43" s="4">
        <f>3.6953 * CHOOSE(CONTROL!$C$15, $D$11, 100%, $F$11)</f>
        <v>3.6953</v>
      </c>
      <c r="I43" s="8">
        <f>2.8253 * CHOOSE(CONTROL!$C$15, $D$11, 100%, $F$11)</f>
        <v>2.8252999999999999</v>
      </c>
      <c r="J43" s="4">
        <f>2.755 * CHOOSE(CONTROL!$C$15, $D$11, 100%, $F$11)</f>
        <v>2.7549999999999999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0.37409999999999999</v>
      </c>
      <c r="P43" s="9">
        <v>1.2927</v>
      </c>
      <c r="Q43" s="9"/>
      <c r="R43" s="9">
        <f t="shared" si="1"/>
        <v>0.4</v>
      </c>
      <c r="S43" s="11"/>
    </row>
    <row r="44" spans="1:19" ht="15" customHeight="1">
      <c r="A44" s="13">
        <v>42826</v>
      </c>
      <c r="B44" s="8">
        <f>2.734 * CHOOSE(CONTROL!$C$15, $D$11, 100%, $F$11)</f>
        <v>2.734</v>
      </c>
      <c r="C44" s="8">
        <f>2.7385 * CHOOSE(CONTROL!$C$15, $D$11, 100%, $F$11)</f>
        <v>2.7385000000000002</v>
      </c>
      <c r="D44" s="8">
        <f>2.7265 * CHOOSE( CONTROL!$C$15, $D$11, 100%, $F$11)</f>
        <v>2.7265000000000001</v>
      </c>
      <c r="E44" s="12">
        <f>2.73 * CHOOSE( CONTROL!$C$15, $D$11, 100%, $F$11)</f>
        <v>2.73</v>
      </c>
      <c r="F44" s="4">
        <f>3.4169 * CHOOSE(CONTROL!$C$15, $D$11, 100%, $F$11)</f>
        <v>3.4169</v>
      </c>
      <c r="G44" s="8">
        <f>2.656 * CHOOSE( CONTROL!$C$15, $D$11, 100%, $F$11)</f>
        <v>2.6560000000000001</v>
      </c>
      <c r="H44" s="4">
        <f>3.589 * CHOOSE(CONTROL!$C$15, $D$11, 100%, $F$11)</f>
        <v>3.589</v>
      </c>
      <c r="I44" s="8">
        <f>2.703 * CHOOSE(CONTROL!$C$15, $D$11, 100%, $F$11)</f>
        <v>2.7029999999999998</v>
      </c>
      <c r="J44" s="4">
        <f>2.613 * CHOOSE(CONTROL!$C$15, $D$11, 100%, $F$11)</f>
        <v>2.613</v>
      </c>
      <c r="K44" s="4"/>
      <c r="L44" s="9">
        <v>30.092199999999998</v>
      </c>
      <c r="M44" s="9">
        <v>11.6745</v>
      </c>
      <c r="N44" s="9">
        <v>4.7850000000000001</v>
      </c>
      <c r="O44" s="9">
        <v>0.36199999999999999</v>
      </c>
      <c r="P44" s="9">
        <v>2.0339999999999998</v>
      </c>
      <c r="Q44" s="9"/>
      <c r="R44" s="9">
        <f t="shared" si="1"/>
        <v>0.4</v>
      </c>
      <c r="S44" s="11"/>
    </row>
    <row r="45" spans="1:19" ht="15" customHeight="1">
      <c r="A45" s="13">
        <v>42856</v>
      </c>
      <c r="B45" s="8">
        <f>CHOOSE( CONTROL!$C$32, 2.7416, 2.7384) * CHOOSE(CONTROL!$C$15, $D$11, 100%, $F$11)</f>
        <v>2.7416</v>
      </c>
      <c r="C45" s="8">
        <f>CHOOSE( CONTROL!$C$32, 2.7496, 2.7464) * CHOOSE(CONTROL!$C$15, $D$11, 100%, $F$11)</f>
        <v>2.7496</v>
      </c>
      <c r="D45" s="8">
        <f>CHOOSE( CONTROL!$C$32, 2.7331, 2.7299) * CHOOSE( CONTROL!$C$15, $D$11, 100%, $F$11)</f>
        <v>2.7330999999999999</v>
      </c>
      <c r="E45" s="12">
        <f>CHOOSE( CONTROL!$C$32, 2.7379, 2.7347) * CHOOSE( CONTROL!$C$15, $D$11, 100%, $F$11)</f>
        <v>2.7378999999999998</v>
      </c>
      <c r="F45" s="4">
        <f>CHOOSE( CONTROL!$C$32, 3.4232, 3.42) * CHOOSE(CONTROL!$C$15, $D$11, 100%, $F$11)</f>
        <v>3.4232</v>
      </c>
      <c r="G45" s="8">
        <f>CHOOSE( CONTROL!$C$32, 2.6634, 2.6602) * CHOOSE( CONTROL!$C$15, $D$11, 100%, $F$11)</f>
        <v>2.6634000000000002</v>
      </c>
      <c r="H45" s="4">
        <f>CHOOSE( CONTROL!$C$32, 3.5952, 3.592) * CHOOSE(CONTROL!$C$15, $D$11, 100%, $F$11)</f>
        <v>3.5952000000000002</v>
      </c>
      <c r="I45" s="8">
        <f>CHOOSE( CONTROL!$C$32, 2.7107, 2.7076) * CHOOSE(CONTROL!$C$15, $D$11, 100%, $F$11)</f>
        <v>2.7107000000000001</v>
      </c>
      <c r="J45" s="4">
        <f>CHOOSE( CONTROL!$C$32, 2.6191, 2.616) * CHOOSE(CONTROL!$C$15, $D$11, 100%, $F$11)</f>
        <v>2.6191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>
        <v>25.076499999999999</v>
      </c>
      <c r="R45" s="9"/>
      <c r="S45" s="11"/>
    </row>
    <row r="46" spans="1:19" ht="15" customHeight="1">
      <c r="A46" s="13">
        <v>42887</v>
      </c>
      <c r="B46" s="8">
        <f>CHOOSE( CONTROL!$C$32, 2.7851, 2.7819) * CHOOSE(CONTROL!$C$15, $D$11, 100%, $F$11)</f>
        <v>2.7850999999999999</v>
      </c>
      <c r="C46" s="8">
        <f>CHOOSE( CONTROL!$C$32, 2.7931, 2.7899) * CHOOSE(CONTROL!$C$15, $D$11, 100%, $F$11)</f>
        <v>2.7930999999999999</v>
      </c>
      <c r="D46" s="8">
        <f>CHOOSE( CONTROL!$C$32, 2.777, 2.7738) * CHOOSE( CONTROL!$C$15, $D$11, 100%, $F$11)</f>
        <v>2.7770000000000001</v>
      </c>
      <c r="E46" s="12">
        <f>CHOOSE( CONTROL!$C$32, 2.7816, 2.7784) * CHOOSE( CONTROL!$C$15, $D$11, 100%, $F$11)</f>
        <v>2.7816000000000001</v>
      </c>
      <c r="F46" s="4">
        <f>CHOOSE( CONTROL!$C$32, 3.4666, 3.4634) * CHOOSE(CONTROL!$C$15, $D$11, 100%, $F$11)</f>
        <v>3.4666000000000001</v>
      </c>
      <c r="G46" s="8">
        <f>CHOOSE( CONTROL!$C$32, 2.7065, 2.7034) * CHOOSE( CONTROL!$C$15, $D$11, 100%, $F$11)</f>
        <v>2.7065000000000001</v>
      </c>
      <c r="H46" s="4">
        <f>CHOOSE( CONTROL!$C$32, 3.6379, 3.6348) * CHOOSE(CONTROL!$C$15, $D$11, 100%, $F$11)</f>
        <v>3.6379000000000001</v>
      </c>
      <c r="I46" s="8">
        <f>CHOOSE( CONTROL!$C$32, 2.7541, 2.751) * CHOOSE(CONTROL!$C$15, $D$11, 100%, $F$11)</f>
        <v>2.7541000000000002</v>
      </c>
      <c r="J46" s="4">
        <f>CHOOSE( CONTROL!$C$32, 2.6611, 2.658) * CHOOSE(CONTROL!$C$15, $D$11, 100%, $F$11)</f>
        <v>2.6610999999999998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>
        <v>24.267600000000002</v>
      </c>
      <c r="R46" s="9"/>
      <c r="S46" s="11"/>
    </row>
    <row r="47" spans="1:19" ht="15" customHeight="1">
      <c r="A47" s="13">
        <v>42917</v>
      </c>
      <c r="B47" s="8">
        <f>CHOOSE( CONTROL!$C$32, 2.8337, 2.8305) * CHOOSE(CONTROL!$C$15, $D$11, 100%, $F$11)</f>
        <v>2.8336999999999999</v>
      </c>
      <c r="C47" s="8">
        <f>CHOOSE( CONTROL!$C$32, 2.8417, 2.8385) * CHOOSE(CONTROL!$C$15, $D$11, 100%, $F$11)</f>
        <v>2.8416999999999999</v>
      </c>
      <c r="D47" s="8">
        <f>CHOOSE( CONTROL!$C$32, 2.826, 2.8228) * CHOOSE( CONTROL!$C$15, $D$11, 100%, $F$11)</f>
        <v>2.8260000000000001</v>
      </c>
      <c r="E47" s="12">
        <f>CHOOSE( CONTROL!$C$32, 2.8305, 2.8273) * CHOOSE( CONTROL!$C$15, $D$11, 100%, $F$11)</f>
        <v>2.8304999999999998</v>
      </c>
      <c r="F47" s="4">
        <f>CHOOSE( CONTROL!$C$32, 3.5152, 3.512) * CHOOSE(CONTROL!$C$15, $D$11, 100%, $F$11)</f>
        <v>3.5152000000000001</v>
      </c>
      <c r="G47" s="8">
        <f>CHOOSE( CONTROL!$C$32, 2.7548, 2.7517) * CHOOSE( CONTROL!$C$15, $D$11, 100%, $F$11)</f>
        <v>2.7547999999999999</v>
      </c>
      <c r="H47" s="4">
        <f>CHOOSE( CONTROL!$C$32, 3.6857, 3.6826) * CHOOSE(CONTROL!$C$15, $D$11, 100%, $F$11)</f>
        <v>3.6857000000000002</v>
      </c>
      <c r="I47" s="8">
        <f>CHOOSE( CONTROL!$C$32, 2.8026, 2.7995) * CHOOSE(CONTROL!$C$15, $D$11, 100%, $F$11)</f>
        <v>2.8026</v>
      </c>
      <c r="J47" s="4">
        <f>CHOOSE( CONTROL!$C$32, 2.7081, 2.705) * CHOOSE(CONTROL!$C$15, $D$11, 100%, $F$11)</f>
        <v>2.7081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>
        <v>25.076499999999999</v>
      </c>
      <c r="R47" s="9"/>
      <c r="S47" s="11"/>
    </row>
    <row r="48" spans="1:19" ht="15" customHeight="1">
      <c r="A48" s="13">
        <v>42948</v>
      </c>
      <c r="B48" s="8">
        <f>CHOOSE( CONTROL!$C$32, 2.8471, 2.8439) * CHOOSE(CONTROL!$C$15, $D$11, 100%, $F$11)</f>
        <v>2.8471000000000002</v>
      </c>
      <c r="C48" s="8">
        <f>CHOOSE( CONTROL!$C$32, 2.8552, 2.852) * CHOOSE(CONTROL!$C$15, $D$11, 100%, $F$11)</f>
        <v>2.8552</v>
      </c>
      <c r="D48" s="8">
        <f>CHOOSE( CONTROL!$C$32, 2.8397, 2.8365) * CHOOSE( CONTROL!$C$15, $D$11, 100%, $F$11)</f>
        <v>2.8397000000000001</v>
      </c>
      <c r="E48" s="12">
        <f>CHOOSE( CONTROL!$C$32, 2.8441, 2.8409) * CHOOSE( CONTROL!$C$15, $D$11, 100%, $F$11)</f>
        <v>2.8441000000000001</v>
      </c>
      <c r="F48" s="4">
        <f>CHOOSE( CONTROL!$C$32, 3.5287, 3.5255) * CHOOSE(CONTROL!$C$15, $D$11, 100%, $F$11)</f>
        <v>3.5287000000000002</v>
      </c>
      <c r="G48" s="8">
        <f>CHOOSE( CONTROL!$C$32, 2.7683, 2.7651) * CHOOSE( CONTROL!$C$15, $D$11, 100%, $F$11)</f>
        <v>2.7683</v>
      </c>
      <c r="H48" s="4">
        <f>CHOOSE( CONTROL!$C$32, 3.6989, 3.6958) * CHOOSE(CONTROL!$C$15, $D$11, 100%, $F$11)</f>
        <v>3.6989000000000001</v>
      </c>
      <c r="I48" s="8">
        <f>CHOOSE( CONTROL!$C$32, 2.8164, 2.8133) * CHOOSE(CONTROL!$C$15, $D$11, 100%, $F$11)</f>
        <v>2.8163999999999998</v>
      </c>
      <c r="J48" s="4">
        <f>CHOOSE( CONTROL!$C$32, 2.7211, 2.718) * CHOOSE(CONTROL!$C$15, $D$11, 100%, $F$11)</f>
        <v>2.7210999999999999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>
        <v>25.076499999999999</v>
      </c>
      <c r="R48" s="9"/>
      <c r="S48" s="11"/>
    </row>
    <row r="49" spans="1:19" ht="15" customHeight="1">
      <c r="A49" s="13">
        <v>42979</v>
      </c>
      <c r="B49" s="8">
        <f>CHOOSE( CONTROL!$C$32, 2.842, 2.8388) * CHOOSE(CONTROL!$C$15, $D$11, 100%, $F$11)</f>
        <v>2.8420000000000001</v>
      </c>
      <c r="C49" s="8">
        <f>CHOOSE( CONTROL!$C$32, 2.85, 2.8468) * CHOOSE(CONTROL!$C$15, $D$11, 100%, $F$11)</f>
        <v>2.85</v>
      </c>
      <c r="D49" s="8">
        <f>CHOOSE( CONTROL!$C$32, 2.8346, 2.8314) * CHOOSE( CONTROL!$C$15, $D$11, 100%, $F$11)</f>
        <v>2.8346</v>
      </c>
      <c r="E49" s="12">
        <f>CHOOSE( CONTROL!$C$32, 2.839, 2.8358) * CHOOSE( CONTROL!$C$15, $D$11, 100%, $F$11)</f>
        <v>2.839</v>
      </c>
      <c r="F49" s="4">
        <f>CHOOSE( CONTROL!$C$32, 3.5235, 3.5203) * CHOOSE(CONTROL!$C$15, $D$11, 100%, $F$11)</f>
        <v>3.5234999999999999</v>
      </c>
      <c r="G49" s="8">
        <f>CHOOSE( CONTROL!$C$32, 2.7632, 2.7601) * CHOOSE( CONTROL!$C$15, $D$11, 100%, $F$11)</f>
        <v>2.7631999999999999</v>
      </c>
      <c r="H49" s="4">
        <f>CHOOSE( CONTROL!$C$32, 3.6938, 3.6907) * CHOOSE(CONTROL!$C$15, $D$11, 100%, $F$11)</f>
        <v>3.6938</v>
      </c>
      <c r="I49" s="8">
        <f>CHOOSE( CONTROL!$C$32, 2.8115, 2.8084) * CHOOSE(CONTROL!$C$15, $D$11, 100%, $F$11)</f>
        <v>2.8115000000000001</v>
      </c>
      <c r="J49" s="4">
        <f>CHOOSE( CONTROL!$C$32, 2.7161, 2.713) * CHOOSE(CONTROL!$C$15, $D$11, 100%, $F$11)</f>
        <v>2.7161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>
        <v>24.267600000000002</v>
      </c>
      <c r="R49" s="9"/>
      <c r="S49" s="11"/>
    </row>
    <row r="50" spans="1:19" ht="15" customHeight="1">
      <c r="A50" s="13">
        <v>43009</v>
      </c>
      <c r="B50" s="8">
        <f>2.8598 * CHOOSE(CONTROL!$C$15, $D$11, 100%, $F$11)</f>
        <v>2.8597999999999999</v>
      </c>
      <c r="C50" s="8">
        <f>2.8652 * CHOOSE(CONTROL!$C$15, $D$11, 100%, $F$11)</f>
        <v>2.8652000000000002</v>
      </c>
      <c r="D50" s="8">
        <f>2.8545 * CHOOSE( CONTROL!$C$15, $D$11, 100%, $F$11)</f>
        <v>2.8544999999999998</v>
      </c>
      <c r="E50" s="12">
        <f>2.8575 * CHOOSE( CONTROL!$C$15, $D$11, 100%, $F$11)</f>
        <v>2.8574999999999999</v>
      </c>
      <c r="F50" s="4">
        <f>3.5431 * CHOOSE(CONTROL!$C$15, $D$11, 100%, $F$11)</f>
        <v>3.5430999999999999</v>
      </c>
      <c r="G50" s="8">
        <f>2.782 * CHOOSE( CONTROL!$C$15, $D$11, 100%, $F$11)</f>
        <v>2.782</v>
      </c>
      <c r="H50" s="4">
        <f>3.7131 * CHOOSE(CONTROL!$C$15, $D$11, 100%, $F$11)</f>
        <v>3.7130999999999998</v>
      </c>
      <c r="I50" s="8">
        <f>2.831 * CHOOSE(CONTROL!$C$15, $D$11, 100%, $F$11)</f>
        <v>2.831</v>
      </c>
      <c r="J50" s="4">
        <f>2.735 * CHOOSE(CONTROL!$C$15, $D$11, 100%, $F$11)</f>
        <v>2.7349999999999999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>
        <v>25.076499999999999</v>
      </c>
      <c r="R50" s="9"/>
      <c r="S50" s="11"/>
    </row>
    <row r="51" spans="1:19" ht="15" customHeight="1">
      <c r="A51" s="13">
        <v>43040</v>
      </c>
      <c r="B51" s="8">
        <f>2.9401 * CHOOSE(CONTROL!$C$15, $D$11, 100%, $F$11)</f>
        <v>2.9401000000000002</v>
      </c>
      <c r="C51" s="8">
        <f>2.9452 * CHOOSE(CONTROL!$C$15, $D$11, 100%, $F$11)</f>
        <v>2.9451999999999998</v>
      </c>
      <c r="D51" s="8">
        <f>2.9227 * CHOOSE( CONTROL!$C$15, $D$11, 100%, $F$11)</f>
        <v>2.9226999999999999</v>
      </c>
      <c r="E51" s="12">
        <f>2.9304 * CHOOSE( CONTROL!$C$15, $D$11, 100%, $F$11)</f>
        <v>2.9304000000000001</v>
      </c>
      <c r="F51" s="4">
        <f>3.585 * CHOOSE(CONTROL!$C$15, $D$11, 100%, $F$11)</f>
        <v>3.585</v>
      </c>
      <c r="G51" s="8">
        <f>2.8739 * CHOOSE( CONTROL!$C$15, $D$11, 100%, $F$11)</f>
        <v>2.8738999999999999</v>
      </c>
      <c r="H51" s="4">
        <f>3.7543 * CHOOSE(CONTROL!$C$15, $D$11, 100%, $F$11)</f>
        <v>3.7543000000000002</v>
      </c>
      <c r="I51" s="8">
        <f>2.9347 * CHOOSE(CONTROL!$C$15, $D$11, 100%, $F$11)</f>
        <v>2.9346999999999999</v>
      </c>
      <c r="J51" s="4">
        <f>2.813 * CHOOSE(CONTROL!$C$15, $D$11, 100%, $F$11)</f>
        <v>2.8130000000000002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1.2509999999999999</v>
      </c>
      <c r="Q51" s="9">
        <v>24.267600000000002</v>
      </c>
      <c r="R51" s="9"/>
      <c r="S51" s="11"/>
    </row>
    <row r="52" spans="1:19" ht="15" customHeight="1">
      <c r="A52" s="13">
        <v>43070</v>
      </c>
      <c r="B52" s="8">
        <f>3.0994 * CHOOSE(CONTROL!$C$15, $D$11, 100%, $F$11)</f>
        <v>3.0994000000000002</v>
      </c>
      <c r="C52" s="8">
        <f>3.1045 * CHOOSE(CONTROL!$C$15, $D$11, 100%, $F$11)</f>
        <v>3.1044999999999998</v>
      </c>
      <c r="D52" s="8">
        <f>3.0835 * CHOOSE( CONTROL!$C$15, $D$11, 100%, $F$11)</f>
        <v>3.0834999999999999</v>
      </c>
      <c r="E52" s="12">
        <f>3.0906 * CHOOSE( CONTROL!$C$15, $D$11, 100%, $F$11)</f>
        <v>3.0905999999999998</v>
      </c>
      <c r="F52" s="4">
        <f>3.7443 * CHOOSE(CONTROL!$C$15, $D$11, 100%, $F$11)</f>
        <v>3.7443</v>
      </c>
      <c r="G52" s="8">
        <f>3.0317 * CHOOSE( CONTROL!$C$15, $D$11, 100%, $F$11)</f>
        <v>3.0316999999999998</v>
      </c>
      <c r="H52" s="4">
        <f>3.9109 * CHOOSE(CONTROL!$C$15, $D$11, 100%, $F$11)</f>
        <v>3.9108999999999998</v>
      </c>
      <c r="I52" s="8">
        <f>3.0934 * CHOOSE(CONTROL!$C$15, $D$11, 100%, $F$11)</f>
        <v>3.0933999999999999</v>
      </c>
      <c r="J52" s="4">
        <f>2.967 * CHOOSE(CONTROL!$C$15, $D$11, 100%, $F$11)</f>
        <v>2.9670000000000001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25.076499999999999</v>
      </c>
      <c r="R52" s="9"/>
      <c r="S52" s="11"/>
    </row>
    <row r="53" spans="1:19" ht="15" customHeight="1">
      <c r="A53" s="13">
        <v>43101</v>
      </c>
      <c r="B53" s="8">
        <f>3.9122 * CHOOSE(CONTROL!$C$15, $D$11, 100%, $F$11)</f>
        <v>3.9121999999999999</v>
      </c>
      <c r="C53" s="8">
        <f>3.9173 * CHOOSE(CONTROL!$C$15, $D$11, 100%, $F$11)</f>
        <v>3.9173</v>
      </c>
      <c r="D53" s="8">
        <f>3.8953 * CHOOSE( CONTROL!$C$15, $D$11, 100%, $F$11)</f>
        <v>3.8953000000000002</v>
      </c>
      <c r="E53" s="12">
        <f>3.9028 * CHOOSE( CONTROL!$C$15, $D$11, 100%, $F$11)</f>
        <v>3.9028</v>
      </c>
      <c r="F53" s="4">
        <f>4.5571 * CHOOSE(CONTROL!$C$15, $D$11, 100%, $F$11)</f>
        <v>4.5571000000000002</v>
      </c>
      <c r="G53" s="8">
        <f>3.8284 * CHOOSE( CONTROL!$C$15, $D$11, 100%, $F$11)</f>
        <v>3.8283999999999998</v>
      </c>
      <c r="H53" s="4">
        <f>4.7103 * CHOOSE(CONTROL!$C$15, $D$11, 100%, $F$11)</f>
        <v>4.7103000000000002</v>
      </c>
      <c r="I53" s="8">
        <f>3.8514 * CHOOSE(CONTROL!$C$15, $D$11, 100%, $F$11)</f>
        <v>3.8513999999999999</v>
      </c>
      <c r="J53" s="4">
        <f>3.7528 * CHOOSE(CONTROL!$C$15, $D$11, 100%, $F$11)</f>
        <v>3.7528000000000001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1.2927</v>
      </c>
      <c r="Q53" s="9">
        <v>24.901700000000002</v>
      </c>
      <c r="R53" s="9"/>
      <c r="S53" s="11"/>
    </row>
    <row r="54" spans="1:19" ht="15" customHeight="1">
      <c r="A54" s="13">
        <v>43132</v>
      </c>
      <c r="B54" s="8">
        <f>3.6613 * CHOOSE(CONTROL!$C$15, $D$11, 100%, $F$11)</f>
        <v>3.6613000000000002</v>
      </c>
      <c r="C54" s="8">
        <f>3.6664 * CHOOSE(CONTROL!$C$15, $D$11, 100%, $F$11)</f>
        <v>3.6663999999999999</v>
      </c>
      <c r="D54" s="8">
        <f>3.64 * CHOOSE( CONTROL!$C$15, $D$11, 100%, $F$11)</f>
        <v>3.64</v>
      </c>
      <c r="E54" s="12">
        <f>3.6491 * CHOOSE( CONTROL!$C$15, $D$11, 100%, $F$11)</f>
        <v>3.6490999999999998</v>
      </c>
      <c r="F54" s="4">
        <f>4.3061 * CHOOSE(CONTROL!$C$15, $D$11, 100%, $F$11)</f>
        <v>4.3060999999999998</v>
      </c>
      <c r="G54" s="8">
        <f>3.5732 * CHOOSE( CONTROL!$C$15, $D$11, 100%, $F$11)</f>
        <v>3.5731999999999999</v>
      </c>
      <c r="H54" s="4">
        <f>4.4635 * CHOOSE(CONTROL!$C$15, $D$11, 100%, $F$11)</f>
        <v>4.4634999999999998</v>
      </c>
      <c r="I54" s="8">
        <f>3.5796 * CHOOSE(CONTROL!$C$15, $D$11, 100%, $F$11)</f>
        <v>3.5796000000000001</v>
      </c>
      <c r="J54" s="4">
        <f>3.5102 * CHOOSE(CONTROL!$C$15, $D$11, 100%, $F$11)</f>
        <v>3.5102000000000002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1.1676</v>
      </c>
      <c r="Q54" s="9">
        <v>22.491800000000001</v>
      </c>
      <c r="R54" s="9"/>
      <c r="S54" s="11"/>
    </row>
    <row r="55" spans="1:19" ht="15" customHeight="1">
      <c r="A55" s="13">
        <v>43160</v>
      </c>
      <c r="B55" s="8">
        <f>3.584 * CHOOSE(CONTROL!$C$15, $D$11, 100%, $F$11)</f>
        <v>3.5840000000000001</v>
      </c>
      <c r="C55" s="8">
        <f>3.5891 * CHOOSE(CONTROL!$C$15, $D$11, 100%, $F$11)</f>
        <v>3.5891000000000002</v>
      </c>
      <c r="D55" s="8">
        <f>3.5631 * CHOOSE( CONTROL!$C$15, $D$11, 100%, $F$11)</f>
        <v>3.5630999999999999</v>
      </c>
      <c r="E55" s="12">
        <f>3.5721 * CHOOSE( CONTROL!$C$15, $D$11, 100%, $F$11)</f>
        <v>3.5720999999999998</v>
      </c>
      <c r="F55" s="4">
        <f>4.2288 * CHOOSE(CONTROL!$C$15, $D$11, 100%, $F$11)</f>
        <v>4.2287999999999997</v>
      </c>
      <c r="G55" s="8">
        <f>3.4974 * CHOOSE( CONTROL!$C$15, $D$11, 100%, $F$11)</f>
        <v>3.4973999999999998</v>
      </c>
      <c r="H55" s="4">
        <f>4.3875 * CHOOSE(CONTROL!$C$15, $D$11, 100%, $F$11)</f>
        <v>4.3875000000000002</v>
      </c>
      <c r="I55" s="8">
        <f>3.5061 * CHOOSE(CONTROL!$C$15, $D$11, 100%, $F$11)</f>
        <v>3.5061</v>
      </c>
      <c r="J55" s="4">
        <f>3.4354 * CHOOSE(CONTROL!$C$15, $D$11, 100%, $F$11)</f>
        <v>3.4354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1.2927</v>
      </c>
      <c r="Q55" s="9">
        <v>24.901700000000002</v>
      </c>
      <c r="R55" s="9"/>
      <c r="S55" s="11"/>
    </row>
    <row r="56" spans="1:19" ht="15" customHeight="1">
      <c r="A56" s="13">
        <v>43191</v>
      </c>
      <c r="B56" s="8">
        <f>3.6387 * CHOOSE(CONTROL!$C$15, $D$11, 100%, $F$11)</f>
        <v>3.6387</v>
      </c>
      <c r="C56" s="8">
        <f>3.6433 * CHOOSE(CONTROL!$C$15, $D$11, 100%, $F$11)</f>
        <v>3.6433</v>
      </c>
      <c r="D56" s="8">
        <f>3.6504 * CHOOSE( CONTROL!$C$15, $D$11, 100%, $F$11)</f>
        <v>3.6503999999999999</v>
      </c>
      <c r="E56" s="12">
        <f>3.6475 * CHOOSE( CONTROL!$C$15, $D$11, 100%, $F$11)</f>
        <v>3.6475</v>
      </c>
      <c r="F56" s="4">
        <f>4.3217 * CHOOSE(CONTROL!$C$15, $D$11, 100%, $F$11)</f>
        <v>4.3216999999999999</v>
      </c>
      <c r="G56" s="8">
        <f>3.5458 * CHOOSE( CONTROL!$C$15, $D$11, 100%, $F$11)</f>
        <v>3.5457999999999998</v>
      </c>
      <c r="H56" s="4">
        <f>4.4788 * CHOOSE(CONTROL!$C$15, $D$11, 100%, $F$11)</f>
        <v>4.4787999999999997</v>
      </c>
      <c r="I56" s="8">
        <f>3.5781 * CHOOSE(CONTROL!$C$15, $D$11, 100%, $F$11)</f>
        <v>3.5781000000000001</v>
      </c>
      <c r="J56" s="4">
        <f>3.4877 * CHOOSE(CONTROL!$C$15, $D$11, 100%, $F$11)</f>
        <v>3.4876999999999998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1.1791</v>
      </c>
      <c r="Q56" s="9">
        <v>24.098400000000002</v>
      </c>
      <c r="R56" s="9"/>
      <c r="S56" s="11"/>
    </row>
    <row r="57" spans="1:19" ht="15" customHeight="1">
      <c r="A57" s="13">
        <v>43221</v>
      </c>
      <c r="B57" s="8">
        <f>CHOOSE( CONTROL!$C$32, 3.7394, 3.7362) * CHOOSE(CONTROL!$C$15, $D$11, 100%, $F$11)</f>
        <v>3.7393999999999998</v>
      </c>
      <c r="C57" s="8">
        <f>CHOOSE( CONTROL!$C$32, 3.7475, 3.7443) * CHOOSE(CONTROL!$C$15, $D$11, 100%, $F$11)</f>
        <v>3.7475000000000001</v>
      </c>
      <c r="D57" s="8">
        <f>CHOOSE( CONTROL!$C$32, 3.7498, 3.7466) * CHOOSE( CONTROL!$C$15, $D$11, 100%, $F$11)</f>
        <v>3.7498</v>
      </c>
      <c r="E57" s="12">
        <f>CHOOSE( CONTROL!$C$32, 3.7477, 3.7445) * CHOOSE( CONTROL!$C$15, $D$11, 100%, $F$11)</f>
        <v>3.7477</v>
      </c>
      <c r="F57" s="4">
        <f>CHOOSE( CONTROL!$C$32, 4.421, 4.4178) * CHOOSE(CONTROL!$C$15, $D$11, 100%, $F$11)</f>
        <v>4.4210000000000003</v>
      </c>
      <c r="G57" s="8">
        <f>CHOOSE( CONTROL!$C$32, 3.6446, 3.6415) * CHOOSE( CONTROL!$C$15, $D$11, 100%, $F$11)</f>
        <v>3.6446000000000001</v>
      </c>
      <c r="H57" s="4">
        <f>CHOOSE( CONTROL!$C$32, 4.5764, 4.5733) * CHOOSE(CONTROL!$C$15, $D$11, 100%, $F$11)</f>
        <v>4.5763999999999996</v>
      </c>
      <c r="I57" s="8">
        <f>CHOOSE( CONTROL!$C$32, 3.6758, 3.6727) * CHOOSE(CONTROL!$C$15, $D$11, 100%, $F$11)</f>
        <v>3.6758000000000002</v>
      </c>
      <c r="J57" s="4">
        <f>CHOOSE( CONTROL!$C$32, 3.5837, 3.5806) * CHOOSE(CONTROL!$C$15, $D$11, 100%, $F$11)</f>
        <v>3.5836999999999999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1.2183999999999999</v>
      </c>
      <c r="Q57" s="9">
        <v>24.901700000000002</v>
      </c>
      <c r="R57" s="9"/>
      <c r="S57" s="11"/>
    </row>
    <row r="58" spans="1:19" ht="15" customHeight="1">
      <c r="A58" s="13">
        <v>43252</v>
      </c>
      <c r="B58" s="8">
        <f>CHOOSE( CONTROL!$C$32, 3.6799, 3.6767) * CHOOSE(CONTROL!$C$15, $D$11, 100%, $F$11)</f>
        <v>3.6798999999999999</v>
      </c>
      <c r="C58" s="8">
        <f>CHOOSE( CONTROL!$C$32, 3.6879, 3.6847) * CHOOSE(CONTROL!$C$15, $D$11, 100%, $F$11)</f>
        <v>3.6879</v>
      </c>
      <c r="D58" s="8">
        <f>CHOOSE( CONTROL!$C$32, 3.6905, 3.6873) * CHOOSE( CONTROL!$C$15, $D$11, 100%, $F$11)</f>
        <v>3.6905000000000001</v>
      </c>
      <c r="E58" s="12">
        <f>CHOOSE( CONTROL!$C$32, 3.6883, 3.6851) * CHOOSE( CONTROL!$C$15, $D$11, 100%, $F$11)</f>
        <v>3.6882999999999999</v>
      </c>
      <c r="F58" s="4">
        <f>CHOOSE( CONTROL!$C$32, 4.3614, 4.3582) * CHOOSE(CONTROL!$C$15, $D$11, 100%, $F$11)</f>
        <v>4.3613999999999997</v>
      </c>
      <c r="G58" s="8">
        <f>CHOOSE( CONTROL!$C$32, 3.5865, 3.5834) * CHOOSE( CONTROL!$C$15, $D$11, 100%, $F$11)</f>
        <v>3.5865</v>
      </c>
      <c r="H58" s="4">
        <f>CHOOSE( CONTROL!$C$32, 4.5179, 4.5147) * CHOOSE(CONTROL!$C$15, $D$11, 100%, $F$11)</f>
        <v>4.5179</v>
      </c>
      <c r="I58" s="8">
        <f>CHOOSE( CONTROL!$C$32, 3.6196, 3.6165) * CHOOSE(CONTROL!$C$15, $D$11, 100%, $F$11)</f>
        <v>3.6196000000000002</v>
      </c>
      <c r="J58" s="4">
        <f>CHOOSE( CONTROL!$C$32, 3.5261, 3.523) * CHOOSE(CONTROL!$C$15, $D$11, 100%, $F$11)</f>
        <v>3.5261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1.1791</v>
      </c>
      <c r="Q58" s="9">
        <v>24.098400000000002</v>
      </c>
      <c r="R58" s="9"/>
      <c r="S58" s="11"/>
    </row>
    <row r="59" spans="1:19" ht="15" customHeight="1">
      <c r="A59" s="13">
        <v>43282</v>
      </c>
      <c r="B59" s="8">
        <f>CHOOSE( CONTROL!$C$32, 3.8367, 3.8335) * CHOOSE(CONTROL!$C$15, $D$11, 100%, $F$11)</f>
        <v>3.8367</v>
      </c>
      <c r="C59" s="8">
        <f>CHOOSE( CONTROL!$C$32, 3.8447, 3.8415) * CHOOSE(CONTROL!$C$15, $D$11, 100%, $F$11)</f>
        <v>3.8447</v>
      </c>
      <c r="D59" s="8">
        <f>CHOOSE( CONTROL!$C$32, 3.8476, 3.8444) * CHOOSE( CONTROL!$C$15, $D$11, 100%, $F$11)</f>
        <v>3.8475999999999999</v>
      </c>
      <c r="E59" s="12">
        <f>CHOOSE( CONTROL!$C$32, 3.8453, 3.8421) * CHOOSE( CONTROL!$C$15, $D$11, 100%, $F$11)</f>
        <v>3.8452999999999999</v>
      </c>
      <c r="F59" s="4">
        <f>CHOOSE( CONTROL!$C$32, 4.5183, 4.5151) * CHOOSE(CONTROL!$C$15, $D$11, 100%, $F$11)</f>
        <v>4.5183</v>
      </c>
      <c r="G59" s="8">
        <f>CHOOSE( CONTROL!$C$32, 3.7412, 3.738) * CHOOSE( CONTROL!$C$15, $D$11, 100%, $F$11)</f>
        <v>3.7412000000000001</v>
      </c>
      <c r="H59" s="4">
        <f>CHOOSE( CONTROL!$C$32, 4.6721, 4.669) * CHOOSE(CONTROL!$C$15, $D$11, 100%, $F$11)</f>
        <v>4.6721000000000004</v>
      </c>
      <c r="I59" s="8">
        <f>CHOOSE( CONTROL!$C$32, 3.7727, 3.7696) * CHOOSE(CONTROL!$C$15, $D$11, 100%, $F$11)</f>
        <v>3.7726999999999999</v>
      </c>
      <c r="J59" s="4">
        <f>CHOOSE( CONTROL!$C$32, 3.6777, 3.6746) * CHOOSE(CONTROL!$C$15, $D$11, 100%, $F$11)</f>
        <v>3.6777000000000002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24.901700000000002</v>
      </c>
      <c r="R59" s="9"/>
      <c r="S59" s="11"/>
    </row>
    <row r="60" spans="1:19" ht="15" customHeight="1">
      <c r="A60" s="13">
        <v>43313</v>
      </c>
      <c r="B60" s="8">
        <f>CHOOSE( CONTROL!$C$32, 3.5433, 3.5401) * CHOOSE(CONTROL!$C$15, $D$11, 100%, $F$11)</f>
        <v>3.5432999999999999</v>
      </c>
      <c r="C60" s="8">
        <f>CHOOSE( CONTROL!$C$32, 3.5513, 3.5481) * CHOOSE(CONTROL!$C$15, $D$11, 100%, $F$11)</f>
        <v>3.5512999999999999</v>
      </c>
      <c r="D60" s="8">
        <f>CHOOSE( CONTROL!$C$32, 3.5544, 3.5512) * CHOOSE( CONTROL!$C$15, $D$11, 100%, $F$11)</f>
        <v>3.5543999999999998</v>
      </c>
      <c r="E60" s="12">
        <f>CHOOSE( CONTROL!$C$32, 3.5521, 3.5489) * CHOOSE( CONTROL!$C$15, $D$11, 100%, $F$11)</f>
        <v>3.5520999999999998</v>
      </c>
      <c r="F60" s="4">
        <f>CHOOSE( CONTROL!$C$32, 4.2248, 4.2216) * CHOOSE(CONTROL!$C$15, $D$11, 100%, $F$11)</f>
        <v>4.2248000000000001</v>
      </c>
      <c r="G60" s="8">
        <f>CHOOSE( CONTROL!$C$32, 3.4529, 3.4497) * CHOOSE( CONTROL!$C$15, $D$11, 100%, $F$11)</f>
        <v>3.4529000000000001</v>
      </c>
      <c r="H60" s="4">
        <f>CHOOSE( CONTROL!$C$32, 4.3835, 4.3804) * CHOOSE(CONTROL!$C$15, $D$11, 100%, $F$11)</f>
        <v>4.3834999999999997</v>
      </c>
      <c r="I60" s="8">
        <f>CHOOSE( CONTROL!$C$32, 3.4897, 3.4866) * CHOOSE(CONTROL!$C$15, $D$11, 100%, $F$11)</f>
        <v>3.4897</v>
      </c>
      <c r="J60" s="4">
        <f>CHOOSE( CONTROL!$C$32, 3.3941, 3.391) * CHOOSE(CONTROL!$C$15, $D$11, 100%, $F$11)</f>
        <v>3.3940999999999999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1.2183999999999999</v>
      </c>
      <c r="Q60" s="9">
        <v>24.901700000000002</v>
      </c>
      <c r="R60" s="9"/>
      <c r="S60" s="11"/>
    </row>
    <row r="61" spans="1:19" ht="15" customHeight="1">
      <c r="A61" s="13">
        <v>43344</v>
      </c>
      <c r="B61" s="8">
        <f>CHOOSE( CONTROL!$C$32, 3.4698, 3.4666) * CHOOSE(CONTROL!$C$15, $D$11, 100%, $F$11)</f>
        <v>3.4698000000000002</v>
      </c>
      <c r="C61" s="8">
        <f>CHOOSE( CONTROL!$C$32, 3.4778, 3.4746) * CHOOSE(CONTROL!$C$15, $D$11, 100%, $F$11)</f>
        <v>3.4777999999999998</v>
      </c>
      <c r="D61" s="8">
        <f>CHOOSE( CONTROL!$C$32, 3.4809, 3.4777) * CHOOSE( CONTROL!$C$15, $D$11, 100%, $F$11)</f>
        <v>3.4809000000000001</v>
      </c>
      <c r="E61" s="12">
        <f>CHOOSE( CONTROL!$C$32, 3.4786, 3.4754) * CHOOSE( CONTROL!$C$15, $D$11, 100%, $F$11)</f>
        <v>3.4786000000000001</v>
      </c>
      <c r="F61" s="4">
        <f>CHOOSE( CONTROL!$C$32, 4.1514, 4.1482) * CHOOSE(CONTROL!$C$15, $D$11, 100%, $F$11)</f>
        <v>4.1513999999999998</v>
      </c>
      <c r="G61" s="8">
        <f>CHOOSE( CONTROL!$C$32, 3.3807, 3.3775) * CHOOSE( CONTROL!$C$15, $D$11, 100%, $F$11)</f>
        <v>3.3807</v>
      </c>
      <c r="H61" s="4">
        <f>CHOOSE( CONTROL!$C$32, 4.3113, 4.3081) * CHOOSE(CONTROL!$C$15, $D$11, 100%, $F$11)</f>
        <v>4.3113000000000001</v>
      </c>
      <c r="I61" s="8">
        <f>CHOOSE( CONTROL!$C$32, 3.4188, 3.4157) * CHOOSE(CONTROL!$C$15, $D$11, 100%, $F$11)</f>
        <v>3.4188000000000001</v>
      </c>
      <c r="J61" s="4">
        <f>CHOOSE( CONTROL!$C$32, 3.323, 3.3199) * CHOOSE(CONTROL!$C$15, $D$11, 100%, $F$11)</f>
        <v>3.323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1.1791</v>
      </c>
      <c r="Q61" s="9">
        <v>24.098400000000002</v>
      </c>
      <c r="R61" s="9"/>
      <c r="S61" s="11"/>
    </row>
    <row r="62" spans="1:19" ht="15" customHeight="1">
      <c r="A62" s="13">
        <v>43374</v>
      </c>
      <c r="B62" s="8">
        <f>3.6174 * CHOOSE(CONTROL!$C$15, $D$11, 100%, $F$11)</f>
        <v>3.6173999999999999</v>
      </c>
      <c r="C62" s="8">
        <f>3.6228 * CHOOSE(CONTROL!$C$15, $D$11, 100%, $F$11)</f>
        <v>3.6227999999999998</v>
      </c>
      <c r="D62" s="8">
        <f>3.6307 * CHOOSE( CONTROL!$C$15, $D$11, 100%, $F$11)</f>
        <v>3.6307</v>
      </c>
      <c r="E62" s="12">
        <f>3.6275 * CHOOSE( CONTROL!$C$15, $D$11, 100%, $F$11)</f>
        <v>3.6274999999999999</v>
      </c>
      <c r="F62" s="4">
        <f>4.3007 * CHOOSE(CONTROL!$C$15, $D$11, 100%, $F$11)</f>
        <v>4.3007</v>
      </c>
      <c r="G62" s="8">
        <f>3.5271 * CHOOSE( CONTROL!$C$15, $D$11, 100%, $F$11)</f>
        <v>3.5270999999999999</v>
      </c>
      <c r="H62" s="4">
        <f>4.4582 * CHOOSE(CONTROL!$C$15, $D$11, 100%, $F$11)</f>
        <v>4.4581999999999997</v>
      </c>
      <c r="I62" s="8">
        <f>3.5638 * CHOOSE(CONTROL!$C$15, $D$11, 100%, $F$11)</f>
        <v>3.5638000000000001</v>
      </c>
      <c r="J62" s="4">
        <f>3.4674 * CHOOSE(CONTROL!$C$15, $D$11, 100%, $F$11)</f>
        <v>3.4674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1.2183999999999999</v>
      </c>
      <c r="Q62" s="9">
        <v>24.901700000000002</v>
      </c>
      <c r="R62" s="9"/>
      <c r="S62" s="11"/>
    </row>
    <row r="63" spans="1:19" ht="15" customHeight="1">
      <c r="A63" s="13">
        <v>43405</v>
      </c>
      <c r="B63" s="8">
        <f>3.8986 * CHOOSE(CONTROL!$C$15, $D$11, 100%, $F$11)</f>
        <v>3.8986000000000001</v>
      </c>
      <c r="C63" s="8">
        <f>3.9038 * CHOOSE(CONTROL!$C$15, $D$11, 100%, $F$11)</f>
        <v>3.9037999999999999</v>
      </c>
      <c r="D63" s="8">
        <f>3.8813 * CHOOSE( CONTROL!$C$15, $D$11, 100%, $F$11)</f>
        <v>3.8813</v>
      </c>
      <c r="E63" s="12">
        <f>3.889 * CHOOSE( CONTROL!$C$15, $D$11, 100%, $F$11)</f>
        <v>3.8889999999999998</v>
      </c>
      <c r="F63" s="4">
        <f>4.5435 * CHOOSE(CONTROL!$C$15, $D$11, 100%, $F$11)</f>
        <v>4.5434999999999999</v>
      </c>
      <c r="G63" s="8">
        <f>3.8166 * CHOOSE( CONTROL!$C$15, $D$11, 100%, $F$11)</f>
        <v>3.8166000000000002</v>
      </c>
      <c r="H63" s="4">
        <f>4.6969 * CHOOSE(CONTROL!$C$15, $D$11, 100%, $F$11)</f>
        <v>4.6969000000000003</v>
      </c>
      <c r="I63" s="8">
        <f>3.8618 * CHOOSE(CONTROL!$C$15, $D$11, 100%, $F$11)</f>
        <v>3.8618000000000001</v>
      </c>
      <c r="J63" s="4">
        <f>3.7396 * CHOOSE(CONTROL!$C$15, $D$11, 100%, $F$11)</f>
        <v>3.7395999999999998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24.098400000000002</v>
      </c>
      <c r="R63" s="9"/>
      <c r="S63" s="11"/>
    </row>
    <row r="64" spans="1:19" ht="15" customHeight="1">
      <c r="A64" s="13">
        <v>43435</v>
      </c>
      <c r="B64" s="8">
        <f>3.8916 * CHOOSE(CONTROL!$C$15, $D$11, 100%, $F$11)</f>
        <v>3.8915999999999999</v>
      </c>
      <c r="C64" s="8">
        <f>3.8967 * CHOOSE(CONTROL!$C$15, $D$11, 100%, $F$11)</f>
        <v>3.8967000000000001</v>
      </c>
      <c r="D64" s="8">
        <f>3.8757 * CHOOSE( CONTROL!$C$15, $D$11, 100%, $F$11)</f>
        <v>3.8757000000000001</v>
      </c>
      <c r="E64" s="12">
        <f>3.8828 * CHOOSE( CONTROL!$C$15, $D$11, 100%, $F$11)</f>
        <v>3.8828</v>
      </c>
      <c r="F64" s="4">
        <f>4.5365 * CHOOSE(CONTROL!$C$15, $D$11, 100%, $F$11)</f>
        <v>4.5365000000000002</v>
      </c>
      <c r="G64" s="8">
        <f>3.8107 * CHOOSE( CONTROL!$C$15, $D$11, 100%, $F$11)</f>
        <v>3.8107000000000002</v>
      </c>
      <c r="H64" s="4">
        <f>4.69 * CHOOSE(CONTROL!$C$15, $D$11, 100%, $F$11)</f>
        <v>4.6900000000000004</v>
      </c>
      <c r="I64" s="8">
        <f>3.8596 * CHOOSE(CONTROL!$C$15, $D$11, 100%, $F$11)</f>
        <v>3.8595999999999999</v>
      </c>
      <c r="J64" s="4">
        <f>3.7328 * CHOOSE(CONTROL!$C$15, $D$11, 100%, $F$11)</f>
        <v>3.7328000000000001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24.901700000000002</v>
      </c>
      <c r="R64" s="9"/>
      <c r="S64" s="11"/>
    </row>
    <row r="65" spans="1:19" ht="15" customHeight="1">
      <c r="A65" s="13">
        <v>43466</v>
      </c>
      <c r="B65" s="8">
        <f>3.9435 * CHOOSE(CONTROL!$C$15, $D$11, 100%, $F$11)</f>
        <v>3.9434999999999998</v>
      </c>
      <c r="C65" s="8">
        <f>3.9486 * CHOOSE(CONTROL!$C$15, $D$11, 100%, $F$11)</f>
        <v>3.9485999999999999</v>
      </c>
      <c r="D65" s="8">
        <f>3.9266 * CHOOSE( CONTROL!$C$15, $D$11, 100%, $F$11)</f>
        <v>3.9266000000000001</v>
      </c>
      <c r="E65" s="12">
        <f>3.9341 * CHOOSE( CONTROL!$C$15, $D$11, 100%, $F$11)</f>
        <v>3.9340999999999999</v>
      </c>
      <c r="F65" s="4">
        <f>4.5884 * CHOOSE(CONTROL!$C$15, $D$11, 100%, $F$11)</f>
        <v>4.5884</v>
      </c>
      <c r="G65" s="8">
        <f>3.8592 * CHOOSE( CONTROL!$C$15, $D$11, 100%, $F$11)</f>
        <v>3.8592</v>
      </c>
      <c r="H65" s="4">
        <f>4.7411 * CHOOSE(CONTROL!$C$15, $D$11, 100%, $F$11)</f>
        <v>4.7411000000000003</v>
      </c>
      <c r="I65" s="8">
        <f>3.8816 * CHOOSE(CONTROL!$C$15, $D$11, 100%, $F$11)</f>
        <v>3.8816000000000002</v>
      </c>
      <c r="J65" s="4">
        <f>3.783 * CHOOSE(CONTROL!$C$15, $D$11, 100%, $F$11)</f>
        <v>3.7829999999999999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24.651199999999999</v>
      </c>
      <c r="R65" s="9"/>
      <c r="S65" s="11"/>
    </row>
    <row r="66" spans="1:19" ht="15" customHeight="1">
      <c r="A66" s="13">
        <v>43497</v>
      </c>
      <c r="B66" s="8">
        <f>3.6905 * CHOOSE(CONTROL!$C$15, $D$11, 100%, $F$11)</f>
        <v>3.6905000000000001</v>
      </c>
      <c r="C66" s="8">
        <f>3.6956 * CHOOSE(CONTROL!$C$15, $D$11, 100%, $F$11)</f>
        <v>3.6956000000000002</v>
      </c>
      <c r="D66" s="8">
        <f>3.6693 * CHOOSE( CONTROL!$C$15, $D$11, 100%, $F$11)</f>
        <v>3.6692999999999998</v>
      </c>
      <c r="E66" s="12">
        <f>3.6784 * CHOOSE( CONTROL!$C$15, $D$11, 100%, $F$11)</f>
        <v>3.6783999999999999</v>
      </c>
      <c r="F66" s="4">
        <f>4.3354 * CHOOSE(CONTROL!$C$15, $D$11, 100%, $F$11)</f>
        <v>4.3353999999999999</v>
      </c>
      <c r="G66" s="8">
        <f>3.6019 * CHOOSE( CONTROL!$C$15, $D$11, 100%, $F$11)</f>
        <v>3.6019000000000001</v>
      </c>
      <c r="H66" s="4">
        <f>4.4923 * CHOOSE(CONTROL!$C$15, $D$11, 100%, $F$11)</f>
        <v>4.4923000000000002</v>
      </c>
      <c r="I66" s="8">
        <f>3.6079 * CHOOSE(CONTROL!$C$15, $D$11, 100%, $F$11)</f>
        <v>3.6078999999999999</v>
      </c>
      <c r="J66" s="4">
        <f>3.5385 * CHOOSE(CONTROL!$C$15, $D$11, 100%, $F$11)</f>
        <v>3.5385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22.265599999999999</v>
      </c>
      <c r="R66" s="9"/>
      <c r="S66" s="11"/>
    </row>
    <row r="67" spans="1:19" ht="15" customHeight="1">
      <c r="A67" s="13">
        <v>43525</v>
      </c>
      <c r="B67" s="8">
        <f>3.6126 * CHOOSE(CONTROL!$C$15, $D$11, 100%, $F$11)</f>
        <v>3.6126</v>
      </c>
      <c r="C67" s="8">
        <f>3.6177 * CHOOSE(CONTROL!$C$15, $D$11, 100%, $F$11)</f>
        <v>3.6177000000000001</v>
      </c>
      <c r="D67" s="8">
        <f>3.5917 * CHOOSE( CONTROL!$C$15, $D$11, 100%, $F$11)</f>
        <v>3.5916999999999999</v>
      </c>
      <c r="E67" s="12">
        <f>3.6007 * CHOOSE( CONTROL!$C$15, $D$11, 100%, $F$11)</f>
        <v>3.6006999999999998</v>
      </c>
      <c r="F67" s="4">
        <f>4.2575 * CHOOSE(CONTROL!$C$15, $D$11, 100%, $F$11)</f>
        <v>4.2575000000000003</v>
      </c>
      <c r="G67" s="8">
        <f>3.5256 * CHOOSE( CONTROL!$C$15, $D$11, 100%, $F$11)</f>
        <v>3.5255999999999998</v>
      </c>
      <c r="H67" s="4">
        <f>4.4157 * CHOOSE(CONTROL!$C$15, $D$11, 100%, $F$11)</f>
        <v>4.4157000000000002</v>
      </c>
      <c r="I67" s="8">
        <f>3.5338 * CHOOSE(CONTROL!$C$15, $D$11, 100%, $F$11)</f>
        <v>3.5337999999999998</v>
      </c>
      <c r="J67" s="4">
        <f>3.4631 * CHOOSE(CONTROL!$C$15, $D$11, 100%, $F$11)</f>
        <v>3.4630999999999998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24.651199999999999</v>
      </c>
      <c r="R67" s="9"/>
      <c r="S67" s="11"/>
    </row>
    <row r="68" spans="1:19" ht="15" customHeight="1">
      <c r="A68" s="13">
        <v>43556</v>
      </c>
      <c r="B68" s="8">
        <f>3.6678 * CHOOSE(CONTROL!$C$15, $D$11, 100%, $F$11)</f>
        <v>3.6678000000000002</v>
      </c>
      <c r="C68" s="8">
        <f>3.6724 * CHOOSE(CONTROL!$C$15, $D$11, 100%, $F$11)</f>
        <v>3.6724000000000001</v>
      </c>
      <c r="D68" s="8">
        <f>3.6795 * CHOOSE( CONTROL!$C$15, $D$11, 100%, $F$11)</f>
        <v>3.6795</v>
      </c>
      <c r="E68" s="12">
        <f>3.6766 * CHOOSE( CONTROL!$C$15, $D$11, 100%, $F$11)</f>
        <v>3.6766000000000001</v>
      </c>
      <c r="F68" s="4">
        <f>4.3507 * CHOOSE(CONTROL!$C$15, $D$11, 100%, $F$11)</f>
        <v>4.3506999999999998</v>
      </c>
      <c r="G68" s="8">
        <f>3.5744 * CHOOSE( CONTROL!$C$15, $D$11, 100%, $F$11)</f>
        <v>3.5743999999999998</v>
      </c>
      <c r="H68" s="4">
        <f>4.5074 * CHOOSE(CONTROL!$C$15, $D$11, 100%, $F$11)</f>
        <v>4.5073999999999996</v>
      </c>
      <c r="I68" s="8">
        <f>3.6063 * CHOOSE(CONTROL!$C$15, $D$11, 100%, $F$11)</f>
        <v>3.6063000000000001</v>
      </c>
      <c r="J68" s="4">
        <f>3.5158 * CHOOSE(CONTROL!$C$15, $D$11, 100%, $F$11)</f>
        <v>3.5158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1.1791</v>
      </c>
      <c r="Q68" s="9">
        <v>23.856000000000002</v>
      </c>
      <c r="R68" s="9"/>
      <c r="S68" s="11"/>
    </row>
    <row r="69" spans="1:19" ht="15" customHeight="1">
      <c r="A69" s="13">
        <v>43586</v>
      </c>
      <c r="B69" s="8">
        <f>CHOOSE( CONTROL!$C$32, 3.7693, 3.7661) * CHOOSE(CONTROL!$C$15, $D$11, 100%, $F$11)</f>
        <v>3.7692999999999999</v>
      </c>
      <c r="C69" s="8">
        <f>CHOOSE( CONTROL!$C$32, 3.7773, 3.7741) * CHOOSE(CONTROL!$C$15, $D$11, 100%, $F$11)</f>
        <v>3.7772999999999999</v>
      </c>
      <c r="D69" s="8">
        <f>CHOOSE( CONTROL!$C$32, 3.7796, 3.7764) * CHOOSE( CONTROL!$C$15, $D$11, 100%, $F$11)</f>
        <v>3.7795999999999998</v>
      </c>
      <c r="E69" s="12">
        <f>CHOOSE( CONTROL!$C$32, 3.7775, 3.7743) * CHOOSE( CONTROL!$C$15, $D$11, 100%, $F$11)</f>
        <v>3.7774999999999999</v>
      </c>
      <c r="F69" s="4">
        <f>CHOOSE( CONTROL!$C$32, 4.4508, 4.4476) * CHOOSE(CONTROL!$C$15, $D$11, 100%, $F$11)</f>
        <v>4.4508000000000001</v>
      </c>
      <c r="G69" s="8">
        <f>CHOOSE( CONTROL!$C$32, 3.674, 3.6709) * CHOOSE( CONTROL!$C$15, $D$11, 100%, $F$11)</f>
        <v>3.6739999999999999</v>
      </c>
      <c r="H69" s="4">
        <f>CHOOSE( CONTROL!$C$32, 4.6058, 4.6027) * CHOOSE(CONTROL!$C$15, $D$11, 100%, $F$11)</f>
        <v>4.6058000000000003</v>
      </c>
      <c r="I69" s="8">
        <f>CHOOSE( CONTROL!$C$32, 3.7046, 3.7016) * CHOOSE(CONTROL!$C$15, $D$11, 100%, $F$11)</f>
        <v>3.7046000000000001</v>
      </c>
      <c r="J69" s="4">
        <f>CHOOSE( CONTROL!$C$32, 3.6125, 3.6095) * CHOOSE(CONTROL!$C$15, $D$11, 100%, $F$11)</f>
        <v>3.6124999999999998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1.2183999999999999</v>
      </c>
      <c r="Q69" s="9">
        <v>24.651199999999999</v>
      </c>
      <c r="R69" s="9"/>
      <c r="S69" s="11"/>
    </row>
    <row r="70" spans="1:19" ht="15" customHeight="1">
      <c r="A70" s="13">
        <v>43617</v>
      </c>
      <c r="B70" s="8">
        <f>CHOOSE( CONTROL!$C$32, 3.7093, 3.7061) * CHOOSE(CONTROL!$C$15, $D$11, 100%, $F$11)</f>
        <v>3.7092999999999998</v>
      </c>
      <c r="C70" s="8">
        <f>CHOOSE( CONTROL!$C$32, 3.7173, 3.7141) * CHOOSE(CONTROL!$C$15, $D$11, 100%, $F$11)</f>
        <v>3.7172999999999998</v>
      </c>
      <c r="D70" s="8">
        <f>CHOOSE( CONTROL!$C$32, 3.7199, 3.7167) * CHOOSE( CONTROL!$C$15, $D$11, 100%, $F$11)</f>
        <v>3.7199</v>
      </c>
      <c r="E70" s="12">
        <f>CHOOSE( CONTROL!$C$32, 3.7177, 3.7145) * CHOOSE( CONTROL!$C$15, $D$11, 100%, $F$11)</f>
        <v>3.7176999999999998</v>
      </c>
      <c r="F70" s="4">
        <f>CHOOSE( CONTROL!$C$32, 4.3908, 4.3876) * CHOOSE(CONTROL!$C$15, $D$11, 100%, $F$11)</f>
        <v>4.3907999999999996</v>
      </c>
      <c r="G70" s="8">
        <f>CHOOSE( CONTROL!$C$32, 3.6154, 3.6123) * CHOOSE( CONTROL!$C$15, $D$11, 100%, $F$11)</f>
        <v>3.6154000000000002</v>
      </c>
      <c r="H70" s="4">
        <f>CHOOSE( CONTROL!$C$32, 4.5468, 4.5436) * CHOOSE(CONTROL!$C$15, $D$11, 100%, $F$11)</f>
        <v>4.5468000000000002</v>
      </c>
      <c r="I70" s="8">
        <f>CHOOSE( CONTROL!$C$32, 3.648, 3.6449) * CHOOSE(CONTROL!$C$15, $D$11, 100%, $F$11)</f>
        <v>3.6480000000000001</v>
      </c>
      <c r="J70" s="4">
        <f>CHOOSE( CONTROL!$C$32, 3.5545, 3.5514) * CHOOSE(CONTROL!$C$15, $D$11, 100%, $F$11)</f>
        <v>3.5545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1.1791</v>
      </c>
      <c r="Q70" s="9">
        <v>23.856000000000002</v>
      </c>
      <c r="R70" s="9"/>
      <c r="S70" s="11"/>
    </row>
    <row r="71" spans="1:19" ht="15" customHeight="1">
      <c r="A71" s="13">
        <v>43647</v>
      </c>
      <c r="B71" s="8">
        <f>CHOOSE( CONTROL!$C$32, 3.8673, 3.8641) * CHOOSE(CONTROL!$C$15, $D$11, 100%, $F$11)</f>
        <v>3.8673000000000002</v>
      </c>
      <c r="C71" s="8">
        <f>CHOOSE( CONTROL!$C$32, 3.8754, 3.8722) * CHOOSE(CONTROL!$C$15, $D$11, 100%, $F$11)</f>
        <v>3.8754</v>
      </c>
      <c r="D71" s="8">
        <f>CHOOSE( CONTROL!$C$32, 3.8783, 3.8751) * CHOOSE( CONTROL!$C$15, $D$11, 100%, $F$11)</f>
        <v>3.8782999999999999</v>
      </c>
      <c r="E71" s="12">
        <f>CHOOSE( CONTROL!$C$32, 3.876, 3.8728) * CHOOSE( CONTROL!$C$15, $D$11, 100%, $F$11)</f>
        <v>3.8759999999999999</v>
      </c>
      <c r="F71" s="4">
        <f>CHOOSE( CONTROL!$C$32, 4.5489, 4.5457) * CHOOSE(CONTROL!$C$15, $D$11, 100%, $F$11)</f>
        <v>4.5488999999999997</v>
      </c>
      <c r="G71" s="8">
        <f>CHOOSE( CONTROL!$C$32, 3.7713, 3.7682) * CHOOSE( CONTROL!$C$15, $D$11, 100%, $F$11)</f>
        <v>3.7713000000000001</v>
      </c>
      <c r="H71" s="4">
        <f>CHOOSE( CONTROL!$C$32, 4.7022, 4.6991) * CHOOSE(CONTROL!$C$15, $D$11, 100%, $F$11)</f>
        <v>4.7022000000000004</v>
      </c>
      <c r="I71" s="8">
        <f>CHOOSE( CONTROL!$C$32, 3.8023, 3.7992) * CHOOSE(CONTROL!$C$15, $D$11, 100%, $F$11)</f>
        <v>3.8022999999999998</v>
      </c>
      <c r="J71" s="4">
        <f>CHOOSE( CONTROL!$C$32, 3.7073, 3.7042) * CHOOSE(CONTROL!$C$15, $D$11, 100%, $F$11)</f>
        <v>3.7073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24.651199999999999</v>
      </c>
      <c r="R71" s="9"/>
      <c r="S71" s="11"/>
    </row>
    <row r="72" spans="1:19" ht="15" customHeight="1">
      <c r="A72" s="13">
        <v>43678</v>
      </c>
      <c r="B72" s="8">
        <f>CHOOSE( CONTROL!$C$32, 3.5716, 3.5684) * CHOOSE(CONTROL!$C$15, $D$11, 100%, $F$11)</f>
        <v>3.5716000000000001</v>
      </c>
      <c r="C72" s="8">
        <f>CHOOSE( CONTROL!$C$32, 3.5796, 3.5764) * CHOOSE(CONTROL!$C$15, $D$11, 100%, $F$11)</f>
        <v>3.5796000000000001</v>
      </c>
      <c r="D72" s="8">
        <f>CHOOSE( CONTROL!$C$32, 3.5827, 3.5795) * CHOOSE( CONTROL!$C$15, $D$11, 100%, $F$11)</f>
        <v>3.5827</v>
      </c>
      <c r="E72" s="12">
        <f>CHOOSE( CONTROL!$C$32, 3.5804, 3.5772) * CHOOSE( CONTROL!$C$15, $D$11, 100%, $F$11)</f>
        <v>3.5804</v>
      </c>
      <c r="F72" s="4">
        <f>CHOOSE( CONTROL!$C$32, 4.2531, 4.2499) * CHOOSE(CONTROL!$C$15, $D$11, 100%, $F$11)</f>
        <v>4.2530999999999999</v>
      </c>
      <c r="G72" s="8">
        <f>CHOOSE( CONTROL!$C$32, 3.4807, 3.4775) * CHOOSE( CONTROL!$C$15, $D$11, 100%, $F$11)</f>
        <v>3.4807000000000001</v>
      </c>
      <c r="H72" s="4">
        <f>CHOOSE( CONTROL!$C$32, 4.4113, 4.4082) * CHOOSE(CONTROL!$C$15, $D$11, 100%, $F$11)</f>
        <v>4.4112999999999998</v>
      </c>
      <c r="I72" s="8">
        <f>CHOOSE( CONTROL!$C$32, 3.517, 3.5139) * CHOOSE(CONTROL!$C$15, $D$11, 100%, $F$11)</f>
        <v>3.5169999999999999</v>
      </c>
      <c r="J72" s="4">
        <f>CHOOSE( CONTROL!$C$32, 3.4214, 3.4183) * CHOOSE(CONTROL!$C$15, $D$11, 100%, $F$11)</f>
        <v>3.4214000000000002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1.2183999999999999</v>
      </c>
      <c r="Q72" s="9">
        <v>24.651199999999999</v>
      </c>
      <c r="R72" s="9"/>
      <c r="S72" s="11"/>
    </row>
    <row r="73" spans="1:19" ht="15" customHeight="1">
      <c r="A73" s="13">
        <v>43709</v>
      </c>
      <c r="B73" s="8">
        <f>CHOOSE( CONTROL!$C$32, 3.4975, 3.4943) * CHOOSE(CONTROL!$C$15, $D$11, 100%, $F$11)</f>
        <v>3.4975000000000001</v>
      </c>
      <c r="C73" s="8">
        <f>CHOOSE( CONTROL!$C$32, 3.5055, 3.5023) * CHOOSE(CONTROL!$C$15, $D$11, 100%, $F$11)</f>
        <v>3.5055000000000001</v>
      </c>
      <c r="D73" s="8">
        <f>CHOOSE( CONTROL!$C$32, 3.5086, 3.5054) * CHOOSE( CONTROL!$C$15, $D$11, 100%, $F$11)</f>
        <v>3.5085999999999999</v>
      </c>
      <c r="E73" s="12">
        <f>CHOOSE( CONTROL!$C$32, 3.5063, 3.5031) * CHOOSE( CONTROL!$C$15, $D$11, 100%, $F$11)</f>
        <v>3.5063</v>
      </c>
      <c r="F73" s="4">
        <f>CHOOSE( CONTROL!$C$32, 4.179, 4.1758) * CHOOSE(CONTROL!$C$15, $D$11, 100%, $F$11)</f>
        <v>4.1790000000000003</v>
      </c>
      <c r="G73" s="8">
        <f>CHOOSE( CONTROL!$C$32, 3.4079, 3.4047) * CHOOSE( CONTROL!$C$15, $D$11, 100%, $F$11)</f>
        <v>3.4079000000000002</v>
      </c>
      <c r="H73" s="4">
        <f>CHOOSE( CONTROL!$C$32, 4.3385, 4.3354) * CHOOSE(CONTROL!$C$15, $D$11, 100%, $F$11)</f>
        <v>4.3384999999999998</v>
      </c>
      <c r="I73" s="8">
        <f>CHOOSE( CONTROL!$C$32, 3.4455, 3.4424) * CHOOSE(CONTROL!$C$15, $D$11, 100%, $F$11)</f>
        <v>3.4455</v>
      </c>
      <c r="J73" s="4">
        <f>CHOOSE( CONTROL!$C$32, 3.3498, 3.3467) * CHOOSE(CONTROL!$C$15, $D$11, 100%, $F$11)</f>
        <v>3.3498000000000001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1.1791</v>
      </c>
      <c r="Q73" s="9">
        <v>23.856000000000002</v>
      </c>
      <c r="R73" s="9"/>
      <c r="S73" s="11"/>
    </row>
    <row r="74" spans="1:19" ht="15" customHeight="1">
      <c r="A74" s="13">
        <v>43739</v>
      </c>
      <c r="B74" s="8">
        <f>3.6464 * CHOOSE(CONTROL!$C$15, $D$11, 100%, $F$11)</f>
        <v>3.6463999999999999</v>
      </c>
      <c r="C74" s="8">
        <f>3.6517 * CHOOSE(CONTROL!$C$15, $D$11, 100%, $F$11)</f>
        <v>3.6516999999999999</v>
      </c>
      <c r="D74" s="8">
        <f>3.6596 * CHOOSE( CONTROL!$C$15, $D$11, 100%, $F$11)</f>
        <v>3.6596000000000002</v>
      </c>
      <c r="E74" s="12">
        <f>3.6564 * CHOOSE( CONTROL!$C$15, $D$11, 100%, $F$11)</f>
        <v>3.6564000000000001</v>
      </c>
      <c r="F74" s="4">
        <f>4.3296 * CHOOSE(CONTROL!$C$15, $D$11, 100%, $F$11)</f>
        <v>4.3296000000000001</v>
      </c>
      <c r="G74" s="8">
        <f>3.5555 * CHOOSE( CONTROL!$C$15, $D$11, 100%, $F$11)</f>
        <v>3.5554999999999999</v>
      </c>
      <c r="H74" s="4">
        <f>4.4866 * CHOOSE(CONTROL!$C$15, $D$11, 100%, $F$11)</f>
        <v>4.4866000000000001</v>
      </c>
      <c r="I74" s="8">
        <f>3.5918 * CHOOSE(CONTROL!$C$15, $D$11, 100%, $F$11)</f>
        <v>3.5918000000000001</v>
      </c>
      <c r="J74" s="4">
        <f>3.4954 * CHOOSE(CONTROL!$C$15, $D$11, 100%, $F$11)</f>
        <v>3.4954000000000001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1.2183999999999999</v>
      </c>
      <c r="Q74" s="9">
        <v>24.651199999999999</v>
      </c>
      <c r="R74" s="9"/>
      <c r="S74" s="11"/>
    </row>
    <row r="75" spans="1:19" ht="15" customHeight="1">
      <c r="A75" s="13">
        <v>43770</v>
      </c>
      <c r="B75" s="8">
        <f>3.9298 * CHOOSE(CONTROL!$C$15, $D$11, 100%, $F$11)</f>
        <v>3.9298000000000002</v>
      </c>
      <c r="C75" s="8">
        <f>3.9349 * CHOOSE(CONTROL!$C$15, $D$11, 100%, $F$11)</f>
        <v>3.9348999999999998</v>
      </c>
      <c r="D75" s="8">
        <f>3.9125 * CHOOSE( CONTROL!$C$15, $D$11, 100%, $F$11)</f>
        <v>3.9125000000000001</v>
      </c>
      <c r="E75" s="12">
        <f>3.9201 * CHOOSE( CONTROL!$C$15, $D$11, 100%, $F$11)</f>
        <v>3.9201000000000001</v>
      </c>
      <c r="F75" s="4">
        <f>4.5747 * CHOOSE(CONTROL!$C$15, $D$11, 100%, $F$11)</f>
        <v>4.5747</v>
      </c>
      <c r="G75" s="8">
        <f>3.8473 * CHOOSE( CONTROL!$C$15, $D$11, 100%, $F$11)</f>
        <v>3.8473000000000002</v>
      </c>
      <c r="H75" s="4">
        <f>4.7276 * CHOOSE(CONTROL!$C$15, $D$11, 100%, $F$11)</f>
        <v>4.7275999999999998</v>
      </c>
      <c r="I75" s="8">
        <f>3.892 * CHOOSE(CONTROL!$C$15, $D$11, 100%, $F$11)</f>
        <v>3.8919999999999999</v>
      </c>
      <c r="J75" s="4">
        <f>3.7698 * CHOOSE(CONTROL!$C$15, $D$11, 100%, $F$11)</f>
        <v>3.7698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23.856000000000002</v>
      </c>
      <c r="R75" s="9"/>
      <c r="S75" s="11"/>
    </row>
    <row r="76" spans="1:19" ht="15.75">
      <c r="A76" s="13">
        <v>43800</v>
      </c>
      <c r="B76" s="8">
        <f>3.9227 * CHOOSE(CONTROL!$C$15, $D$11, 100%, $F$11)</f>
        <v>3.9226999999999999</v>
      </c>
      <c r="C76" s="8">
        <f>3.9278 * CHOOSE(CONTROL!$C$15, $D$11, 100%, $F$11)</f>
        <v>3.9278</v>
      </c>
      <c r="D76" s="8">
        <f>3.9068 * CHOOSE( CONTROL!$C$15, $D$11, 100%, $F$11)</f>
        <v>3.9068000000000001</v>
      </c>
      <c r="E76" s="12">
        <f>3.9139 * CHOOSE( CONTROL!$C$15, $D$11, 100%, $F$11)</f>
        <v>3.9138999999999999</v>
      </c>
      <c r="F76" s="4">
        <f>4.5676 * CHOOSE(CONTROL!$C$15, $D$11, 100%, $F$11)</f>
        <v>4.5675999999999997</v>
      </c>
      <c r="G76" s="8">
        <f>3.8413 * CHOOSE( CONTROL!$C$15, $D$11, 100%, $F$11)</f>
        <v>3.8412999999999999</v>
      </c>
      <c r="H76" s="4">
        <f>4.7206 * CHOOSE(CONTROL!$C$15, $D$11, 100%, $F$11)</f>
        <v>4.7206000000000001</v>
      </c>
      <c r="I76" s="8">
        <f>3.8897 * CHOOSE(CONTROL!$C$15, $D$11, 100%, $F$11)</f>
        <v>3.8896999999999999</v>
      </c>
      <c r="J76" s="4">
        <f>3.7629 * CHOOSE(CONTROL!$C$15, $D$11, 100%, $F$11)</f>
        <v>3.7629000000000001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24.651199999999999</v>
      </c>
      <c r="R76" s="9"/>
      <c r="S76" s="11"/>
    </row>
    <row r="77" spans="1:19" ht="15.75">
      <c r="A77" s="13">
        <v>43831</v>
      </c>
      <c r="B77" s="8">
        <f>4.6105 * CHOOSE(CONTROL!$C$15, $D$11, 100%, $F$11)</f>
        <v>4.6105</v>
      </c>
      <c r="C77" s="8">
        <f>4.6156 * CHOOSE(CONTROL!$C$15, $D$11, 100%, $F$11)</f>
        <v>4.6155999999999997</v>
      </c>
      <c r="D77" s="8">
        <f>4.5936 * CHOOSE( CONTROL!$C$15, $D$11, 100%, $F$11)</f>
        <v>4.5936000000000003</v>
      </c>
      <c r="E77" s="12">
        <f>4.6011 * CHOOSE( CONTROL!$C$15, $D$11, 100%, $F$11)</f>
        <v>4.6010999999999997</v>
      </c>
      <c r="F77" s="4">
        <f>5.2554 * CHOOSE(CONTROL!$C$15, $D$11, 100%, $F$11)</f>
        <v>5.2553999999999998</v>
      </c>
      <c r="G77" s="8">
        <f>4.5151 * CHOOSE( CONTROL!$C$15, $D$11, 100%, $F$11)</f>
        <v>4.5151000000000003</v>
      </c>
      <c r="H77" s="4">
        <f>5.397 * CHOOSE(CONTROL!$C$15, $D$11, 100%, $F$11)</f>
        <v>5.3970000000000002</v>
      </c>
      <c r="I77" s="8">
        <f>4.5267 * CHOOSE(CONTROL!$C$15, $D$11, 100%, $F$11)</f>
        <v>4.5266999999999999</v>
      </c>
      <c r="J77" s="4">
        <f>4.4278 * CHOOSE(CONTROL!$C$15, $D$11, 100%, $F$11)</f>
        <v>4.4278000000000004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22.150099999999998</v>
      </c>
      <c r="R77" s="9"/>
      <c r="S77" s="11"/>
    </row>
    <row r="78" spans="1:19" ht="15.75">
      <c r="A78" s="13">
        <v>43862</v>
      </c>
      <c r="B78" s="8">
        <f>4.3144 * CHOOSE(CONTROL!$C$15, $D$11, 100%, $F$11)</f>
        <v>4.3144</v>
      </c>
      <c r="C78" s="8">
        <f>4.3195 * CHOOSE(CONTROL!$C$15, $D$11, 100%, $F$11)</f>
        <v>4.3194999999999997</v>
      </c>
      <c r="D78" s="8">
        <f>4.2931 * CHOOSE( CONTROL!$C$15, $D$11, 100%, $F$11)</f>
        <v>4.2930999999999999</v>
      </c>
      <c r="E78" s="12">
        <f>4.3022 * CHOOSE( CONTROL!$C$15, $D$11, 100%, $F$11)</f>
        <v>4.3022</v>
      </c>
      <c r="F78" s="4">
        <f>4.9593 * CHOOSE(CONTROL!$C$15, $D$11, 100%, $F$11)</f>
        <v>4.9592999999999998</v>
      </c>
      <c r="G78" s="8">
        <f>4.2154 * CHOOSE( CONTROL!$C$15, $D$11, 100%, $F$11)</f>
        <v>4.2153999999999998</v>
      </c>
      <c r="H78" s="4">
        <f>5.1058 * CHOOSE(CONTROL!$C$15, $D$11, 100%, $F$11)</f>
        <v>5.1058000000000003</v>
      </c>
      <c r="I78" s="8">
        <f>4.2113 * CHOOSE(CONTROL!$C$15, $D$11, 100%, $F$11)</f>
        <v>4.2112999999999996</v>
      </c>
      <c r="J78" s="4">
        <f>4.1415 * CHOOSE(CONTROL!$C$15, $D$11, 100%, $F$11)</f>
        <v>4.1414999999999997</v>
      </c>
      <c r="K78" s="4"/>
      <c r="L78" s="9">
        <v>27.415299999999998</v>
      </c>
      <c r="M78" s="9">
        <v>11.285299999999999</v>
      </c>
      <c r="N78" s="9">
        <v>4.6254999999999997</v>
      </c>
      <c r="O78" s="9">
        <v>0.34989999999999999</v>
      </c>
      <c r="P78" s="9">
        <v>1.2093</v>
      </c>
      <c r="Q78" s="9">
        <v>20.7211</v>
      </c>
      <c r="R78" s="9"/>
      <c r="S78" s="11"/>
    </row>
    <row r="79" spans="1:19" ht="15.75">
      <c r="A79" s="13">
        <v>43891</v>
      </c>
      <c r="B79" s="8">
        <f>4.2232 * CHOOSE(CONTROL!$C$15, $D$11, 100%, $F$11)</f>
        <v>4.2232000000000003</v>
      </c>
      <c r="C79" s="8">
        <f>4.2283 * CHOOSE(CONTROL!$C$15, $D$11, 100%, $F$11)</f>
        <v>4.2282999999999999</v>
      </c>
      <c r="D79" s="8">
        <f>4.2023 * CHOOSE( CONTROL!$C$15, $D$11, 100%, $F$11)</f>
        <v>4.2023000000000001</v>
      </c>
      <c r="E79" s="12">
        <f>4.2113 * CHOOSE( CONTROL!$C$15, $D$11, 100%, $F$11)</f>
        <v>4.2112999999999996</v>
      </c>
      <c r="F79" s="4">
        <f>4.8681 * CHOOSE(CONTROL!$C$15, $D$11, 100%, $F$11)</f>
        <v>4.8681000000000001</v>
      </c>
      <c r="G79" s="8">
        <f>4.126 * CHOOSE( CONTROL!$C$15, $D$11, 100%, $F$11)</f>
        <v>4.1260000000000003</v>
      </c>
      <c r="H79" s="4">
        <f>5.0161 * CHOOSE(CONTROL!$C$15, $D$11, 100%, $F$11)</f>
        <v>5.0160999999999998</v>
      </c>
      <c r="I79" s="8">
        <f>4.1243 * CHOOSE(CONTROL!$C$15, $D$11, 100%, $F$11)</f>
        <v>4.1242999999999999</v>
      </c>
      <c r="J79" s="4">
        <f>4.0534 * CHOOSE(CONTROL!$C$15, $D$11, 100%, $F$11)</f>
        <v>4.0533999999999999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22.150099999999998</v>
      </c>
      <c r="R79" s="9"/>
      <c r="S79" s="11"/>
    </row>
    <row r="80" spans="1:19" ht="15.75">
      <c r="A80" s="13">
        <v>43922</v>
      </c>
      <c r="B80" s="8">
        <f>4.2877 * CHOOSE(CONTROL!$C$15, $D$11, 100%, $F$11)</f>
        <v>4.2877000000000001</v>
      </c>
      <c r="C80" s="8">
        <f>4.2922 * CHOOSE(CONTROL!$C$15, $D$11, 100%, $F$11)</f>
        <v>4.2922000000000002</v>
      </c>
      <c r="D80" s="8">
        <f>4.2994 * CHOOSE( CONTROL!$C$15, $D$11, 100%, $F$11)</f>
        <v>4.2994000000000003</v>
      </c>
      <c r="E80" s="12">
        <f>4.2965 * CHOOSE( CONTROL!$C$15, $D$11, 100%, $F$11)</f>
        <v>4.2965</v>
      </c>
      <c r="F80" s="4">
        <f>4.9706 * CHOOSE(CONTROL!$C$15, $D$11, 100%, $F$11)</f>
        <v>4.9706000000000001</v>
      </c>
      <c r="G80" s="8">
        <f>4.184 * CHOOSE( CONTROL!$C$15, $D$11, 100%, $F$11)</f>
        <v>4.1840000000000002</v>
      </c>
      <c r="H80" s="4">
        <f>5.1169 * CHOOSE(CONTROL!$C$15, $D$11, 100%, $F$11)</f>
        <v>5.1169000000000002</v>
      </c>
      <c r="I80" s="8">
        <f>4.2058 * CHOOSE(CONTROL!$C$15, $D$11, 100%, $F$11)</f>
        <v>4.2058</v>
      </c>
      <c r="J80" s="4">
        <f>4.115 * CHOOSE(CONTROL!$C$15, $D$11, 100%, $F$11)</f>
        <v>4.1150000000000002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1.1791</v>
      </c>
      <c r="Q80" s="9">
        <v>21.435600000000001</v>
      </c>
      <c r="R80" s="9"/>
      <c r="S80" s="11"/>
    </row>
    <row r="81" spans="1:19" ht="15.75">
      <c r="A81" s="13">
        <v>43952</v>
      </c>
      <c r="B81" s="8">
        <f>CHOOSE( CONTROL!$C$32, 4.4057, 4.4025) * CHOOSE(CONTROL!$C$15, $D$11, 100%, $F$11)</f>
        <v>4.4057000000000004</v>
      </c>
      <c r="C81" s="8">
        <f>CHOOSE( CONTROL!$C$32, 4.4137, 4.4105) * CHOOSE(CONTROL!$C$15, $D$11, 100%, $F$11)</f>
        <v>4.4137000000000004</v>
      </c>
      <c r="D81" s="8">
        <f>CHOOSE( CONTROL!$C$32, 4.416, 4.4128) * CHOOSE( CONTROL!$C$15, $D$11, 100%, $F$11)</f>
        <v>4.4160000000000004</v>
      </c>
      <c r="E81" s="12">
        <f>CHOOSE( CONTROL!$C$32, 4.4139, 4.4107) * CHOOSE( CONTROL!$C$15, $D$11, 100%, $F$11)</f>
        <v>4.4138999999999999</v>
      </c>
      <c r="F81" s="4">
        <f>CHOOSE( CONTROL!$C$32, 5.0872, 5.084) * CHOOSE(CONTROL!$C$15, $D$11, 100%, $F$11)</f>
        <v>5.0872000000000002</v>
      </c>
      <c r="G81" s="8">
        <f>CHOOSE( CONTROL!$C$32, 4.2998, 4.2967) * CHOOSE( CONTROL!$C$15, $D$11, 100%, $F$11)</f>
        <v>4.2998000000000003</v>
      </c>
      <c r="H81" s="4">
        <f>CHOOSE( CONTROL!$C$32, 5.2316, 5.2285) * CHOOSE(CONTROL!$C$15, $D$11, 100%, $F$11)</f>
        <v>5.2316000000000003</v>
      </c>
      <c r="I81" s="8">
        <f>CHOOSE( CONTROL!$C$32, 4.3201, 4.317) * CHOOSE(CONTROL!$C$15, $D$11, 100%, $F$11)</f>
        <v>4.3201000000000001</v>
      </c>
      <c r="J81" s="4">
        <f>CHOOSE( CONTROL!$C$32, 4.2277, 4.2246) * CHOOSE(CONTROL!$C$15, $D$11, 100%, $F$11)</f>
        <v>4.2276999999999996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1.2183999999999999</v>
      </c>
      <c r="Q81" s="9">
        <v>33.225200000000001</v>
      </c>
      <c r="R81" s="9"/>
      <c r="S81" s="11"/>
    </row>
    <row r="82" spans="1:19" ht="15.75">
      <c r="A82" s="13">
        <v>43983</v>
      </c>
      <c r="B82" s="8">
        <f>CHOOSE( CONTROL!$C$32, 4.3354, 4.3322) * CHOOSE(CONTROL!$C$15, $D$11, 100%, $F$11)</f>
        <v>4.3353999999999999</v>
      </c>
      <c r="C82" s="8">
        <f>CHOOSE( CONTROL!$C$32, 4.3434, 4.3402) * CHOOSE(CONTROL!$C$15, $D$11, 100%, $F$11)</f>
        <v>4.3433999999999999</v>
      </c>
      <c r="D82" s="8">
        <f>CHOOSE( CONTROL!$C$32, 4.346, 4.3428) * CHOOSE( CONTROL!$C$15, $D$11, 100%, $F$11)</f>
        <v>4.3460000000000001</v>
      </c>
      <c r="E82" s="12">
        <f>CHOOSE( CONTROL!$C$32, 4.3438, 4.3406) * CHOOSE( CONTROL!$C$15, $D$11, 100%, $F$11)</f>
        <v>4.3437999999999999</v>
      </c>
      <c r="F82" s="4">
        <f>CHOOSE( CONTROL!$C$32, 5.0169, 5.0137) * CHOOSE(CONTROL!$C$15, $D$11, 100%, $F$11)</f>
        <v>5.0168999999999997</v>
      </c>
      <c r="G82" s="8">
        <f>CHOOSE( CONTROL!$C$32, 4.2312, 4.228) * CHOOSE( CONTROL!$C$15, $D$11, 100%, $F$11)</f>
        <v>4.2312000000000003</v>
      </c>
      <c r="H82" s="4">
        <f>CHOOSE( CONTROL!$C$32, 5.1625, 5.1594) * CHOOSE(CONTROL!$C$15, $D$11, 100%, $F$11)</f>
        <v>5.1624999999999996</v>
      </c>
      <c r="I82" s="8">
        <f>CHOOSE( CONTROL!$C$32, 4.2536, 4.2505) * CHOOSE(CONTROL!$C$15, $D$11, 100%, $F$11)</f>
        <v>4.2535999999999996</v>
      </c>
      <c r="J82" s="4">
        <f>CHOOSE( CONTROL!$C$32, 4.1598, 4.1567) * CHOOSE(CONTROL!$C$15, $D$11, 100%, $F$11)</f>
        <v>4.1597999999999997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1.1791</v>
      </c>
      <c r="Q82" s="9">
        <v>32.153399999999998</v>
      </c>
      <c r="R82" s="9"/>
      <c r="S82" s="11"/>
    </row>
    <row r="83" spans="1:19" ht="15.75">
      <c r="A83" s="13">
        <v>44013</v>
      </c>
      <c r="B83" s="8">
        <f>CHOOSE( CONTROL!$C$32, 4.5204, 4.5172) * CHOOSE(CONTROL!$C$15, $D$11, 100%, $F$11)</f>
        <v>4.5204000000000004</v>
      </c>
      <c r="C83" s="8">
        <f>CHOOSE( CONTROL!$C$32, 4.5284, 4.5252) * CHOOSE(CONTROL!$C$15, $D$11, 100%, $F$11)</f>
        <v>4.5284000000000004</v>
      </c>
      <c r="D83" s="8">
        <f>CHOOSE( CONTROL!$C$32, 4.5313, 4.5281) * CHOOSE( CONTROL!$C$15, $D$11, 100%, $F$11)</f>
        <v>4.5312999999999999</v>
      </c>
      <c r="E83" s="12">
        <f>CHOOSE( CONTROL!$C$32, 4.529, 4.5258) * CHOOSE( CONTROL!$C$15, $D$11, 100%, $F$11)</f>
        <v>4.5289999999999999</v>
      </c>
      <c r="F83" s="4">
        <f>CHOOSE( CONTROL!$C$32, 5.202, 5.1988) * CHOOSE(CONTROL!$C$15, $D$11, 100%, $F$11)</f>
        <v>5.202</v>
      </c>
      <c r="G83" s="8">
        <f>CHOOSE( CONTROL!$C$32, 4.4136, 4.4104) * CHOOSE( CONTROL!$C$15, $D$11, 100%, $F$11)</f>
        <v>4.4135999999999997</v>
      </c>
      <c r="H83" s="4">
        <f>CHOOSE( CONTROL!$C$32, 5.3445, 5.3413) * CHOOSE(CONTROL!$C$15, $D$11, 100%, $F$11)</f>
        <v>5.3445</v>
      </c>
      <c r="I83" s="8">
        <f>CHOOSE( CONTROL!$C$32, 4.434, 4.4309) * CHOOSE(CONTROL!$C$15, $D$11, 100%, $F$11)</f>
        <v>4.4340000000000002</v>
      </c>
      <c r="J83" s="4">
        <f>CHOOSE( CONTROL!$C$32, 4.3387, 4.3356) * CHOOSE(CONTROL!$C$15, $D$11, 100%, $F$11)</f>
        <v>4.3387000000000002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33.225200000000001</v>
      </c>
      <c r="R83" s="9"/>
      <c r="S83" s="11"/>
    </row>
    <row r="84" spans="1:19" ht="15.75">
      <c r="A84" s="13">
        <v>44044</v>
      </c>
      <c r="B84" s="8">
        <f>CHOOSE( CONTROL!$C$32, 4.1742, 4.171) * CHOOSE(CONTROL!$C$15, $D$11, 100%, $F$11)</f>
        <v>4.1741999999999999</v>
      </c>
      <c r="C84" s="8">
        <f>CHOOSE( CONTROL!$C$32, 4.1822, 4.179) * CHOOSE(CONTROL!$C$15, $D$11, 100%, $F$11)</f>
        <v>4.1821999999999999</v>
      </c>
      <c r="D84" s="8">
        <f>CHOOSE( CONTROL!$C$32, 4.1853, 4.1821) * CHOOSE( CONTROL!$C$15, $D$11, 100%, $F$11)</f>
        <v>4.1852999999999998</v>
      </c>
      <c r="E84" s="12">
        <f>CHOOSE( CONTROL!$C$32, 4.183, 4.1798) * CHOOSE( CONTROL!$C$15, $D$11, 100%, $F$11)</f>
        <v>4.1829999999999998</v>
      </c>
      <c r="F84" s="4">
        <f>CHOOSE( CONTROL!$C$32, 4.8558, 4.8526) * CHOOSE(CONTROL!$C$15, $D$11, 100%, $F$11)</f>
        <v>4.8558000000000003</v>
      </c>
      <c r="G84" s="8">
        <f>CHOOSE( CONTROL!$C$32, 4.0733, 4.0702) * CHOOSE( CONTROL!$C$15, $D$11, 100%, $F$11)</f>
        <v>4.0732999999999997</v>
      </c>
      <c r="H84" s="4">
        <f>CHOOSE( CONTROL!$C$32, 5.004, 5.0009) * CHOOSE(CONTROL!$C$15, $D$11, 100%, $F$11)</f>
        <v>5.0039999999999996</v>
      </c>
      <c r="I84" s="8">
        <f>CHOOSE( CONTROL!$C$32, 4.0999, 4.0968) * CHOOSE(CONTROL!$C$15, $D$11, 100%, $F$11)</f>
        <v>4.0998999999999999</v>
      </c>
      <c r="J84" s="4">
        <f>CHOOSE( CONTROL!$C$32, 4.004, 4.0009) * CHOOSE(CONTROL!$C$15, $D$11, 100%, $F$11)</f>
        <v>4.0039999999999996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1.2183999999999999</v>
      </c>
      <c r="Q84" s="9">
        <v>33.225200000000001</v>
      </c>
      <c r="R84" s="9"/>
      <c r="S84" s="11"/>
    </row>
    <row r="85" spans="1:19" ht="15.75">
      <c r="A85" s="13">
        <v>44075</v>
      </c>
      <c r="B85" s="8">
        <f>CHOOSE( CONTROL!$C$32, 4.0875, 4.0843) * CHOOSE(CONTROL!$C$15, $D$11, 100%, $F$11)</f>
        <v>4.0875000000000004</v>
      </c>
      <c r="C85" s="8">
        <f>CHOOSE( CONTROL!$C$32, 4.0955, 4.0923) * CHOOSE(CONTROL!$C$15, $D$11, 100%, $F$11)</f>
        <v>4.0955000000000004</v>
      </c>
      <c r="D85" s="8">
        <f>CHOOSE( CONTROL!$C$32, 4.0986, 4.0954) * CHOOSE( CONTROL!$C$15, $D$11, 100%, $F$11)</f>
        <v>4.0986000000000002</v>
      </c>
      <c r="E85" s="12">
        <f>CHOOSE( CONTROL!$C$32, 4.0963, 4.0931) * CHOOSE( CONTROL!$C$15, $D$11, 100%, $F$11)</f>
        <v>4.0963000000000003</v>
      </c>
      <c r="F85" s="4">
        <f>CHOOSE( CONTROL!$C$32, 4.7691, 4.7659) * CHOOSE(CONTROL!$C$15, $D$11, 100%, $F$11)</f>
        <v>4.7690999999999999</v>
      </c>
      <c r="G85" s="8">
        <f>CHOOSE( CONTROL!$C$32, 3.9881, 3.985) * CHOOSE( CONTROL!$C$15, $D$11, 100%, $F$11)</f>
        <v>3.9881000000000002</v>
      </c>
      <c r="H85" s="4">
        <f>CHOOSE( CONTROL!$C$32, 4.9188, 4.9156) * CHOOSE(CONTROL!$C$15, $D$11, 100%, $F$11)</f>
        <v>4.9188000000000001</v>
      </c>
      <c r="I85" s="8">
        <f>CHOOSE( CONTROL!$C$32, 4.0162, 4.0131) * CHOOSE(CONTROL!$C$15, $D$11, 100%, $F$11)</f>
        <v>4.0162000000000004</v>
      </c>
      <c r="J85" s="4">
        <f>CHOOSE( CONTROL!$C$32, 3.9202, 3.9171) * CHOOSE(CONTROL!$C$15, $D$11, 100%, $F$11)</f>
        <v>3.9201999999999999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1.1791</v>
      </c>
      <c r="Q85" s="9">
        <v>32.153399999999998</v>
      </c>
      <c r="R85" s="9"/>
      <c r="S85" s="11"/>
    </row>
    <row r="86" spans="1:19" ht="15.75">
      <c r="A86" s="13">
        <v>44105</v>
      </c>
      <c r="B86" s="8">
        <f>4.2626 * CHOOSE(CONTROL!$C$15, $D$11, 100%, $F$11)</f>
        <v>4.2625999999999999</v>
      </c>
      <c r="C86" s="8">
        <f>4.268 * CHOOSE(CONTROL!$C$15, $D$11, 100%, $F$11)</f>
        <v>4.2679999999999998</v>
      </c>
      <c r="D86" s="8">
        <f>4.2759 * CHOOSE( CONTROL!$C$15, $D$11, 100%, $F$11)</f>
        <v>4.2759</v>
      </c>
      <c r="E86" s="12">
        <f>4.2727 * CHOOSE( CONTROL!$C$15, $D$11, 100%, $F$11)</f>
        <v>4.2727000000000004</v>
      </c>
      <c r="F86" s="4">
        <f>4.9459 * CHOOSE(CONTROL!$C$15, $D$11, 100%, $F$11)</f>
        <v>4.9459</v>
      </c>
      <c r="G86" s="8">
        <f>4.1615 * CHOOSE( CONTROL!$C$15, $D$11, 100%, $F$11)</f>
        <v>4.1615000000000002</v>
      </c>
      <c r="H86" s="4">
        <f>5.0926 * CHOOSE(CONTROL!$C$15, $D$11, 100%, $F$11)</f>
        <v>5.0926</v>
      </c>
      <c r="I86" s="8">
        <f>4.1878 * CHOOSE(CONTROL!$C$15, $D$11, 100%, $F$11)</f>
        <v>4.1878000000000002</v>
      </c>
      <c r="J86" s="4">
        <f>4.0911 * CHOOSE(CONTROL!$C$15, $D$11, 100%, $F$11)</f>
        <v>4.0911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1.2183999999999999</v>
      </c>
      <c r="Q86" s="9">
        <v>33.225200000000001</v>
      </c>
      <c r="R86" s="9"/>
      <c r="S86" s="11"/>
    </row>
    <row r="87" spans="1:19" ht="15.75">
      <c r="A87" s="13">
        <v>44136</v>
      </c>
      <c r="B87" s="8">
        <f>4.5944 * CHOOSE(CONTROL!$C$15, $D$11, 100%, $F$11)</f>
        <v>4.5944000000000003</v>
      </c>
      <c r="C87" s="8">
        <f>4.5996 * CHOOSE(CONTROL!$C$15, $D$11, 100%, $F$11)</f>
        <v>4.5995999999999997</v>
      </c>
      <c r="D87" s="8">
        <f>4.5771 * CHOOSE( CONTROL!$C$15, $D$11, 100%, $F$11)</f>
        <v>4.5770999999999997</v>
      </c>
      <c r="E87" s="12">
        <f>4.5848 * CHOOSE( CONTROL!$C$15, $D$11, 100%, $F$11)</f>
        <v>4.5848000000000004</v>
      </c>
      <c r="F87" s="4">
        <f>5.2393 * CHOOSE(CONTROL!$C$15, $D$11, 100%, $F$11)</f>
        <v>5.2393000000000001</v>
      </c>
      <c r="G87" s="8">
        <f>4.5009 * CHOOSE( CONTROL!$C$15, $D$11, 100%, $F$11)</f>
        <v>4.5008999999999997</v>
      </c>
      <c r="H87" s="4">
        <f>5.3812 * CHOOSE(CONTROL!$C$15, $D$11, 100%, $F$11)</f>
        <v>5.3811999999999998</v>
      </c>
      <c r="I87" s="8">
        <f>4.5348 * CHOOSE(CONTROL!$C$15, $D$11, 100%, $F$11)</f>
        <v>4.5347999999999997</v>
      </c>
      <c r="J87" s="4">
        <f>4.4123 * CHOOSE(CONTROL!$C$15, $D$11, 100%, $F$11)</f>
        <v>4.4123000000000001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32.153399999999998</v>
      </c>
      <c r="R87" s="9"/>
      <c r="S87" s="11"/>
    </row>
    <row r="88" spans="1:19" ht="15.75">
      <c r="A88" s="13">
        <v>44166</v>
      </c>
      <c r="B88" s="8">
        <f>4.5861 * CHOOSE(CONTROL!$C$15, $D$11, 100%, $F$11)</f>
        <v>4.5861000000000001</v>
      </c>
      <c r="C88" s="8">
        <f>4.5913 * CHOOSE(CONTROL!$C$15, $D$11, 100%, $F$11)</f>
        <v>4.5913000000000004</v>
      </c>
      <c r="D88" s="8">
        <f>4.5702 * CHOOSE( CONTROL!$C$15, $D$11, 100%, $F$11)</f>
        <v>4.5701999999999998</v>
      </c>
      <c r="E88" s="12">
        <f>4.5774 * CHOOSE( CONTROL!$C$15, $D$11, 100%, $F$11)</f>
        <v>4.5773999999999999</v>
      </c>
      <c r="F88" s="4">
        <f>5.231 * CHOOSE(CONTROL!$C$15, $D$11, 100%, $F$11)</f>
        <v>5.2309999999999999</v>
      </c>
      <c r="G88" s="8">
        <f>4.4938 * CHOOSE( CONTROL!$C$15, $D$11, 100%, $F$11)</f>
        <v>4.4938000000000002</v>
      </c>
      <c r="H88" s="4">
        <f>5.3731 * CHOOSE(CONTROL!$C$15, $D$11, 100%, $F$11)</f>
        <v>5.3731</v>
      </c>
      <c r="I88" s="8">
        <f>4.5314 * CHOOSE(CONTROL!$C$15, $D$11, 100%, $F$11)</f>
        <v>4.5313999999999997</v>
      </c>
      <c r="J88" s="4">
        <f>4.4043 * CHOOSE(CONTROL!$C$15, $D$11, 100%, $F$11)</f>
        <v>4.4043000000000001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33.225200000000001</v>
      </c>
      <c r="R88" s="9"/>
      <c r="S88" s="11"/>
    </row>
    <row r="89" spans="1:19" ht="15.75">
      <c r="A89" s="13">
        <v>44197</v>
      </c>
      <c r="B89" s="8">
        <f>4.7635 * CHOOSE(CONTROL!$C$15, $D$11, 100%, $F$11)</f>
        <v>4.7634999999999996</v>
      </c>
      <c r="C89" s="8">
        <f>4.7686 * CHOOSE(CONTROL!$C$15, $D$11, 100%, $F$11)</f>
        <v>4.7686000000000002</v>
      </c>
      <c r="D89" s="8">
        <f>4.7466 * CHOOSE( CONTROL!$C$15, $D$11, 100%, $F$11)</f>
        <v>4.7465999999999999</v>
      </c>
      <c r="E89" s="12">
        <f>4.7541 * CHOOSE( CONTROL!$C$15, $D$11, 100%, $F$11)</f>
        <v>4.7541000000000002</v>
      </c>
      <c r="F89" s="4">
        <f>5.4084 * CHOOSE(CONTROL!$C$15, $D$11, 100%, $F$11)</f>
        <v>5.4084000000000003</v>
      </c>
      <c r="G89" s="8">
        <f>4.6656 * CHOOSE( CONTROL!$C$15, $D$11, 100%, $F$11)</f>
        <v>4.6656000000000004</v>
      </c>
      <c r="H89" s="4">
        <f>5.5475 * CHOOSE(CONTROL!$C$15, $D$11, 100%, $F$11)</f>
        <v>5.5475000000000003</v>
      </c>
      <c r="I89" s="8">
        <f>4.6747 * CHOOSE(CONTROL!$C$15, $D$11, 100%, $F$11)</f>
        <v>4.6746999999999996</v>
      </c>
      <c r="J89" s="4">
        <f>4.5757 * CHOOSE(CONTROL!$C$15, $D$11, 100%, $F$11)</f>
        <v>4.5757000000000003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33.011299999999999</v>
      </c>
      <c r="R89" s="9"/>
      <c r="S89" s="11"/>
    </row>
    <row r="90" spans="1:19" ht="15.75">
      <c r="A90" s="13">
        <v>44228</v>
      </c>
      <c r="B90" s="8">
        <f>4.4575 * CHOOSE(CONTROL!$C$15, $D$11, 100%, $F$11)</f>
        <v>4.4574999999999996</v>
      </c>
      <c r="C90" s="8">
        <f>4.4626 * CHOOSE(CONTROL!$C$15, $D$11, 100%, $F$11)</f>
        <v>4.4626000000000001</v>
      </c>
      <c r="D90" s="8">
        <f>4.4363 * CHOOSE( CONTROL!$C$15, $D$11, 100%, $F$11)</f>
        <v>4.4363000000000001</v>
      </c>
      <c r="E90" s="12">
        <f>4.4454 * CHOOSE( CONTROL!$C$15, $D$11, 100%, $F$11)</f>
        <v>4.4454000000000002</v>
      </c>
      <c r="F90" s="4">
        <f>5.1024 * CHOOSE(CONTROL!$C$15, $D$11, 100%, $F$11)</f>
        <v>5.1024000000000003</v>
      </c>
      <c r="G90" s="8">
        <f>4.3562 * CHOOSE( CONTROL!$C$15, $D$11, 100%, $F$11)</f>
        <v>4.3562000000000003</v>
      </c>
      <c r="H90" s="4">
        <f>5.2466 * CHOOSE(CONTROL!$C$15, $D$11, 100%, $F$11)</f>
        <v>5.2465999999999999</v>
      </c>
      <c r="I90" s="8">
        <f>4.3497 * CHOOSE(CONTROL!$C$15, $D$11, 100%, $F$11)</f>
        <v>4.3497000000000003</v>
      </c>
      <c r="J90" s="4">
        <f>4.2799 * CHOOSE(CONTROL!$C$15, $D$11, 100%, $F$11)</f>
        <v>4.2798999999999996</v>
      </c>
      <c r="K90" s="4"/>
      <c r="L90" s="9">
        <v>26.469899999999999</v>
      </c>
      <c r="M90" s="9">
        <v>10.8962</v>
      </c>
      <c r="N90" s="9">
        <v>4.4660000000000002</v>
      </c>
      <c r="O90" s="9">
        <v>0.33789999999999998</v>
      </c>
      <c r="P90" s="9">
        <v>1.1676</v>
      </c>
      <c r="Q90" s="9">
        <v>29.816600000000001</v>
      </c>
      <c r="R90" s="9"/>
      <c r="S90" s="11"/>
    </row>
    <row r="91" spans="1:19" ht="15.75">
      <c r="A91" s="13">
        <v>44256</v>
      </c>
      <c r="B91" s="8">
        <f>4.3633 * CHOOSE(CONTROL!$C$15, $D$11, 100%, $F$11)</f>
        <v>4.3632999999999997</v>
      </c>
      <c r="C91" s="8">
        <f>4.3684 * CHOOSE(CONTROL!$C$15, $D$11, 100%, $F$11)</f>
        <v>4.3684000000000003</v>
      </c>
      <c r="D91" s="8">
        <f>4.3424 * CHOOSE( CONTROL!$C$15, $D$11, 100%, $F$11)</f>
        <v>4.3423999999999996</v>
      </c>
      <c r="E91" s="12">
        <f>4.3514 * CHOOSE( CONTROL!$C$15, $D$11, 100%, $F$11)</f>
        <v>4.3513999999999999</v>
      </c>
      <c r="F91" s="4">
        <f>5.0082 * CHOOSE(CONTROL!$C$15, $D$11, 100%, $F$11)</f>
        <v>5.0082000000000004</v>
      </c>
      <c r="G91" s="8">
        <f>4.2638 * CHOOSE( CONTROL!$C$15, $D$11, 100%, $F$11)</f>
        <v>4.2637999999999998</v>
      </c>
      <c r="H91" s="4">
        <f>5.1539 * CHOOSE(CONTROL!$C$15, $D$11, 100%, $F$11)</f>
        <v>5.1539000000000001</v>
      </c>
      <c r="I91" s="8">
        <f>4.2598 * CHOOSE(CONTROL!$C$15, $D$11, 100%, $F$11)</f>
        <v>4.2598000000000003</v>
      </c>
      <c r="J91" s="4">
        <f>4.1888 * CHOOSE(CONTROL!$C$15, $D$11, 100%, $F$11)</f>
        <v>4.1887999999999996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33.011299999999999</v>
      </c>
      <c r="R91" s="9"/>
      <c r="S91" s="11"/>
    </row>
    <row r="92" spans="1:19" ht="15.75">
      <c r="A92" s="13">
        <v>44287</v>
      </c>
      <c r="B92" s="8">
        <f>4.4299 * CHOOSE(CONTROL!$C$15, $D$11, 100%, $F$11)</f>
        <v>4.4298999999999999</v>
      </c>
      <c r="C92" s="8">
        <f>4.4344 * CHOOSE(CONTROL!$C$15, $D$11, 100%, $F$11)</f>
        <v>4.4344000000000001</v>
      </c>
      <c r="D92" s="8">
        <f>4.4416 * CHOOSE( CONTROL!$C$15, $D$11, 100%, $F$11)</f>
        <v>4.4416000000000002</v>
      </c>
      <c r="E92" s="12">
        <f>4.4387 * CHOOSE( CONTROL!$C$15, $D$11, 100%, $F$11)</f>
        <v>4.4386999999999999</v>
      </c>
      <c r="F92" s="4">
        <f>5.1128 * CHOOSE(CONTROL!$C$15, $D$11, 100%, $F$11)</f>
        <v>5.1128</v>
      </c>
      <c r="G92" s="8">
        <f>4.3239 * CHOOSE( CONTROL!$C$15, $D$11, 100%, $F$11)</f>
        <v>4.3239000000000001</v>
      </c>
      <c r="H92" s="4">
        <f>5.2568 * CHOOSE(CONTROL!$C$15, $D$11, 100%, $F$11)</f>
        <v>5.2568000000000001</v>
      </c>
      <c r="I92" s="8">
        <f>4.3433 * CHOOSE(CONTROL!$C$15, $D$11, 100%, $F$11)</f>
        <v>4.3433000000000002</v>
      </c>
      <c r="J92" s="4">
        <f>4.2525 * CHOOSE(CONTROL!$C$15, $D$11, 100%, $F$11)</f>
        <v>4.2525000000000004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1.1791</v>
      </c>
      <c r="Q92" s="9">
        <v>31.946400000000001</v>
      </c>
      <c r="R92" s="9"/>
      <c r="S92" s="11"/>
    </row>
    <row r="93" spans="1:19" ht="15.75">
      <c r="A93" s="13">
        <v>44317</v>
      </c>
      <c r="B93" s="8">
        <f>CHOOSE( CONTROL!$C$32, 4.5517, 4.5485) * CHOOSE(CONTROL!$C$15, $D$11, 100%, $F$11)</f>
        <v>4.5517000000000003</v>
      </c>
      <c r="C93" s="8">
        <f>CHOOSE( CONTROL!$C$32, 4.5597, 4.5565) * CHOOSE(CONTROL!$C$15, $D$11, 100%, $F$11)</f>
        <v>4.5597000000000003</v>
      </c>
      <c r="D93" s="8">
        <f>CHOOSE( CONTROL!$C$32, 4.562, 4.5588) * CHOOSE( CONTROL!$C$15, $D$11, 100%, $F$11)</f>
        <v>4.5620000000000003</v>
      </c>
      <c r="E93" s="12">
        <f>CHOOSE( CONTROL!$C$32, 4.5599, 4.5567) * CHOOSE( CONTROL!$C$15, $D$11, 100%, $F$11)</f>
        <v>4.5598999999999998</v>
      </c>
      <c r="F93" s="4">
        <f>CHOOSE( CONTROL!$C$32, 5.2332, 5.23) * CHOOSE(CONTROL!$C$15, $D$11, 100%, $F$11)</f>
        <v>5.2332000000000001</v>
      </c>
      <c r="G93" s="8">
        <f>CHOOSE( CONTROL!$C$32, 4.4434, 4.4403) * CHOOSE( CONTROL!$C$15, $D$11, 100%, $F$11)</f>
        <v>4.4433999999999996</v>
      </c>
      <c r="H93" s="4">
        <f>CHOOSE( CONTROL!$C$32, 5.3752, 5.3721) * CHOOSE(CONTROL!$C$15, $D$11, 100%, $F$11)</f>
        <v>5.3752000000000004</v>
      </c>
      <c r="I93" s="8">
        <f>CHOOSE( CONTROL!$C$32, 4.4613, 4.4583) * CHOOSE(CONTROL!$C$15, $D$11, 100%, $F$11)</f>
        <v>4.4612999999999996</v>
      </c>
      <c r="J93" s="4">
        <f>CHOOSE( CONTROL!$C$32, 4.3689, 4.3658) * CHOOSE(CONTROL!$C$15, $D$11, 100%, $F$11)</f>
        <v>4.3689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1.2183999999999999</v>
      </c>
      <c r="Q93" s="9">
        <v>33.011299999999999</v>
      </c>
      <c r="R93" s="9"/>
      <c r="S93" s="11"/>
    </row>
    <row r="94" spans="1:19" ht="15.75">
      <c r="A94" s="13">
        <v>44348</v>
      </c>
      <c r="B94" s="8">
        <f>CHOOSE( CONTROL!$C$32, 4.4791, 4.4759) * CHOOSE(CONTROL!$C$15, $D$11, 100%, $F$11)</f>
        <v>4.4790999999999999</v>
      </c>
      <c r="C94" s="8">
        <f>CHOOSE( CONTROL!$C$32, 4.4871, 4.4839) * CHOOSE(CONTROL!$C$15, $D$11, 100%, $F$11)</f>
        <v>4.4870999999999999</v>
      </c>
      <c r="D94" s="8">
        <f>CHOOSE( CONTROL!$C$32, 4.4897, 4.4865) * CHOOSE( CONTROL!$C$15, $D$11, 100%, $F$11)</f>
        <v>4.4897</v>
      </c>
      <c r="E94" s="12">
        <f>CHOOSE( CONTROL!$C$32, 4.4875, 4.4843) * CHOOSE( CONTROL!$C$15, $D$11, 100%, $F$11)</f>
        <v>4.4874999999999998</v>
      </c>
      <c r="F94" s="4">
        <f>CHOOSE( CONTROL!$C$32, 5.1606, 5.1574) * CHOOSE(CONTROL!$C$15, $D$11, 100%, $F$11)</f>
        <v>5.1605999999999996</v>
      </c>
      <c r="G94" s="8">
        <f>CHOOSE( CONTROL!$C$32, 4.3724, 4.3693) * CHOOSE( CONTROL!$C$15, $D$11, 100%, $F$11)</f>
        <v>4.3723999999999998</v>
      </c>
      <c r="H94" s="4">
        <f>CHOOSE( CONTROL!$C$32, 5.3038, 5.3007) * CHOOSE(CONTROL!$C$15, $D$11, 100%, $F$11)</f>
        <v>5.3037999999999998</v>
      </c>
      <c r="I94" s="8">
        <f>CHOOSE( CONTROL!$C$32, 4.3925, 4.3894) * CHOOSE(CONTROL!$C$15, $D$11, 100%, $F$11)</f>
        <v>4.3925000000000001</v>
      </c>
      <c r="J94" s="4">
        <f>CHOOSE( CONTROL!$C$32, 4.2987, 4.2956) * CHOOSE(CONTROL!$C$15, $D$11, 100%, $F$11)</f>
        <v>4.2987000000000002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1.1791</v>
      </c>
      <c r="Q94" s="9">
        <v>31.946400000000001</v>
      </c>
      <c r="R94" s="9"/>
      <c r="S94" s="11"/>
    </row>
    <row r="95" spans="1:19" ht="15.75">
      <c r="A95" s="13">
        <v>44378</v>
      </c>
      <c r="B95" s="8">
        <f>CHOOSE( CONTROL!$C$32, 4.6703, 4.6671) * CHOOSE(CONTROL!$C$15, $D$11, 100%, $F$11)</f>
        <v>4.6703000000000001</v>
      </c>
      <c r="C95" s="8">
        <f>CHOOSE( CONTROL!$C$32, 4.6783, 4.6751) * CHOOSE(CONTROL!$C$15, $D$11, 100%, $F$11)</f>
        <v>4.6783000000000001</v>
      </c>
      <c r="D95" s="8">
        <f>CHOOSE( CONTROL!$C$32, 4.6812, 4.678) * CHOOSE( CONTROL!$C$15, $D$11, 100%, $F$11)</f>
        <v>4.6811999999999996</v>
      </c>
      <c r="E95" s="12">
        <f>CHOOSE( CONTROL!$C$32, 4.6789, 4.6757) * CHOOSE( CONTROL!$C$15, $D$11, 100%, $F$11)</f>
        <v>4.6788999999999996</v>
      </c>
      <c r="F95" s="4">
        <f>CHOOSE( CONTROL!$C$32, 5.3518, 5.3486) * CHOOSE(CONTROL!$C$15, $D$11, 100%, $F$11)</f>
        <v>5.3517999999999999</v>
      </c>
      <c r="G95" s="8">
        <f>CHOOSE( CONTROL!$C$32, 4.5609, 4.5578) * CHOOSE( CONTROL!$C$15, $D$11, 100%, $F$11)</f>
        <v>4.5609000000000002</v>
      </c>
      <c r="H95" s="4">
        <f>CHOOSE( CONTROL!$C$32, 5.4918, 5.4887) * CHOOSE(CONTROL!$C$15, $D$11, 100%, $F$11)</f>
        <v>5.4917999999999996</v>
      </c>
      <c r="I95" s="8">
        <f>CHOOSE( CONTROL!$C$32, 4.5789, 4.5758) * CHOOSE(CONTROL!$C$15, $D$11, 100%, $F$11)</f>
        <v>4.5789</v>
      </c>
      <c r="J95" s="4">
        <f>CHOOSE( CONTROL!$C$32, 4.4835, 4.4804) * CHOOSE(CONTROL!$C$15, $D$11, 100%, $F$11)</f>
        <v>4.4835000000000003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33.011299999999999</v>
      </c>
      <c r="R95" s="9"/>
      <c r="S95" s="11"/>
    </row>
    <row r="96" spans="1:19" ht="15.75">
      <c r="A96" s="13">
        <v>44409</v>
      </c>
      <c r="B96" s="8">
        <f>CHOOSE( CONTROL!$C$32, 4.3125, 4.3093) * CHOOSE(CONTROL!$C$15, $D$11, 100%, $F$11)</f>
        <v>4.3125</v>
      </c>
      <c r="C96" s="8">
        <f>CHOOSE( CONTROL!$C$32, 4.3205, 4.3173) * CHOOSE(CONTROL!$C$15, $D$11, 100%, $F$11)</f>
        <v>4.3205</v>
      </c>
      <c r="D96" s="8">
        <f>CHOOSE( CONTROL!$C$32, 4.3236, 4.3204) * CHOOSE( CONTROL!$C$15, $D$11, 100%, $F$11)</f>
        <v>4.3235999999999999</v>
      </c>
      <c r="E96" s="12">
        <f>CHOOSE( CONTROL!$C$32, 4.3213, 4.3181) * CHOOSE( CONTROL!$C$15, $D$11, 100%, $F$11)</f>
        <v>4.3212999999999999</v>
      </c>
      <c r="F96" s="4">
        <f>CHOOSE( CONTROL!$C$32, 4.994, 4.9908) * CHOOSE(CONTROL!$C$15, $D$11, 100%, $F$11)</f>
        <v>4.9939999999999998</v>
      </c>
      <c r="G96" s="8">
        <f>CHOOSE( CONTROL!$C$32, 4.2093, 4.2062) * CHOOSE( CONTROL!$C$15, $D$11, 100%, $F$11)</f>
        <v>4.2092999999999998</v>
      </c>
      <c r="H96" s="4">
        <f>CHOOSE( CONTROL!$C$32, 5.14, 5.1369) * CHOOSE(CONTROL!$C$15, $D$11, 100%, $F$11)</f>
        <v>5.14</v>
      </c>
      <c r="I96" s="8">
        <f>CHOOSE( CONTROL!$C$32, 4.2337, 4.2306) * CHOOSE(CONTROL!$C$15, $D$11, 100%, $F$11)</f>
        <v>4.2336999999999998</v>
      </c>
      <c r="J96" s="4">
        <f>CHOOSE( CONTROL!$C$32, 4.1377, 4.1346) * CHOOSE(CONTROL!$C$15, $D$11, 100%, $F$11)</f>
        <v>4.1376999999999997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1.2183999999999999</v>
      </c>
      <c r="Q96" s="9">
        <v>33.011299999999999</v>
      </c>
      <c r="R96" s="9"/>
      <c r="S96" s="11"/>
    </row>
    <row r="97" spans="1:19" ht="15.75">
      <c r="A97" s="13">
        <v>44440</v>
      </c>
      <c r="B97" s="8">
        <f>CHOOSE( CONTROL!$C$32, 4.2229, 4.2197) * CHOOSE(CONTROL!$C$15, $D$11, 100%, $F$11)</f>
        <v>4.2229000000000001</v>
      </c>
      <c r="C97" s="8">
        <f>CHOOSE( CONTROL!$C$32, 4.2309, 4.2277) * CHOOSE(CONTROL!$C$15, $D$11, 100%, $F$11)</f>
        <v>4.2309000000000001</v>
      </c>
      <c r="D97" s="8">
        <f>CHOOSE( CONTROL!$C$32, 4.234, 4.2308) * CHOOSE( CONTROL!$C$15, $D$11, 100%, $F$11)</f>
        <v>4.234</v>
      </c>
      <c r="E97" s="12">
        <f>CHOOSE( CONTROL!$C$32, 4.2317, 4.2285) * CHOOSE( CONTROL!$C$15, $D$11, 100%, $F$11)</f>
        <v>4.2317</v>
      </c>
      <c r="F97" s="4">
        <f>CHOOSE( CONTROL!$C$32, 4.9045, 4.9013) * CHOOSE(CONTROL!$C$15, $D$11, 100%, $F$11)</f>
        <v>4.9044999999999996</v>
      </c>
      <c r="G97" s="8">
        <f>CHOOSE( CONTROL!$C$32, 4.1213, 4.1181) * CHOOSE( CONTROL!$C$15, $D$11, 100%, $F$11)</f>
        <v>4.1212999999999997</v>
      </c>
      <c r="H97" s="4">
        <f>CHOOSE( CONTROL!$C$32, 5.0519, 5.0487) * CHOOSE(CONTROL!$C$15, $D$11, 100%, $F$11)</f>
        <v>5.0518999999999998</v>
      </c>
      <c r="I97" s="8">
        <f>CHOOSE( CONTROL!$C$32, 4.1472, 4.1441) * CHOOSE(CONTROL!$C$15, $D$11, 100%, $F$11)</f>
        <v>4.1471999999999998</v>
      </c>
      <c r="J97" s="4">
        <f>CHOOSE( CONTROL!$C$32, 4.0511, 4.048) * CHOOSE(CONTROL!$C$15, $D$11, 100%, $F$11)</f>
        <v>4.0510999999999999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1.1791</v>
      </c>
      <c r="Q97" s="9">
        <v>31.946400000000001</v>
      </c>
      <c r="R97" s="9"/>
      <c r="S97" s="11"/>
    </row>
    <row r="98" spans="1:19" ht="15.75">
      <c r="A98" s="13">
        <v>44470</v>
      </c>
      <c r="B98" s="8">
        <f>4.404 * CHOOSE(CONTROL!$C$15, $D$11, 100%, $F$11)</f>
        <v>4.4039999999999999</v>
      </c>
      <c r="C98" s="8">
        <f>4.4094 * CHOOSE(CONTROL!$C$15, $D$11, 100%, $F$11)</f>
        <v>4.4093999999999998</v>
      </c>
      <c r="D98" s="8">
        <f>4.4173 * CHOOSE( CONTROL!$C$15, $D$11, 100%, $F$11)</f>
        <v>4.4173</v>
      </c>
      <c r="E98" s="12">
        <f>4.4141 * CHOOSE( CONTROL!$C$15, $D$11, 100%, $F$11)</f>
        <v>4.4141000000000004</v>
      </c>
      <c r="F98" s="4">
        <f>5.0873 * CHOOSE(CONTROL!$C$15, $D$11, 100%, $F$11)</f>
        <v>5.0872999999999999</v>
      </c>
      <c r="G98" s="8">
        <f>4.3006 * CHOOSE( CONTROL!$C$15, $D$11, 100%, $F$11)</f>
        <v>4.3006000000000002</v>
      </c>
      <c r="H98" s="4">
        <f>5.2317 * CHOOSE(CONTROL!$C$15, $D$11, 100%, $F$11)</f>
        <v>5.2317</v>
      </c>
      <c r="I98" s="8">
        <f>4.3246 * CHOOSE(CONTROL!$C$15, $D$11, 100%, $F$11)</f>
        <v>4.3246000000000002</v>
      </c>
      <c r="J98" s="4">
        <f>4.2278 * CHOOSE(CONTROL!$C$15, $D$11, 100%, $F$11)</f>
        <v>4.2278000000000002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1.2183999999999999</v>
      </c>
      <c r="Q98" s="9">
        <v>33.011299999999999</v>
      </c>
      <c r="R98" s="9"/>
      <c r="S98" s="11"/>
    </row>
    <row r="99" spans="1:19" ht="15.75">
      <c r="A99" s="13">
        <v>44501</v>
      </c>
      <c r="B99" s="8">
        <f>4.747 * CHOOSE(CONTROL!$C$15, $D$11, 100%, $F$11)</f>
        <v>4.7469999999999999</v>
      </c>
      <c r="C99" s="8">
        <f>4.7521 * CHOOSE(CONTROL!$C$15, $D$11, 100%, $F$11)</f>
        <v>4.7521000000000004</v>
      </c>
      <c r="D99" s="8">
        <f>4.7296 * CHOOSE( CONTROL!$C$15, $D$11, 100%, $F$11)</f>
        <v>4.7295999999999996</v>
      </c>
      <c r="E99" s="12">
        <f>4.7373 * CHOOSE( CONTROL!$C$15, $D$11, 100%, $F$11)</f>
        <v>4.7373000000000003</v>
      </c>
      <c r="F99" s="4">
        <f>5.3918 * CHOOSE(CONTROL!$C$15, $D$11, 100%, $F$11)</f>
        <v>5.3917999999999999</v>
      </c>
      <c r="G99" s="8">
        <f>4.6508 * CHOOSE( CONTROL!$C$15, $D$11, 100%, $F$11)</f>
        <v>4.6508000000000003</v>
      </c>
      <c r="H99" s="4">
        <f>5.5312 * CHOOSE(CONTROL!$C$15, $D$11, 100%, $F$11)</f>
        <v>5.5312000000000001</v>
      </c>
      <c r="I99" s="8">
        <f>4.6823 * CHOOSE(CONTROL!$C$15, $D$11, 100%, $F$11)</f>
        <v>4.6822999999999997</v>
      </c>
      <c r="J99" s="4">
        <f>4.5597 * CHOOSE(CONTROL!$C$15, $D$11, 100%, $F$11)</f>
        <v>4.5597000000000003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31.946400000000001</v>
      </c>
      <c r="R99" s="9"/>
      <c r="S99" s="11"/>
    </row>
    <row r="100" spans="1:19" ht="15.75">
      <c r="A100" s="13">
        <v>44531</v>
      </c>
      <c r="B100" s="8">
        <f>4.7384 * CHOOSE(CONTROL!$C$15, $D$11, 100%, $F$11)</f>
        <v>4.7384000000000004</v>
      </c>
      <c r="C100" s="8">
        <f>4.7435 * CHOOSE(CONTROL!$C$15, $D$11, 100%, $F$11)</f>
        <v>4.7435</v>
      </c>
      <c r="D100" s="8">
        <f>4.7224 * CHOOSE( CONTROL!$C$15, $D$11, 100%, $F$11)</f>
        <v>4.7224000000000004</v>
      </c>
      <c r="E100" s="12">
        <f>4.7296 * CHOOSE( CONTROL!$C$15, $D$11, 100%, $F$11)</f>
        <v>4.7295999999999996</v>
      </c>
      <c r="F100" s="4">
        <f>5.3833 * CHOOSE(CONTROL!$C$15, $D$11, 100%, $F$11)</f>
        <v>5.3833000000000002</v>
      </c>
      <c r="G100" s="8">
        <f>4.6435 * CHOOSE( CONTROL!$C$15, $D$11, 100%, $F$11)</f>
        <v>4.6435000000000004</v>
      </c>
      <c r="H100" s="4">
        <f>5.5228 * CHOOSE(CONTROL!$C$15, $D$11, 100%, $F$11)</f>
        <v>5.5228000000000002</v>
      </c>
      <c r="I100" s="8">
        <f>4.6786 * CHOOSE(CONTROL!$C$15, $D$11, 100%, $F$11)</f>
        <v>4.6786000000000003</v>
      </c>
      <c r="J100" s="4">
        <f>4.5514 * CHOOSE(CONTROL!$C$15, $D$11, 100%, $F$11)</f>
        <v>4.5514000000000001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33.011299999999999</v>
      </c>
      <c r="R100" s="9"/>
      <c r="S100" s="11"/>
    </row>
    <row r="101" spans="1:19" ht="15.75">
      <c r="A101" s="13">
        <v>44562</v>
      </c>
      <c r="B101" s="8">
        <f>5.0477 * CHOOSE(CONTROL!$C$15, $D$11, 100%, $F$11)</f>
        <v>5.0476999999999999</v>
      </c>
      <c r="C101" s="8">
        <f>5.0529 * CHOOSE(CONTROL!$C$15, $D$11, 100%, $F$11)</f>
        <v>5.0529000000000002</v>
      </c>
      <c r="D101" s="8">
        <f>5.0309 * CHOOSE( CONTROL!$C$15, $D$11, 100%, $F$11)</f>
        <v>5.0308999999999999</v>
      </c>
      <c r="E101" s="12">
        <f>5.0384 * CHOOSE( CONTROL!$C$15, $D$11, 100%, $F$11)</f>
        <v>5.0384000000000002</v>
      </c>
      <c r="F101" s="4">
        <f>5.6926 * CHOOSE(CONTROL!$C$15, $D$11, 100%, $F$11)</f>
        <v>5.6925999999999997</v>
      </c>
      <c r="G101" s="8">
        <f>4.9451 * CHOOSE( CONTROL!$C$15, $D$11, 100%, $F$11)</f>
        <v>4.9451000000000001</v>
      </c>
      <c r="H101" s="4">
        <f>5.827 * CHOOSE(CONTROL!$C$15, $D$11, 100%, $F$11)</f>
        <v>5.827</v>
      </c>
      <c r="I101" s="8">
        <f>4.9496 * CHOOSE(CONTROL!$C$15, $D$11, 100%, $F$11)</f>
        <v>4.9496000000000002</v>
      </c>
      <c r="J101" s="4">
        <f>4.8505 * CHOOSE(CONTROL!$C$15, $D$11, 100%, $F$11)</f>
        <v>4.8505000000000003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32.8123</v>
      </c>
      <c r="R101" s="9"/>
      <c r="S101" s="11"/>
    </row>
    <row r="102" spans="1:19" ht="15.75">
      <c r="A102" s="13">
        <v>44593</v>
      </c>
      <c r="B102" s="8">
        <f>4.7234 * CHOOSE(CONTROL!$C$15, $D$11, 100%, $F$11)</f>
        <v>4.7233999999999998</v>
      </c>
      <c r="C102" s="8">
        <f>4.7285 * CHOOSE(CONTROL!$C$15, $D$11, 100%, $F$11)</f>
        <v>4.7285000000000004</v>
      </c>
      <c r="D102" s="8">
        <f>4.7021 * CHOOSE( CONTROL!$C$15, $D$11, 100%, $F$11)</f>
        <v>4.7020999999999997</v>
      </c>
      <c r="E102" s="12">
        <f>4.7112 * CHOOSE( CONTROL!$C$15, $D$11, 100%, $F$11)</f>
        <v>4.7111999999999998</v>
      </c>
      <c r="F102" s="4">
        <f>5.3682 * CHOOSE(CONTROL!$C$15, $D$11, 100%, $F$11)</f>
        <v>5.3681999999999999</v>
      </c>
      <c r="G102" s="8">
        <f>4.6176 * CHOOSE( CONTROL!$C$15, $D$11, 100%, $F$11)</f>
        <v>4.6176000000000004</v>
      </c>
      <c r="H102" s="4">
        <f>5.508 * CHOOSE(CONTROL!$C$15, $D$11, 100%, $F$11)</f>
        <v>5.508</v>
      </c>
      <c r="I102" s="8">
        <f>4.6069 * CHOOSE(CONTROL!$C$15, $D$11, 100%, $F$11)</f>
        <v>4.6069000000000004</v>
      </c>
      <c r="J102" s="4">
        <f>4.5369 * CHOOSE(CONTROL!$C$15, $D$11, 100%, $F$11)</f>
        <v>4.5369000000000002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29.636900000000001</v>
      </c>
      <c r="R102" s="9"/>
      <c r="S102" s="11"/>
    </row>
    <row r="103" spans="1:19" ht="15.75">
      <c r="A103" s="13">
        <v>44621</v>
      </c>
      <c r="B103" s="8">
        <f>4.6235 * CHOOSE(CONTROL!$C$15, $D$11, 100%, $F$11)</f>
        <v>4.6234999999999999</v>
      </c>
      <c r="C103" s="8">
        <f>4.6286 * CHOOSE(CONTROL!$C$15, $D$11, 100%, $F$11)</f>
        <v>4.6285999999999996</v>
      </c>
      <c r="D103" s="8">
        <f>4.6026 * CHOOSE( CONTROL!$C$15, $D$11, 100%, $F$11)</f>
        <v>4.6025999999999998</v>
      </c>
      <c r="E103" s="12">
        <f>4.6116 * CHOOSE( CONTROL!$C$15, $D$11, 100%, $F$11)</f>
        <v>4.6116000000000001</v>
      </c>
      <c r="F103" s="4">
        <f>5.2683 * CHOOSE(CONTROL!$C$15, $D$11, 100%, $F$11)</f>
        <v>5.2683</v>
      </c>
      <c r="G103" s="8">
        <f>4.5197 * CHOOSE( CONTROL!$C$15, $D$11, 100%, $F$11)</f>
        <v>4.5197000000000003</v>
      </c>
      <c r="H103" s="4">
        <f>5.4097 * CHOOSE(CONTROL!$C$15, $D$11, 100%, $F$11)</f>
        <v>5.4097</v>
      </c>
      <c r="I103" s="8">
        <f>4.5115 * CHOOSE(CONTROL!$C$15, $D$11, 100%, $F$11)</f>
        <v>4.5114999999999998</v>
      </c>
      <c r="J103" s="4">
        <f>4.4403 * CHOOSE(CONTROL!$C$15, $D$11, 100%, $F$11)</f>
        <v>4.4402999999999997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32.8123</v>
      </c>
      <c r="R103" s="9"/>
      <c r="S103" s="11"/>
    </row>
    <row r="104" spans="1:19" ht="15.75">
      <c r="A104" s="13">
        <v>44652</v>
      </c>
      <c r="B104" s="8">
        <f>4.694 * CHOOSE(CONTROL!$C$15, $D$11, 100%, $F$11)</f>
        <v>4.694</v>
      </c>
      <c r="C104" s="8">
        <f>4.6986 * CHOOSE(CONTROL!$C$15, $D$11, 100%, $F$11)</f>
        <v>4.6985999999999999</v>
      </c>
      <c r="D104" s="8">
        <f>4.7057 * CHOOSE( CONTROL!$C$15, $D$11, 100%, $F$11)</f>
        <v>4.7057000000000002</v>
      </c>
      <c r="E104" s="12">
        <f>4.7028 * CHOOSE( CONTROL!$C$15, $D$11, 100%, $F$11)</f>
        <v>4.7027999999999999</v>
      </c>
      <c r="F104" s="4">
        <f>5.3769 * CHOOSE(CONTROL!$C$15, $D$11, 100%, $F$11)</f>
        <v>5.3769</v>
      </c>
      <c r="G104" s="8">
        <f>4.5836 * CHOOSE( CONTROL!$C$15, $D$11, 100%, $F$11)</f>
        <v>4.5835999999999997</v>
      </c>
      <c r="H104" s="4">
        <f>5.5165 * CHOOSE(CONTROL!$C$15, $D$11, 100%, $F$11)</f>
        <v>5.5164999999999997</v>
      </c>
      <c r="I104" s="8">
        <f>4.5988 * CHOOSE(CONTROL!$C$15, $D$11, 100%, $F$11)</f>
        <v>4.5987999999999998</v>
      </c>
      <c r="J104" s="4">
        <f>4.5078 * CHOOSE(CONTROL!$C$15, $D$11, 100%, $F$11)</f>
        <v>4.5077999999999996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1.1791</v>
      </c>
      <c r="Q104" s="9">
        <v>31.753799999999998</v>
      </c>
      <c r="R104" s="9"/>
      <c r="S104" s="11"/>
    </row>
    <row r="105" spans="1:19" ht="15.75">
      <c r="A105" s="13">
        <v>44682</v>
      </c>
      <c r="B105" s="8">
        <f>CHOOSE( CONTROL!$C$32, 4.8228, 4.8196) * CHOOSE(CONTROL!$C$15, $D$11, 100%, $F$11)</f>
        <v>4.8228</v>
      </c>
      <c r="C105" s="8">
        <f>CHOOSE( CONTROL!$C$32, 4.8309, 4.8277) * CHOOSE(CONTROL!$C$15, $D$11, 100%, $F$11)</f>
        <v>4.8308999999999997</v>
      </c>
      <c r="D105" s="8">
        <f>CHOOSE( CONTROL!$C$32, 4.8332, 4.83) * CHOOSE( CONTROL!$C$15, $D$11, 100%, $F$11)</f>
        <v>4.8331999999999997</v>
      </c>
      <c r="E105" s="12">
        <f>CHOOSE( CONTROL!$C$32, 4.8311, 4.8279) * CHOOSE( CONTROL!$C$15, $D$11, 100%, $F$11)</f>
        <v>4.8311000000000002</v>
      </c>
      <c r="F105" s="4">
        <f>CHOOSE( CONTROL!$C$32, 5.5044, 5.5012) * CHOOSE(CONTROL!$C$15, $D$11, 100%, $F$11)</f>
        <v>5.5044000000000004</v>
      </c>
      <c r="G105" s="8">
        <f>CHOOSE( CONTROL!$C$32, 4.7101, 4.7069) * CHOOSE( CONTROL!$C$15, $D$11, 100%, $F$11)</f>
        <v>4.7100999999999997</v>
      </c>
      <c r="H105" s="4">
        <f>CHOOSE( CONTROL!$C$32, 5.6419, 5.6387) * CHOOSE(CONTROL!$C$15, $D$11, 100%, $F$11)</f>
        <v>5.6418999999999997</v>
      </c>
      <c r="I105" s="8">
        <f>CHOOSE( CONTROL!$C$32, 4.7236, 4.7205) * CHOOSE(CONTROL!$C$15, $D$11, 100%, $F$11)</f>
        <v>4.7236000000000002</v>
      </c>
      <c r="J105" s="4">
        <f>CHOOSE( CONTROL!$C$32, 4.631, 4.6279) * CHOOSE(CONTROL!$C$15, $D$11, 100%, $F$11)</f>
        <v>4.6310000000000002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1.2183999999999999</v>
      </c>
      <c r="Q105" s="9">
        <v>32.8123</v>
      </c>
      <c r="R105" s="9"/>
      <c r="S105" s="11"/>
    </row>
    <row r="106" spans="1:19" ht="15.75">
      <c r="A106" s="13">
        <v>44713</v>
      </c>
      <c r="B106" s="8">
        <f>CHOOSE( CONTROL!$C$32, 4.7459, 4.7427) * CHOOSE(CONTROL!$C$15, $D$11, 100%, $F$11)</f>
        <v>4.7458999999999998</v>
      </c>
      <c r="C106" s="8">
        <f>CHOOSE( CONTROL!$C$32, 4.7539, 4.7507) * CHOOSE(CONTROL!$C$15, $D$11, 100%, $F$11)</f>
        <v>4.7538999999999998</v>
      </c>
      <c r="D106" s="8">
        <f>CHOOSE( CONTROL!$C$32, 4.7565, 4.7533) * CHOOSE( CONTROL!$C$15, $D$11, 100%, $F$11)</f>
        <v>4.7565</v>
      </c>
      <c r="E106" s="12">
        <f>CHOOSE( CONTROL!$C$32, 4.7543, 4.7511) * CHOOSE( CONTROL!$C$15, $D$11, 100%, $F$11)</f>
        <v>4.7542999999999997</v>
      </c>
      <c r="F106" s="4">
        <f>CHOOSE( CONTROL!$C$32, 5.4274, 5.4242) * CHOOSE(CONTROL!$C$15, $D$11, 100%, $F$11)</f>
        <v>5.4273999999999996</v>
      </c>
      <c r="G106" s="8">
        <f>CHOOSE( CONTROL!$C$32, 4.6348, 4.6317) * CHOOSE( CONTROL!$C$15, $D$11, 100%, $F$11)</f>
        <v>4.6348000000000003</v>
      </c>
      <c r="H106" s="4">
        <f>CHOOSE( CONTROL!$C$32, 5.5662, 5.563) * CHOOSE(CONTROL!$C$15, $D$11, 100%, $F$11)</f>
        <v>5.5662000000000003</v>
      </c>
      <c r="I106" s="8">
        <f>CHOOSE( CONTROL!$C$32, 4.6506, 4.6475) * CHOOSE(CONTROL!$C$15, $D$11, 100%, $F$11)</f>
        <v>4.6505999999999998</v>
      </c>
      <c r="J106" s="4">
        <f>CHOOSE( CONTROL!$C$32, 4.5566, 4.5535) * CHOOSE(CONTROL!$C$15, $D$11, 100%, $F$11)</f>
        <v>4.5566000000000004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1.1791</v>
      </c>
      <c r="Q106" s="9">
        <v>31.753799999999998</v>
      </c>
      <c r="R106" s="9"/>
      <c r="S106" s="11"/>
    </row>
    <row r="107" spans="1:19" ht="15.75">
      <c r="A107" s="13">
        <v>44743</v>
      </c>
      <c r="B107" s="8">
        <f>CHOOSE( CONTROL!$C$32, 4.9486, 4.9454) * CHOOSE(CONTROL!$C$15, $D$11, 100%, $F$11)</f>
        <v>4.9485999999999999</v>
      </c>
      <c r="C107" s="8">
        <f>CHOOSE( CONTROL!$C$32, 4.9566, 4.9534) * CHOOSE(CONTROL!$C$15, $D$11, 100%, $F$11)</f>
        <v>4.9565999999999999</v>
      </c>
      <c r="D107" s="8">
        <f>CHOOSE( CONTROL!$C$32, 4.9595, 4.9563) * CHOOSE( CONTROL!$C$15, $D$11, 100%, $F$11)</f>
        <v>4.9595000000000002</v>
      </c>
      <c r="E107" s="12">
        <f>CHOOSE( CONTROL!$C$32, 4.9572, 4.954) * CHOOSE( CONTROL!$C$15, $D$11, 100%, $F$11)</f>
        <v>4.9572000000000003</v>
      </c>
      <c r="F107" s="4">
        <f>CHOOSE( CONTROL!$C$32, 5.6301, 5.6269) * CHOOSE(CONTROL!$C$15, $D$11, 100%, $F$11)</f>
        <v>5.6300999999999997</v>
      </c>
      <c r="G107" s="8">
        <f>CHOOSE( CONTROL!$C$32, 4.8346, 4.8315) * CHOOSE( CONTROL!$C$15, $D$11, 100%, $F$11)</f>
        <v>4.8346</v>
      </c>
      <c r="H107" s="4">
        <f>CHOOSE( CONTROL!$C$32, 5.7655, 5.7624) * CHOOSE(CONTROL!$C$15, $D$11, 100%, $F$11)</f>
        <v>5.7655000000000003</v>
      </c>
      <c r="I107" s="8">
        <f>CHOOSE( CONTROL!$C$32, 4.8481, 4.845) * CHOOSE(CONTROL!$C$15, $D$11, 100%, $F$11)</f>
        <v>4.8480999999999996</v>
      </c>
      <c r="J107" s="4">
        <f>CHOOSE( CONTROL!$C$32, 4.7525, 4.7495) * CHOOSE(CONTROL!$C$15, $D$11, 100%, $F$11)</f>
        <v>4.7525000000000004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32.8123</v>
      </c>
      <c r="R107" s="9"/>
      <c r="S107" s="11"/>
    </row>
    <row r="108" spans="1:19" ht="15.75">
      <c r="A108" s="13">
        <v>44774</v>
      </c>
      <c r="B108" s="8">
        <f>CHOOSE( CONTROL!$C$32, 4.5693, 4.5661) * CHOOSE(CONTROL!$C$15, $D$11, 100%, $F$11)</f>
        <v>4.5693000000000001</v>
      </c>
      <c r="C108" s="8">
        <f>CHOOSE( CONTROL!$C$32, 4.5773, 4.5741) * CHOOSE(CONTROL!$C$15, $D$11, 100%, $F$11)</f>
        <v>4.5773000000000001</v>
      </c>
      <c r="D108" s="8">
        <f>CHOOSE( CONTROL!$C$32, 4.5804, 4.5772) * CHOOSE( CONTROL!$C$15, $D$11, 100%, $F$11)</f>
        <v>4.5804</v>
      </c>
      <c r="E108" s="12">
        <f>CHOOSE( CONTROL!$C$32, 4.5781, 4.5749) * CHOOSE( CONTROL!$C$15, $D$11, 100%, $F$11)</f>
        <v>4.5781000000000001</v>
      </c>
      <c r="F108" s="4">
        <f>CHOOSE( CONTROL!$C$32, 5.2509, 5.2477) * CHOOSE(CONTROL!$C$15, $D$11, 100%, $F$11)</f>
        <v>5.2508999999999997</v>
      </c>
      <c r="G108" s="8">
        <f>CHOOSE( CONTROL!$C$32, 4.4619, 4.4588) * CHOOSE( CONTROL!$C$15, $D$11, 100%, $F$11)</f>
        <v>4.4619</v>
      </c>
      <c r="H108" s="4">
        <f>CHOOSE( CONTROL!$C$32, 5.3926, 5.3894) * CHOOSE(CONTROL!$C$15, $D$11, 100%, $F$11)</f>
        <v>5.3925999999999998</v>
      </c>
      <c r="I108" s="8">
        <f>CHOOSE( CONTROL!$C$32, 4.482, 4.479) * CHOOSE(CONTROL!$C$15, $D$11, 100%, $F$11)</f>
        <v>4.4820000000000002</v>
      </c>
      <c r="J108" s="4">
        <f>CHOOSE( CONTROL!$C$32, 4.3859, 4.3828) * CHOOSE(CONTROL!$C$15, $D$11, 100%, $F$11)</f>
        <v>4.3859000000000004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1.2183999999999999</v>
      </c>
      <c r="Q108" s="9">
        <v>32.8123</v>
      </c>
      <c r="R108" s="9"/>
      <c r="S108" s="11"/>
    </row>
    <row r="109" spans="1:19" ht="15.75">
      <c r="A109" s="13">
        <v>44805</v>
      </c>
      <c r="B109" s="8">
        <f>CHOOSE( CONTROL!$C$32, 4.4743, 4.4711) * CHOOSE(CONTROL!$C$15, $D$11, 100%, $F$11)</f>
        <v>4.4743000000000004</v>
      </c>
      <c r="C109" s="8">
        <f>CHOOSE( CONTROL!$C$32, 4.4824, 4.4792) * CHOOSE(CONTROL!$C$15, $D$11, 100%, $F$11)</f>
        <v>4.4824000000000002</v>
      </c>
      <c r="D109" s="8">
        <f>CHOOSE( CONTROL!$C$32, 4.4855, 4.4823) * CHOOSE( CONTROL!$C$15, $D$11, 100%, $F$11)</f>
        <v>4.4855</v>
      </c>
      <c r="E109" s="12">
        <f>CHOOSE( CONTROL!$C$32, 4.4831, 4.4799) * CHOOSE( CONTROL!$C$15, $D$11, 100%, $F$11)</f>
        <v>4.4831000000000003</v>
      </c>
      <c r="F109" s="4">
        <f>CHOOSE( CONTROL!$C$32, 5.1559, 5.1527) * CHOOSE(CONTROL!$C$15, $D$11, 100%, $F$11)</f>
        <v>5.1558999999999999</v>
      </c>
      <c r="G109" s="8">
        <f>CHOOSE( CONTROL!$C$32, 4.3685, 4.3654) * CHOOSE( CONTROL!$C$15, $D$11, 100%, $F$11)</f>
        <v>4.3685</v>
      </c>
      <c r="H109" s="4">
        <f>CHOOSE( CONTROL!$C$32, 5.2992, 5.296) * CHOOSE(CONTROL!$C$15, $D$11, 100%, $F$11)</f>
        <v>5.2991999999999999</v>
      </c>
      <c r="I109" s="8">
        <f>CHOOSE( CONTROL!$C$32, 4.3903, 4.3872) * CHOOSE(CONTROL!$C$15, $D$11, 100%, $F$11)</f>
        <v>4.3902999999999999</v>
      </c>
      <c r="J109" s="4">
        <f>CHOOSE( CONTROL!$C$32, 4.2941, 4.291) * CHOOSE(CONTROL!$C$15, $D$11, 100%, $F$11)</f>
        <v>4.2941000000000003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1.1791</v>
      </c>
      <c r="Q109" s="9">
        <v>31.753799999999998</v>
      </c>
      <c r="R109" s="9"/>
      <c r="S109" s="11"/>
    </row>
    <row r="110" spans="1:19" ht="15.75">
      <c r="A110" s="13">
        <v>44835</v>
      </c>
      <c r="B110" s="8">
        <f>4.6666 * CHOOSE(CONTROL!$C$15, $D$11, 100%, $F$11)</f>
        <v>4.6665999999999999</v>
      </c>
      <c r="C110" s="8">
        <f>4.672 * CHOOSE(CONTROL!$C$15, $D$11, 100%, $F$11)</f>
        <v>4.6719999999999997</v>
      </c>
      <c r="D110" s="8">
        <f>4.6799 * CHOOSE( CONTROL!$C$15, $D$11, 100%, $F$11)</f>
        <v>4.6798999999999999</v>
      </c>
      <c r="E110" s="12">
        <f>4.6767 * CHOOSE( CONTROL!$C$15, $D$11, 100%, $F$11)</f>
        <v>4.6767000000000003</v>
      </c>
      <c r="F110" s="4">
        <f>5.3499 * CHOOSE(CONTROL!$C$15, $D$11, 100%, $F$11)</f>
        <v>5.3498999999999999</v>
      </c>
      <c r="G110" s="8">
        <f>4.5589 * CHOOSE( CONTROL!$C$15, $D$11, 100%, $F$11)</f>
        <v>4.5589000000000004</v>
      </c>
      <c r="H110" s="4">
        <f>5.4899 * CHOOSE(CONTROL!$C$15, $D$11, 100%, $F$11)</f>
        <v>5.4898999999999996</v>
      </c>
      <c r="I110" s="8">
        <f>4.5786 * CHOOSE(CONTROL!$C$15, $D$11, 100%, $F$11)</f>
        <v>4.5785999999999998</v>
      </c>
      <c r="J110" s="4">
        <f>4.4816 * CHOOSE(CONTROL!$C$15, $D$11, 100%, $F$11)</f>
        <v>4.4816000000000003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1.2183999999999999</v>
      </c>
      <c r="Q110" s="9">
        <v>32.8123</v>
      </c>
      <c r="R110" s="9"/>
      <c r="S110" s="11"/>
    </row>
    <row r="111" spans="1:19" ht="15.75">
      <c r="A111" s="13">
        <v>44866</v>
      </c>
      <c r="B111" s="8">
        <f>5.0302 * CHOOSE(CONTROL!$C$15, $D$11, 100%, $F$11)</f>
        <v>5.0301999999999998</v>
      </c>
      <c r="C111" s="8">
        <f>5.0353 * CHOOSE(CONTROL!$C$15, $D$11, 100%, $F$11)</f>
        <v>5.0353000000000003</v>
      </c>
      <c r="D111" s="8">
        <f>5.0128 * CHOOSE( CONTROL!$C$15, $D$11, 100%, $F$11)</f>
        <v>5.0128000000000004</v>
      </c>
      <c r="E111" s="12">
        <f>5.0205 * CHOOSE( CONTROL!$C$15, $D$11, 100%, $F$11)</f>
        <v>5.0205000000000002</v>
      </c>
      <c r="F111" s="4">
        <f>5.6751 * CHOOSE(CONTROL!$C$15, $D$11, 100%, $F$11)</f>
        <v>5.6750999999999996</v>
      </c>
      <c r="G111" s="8">
        <f>4.9294 * CHOOSE( CONTROL!$C$15, $D$11, 100%, $F$11)</f>
        <v>4.9294000000000002</v>
      </c>
      <c r="H111" s="4">
        <f>5.8097 * CHOOSE(CONTROL!$C$15, $D$11, 100%, $F$11)</f>
        <v>5.8097000000000003</v>
      </c>
      <c r="I111" s="8">
        <f>4.9562 * CHOOSE(CONTROL!$C$15, $D$11, 100%, $F$11)</f>
        <v>4.9561999999999999</v>
      </c>
      <c r="J111" s="4">
        <f>4.8335 * CHOOSE(CONTROL!$C$15, $D$11, 100%, $F$11)</f>
        <v>4.8334999999999999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31.753799999999998</v>
      </c>
      <c r="R111" s="9"/>
      <c r="S111" s="11"/>
    </row>
    <row r="112" spans="1:19" ht="15.75">
      <c r="A112" s="13">
        <v>44896</v>
      </c>
      <c r="B112" s="8">
        <f>5.0211 * CHOOSE(CONTROL!$C$15, $D$11, 100%, $F$11)</f>
        <v>5.0210999999999997</v>
      </c>
      <c r="C112" s="8">
        <f>5.0262 * CHOOSE(CONTROL!$C$15, $D$11, 100%, $F$11)</f>
        <v>5.0262000000000002</v>
      </c>
      <c r="D112" s="8">
        <f>5.0052 * CHOOSE( CONTROL!$C$15, $D$11, 100%, $F$11)</f>
        <v>5.0052000000000003</v>
      </c>
      <c r="E112" s="12">
        <f>5.0123 * CHOOSE( CONTROL!$C$15, $D$11, 100%, $F$11)</f>
        <v>5.0122999999999998</v>
      </c>
      <c r="F112" s="4">
        <f>5.666 * CHOOSE(CONTROL!$C$15, $D$11, 100%, $F$11)</f>
        <v>5.6660000000000004</v>
      </c>
      <c r="G112" s="8">
        <f>4.9215 * CHOOSE( CONTROL!$C$15, $D$11, 100%, $F$11)</f>
        <v>4.9215</v>
      </c>
      <c r="H112" s="4">
        <f>5.8008 * CHOOSE(CONTROL!$C$15, $D$11, 100%, $F$11)</f>
        <v>5.8007999999999997</v>
      </c>
      <c r="I112" s="8">
        <f>4.952 * CHOOSE(CONTROL!$C$15, $D$11, 100%, $F$11)</f>
        <v>4.952</v>
      </c>
      <c r="J112" s="4">
        <f>4.8247 * CHOOSE(CONTROL!$C$15, $D$11, 100%, $F$11)</f>
        <v>4.8247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32.8123</v>
      </c>
      <c r="R112" s="9"/>
      <c r="S112" s="11"/>
    </row>
    <row r="113" spans="1:19" ht="15.75">
      <c r="A113" s="13">
        <v>44927</v>
      </c>
      <c r="B113" s="8">
        <f>5.3975 * CHOOSE(CONTROL!$C$15, $D$11, 100%, $F$11)</f>
        <v>5.3975</v>
      </c>
      <c r="C113" s="8">
        <f>5.4027 * CHOOSE(CONTROL!$C$15, $D$11, 100%, $F$11)</f>
        <v>5.4027000000000003</v>
      </c>
      <c r="D113" s="8">
        <f>5.3807 * CHOOSE( CONTROL!$C$15, $D$11, 100%, $F$11)</f>
        <v>5.3807</v>
      </c>
      <c r="E113" s="12">
        <f>5.3882 * CHOOSE( CONTROL!$C$15, $D$11, 100%, $F$11)</f>
        <v>5.3882000000000003</v>
      </c>
      <c r="F113" s="4">
        <f>6.0424 * CHOOSE(CONTROL!$C$15, $D$11, 100%, $F$11)</f>
        <v>6.0423999999999998</v>
      </c>
      <c r="G113" s="8">
        <f>5.2891 * CHOOSE( CONTROL!$C$15, $D$11, 100%, $F$11)</f>
        <v>5.2891000000000004</v>
      </c>
      <c r="H113" s="4">
        <f>6.171 * CHOOSE(CONTROL!$C$15, $D$11, 100%, $F$11)</f>
        <v>6.1710000000000003</v>
      </c>
      <c r="I113" s="8">
        <f>5.2879 * CHOOSE(CONTROL!$C$15, $D$11, 100%, $F$11)</f>
        <v>5.2878999999999996</v>
      </c>
      <c r="J113" s="4">
        <f>5.1886 * CHOOSE(CONTROL!$C$15, $D$11, 100%, $F$11)</f>
        <v>5.1886000000000001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32.624400000000001</v>
      </c>
      <c r="R113" s="9"/>
      <c r="S113" s="11"/>
    </row>
    <row r="114" spans="1:19" ht="15.75">
      <c r="A114" s="13">
        <v>44958</v>
      </c>
      <c r="B114" s="8">
        <f>5.0506 * CHOOSE(CONTROL!$C$15, $D$11, 100%, $F$11)</f>
        <v>5.0506000000000002</v>
      </c>
      <c r="C114" s="8">
        <f>5.0557 * CHOOSE(CONTROL!$C$15, $D$11, 100%, $F$11)</f>
        <v>5.0556999999999999</v>
      </c>
      <c r="D114" s="8">
        <f>5.0293 * CHOOSE( CONTROL!$C$15, $D$11, 100%, $F$11)</f>
        <v>5.0293000000000001</v>
      </c>
      <c r="E114" s="12">
        <f>5.0384 * CHOOSE( CONTROL!$C$15, $D$11, 100%, $F$11)</f>
        <v>5.0384000000000002</v>
      </c>
      <c r="F114" s="4">
        <f>5.6954 * CHOOSE(CONTROL!$C$15, $D$11, 100%, $F$11)</f>
        <v>5.6954000000000002</v>
      </c>
      <c r="G114" s="8">
        <f>4.9394 * CHOOSE( CONTROL!$C$15, $D$11, 100%, $F$11)</f>
        <v>4.9394</v>
      </c>
      <c r="H114" s="4">
        <f>5.8298 * CHOOSE(CONTROL!$C$15, $D$11, 100%, $F$11)</f>
        <v>5.8297999999999996</v>
      </c>
      <c r="I114" s="8">
        <f>4.9233 * CHOOSE(CONTROL!$C$15, $D$11, 100%, $F$11)</f>
        <v>4.9233000000000002</v>
      </c>
      <c r="J114" s="4">
        <f>4.8532 * CHOOSE(CONTROL!$C$15, $D$11, 100%, $F$11)</f>
        <v>4.8532000000000002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29.467199999999998</v>
      </c>
      <c r="R114" s="9"/>
      <c r="S114" s="11"/>
    </row>
    <row r="115" spans="1:19" ht="15.75">
      <c r="A115" s="13">
        <v>44986</v>
      </c>
      <c r="B115" s="8">
        <f>4.9437 * CHOOSE(CONTROL!$C$15, $D$11, 100%, $F$11)</f>
        <v>4.9436999999999998</v>
      </c>
      <c r="C115" s="8">
        <f>4.9488 * CHOOSE(CONTROL!$C$15, $D$11, 100%, $F$11)</f>
        <v>4.9488000000000003</v>
      </c>
      <c r="D115" s="8">
        <f>4.9228 * CHOOSE( CONTROL!$C$15, $D$11, 100%, $F$11)</f>
        <v>4.9227999999999996</v>
      </c>
      <c r="E115" s="12">
        <f>4.9318 * CHOOSE( CONTROL!$C$15, $D$11, 100%, $F$11)</f>
        <v>4.9318</v>
      </c>
      <c r="F115" s="4">
        <f>5.5886 * CHOOSE(CONTROL!$C$15, $D$11, 100%, $F$11)</f>
        <v>5.5885999999999996</v>
      </c>
      <c r="G115" s="8">
        <f>4.8346 * CHOOSE( CONTROL!$C$15, $D$11, 100%, $F$11)</f>
        <v>4.8346</v>
      </c>
      <c r="H115" s="4">
        <f>5.7247 * CHOOSE(CONTROL!$C$15, $D$11, 100%, $F$11)</f>
        <v>5.7247000000000003</v>
      </c>
      <c r="I115" s="8">
        <f>4.8212 * CHOOSE(CONTROL!$C$15, $D$11, 100%, $F$11)</f>
        <v>4.8212000000000002</v>
      </c>
      <c r="J115" s="4">
        <f>4.7499 * CHOOSE(CONTROL!$C$15, $D$11, 100%, $F$11)</f>
        <v>4.7499000000000002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32.624400000000001</v>
      </c>
      <c r="R115" s="9"/>
      <c r="S115" s="11"/>
    </row>
    <row r="116" spans="1:19" ht="15.75">
      <c r="A116" s="13">
        <v>45017</v>
      </c>
      <c r="B116" s="8">
        <f>5.0191 * CHOOSE(CONTROL!$C$15, $D$11, 100%, $F$11)</f>
        <v>5.0190999999999999</v>
      </c>
      <c r="C116" s="8">
        <f>5.0237 * CHOOSE(CONTROL!$C$15, $D$11, 100%, $F$11)</f>
        <v>5.0236999999999998</v>
      </c>
      <c r="D116" s="8">
        <f>5.0308 * CHOOSE( CONTROL!$C$15, $D$11, 100%, $F$11)</f>
        <v>5.0308000000000002</v>
      </c>
      <c r="E116" s="12">
        <f>5.0279 * CHOOSE( CONTROL!$C$15, $D$11, 100%, $F$11)</f>
        <v>5.0278999999999998</v>
      </c>
      <c r="F116" s="4">
        <f>5.702 * CHOOSE(CONTROL!$C$15, $D$11, 100%, $F$11)</f>
        <v>5.702</v>
      </c>
      <c r="G116" s="8">
        <f>4.9033 * CHOOSE( CONTROL!$C$15, $D$11, 100%, $F$11)</f>
        <v>4.9032999999999998</v>
      </c>
      <c r="H116" s="4">
        <f>5.8363 * CHOOSE(CONTROL!$C$15, $D$11, 100%, $F$11)</f>
        <v>5.8362999999999996</v>
      </c>
      <c r="I116" s="8">
        <f>4.9132 * CHOOSE(CONTROL!$C$15, $D$11, 100%, $F$11)</f>
        <v>4.9131999999999998</v>
      </c>
      <c r="J116" s="4">
        <f>4.8221 * CHOOSE(CONTROL!$C$15, $D$11, 100%, $F$11)</f>
        <v>4.8220999999999998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1.1791</v>
      </c>
      <c r="Q116" s="9">
        <v>31.571999999999999</v>
      </c>
      <c r="R116" s="9"/>
      <c r="S116" s="11"/>
    </row>
    <row r="117" spans="1:19" ht="15.75">
      <c r="A117" s="13">
        <v>45047</v>
      </c>
      <c r="B117" s="8">
        <f>CHOOSE( CONTROL!$C$32, 5.1566, 5.1534) * CHOOSE(CONTROL!$C$15, $D$11, 100%, $F$11)</f>
        <v>5.1566000000000001</v>
      </c>
      <c r="C117" s="8">
        <f>CHOOSE( CONTROL!$C$32, 5.1646, 5.1614) * CHOOSE(CONTROL!$C$15, $D$11, 100%, $F$11)</f>
        <v>5.1646000000000001</v>
      </c>
      <c r="D117" s="8">
        <f>CHOOSE( CONTROL!$C$32, 5.1669, 5.1637) * CHOOSE( CONTROL!$C$15, $D$11, 100%, $F$11)</f>
        <v>5.1669</v>
      </c>
      <c r="E117" s="12">
        <f>CHOOSE( CONTROL!$C$32, 5.1648, 5.1616) * CHOOSE( CONTROL!$C$15, $D$11, 100%, $F$11)</f>
        <v>5.1647999999999996</v>
      </c>
      <c r="F117" s="4">
        <f>CHOOSE( CONTROL!$C$32, 5.8382, 5.835) * CHOOSE(CONTROL!$C$15, $D$11, 100%, $F$11)</f>
        <v>5.8381999999999996</v>
      </c>
      <c r="G117" s="8">
        <f>CHOOSE( CONTROL!$C$32, 5.0383, 5.0352) * CHOOSE( CONTROL!$C$15, $D$11, 100%, $F$11)</f>
        <v>5.0382999999999996</v>
      </c>
      <c r="H117" s="4">
        <f>CHOOSE( CONTROL!$C$32, 5.9701, 5.967) * CHOOSE(CONTROL!$C$15, $D$11, 100%, $F$11)</f>
        <v>5.9701000000000004</v>
      </c>
      <c r="I117" s="8">
        <f>CHOOSE( CONTROL!$C$32, 5.0464, 5.0433) * CHOOSE(CONTROL!$C$15, $D$11, 100%, $F$11)</f>
        <v>5.0464000000000002</v>
      </c>
      <c r="J117" s="4">
        <f>CHOOSE( CONTROL!$C$32, 4.9537, 4.9506) * CHOOSE(CONTROL!$C$15, $D$11, 100%, $F$11)</f>
        <v>4.9537000000000004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1.2183999999999999</v>
      </c>
      <c r="Q117" s="9">
        <v>32.624400000000001</v>
      </c>
      <c r="R117" s="9"/>
      <c r="S117" s="11"/>
    </row>
    <row r="118" spans="1:19" ht="15.75">
      <c r="A118" s="13">
        <v>45078</v>
      </c>
      <c r="B118" s="8">
        <f>CHOOSE( CONTROL!$C$32, 5.0743, 5.0711) * CHOOSE(CONTROL!$C$15, $D$11, 100%, $F$11)</f>
        <v>5.0743</v>
      </c>
      <c r="C118" s="8">
        <f>CHOOSE( CONTROL!$C$32, 5.0823, 5.0791) * CHOOSE(CONTROL!$C$15, $D$11, 100%, $F$11)</f>
        <v>5.0823</v>
      </c>
      <c r="D118" s="8">
        <f>CHOOSE( CONTROL!$C$32, 5.0849, 5.0817) * CHOOSE( CONTROL!$C$15, $D$11, 100%, $F$11)</f>
        <v>5.0849000000000002</v>
      </c>
      <c r="E118" s="12">
        <f>CHOOSE( CONTROL!$C$32, 5.0827, 5.0795) * CHOOSE( CONTROL!$C$15, $D$11, 100%, $F$11)</f>
        <v>5.0827</v>
      </c>
      <c r="F118" s="4">
        <f>CHOOSE( CONTROL!$C$32, 5.7558, 5.7526) * CHOOSE(CONTROL!$C$15, $D$11, 100%, $F$11)</f>
        <v>5.7557999999999998</v>
      </c>
      <c r="G118" s="8">
        <f>CHOOSE( CONTROL!$C$32, 4.9578, 4.9546) * CHOOSE( CONTROL!$C$15, $D$11, 100%, $F$11)</f>
        <v>4.9577999999999998</v>
      </c>
      <c r="H118" s="4">
        <f>CHOOSE( CONTROL!$C$32, 5.8891, 5.886) * CHOOSE(CONTROL!$C$15, $D$11, 100%, $F$11)</f>
        <v>5.8891</v>
      </c>
      <c r="I118" s="8">
        <f>CHOOSE( CONTROL!$C$32, 4.9682, 4.9651) * CHOOSE(CONTROL!$C$15, $D$11, 100%, $F$11)</f>
        <v>4.9682000000000004</v>
      </c>
      <c r="J118" s="4">
        <f>CHOOSE( CONTROL!$C$32, 4.8741, 4.871) * CHOOSE(CONTROL!$C$15, $D$11, 100%, $F$11)</f>
        <v>4.8741000000000003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1.1791</v>
      </c>
      <c r="Q118" s="9">
        <v>31.571999999999999</v>
      </c>
      <c r="R118" s="9"/>
      <c r="S118" s="11"/>
    </row>
    <row r="119" spans="1:19" ht="15.75">
      <c r="A119" s="13">
        <v>45108</v>
      </c>
      <c r="B119" s="8">
        <f>CHOOSE( CONTROL!$C$32, 5.2911, 5.2879) * CHOOSE(CONTROL!$C$15, $D$11, 100%, $F$11)</f>
        <v>5.2911000000000001</v>
      </c>
      <c r="C119" s="8">
        <f>CHOOSE( CONTROL!$C$32, 5.2991, 5.2959) * CHOOSE(CONTROL!$C$15, $D$11, 100%, $F$11)</f>
        <v>5.2991000000000001</v>
      </c>
      <c r="D119" s="8">
        <f>CHOOSE( CONTROL!$C$32, 5.302, 5.2988) * CHOOSE( CONTROL!$C$15, $D$11, 100%, $F$11)</f>
        <v>5.3019999999999996</v>
      </c>
      <c r="E119" s="12">
        <f>CHOOSE( CONTROL!$C$32, 5.2997, 5.2965) * CHOOSE( CONTROL!$C$15, $D$11, 100%, $F$11)</f>
        <v>5.2996999999999996</v>
      </c>
      <c r="F119" s="4">
        <f>CHOOSE( CONTROL!$C$32, 5.9726, 5.9694) * CHOOSE(CONTROL!$C$15, $D$11, 100%, $F$11)</f>
        <v>5.9725999999999999</v>
      </c>
      <c r="G119" s="8">
        <f>CHOOSE( CONTROL!$C$32, 5.1715, 5.1683) * CHOOSE( CONTROL!$C$15, $D$11, 100%, $F$11)</f>
        <v>5.1715</v>
      </c>
      <c r="H119" s="4">
        <f>CHOOSE( CONTROL!$C$32, 6.1024, 6.0992) * CHOOSE(CONTROL!$C$15, $D$11, 100%, $F$11)</f>
        <v>6.1024000000000003</v>
      </c>
      <c r="I119" s="8">
        <f>CHOOSE( CONTROL!$C$32, 5.1794, 5.1763) * CHOOSE(CONTROL!$C$15, $D$11, 100%, $F$11)</f>
        <v>5.1794000000000002</v>
      </c>
      <c r="J119" s="4">
        <f>CHOOSE( CONTROL!$C$32, 5.0837, 5.0806) * CHOOSE(CONTROL!$C$15, $D$11, 100%, $F$11)</f>
        <v>5.0837000000000003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32.624400000000001</v>
      </c>
      <c r="R119" s="9"/>
      <c r="S119" s="11"/>
    </row>
    <row r="120" spans="1:19" ht="15.75">
      <c r="A120" s="13">
        <v>45139</v>
      </c>
      <c r="B120" s="8">
        <f>CHOOSE( CONTROL!$C$32, 4.8854, 4.8822) * CHOOSE(CONTROL!$C$15, $D$11, 100%, $F$11)</f>
        <v>4.8853999999999997</v>
      </c>
      <c r="C120" s="8">
        <f>CHOOSE( CONTROL!$C$32, 4.8934, 4.8902) * CHOOSE(CONTROL!$C$15, $D$11, 100%, $F$11)</f>
        <v>4.8933999999999997</v>
      </c>
      <c r="D120" s="8">
        <f>CHOOSE( CONTROL!$C$32, 4.8965, 4.8933) * CHOOSE( CONTROL!$C$15, $D$11, 100%, $F$11)</f>
        <v>4.8964999999999996</v>
      </c>
      <c r="E120" s="12">
        <f>CHOOSE( CONTROL!$C$32, 4.8942, 4.891) * CHOOSE( CONTROL!$C$15, $D$11, 100%, $F$11)</f>
        <v>4.8941999999999997</v>
      </c>
      <c r="F120" s="4">
        <f>CHOOSE( CONTROL!$C$32, 5.5669, 5.5637) * CHOOSE(CONTROL!$C$15, $D$11, 100%, $F$11)</f>
        <v>5.5669000000000004</v>
      </c>
      <c r="G120" s="8">
        <f>CHOOSE( CONTROL!$C$32, 4.7727, 4.7696) * CHOOSE( CONTROL!$C$15, $D$11, 100%, $F$11)</f>
        <v>4.7727000000000004</v>
      </c>
      <c r="H120" s="4">
        <f>CHOOSE( CONTROL!$C$32, 5.7034, 5.7003) * CHOOSE(CONTROL!$C$15, $D$11, 100%, $F$11)</f>
        <v>5.7034000000000002</v>
      </c>
      <c r="I120" s="8">
        <f>CHOOSE( CONTROL!$C$32, 4.7878, 4.7847) * CHOOSE(CONTROL!$C$15, $D$11, 100%, $F$11)</f>
        <v>4.7877999999999998</v>
      </c>
      <c r="J120" s="4">
        <f>CHOOSE( CONTROL!$C$32, 4.6915, 4.6884) * CHOOSE(CONTROL!$C$15, $D$11, 100%, $F$11)</f>
        <v>4.6914999999999996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1.2183999999999999</v>
      </c>
      <c r="Q120" s="9">
        <v>32.624400000000001</v>
      </c>
      <c r="R120" s="9"/>
      <c r="S120" s="11"/>
    </row>
    <row r="121" spans="1:19" ht="15.75">
      <c r="A121" s="13">
        <v>45170</v>
      </c>
      <c r="B121" s="8">
        <f>CHOOSE( CONTROL!$C$32, 4.7838, 4.7806) * CHOOSE(CONTROL!$C$15, $D$11, 100%, $F$11)</f>
        <v>4.7838000000000003</v>
      </c>
      <c r="C121" s="8">
        <f>CHOOSE( CONTROL!$C$32, 4.7918, 4.7886) * CHOOSE(CONTROL!$C$15, $D$11, 100%, $F$11)</f>
        <v>4.7918000000000003</v>
      </c>
      <c r="D121" s="8">
        <f>CHOOSE( CONTROL!$C$32, 4.7949, 4.7917) * CHOOSE( CONTROL!$C$15, $D$11, 100%, $F$11)</f>
        <v>4.7949000000000002</v>
      </c>
      <c r="E121" s="12">
        <f>CHOOSE( CONTROL!$C$32, 4.7926, 4.7894) * CHOOSE( CONTROL!$C$15, $D$11, 100%, $F$11)</f>
        <v>4.7926000000000002</v>
      </c>
      <c r="F121" s="4">
        <f>CHOOSE( CONTROL!$C$32, 5.4654, 5.4622) * CHOOSE(CONTROL!$C$15, $D$11, 100%, $F$11)</f>
        <v>5.4653999999999998</v>
      </c>
      <c r="G121" s="8">
        <f>CHOOSE( CONTROL!$C$32, 4.6729, 4.6697) * CHOOSE( CONTROL!$C$15, $D$11, 100%, $F$11)</f>
        <v>4.6729000000000003</v>
      </c>
      <c r="H121" s="4">
        <f>CHOOSE( CONTROL!$C$32, 5.6035, 5.6003) * CHOOSE(CONTROL!$C$15, $D$11, 100%, $F$11)</f>
        <v>5.6035000000000004</v>
      </c>
      <c r="I121" s="8">
        <f>CHOOSE( CONTROL!$C$32, 4.6896, 4.6865) * CHOOSE(CONTROL!$C$15, $D$11, 100%, $F$11)</f>
        <v>4.6896000000000004</v>
      </c>
      <c r="J121" s="4">
        <f>CHOOSE( CONTROL!$C$32, 4.5933, 4.5902) * CHOOSE(CONTROL!$C$15, $D$11, 100%, $F$11)</f>
        <v>4.5933000000000002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1.1791</v>
      </c>
      <c r="Q121" s="9">
        <v>31.571999999999999</v>
      </c>
      <c r="R121" s="9"/>
      <c r="S121" s="11"/>
    </row>
    <row r="122" spans="1:19" ht="15.75">
      <c r="A122" s="13">
        <v>45200</v>
      </c>
      <c r="B122" s="8">
        <f>4.9898 * CHOOSE(CONTROL!$C$15, $D$11, 100%, $F$11)</f>
        <v>4.9897999999999998</v>
      </c>
      <c r="C122" s="8">
        <f>4.9952 * CHOOSE(CONTROL!$C$15, $D$11, 100%, $F$11)</f>
        <v>4.9951999999999996</v>
      </c>
      <c r="D122" s="8">
        <f>5.0031 * CHOOSE( CONTROL!$C$15, $D$11, 100%, $F$11)</f>
        <v>5.0030999999999999</v>
      </c>
      <c r="E122" s="12">
        <f>4.9999 * CHOOSE( CONTROL!$C$15, $D$11, 100%, $F$11)</f>
        <v>4.9999000000000002</v>
      </c>
      <c r="F122" s="4">
        <f>5.6731 * CHOOSE(CONTROL!$C$15, $D$11, 100%, $F$11)</f>
        <v>5.6730999999999998</v>
      </c>
      <c r="G122" s="8">
        <f>4.8767 * CHOOSE( CONTROL!$C$15, $D$11, 100%, $F$11)</f>
        <v>4.8766999999999996</v>
      </c>
      <c r="H122" s="4">
        <f>5.8078 * CHOOSE(CONTROL!$C$15, $D$11, 100%, $F$11)</f>
        <v>5.8078000000000003</v>
      </c>
      <c r="I122" s="8">
        <f>4.8912 * CHOOSE(CONTROL!$C$15, $D$11, 100%, $F$11)</f>
        <v>4.8912000000000004</v>
      </c>
      <c r="J122" s="4">
        <f>4.7941 * CHOOSE(CONTROL!$C$15, $D$11, 100%, $F$11)</f>
        <v>4.7941000000000003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1.2183999999999999</v>
      </c>
      <c r="Q122" s="9">
        <v>32.624400000000001</v>
      </c>
      <c r="R122" s="9"/>
      <c r="S122" s="11"/>
    </row>
    <row r="123" spans="1:19" ht="15.75">
      <c r="A123" s="13">
        <v>45231</v>
      </c>
      <c r="B123" s="8">
        <f>5.3788 * CHOOSE(CONTROL!$C$15, $D$11, 100%, $F$11)</f>
        <v>5.3788</v>
      </c>
      <c r="C123" s="8">
        <f>5.3839 * CHOOSE(CONTROL!$C$15, $D$11, 100%, $F$11)</f>
        <v>5.3838999999999997</v>
      </c>
      <c r="D123" s="8">
        <f>5.3614 * CHOOSE( CONTROL!$C$15, $D$11, 100%, $F$11)</f>
        <v>5.3613999999999997</v>
      </c>
      <c r="E123" s="12">
        <f>5.3691 * CHOOSE( CONTROL!$C$15, $D$11, 100%, $F$11)</f>
        <v>5.3691000000000004</v>
      </c>
      <c r="F123" s="4">
        <f>6.0236 * CHOOSE(CONTROL!$C$15, $D$11, 100%, $F$11)</f>
        <v>6.0236000000000001</v>
      </c>
      <c r="G123" s="8">
        <f>5.2722 * CHOOSE( CONTROL!$C$15, $D$11, 100%, $F$11)</f>
        <v>5.2721999999999998</v>
      </c>
      <c r="H123" s="4">
        <f>6.1525 * CHOOSE(CONTROL!$C$15, $D$11, 100%, $F$11)</f>
        <v>6.1524999999999999</v>
      </c>
      <c r="I123" s="8">
        <f>5.2934 * CHOOSE(CONTROL!$C$15, $D$11, 100%, $F$11)</f>
        <v>5.2934000000000001</v>
      </c>
      <c r="J123" s="4">
        <f>5.1705 * CHOOSE(CONTROL!$C$15, $D$11, 100%, $F$11)</f>
        <v>5.1704999999999997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31.571999999999999</v>
      </c>
      <c r="R123" s="9"/>
      <c r="S123" s="11"/>
    </row>
    <row r="124" spans="1:19" ht="15.75">
      <c r="A124" s="13">
        <v>45261</v>
      </c>
      <c r="B124" s="8">
        <f>5.369 * CHOOSE(CONTROL!$C$15, $D$11, 100%, $F$11)</f>
        <v>5.3689999999999998</v>
      </c>
      <c r="C124" s="8">
        <f>5.3741 * CHOOSE(CONTROL!$C$15, $D$11, 100%, $F$11)</f>
        <v>5.3741000000000003</v>
      </c>
      <c r="D124" s="8">
        <f>5.3531 * CHOOSE( CONTROL!$C$15, $D$11, 100%, $F$11)</f>
        <v>5.3531000000000004</v>
      </c>
      <c r="E124" s="12">
        <f>5.3602 * CHOOSE( CONTROL!$C$15, $D$11, 100%, $F$11)</f>
        <v>5.3601999999999999</v>
      </c>
      <c r="F124" s="4">
        <f>6.0139 * CHOOSE(CONTROL!$C$15, $D$11, 100%, $F$11)</f>
        <v>6.0138999999999996</v>
      </c>
      <c r="G124" s="8">
        <f>5.2637 * CHOOSE( CONTROL!$C$15, $D$11, 100%, $F$11)</f>
        <v>5.2637</v>
      </c>
      <c r="H124" s="4">
        <f>6.143 * CHOOSE(CONTROL!$C$15, $D$11, 100%, $F$11)</f>
        <v>6.1429999999999998</v>
      </c>
      <c r="I124" s="8">
        <f>5.2886 * CHOOSE(CONTROL!$C$15, $D$11, 100%, $F$11)</f>
        <v>5.2885999999999997</v>
      </c>
      <c r="J124" s="4">
        <f>5.1611 * CHOOSE(CONTROL!$C$15, $D$11, 100%, $F$11)</f>
        <v>5.1611000000000002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32.624400000000001</v>
      </c>
      <c r="R124" s="9"/>
      <c r="S124" s="11"/>
    </row>
    <row r="125" spans="1:19" ht="15.75">
      <c r="A125" s="13">
        <v>45292</v>
      </c>
      <c r="B125" s="8">
        <f>6.0316 * CHOOSE(CONTROL!$C$15, $D$11, 100%, $F$11)</f>
        <v>6.0316000000000001</v>
      </c>
      <c r="C125" s="8">
        <f>6.0367 * CHOOSE(CONTROL!$C$15, $D$11, 100%, $F$11)</f>
        <v>6.0366999999999997</v>
      </c>
      <c r="D125" s="8">
        <f>6.0147 * CHOOSE( CONTROL!$C$15, $D$11, 100%, $F$11)</f>
        <v>6.0147000000000004</v>
      </c>
      <c r="E125" s="12">
        <f>6.0222 * CHOOSE( CONTROL!$C$15, $D$11, 100%, $F$11)</f>
        <v>6.0221999999999998</v>
      </c>
      <c r="F125" s="4">
        <f>6.6765 * CHOOSE(CONTROL!$C$15, $D$11, 100%, $F$11)</f>
        <v>6.6764999999999999</v>
      </c>
      <c r="G125" s="8">
        <f>5.9126 * CHOOSE( CONTROL!$C$15, $D$11, 100%, $F$11)</f>
        <v>5.9126000000000003</v>
      </c>
      <c r="H125" s="4">
        <f>6.7945 * CHOOSE(CONTROL!$C$15, $D$11, 100%, $F$11)</f>
        <v>6.7945000000000002</v>
      </c>
      <c r="I125" s="8">
        <f>5.9012 * CHOOSE(CONTROL!$C$15, $D$11, 100%, $F$11)</f>
        <v>5.9012000000000002</v>
      </c>
      <c r="J125" s="4">
        <f>5.8015 * CHOOSE(CONTROL!$C$15, $D$11, 100%, $F$11)</f>
        <v>5.8014999999999999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32.440300000000001</v>
      </c>
      <c r="R125" s="9"/>
      <c r="S125" s="11"/>
    </row>
    <row r="126" spans="1:19" ht="15.75">
      <c r="A126" s="13">
        <v>45323</v>
      </c>
      <c r="B126" s="8">
        <f>5.6436 * CHOOSE(CONTROL!$C$15, $D$11, 100%, $F$11)</f>
        <v>5.6436000000000002</v>
      </c>
      <c r="C126" s="8">
        <f>5.6487 * CHOOSE(CONTROL!$C$15, $D$11, 100%, $F$11)</f>
        <v>5.6486999999999998</v>
      </c>
      <c r="D126" s="8">
        <f>5.6223 * CHOOSE( CONTROL!$C$15, $D$11, 100%, $F$11)</f>
        <v>5.6223000000000001</v>
      </c>
      <c r="E126" s="12">
        <f>5.6314 * CHOOSE( CONTROL!$C$15, $D$11, 100%, $F$11)</f>
        <v>5.6314000000000002</v>
      </c>
      <c r="F126" s="4">
        <f>6.2885 * CHOOSE(CONTROL!$C$15, $D$11, 100%, $F$11)</f>
        <v>6.2885</v>
      </c>
      <c r="G126" s="8">
        <f>5.5226 * CHOOSE( CONTROL!$C$15, $D$11, 100%, $F$11)</f>
        <v>5.5225999999999997</v>
      </c>
      <c r="H126" s="4">
        <f>6.413 * CHOOSE(CONTROL!$C$15, $D$11, 100%, $F$11)</f>
        <v>6.4130000000000003</v>
      </c>
      <c r="I126" s="8">
        <f>5.4969 * CHOOSE(CONTROL!$C$15, $D$11, 100%, $F$11)</f>
        <v>5.4969000000000001</v>
      </c>
      <c r="J126" s="4">
        <f>5.4265 * CHOOSE(CONTROL!$C$15, $D$11, 100%, $F$11)</f>
        <v>5.4264999999999999</v>
      </c>
      <c r="K126" s="4"/>
      <c r="L126" s="9">
        <v>27.415299999999998</v>
      </c>
      <c r="M126" s="9">
        <v>11.285299999999999</v>
      </c>
      <c r="N126" s="9">
        <v>4.6254999999999997</v>
      </c>
      <c r="O126" s="9">
        <v>0.34989999999999999</v>
      </c>
      <c r="P126" s="9">
        <v>1.2093</v>
      </c>
      <c r="Q126" s="9">
        <v>30.347300000000001</v>
      </c>
      <c r="R126" s="9"/>
      <c r="S126" s="11"/>
    </row>
    <row r="127" spans="1:19" ht="15.75">
      <c r="A127" s="13">
        <v>45352</v>
      </c>
      <c r="B127" s="8">
        <f>5.5241 * CHOOSE(CONTROL!$C$15, $D$11, 100%, $F$11)</f>
        <v>5.5240999999999998</v>
      </c>
      <c r="C127" s="8">
        <f>5.5292 * CHOOSE(CONTROL!$C$15, $D$11, 100%, $F$11)</f>
        <v>5.5292000000000003</v>
      </c>
      <c r="D127" s="8">
        <f>5.5032 * CHOOSE( CONTROL!$C$15, $D$11, 100%, $F$11)</f>
        <v>5.5031999999999996</v>
      </c>
      <c r="E127" s="12">
        <f>5.5122 * CHOOSE( CONTROL!$C$15, $D$11, 100%, $F$11)</f>
        <v>5.5122</v>
      </c>
      <c r="F127" s="4">
        <f>6.169 * CHOOSE(CONTROL!$C$15, $D$11, 100%, $F$11)</f>
        <v>6.1689999999999996</v>
      </c>
      <c r="G127" s="8">
        <f>5.4054 * CHOOSE( CONTROL!$C$15, $D$11, 100%, $F$11)</f>
        <v>5.4054000000000002</v>
      </c>
      <c r="H127" s="4">
        <f>6.2955 * CHOOSE(CONTROL!$C$15, $D$11, 100%, $F$11)</f>
        <v>6.2954999999999997</v>
      </c>
      <c r="I127" s="8">
        <f>5.3825 * CHOOSE(CONTROL!$C$15, $D$11, 100%, $F$11)</f>
        <v>5.3825000000000003</v>
      </c>
      <c r="J127" s="4">
        <f>5.311 * CHOOSE(CONTROL!$C$15, $D$11, 100%, $F$11)</f>
        <v>5.3109999999999999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32.440300000000001</v>
      </c>
      <c r="R127" s="9"/>
      <c r="S127" s="11"/>
    </row>
    <row r="128" spans="1:19" ht="15.75">
      <c r="A128" s="13">
        <v>45383</v>
      </c>
      <c r="B128" s="8">
        <f>5.6084 * CHOOSE(CONTROL!$C$15, $D$11, 100%, $F$11)</f>
        <v>5.6083999999999996</v>
      </c>
      <c r="C128" s="8">
        <f>5.6129 * CHOOSE(CONTROL!$C$15, $D$11, 100%, $F$11)</f>
        <v>5.6128999999999998</v>
      </c>
      <c r="D128" s="8">
        <f>5.6201 * CHOOSE( CONTROL!$C$15, $D$11, 100%, $F$11)</f>
        <v>5.6200999999999999</v>
      </c>
      <c r="E128" s="12">
        <f>5.6172 * CHOOSE( CONTROL!$C$15, $D$11, 100%, $F$11)</f>
        <v>5.6172000000000004</v>
      </c>
      <c r="F128" s="4">
        <f>6.2913 * CHOOSE(CONTROL!$C$15, $D$11, 100%, $F$11)</f>
        <v>6.2912999999999997</v>
      </c>
      <c r="G128" s="8">
        <f>5.4828 * CHOOSE( CONTROL!$C$15, $D$11, 100%, $F$11)</f>
        <v>5.4828000000000001</v>
      </c>
      <c r="H128" s="4">
        <f>6.4157 * CHOOSE(CONTROL!$C$15, $D$11, 100%, $F$11)</f>
        <v>6.4157000000000002</v>
      </c>
      <c r="I128" s="8">
        <f>5.4831 * CHOOSE(CONTROL!$C$15, $D$11, 100%, $F$11)</f>
        <v>5.4831000000000003</v>
      </c>
      <c r="J128" s="4">
        <f>5.3917 * CHOOSE(CONTROL!$C$15, $D$11, 100%, $F$11)</f>
        <v>5.3917000000000002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1.1791</v>
      </c>
      <c r="Q128" s="9">
        <v>31.393799999999999</v>
      </c>
      <c r="R128" s="9"/>
      <c r="S128" s="11"/>
    </row>
    <row r="129" spans="1:19" ht="15.75">
      <c r="A129" s="13">
        <v>45413</v>
      </c>
      <c r="B129" s="8">
        <f>CHOOSE( CONTROL!$C$32, 5.7615, 5.7583) * CHOOSE(CONTROL!$C$15, $D$11, 100%, $F$11)</f>
        <v>5.7614999999999998</v>
      </c>
      <c r="C129" s="8">
        <f>CHOOSE( CONTROL!$C$32, 5.7696, 5.7664) * CHOOSE(CONTROL!$C$15, $D$11, 100%, $F$11)</f>
        <v>5.7695999999999996</v>
      </c>
      <c r="D129" s="8">
        <f>CHOOSE( CONTROL!$C$32, 5.7719, 5.7687) * CHOOSE( CONTROL!$C$15, $D$11, 100%, $F$11)</f>
        <v>5.7718999999999996</v>
      </c>
      <c r="E129" s="12">
        <f>CHOOSE( CONTROL!$C$32, 5.7698, 5.7666) * CHOOSE( CONTROL!$C$15, $D$11, 100%, $F$11)</f>
        <v>5.7698</v>
      </c>
      <c r="F129" s="4">
        <f>CHOOSE( CONTROL!$C$32, 6.4431, 6.4399) * CHOOSE(CONTROL!$C$15, $D$11, 100%, $F$11)</f>
        <v>6.4431000000000003</v>
      </c>
      <c r="G129" s="8">
        <f>CHOOSE( CONTROL!$C$32, 5.6332, 5.6301) * CHOOSE( CONTROL!$C$15, $D$11, 100%, $F$11)</f>
        <v>5.6332000000000004</v>
      </c>
      <c r="H129" s="4">
        <f>CHOOSE( CONTROL!$C$32, 6.565, 6.5619) * CHOOSE(CONTROL!$C$15, $D$11, 100%, $F$11)</f>
        <v>6.5650000000000004</v>
      </c>
      <c r="I129" s="8">
        <f>CHOOSE( CONTROL!$C$32, 5.6315, 5.6284) * CHOOSE(CONTROL!$C$15, $D$11, 100%, $F$11)</f>
        <v>5.6315</v>
      </c>
      <c r="J129" s="4">
        <f>CHOOSE( CONTROL!$C$32, 5.5384, 5.5354) * CHOOSE(CONTROL!$C$15, $D$11, 100%, $F$11)</f>
        <v>5.5384000000000002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1.2183999999999999</v>
      </c>
      <c r="Q129" s="9">
        <v>32.440300000000001</v>
      </c>
      <c r="R129" s="9"/>
      <c r="S129" s="11"/>
    </row>
    <row r="130" spans="1:19" ht="15.75">
      <c r="A130" s="13">
        <v>45444</v>
      </c>
      <c r="B130" s="8">
        <f>CHOOSE( CONTROL!$C$32, 5.6695, 5.6663) * CHOOSE(CONTROL!$C$15, $D$11, 100%, $F$11)</f>
        <v>5.6695000000000002</v>
      </c>
      <c r="C130" s="8">
        <f>CHOOSE( CONTROL!$C$32, 5.6775, 5.6743) * CHOOSE(CONTROL!$C$15, $D$11, 100%, $F$11)</f>
        <v>5.6775000000000002</v>
      </c>
      <c r="D130" s="8">
        <f>CHOOSE( CONTROL!$C$32, 5.6801, 5.6769) * CHOOSE( CONTROL!$C$15, $D$11, 100%, $F$11)</f>
        <v>5.6801000000000004</v>
      </c>
      <c r="E130" s="12">
        <f>CHOOSE( CONTROL!$C$32, 5.6779, 5.6747) * CHOOSE( CONTROL!$C$15, $D$11, 100%, $F$11)</f>
        <v>5.6779000000000002</v>
      </c>
      <c r="F130" s="4">
        <f>CHOOSE( CONTROL!$C$32, 6.351, 6.3478) * CHOOSE(CONTROL!$C$15, $D$11, 100%, $F$11)</f>
        <v>6.351</v>
      </c>
      <c r="G130" s="8">
        <f>CHOOSE( CONTROL!$C$32, 5.5431, 5.54) * CHOOSE( CONTROL!$C$15, $D$11, 100%, $F$11)</f>
        <v>5.5430999999999999</v>
      </c>
      <c r="H130" s="4">
        <f>CHOOSE( CONTROL!$C$32, 6.4745, 6.4713) * CHOOSE(CONTROL!$C$15, $D$11, 100%, $F$11)</f>
        <v>6.4744999999999999</v>
      </c>
      <c r="I130" s="8">
        <f>CHOOSE( CONTROL!$C$32, 5.5439, 5.5408) * CHOOSE(CONTROL!$C$15, $D$11, 100%, $F$11)</f>
        <v>5.5438999999999998</v>
      </c>
      <c r="J130" s="4">
        <f>CHOOSE( CONTROL!$C$32, 5.4495, 5.4464) * CHOOSE(CONTROL!$C$15, $D$11, 100%, $F$11)</f>
        <v>5.4494999999999996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1.1791</v>
      </c>
      <c r="Q130" s="9">
        <v>31.393799999999999</v>
      </c>
      <c r="R130" s="9"/>
      <c r="S130" s="11"/>
    </row>
    <row r="131" spans="1:19" ht="15.75">
      <c r="A131" s="13">
        <v>45474</v>
      </c>
      <c r="B131" s="8">
        <f>CHOOSE( CONTROL!$C$32, 5.9119, 5.9087) * CHOOSE(CONTROL!$C$15, $D$11, 100%, $F$11)</f>
        <v>5.9119000000000002</v>
      </c>
      <c r="C131" s="8">
        <f>CHOOSE( CONTROL!$C$32, 5.9199, 5.9167) * CHOOSE(CONTROL!$C$15, $D$11, 100%, $F$11)</f>
        <v>5.9199000000000002</v>
      </c>
      <c r="D131" s="8">
        <f>CHOOSE( CONTROL!$C$32, 5.9228, 5.9196) * CHOOSE( CONTROL!$C$15, $D$11, 100%, $F$11)</f>
        <v>5.9227999999999996</v>
      </c>
      <c r="E131" s="12">
        <f>CHOOSE( CONTROL!$C$32, 5.9205, 5.9173) * CHOOSE( CONTROL!$C$15, $D$11, 100%, $F$11)</f>
        <v>5.9204999999999997</v>
      </c>
      <c r="F131" s="4">
        <f>CHOOSE( CONTROL!$C$32, 6.5935, 6.5903) * CHOOSE(CONTROL!$C$15, $D$11, 100%, $F$11)</f>
        <v>6.5934999999999997</v>
      </c>
      <c r="G131" s="8">
        <f>CHOOSE( CONTROL!$C$32, 5.782, 5.7788) * CHOOSE( CONTROL!$C$15, $D$11, 100%, $F$11)</f>
        <v>5.782</v>
      </c>
      <c r="H131" s="4">
        <f>CHOOSE( CONTROL!$C$32, 6.7129, 6.7097) * CHOOSE(CONTROL!$C$15, $D$11, 100%, $F$11)</f>
        <v>6.7129000000000003</v>
      </c>
      <c r="I131" s="8">
        <f>CHOOSE( CONTROL!$C$32, 5.7798, 5.7767) * CHOOSE(CONTROL!$C$15, $D$11, 100%, $F$11)</f>
        <v>5.7797999999999998</v>
      </c>
      <c r="J131" s="4">
        <f>CHOOSE( CONTROL!$C$32, 5.6838, 5.6807) * CHOOSE(CONTROL!$C$15, $D$11, 100%, $F$11)</f>
        <v>5.6837999999999997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32.440300000000001</v>
      </c>
      <c r="R131" s="9"/>
      <c r="S131" s="11"/>
    </row>
    <row r="132" spans="1:19" ht="15.75">
      <c r="A132" s="13">
        <v>45505</v>
      </c>
      <c r="B132" s="8">
        <f>CHOOSE( CONTROL!$C$32, 5.4583, 5.4551) * CHOOSE(CONTROL!$C$15, $D$11, 100%, $F$11)</f>
        <v>5.4583000000000004</v>
      </c>
      <c r="C132" s="8">
        <f>CHOOSE( CONTROL!$C$32, 5.4663, 5.4631) * CHOOSE(CONTROL!$C$15, $D$11, 100%, $F$11)</f>
        <v>5.4663000000000004</v>
      </c>
      <c r="D132" s="8">
        <f>CHOOSE( CONTROL!$C$32, 5.4694, 5.4662) * CHOOSE( CONTROL!$C$15, $D$11, 100%, $F$11)</f>
        <v>5.4694000000000003</v>
      </c>
      <c r="E132" s="12">
        <f>CHOOSE( CONTROL!$C$32, 5.4671, 5.4639) * CHOOSE( CONTROL!$C$15, $D$11, 100%, $F$11)</f>
        <v>5.4671000000000003</v>
      </c>
      <c r="F132" s="4">
        <f>CHOOSE( CONTROL!$C$32, 6.1398, 6.1366) * CHOOSE(CONTROL!$C$15, $D$11, 100%, $F$11)</f>
        <v>6.1398000000000001</v>
      </c>
      <c r="G132" s="8">
        <f>CHOOSE( CONTROL!$C$32, 5.3361, 5.333) * CHOOSE( CONTROL!$C$15, $D$11, 100%, $F$11)</f>
        <v>5.3361000000000001</v>
      </c>
      <c r="H132" s="4">
        <f>CHOOSE( CONTROL!$C$32, 6.2668, 6.2637) * CHOOSE(CONTROL!$C$15, $D$11, 100%, $F$11)</f>
        <v>6.2667999999999999</v>
      </c>
      <c r="I132" s="8">
        <f>CHOOSE( CONTROL!$C$32, 5.3419, 5.3388) * CHOOSE(CONTROL!$C$15, $D$11, 100%, $F$11)</f>
        <v>5.3418999999999999</v>
      </c>
      <c r="J132" s="4">
        <f>CHOOSE( CONTROL!$C$32, 5.2453, 5.2422) * CHOOSE(CONTROL!$C$15, $D$11, 100%, $F$11)</f>
        <v>5.2453000000000003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1.2183999999999999</v>
      </c>
      <c r="Q132" s="9">
        <v>32.440300000000001</v>
      </c>
      <c r="R132" s="9"/>
      <c r="S132" s="11"/>
    </row>
    <row r="133" spans="1:19" ht="15.75">
      <c r="A133" s="13">
        <v>45536</v>
      </c>
      <c r="B133" s="8">
        <f>CHOOSE( CONTROL!$C$32, 5.3447, 5.3415) * CHOOSE(CONTROL!$C$15, $D$11, 100%, $F$11)</f>
        <v>5.3446999999999996</v>
      </c>
      <c r="C133" s="8">
        <f>CHOOSE( CONTROL!$C$32, 5.3527, 5.3495) * CHOOSE(CONTROL!$C$15, $D$11, 100%, $F$11)</f>
        <v>5.3526999999999996</v>
      </c>
      <c r="D133" s="8">
        <f>CHOOSE( CONTROL!$C$32, 5.3558, 5.3526) * CHOOSE( CONTROL!$C$15, $D$11, 100%, $F$11)</f>
        <v>5.3558000000000003</v>
      </c>
      <c r="E133" s="12">
        <f>CHOOSE( CONTROL!$C$32, 5.3535, 5.3503) * CHOOSE( CONTROL!$C$15, $D$11, 100%, $F$11)</f>
        <v>5.3535000000000004</v>
      </c>
      <c r="F133" s="4">
        <f>CHOOSE( CONTROL!$C$32, 6.0263, 6.0231) * CHOOSE(CONTROL!$C$15, $D$11, 100%, $F$11)</f>
        <v>6.0263</v>
      </c>
      <c r="G133" s="8">
        <f>CHOOSE( CONTROL!$C$32, 5.2245, 5.2213) * CHOOSE( CONTROL!$C$15, $D$11, 100%, $F$11)</f>
        <v>5.2244999999999999</v>
      </c>
      <c r="H133" s="4">
        <f>CHOOSE( CONTROL!$C$32, 6.1551, 6.1519) * CHOOSE(CONTROL!$C$15, $D$11, 100%, $F$11)</f>
        <v>6.1551</v>
      </c>
      <c r="I133" s="8">
        <f>CHOOSE( CONTROL!$C$32, 5.2321, 5.229) * CHOOSE(CONTROL!$C$15, $D$11, 100%, $F$11)</f>
        <v>5.2321</v>
      </c>
      <c r="J133" s="4">
        <f>CHOOSE( CONTROL!$C$32, 5.1355, 5.1324) * CHOOSE(CONTROL!$C$15, $D$11, 100%, $F$11)</f>
        <v>5.1355000000000004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1.1791</v>
      </c>
      <c r="Q133" s="9">
        <v>31.393799999999999</v>
      </c>
      <c r="R133" s="9"/>
      <c r="S133" s="11"/>
    </row>
    <row r="134" spans="1:19" ht="15.75">
      <c r="A134" s="13">
        <v>45566</v>
      </c>
      <c r="B134" s="8">
        <f>5.5756 * CHOOSE(CONTROL!$C$15, $D$11, 100%, $F$11)</f>
        <v>5.5755999999999997</v>
      </c>
      <c r="C134" s="8">
        <f>5.581 * CHOOSE(CONTROL!$C$15, $D$11, 100%, $F$11)</f>
        <v>5.5810000000000004</v>
      </c>
      <c r="D134" s="8">
        <f>5.5889 * CHOOSE( CONTROL!$C$15, $D$11, 100%, $F$11)</f>
        <v>5.5888999999999998</v>
      </c>
      <c r="E134" s="12">
        <f>5.5857 * CHOOSE( CONTROL!$C$15, $D$11, 100%, $F$11)</f>
        <v>5.5857000000000001</v>
      </c>
      <c r="F134" s="4">
        <f>6.2589 * CHOOSE(CONTROL!$C$15, $D$11, 100%, $F$11)</f>
        <v>6.2588999999999997</v>
      </c>
      <c r="G134" s="8">
        <f>5.4528 * CHOOSE( CONTROL!$C$15, $D$11, 100%, $F$11)</f>
        <v>5.4527999999999999</v>
      </c>
      <c r="H134" s="4">
        <f>6.3839 * CHOOSE(CONTROL!$C$15, $D$11, 100%, $F$11)</f>
        <v>6.3838999999999997</v>
      </c>
      <c r="I134" s="8">
        <f>5.4578 * CHOOSE(CONTROL!$C$15, $D$11, 100%, $F$11)</f>
        <v>5.4577999999999998</v>
      </c>
      <c r="J134" s="4">
        <f>5.3604 * CHOOSE(CONTROL!$C$15, $D$11, 100%, $F$11)</f>
        <v>5.3604000000000003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1.2183999999999999</v>
      </c>
      <c r="Q134" s="9">
        <v>32.440300000000001</v>
      </c>
      <c r="R134" s="9"/>
      <c r="S134" s="11"/>
    </row>
    <row r="135" spans="1:19" ht="15.75">
      <c r="A135" s="13">
        <v>45597</v>
      </c>
      <c r="B135" s="8">
        <f>6.0106 * CHOOSE(CONTROL!$C$15, $D$11, 100%, $F$11)</f>
        <v>6.0106000000000002</v>
      </c>
      <c r="C135" s="8">
        <f>6.0157 * CHOOSE(CONTROL!$C$15, $D$11, 100%, $F$11)</f>
        <v>6.0156999999999998</v>
      </c>
      <c r="D135" s="8">
        <f>5.9932 * CHOOSE( CONTROL!$C$15, $D$11, 100%, $F$11)</f>
        <v>5.9931999999999999</v>
      </c>
      <c r="E135" s="12">
        <f>6.0009 * CHOOSE( CONTROL!$C$15, $D$11, 100%, $F$11)</f>
        <v>6.0008999999999997</v>
      </c>
      <c r="F135" s="4">
        <f>6.6555 * CHOOSE(CONTROL!$C$15, $D$11, 100%, $F$11)</f>
        <v>6.6555</v>
      </c>
      <c r="G135" s="8">
        <f>5.8935 * CHOOSE( CONTROL!$C$15, $D$11, 100%, $F$11)</f>
        <v>5.8935000000000004</v>
      </c>
      <c r="H135" s="4">
        <f>6.7739 * CHOOSE(CONTROL!$C$15, $D$11, 100%, $F$11)</f>
        <v>6.7739000000000003</v>
      </c>
      <c r="I135" s="8">
        <f>5.9044 * CHOOSE(CONTROL!$C$15, $D$11, 100%, $F$11)</f>
        <v>5.9043999999999999</v>
      </c>
      <c r="J135" s="4">
        <f>5.7812 * CHOOSE(CONTROL!$C$15, $D$11, 100%, $F$11)</f>
        <v>5.7812000000000001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31.393799999999999</v>
      </c>
      <c r="R135" s="9"/>
      <c r="S135" s="11"/>
    </row>
    <row r="136" spans="1:19" ht="15.75">
      <c r="A136" s="13">
        <v>45627</v>
      </c>
      <c r="B136" s="8">
        <f>5.9997 * CHOOSE(CONTROL!$C$15, $D$11, 100%, $F$11)</f>
        <v>5.9996999999999998</v>
      </c>
      <c r="C136" s="8">
        <f>6.0048 * CHOOSE(CONTROL!$C$15, $D$11, 100%, $F$11)</f>
        <v>6.0048000000000004</v>
      </c>
      <c r="D136" s="8">
        <f>5.9838 * CHOOSE( CONTROL!$C$15, $D$11, 100%, $F$11)</f>
        <v>5.9837999999999996</v>
      </c>
      <c r="E136" s="12">
        <f>5.9909 * CHOOSE( CONTROL!$C$15, $D$11, 100%, $F$11)</f>
        <v>5.9908999999999999</v>
      </c>
      <c r="F136" s="4">
        <f>6.6446 * CHOOSE(CONTROL!$C$15, $D$11, 100%, $F$11)</f>
        <v>6.6445999999999996</v>
      </c>
      <c r="G136" s="8">
        <f>5.8839 * CHOOSE( CONTROL!$C$15, $D$11, 100%, $F$11)</f>
        <v>5.8838999999999997</v>
      </c>
      <c r="H136" s="4">
        <f>6.7632 * CHOOSE(CONTROL!$C$15, $D$11, 100%, $F$11)</f>
        <v>6.7632000000000003</v>
      </c>
      <c r="I136" s="8">
        <f>5.8985 * CHOOSE(CONTROL!$C$15, $D$11, 100%, $F$11)</f>
        <v>5.8985000000000003</v>
      </c>
      <c r="J136" s="4">
        <f>5.7707 * CHOOSE(CONTROL!$C$15, $D$11, 100%, $F$11)</f>
        <v>5.7706999999999997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32.440300000000001</v>
      </c>
      <c r="R136" s="9"/>
      <c r="S136" s="11"/>
    </row>
    <row r="137" spans="1:19" ht="15.75">
      <c r="A137" s="13">
        <v>45658</v>
      </c>
      <c r="B137" s="8">
        <f>6.0206 * CHOOSE(CONTROL!$C$15, $D$11, 100%, $F$11)</f>
        <v>6.0206</v>
      </c>
      <c r="C137" s="8">
        <f>6.0258 * CHOOSE(CONTROL!$C$15, $D$11, 100%, $F$11)</f>
        <v>6.0258000000000003</v>
      </c>
      <c r="D137" s="8">
        <f>6.0038 * CHOOSE( CONTROL!$C$15, $D$11, 100%, $F$11)</f>
        <v>6.0038</v>
      </c>
      <c r="E137" s="12">
        <f>6.0113 * CHOOSE( CONTROL!$C$15, $D$11, 100%, $F$11)</f>
        <v>6.0113000000000003</v>
      </c>
      <c r="F137" s="4">
        <f>6.6655 * CHOOSE(CONTROL!$C$15, $D$11, 100%, $F$11)</f>
        <v>6.6654999999999998</v>
      </c>
      <c r="G137" s="8">
        <f>5.9019 * CHOOSE( CONTROL!$C$15, $D$11, 100%, $F$11)</f>
        <v>5.9019000000000004</v>
      </c>
      <c r="H137" s="4">
        <f>6.7838 * CHOOSE(CONTROL!$C$15, $D$11, 100%, $F$11)</f>
        <v>6.7838000000000003</v>
      </c>
      <c r="I137" s="8">
        <f>5.8906 * CHOOSE(CONTROL!$C$15, $D$11, 100%, $F$11)</f>
        <v>5.8906000000000001</v>
      </c>
      <c r="J137" s="4">
        <f>5.791 * CHOOSE(CONTROL!$C$15, $D$11, 100%, $F$11)</f>
        <v>5.7910000000000004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32.254300000000001</v>
      </c>
      <c r="R137" s="9"/>
      <c r="S137" s="11"/>
    </row>
    <row r="138" spans="1:19" ht="15.75">
      <c r="A138" s="13">
        <v>45689</v>
      </c>
      <c r="B138" s="8">
        <f>5.6334 * CHOOSE(CONTROL!$C$15, $D$11, 100%, $F$11)</f>
        <v>5.6334</v>
      </c>
      <c r="C138" s="8">
        <f>5.6385 * CHOOSE(CONTROL!$C$15, $D$11, 100%, $F$11)</f>
        <v>5.6384999999999996</v>
      </c>
      <c r="D138" s="8">
        <f>5.6121 * CHOOSE( CONTROL!$C$15, $D$11, 100%, $F$11)</f>
        <v>5.6120999999999999</v>
      </c>
      <c r="E138" s="12">
        <f>5.6212 * CHOOSE( CONTROL!$C$15, $D$11, 100%, $F$11)</f>
        <v>5.6212</v>
      </c>
      <c r="F138" s="4">
        <f>6.2783 * CHOOSE(CONTROL!$C$15, $D$11, 100%, $F$11)</f>
        <v>6.2782999999999998</v>
      </c>
      <c r="G138" s="8">
        <f>5.5126 * CHOOSE( CONTROL!$C$15, $D$11, 100%, $F$11)</f>
        <v>5.5125999999999999</v>
      </c>
      <c r="H138" s="4">
        <f>6.4029 * CHOOSE(CONTROL!$C$15, $D$11, 100%, $F$11)</f>
        <v>6.4028999999999998</v>
      </c>
      <c r="I138" s="8">
        <f>5.487 * CHOOSE(CONTROL!$C$15, $D$11, 100%, $F$11)</f>
        <v>5.4870000000000001</v>
      </c>
      <c r="J138" s="4">
        <f>5.4166 * CHOOSE(CONTROL!$C$15, $D$11, 100%, $F$11)</f>
        <v>5.4165999999999999</v>
      </c>
      <c r="K138" s="4"/>
      <c r="L138" s="9">
        <v>26.469899999999999</v>
      </c>
      <c r="M138" s="9">
        <v>10.8962</v>
      </c>
      <c r="N138" s="9">
        <v>4.4660000000000002</v>
      </c>
      <c r="O138" s="9">
        <v>0.33789999999999998</v>
      </c>
      <c r="P138" s="9">
        <v>1.1676</v>
      </c>
      <c r="Q138" s="9">
        <v>29.132899999999999</v>
      </c>
      <c r="R138" s="9"/>
      <c r="S138" s="11"/>
    </row>
    <row r="139" spans="1:19" ht="15.75">
      <c r="A139" s="13">
        <v>45717</v>
      </c>
      <c r="B139" s="8">
        <f>5.5141 * CHOOSE(CONTROL!$C$15, $D$11, 100%, $F$11)</f>
        <v>5.5141</v>
      </c>
      <c r="C139" s="8">
        <f>5.5192 * CHOOSE(CONTROL!$C$15, $D$11, 100%, $F$11)</f>
        <v>5.5191999999999997</v>
      </c>
      <c r="D139" s="8">
        <f>5.4932 * CHOOSE( CONTROL!$C$15, $D$11, 100%, $F$11)</f>
        <v>5.4931999999999999</v>
      </c>
      <c r="E139" s="12">
        <f>5.5022 * CHOOSE( CONTROL!$C$15, $D$11, 100%, $F$11)</f>
        <v>5.5022000000000002</v>
      </c>
      <c r="F139" s="4">
        <f>6.159 * CHOOSE(CONTROL!$C$15, $D$11, 100%, $F$11)</f>
        <v>6.1589999999999998</v>
      </c>
      <c r="G139" s="8">
        <f>5.3955 * CHOOSE( CONTROL!$C$15, $D$11, 100%, $F$11)</f>
        <v>5.3955000000000002</v>
      </c>
      <c r="H139" s="4">
        <f>6.2856 * CHOOSE(CONTROL!$C$15, $D$11, 100%, $F$11)</f>
        <v>6.2855999999999996</v>
      </c>
      <c r="I139" s="8">
        <f>5.3729 * CHOOSE(CONTROL!$C$15, $D$11, 100%, $F$11)</f>
        <v>5.3728999999999996</v>
      </c>
      <c r="J139" s="4">
        <f>5.3013 * CHOOSE(CONTROL!$C$15, $D$11, 100%, $F$11)</f>
        <v>5.3013000000000003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32.254300000000001</v>
      </c>
      <c r="R139" s="9"/>
      <c r="S139" s="11"/>
    </row>
    <row r="140" spans="1:19" ht="15.75">
      <c r="A140" s="13">
        <v>45748</v>
      </c>
      <c r="B140" s="8">
        <f>5.5982 * CHOOSE(CONTROL!$C$15, $D$11, 100%, $F$11)</f>
        <v>5.5982000000000003</v>
      </c>
      <c r="C140" s="8">
        <f>5.6028 * CHOOSE(CONTROL!$C$15, $D$11, 100%, $F$11)</f>
        <v>5.6028000000000002</v>
      </c>
      <c r="D140" s="8">
        <f>5.6099 * CHOOSE( CONTROL!$C$15, $D$11, 100%, $F$11)</f>
        <v>5.6098999999999997</v>
      </c>
      <c r="E140" s="12">
        <f>5.607 * CHOOSE( CONTROL!$C$15, $D$11, 100%, $F$11)</f>
        <v>5.6070000000000002</v>
      </c>
      <c r="F140" s="4">
        <f>6.2811 * CHOOSE(CONTROL!$C$15, $D$11, 100%, $F$11)</f>
        <v>6.2811000000000003</v>
      </c>
      <c r="G140" s="8">
        <f>5.4728 * CHOOSE( CONTROL!$C$15, $D$11, 100%, $F$11)</f>
        <v>5.4728000000000003</v>
      </c>
      <c r="H140" s="4">
        <f>6.4057 * CHOOSE(CONTROL!$C$15, $D$11, 100%, $F$11)</f>
        <v>6.4057000000000004</v>
      </c>
      <c r="I140" s="8">
        <f>5.4733 * CHOOSE(CONTROL!$C$15, $D$11, 100%, $F$11)</f>
        <v>5.4733000000000001</v>
      </c>
      <c r="J140" s="4">
        <f>5.3819 * CHOOSE(CONTROL!$C$15, $D$11, 100%, $F$11)</f>
        <v>5.3818999999999999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1.1791</v>
      </c>
      <c r="Q140" s="9">
        <v>31.213799999999999</v>
      </c>
      <c r="R140" s="9"/>
      <c r="S140" s="11"/>
    </row>
    <row r="141" spans="1:19" ht="15.75">
      <c r="A141" s="13">
        <v>45778</v>
      </c>
      <c r="B141" s="8">
        <f>CHOOSE( CONTROL!$C$32, 5.7511, 5.7479) * CHOOSE(CONTROL!$C$15, $D$11, 100%, $F$11)</f>
        <v>5.7511000000000001</v>
      </c>
      <c r="C141" s="8">
        <f>CHOOSE( CONTROL!$C$32, 5.7591, 5.7559) * CHOOSE(CONTROL!$C$15, $D$11, 100%, $F$11)</f>
        <v>5.7591000000000001</v>
      </c>
      <c r="D141" s="8">
        <f>CHOOSE( CONTROL!$C$32, 5.7615, 5.7583) * CHOOSE( CONTROL!$C$15, $D$11, 100%, $F$11)</f>
        <v>5.7614999999999998</v>
      </c>
      <c r="E141" s="12">
        <f>CHOOSE( CONTROL!$C$32, 5.7594, 5.7562) * CHOOSE( CONTROL!$C$15, $D$11, 100%, $F$11)</f>
        <v>5.7594000000000003</v>
      </c>
      <c r="F141" s="4">
        <f>CHOOSE( CONTROL!$C$32, 6.4327, 6.4295) * CHOOSE(CONTROL!$C$15, $D$11, 100%, $F$11)</f>
        <v>6.4326999999999996</v>
      </c>
      <c r="G141" s="8">
        <f>CHOOSE( CONTROL!$C$32, 5.623, 5.6198) * CHOOSE( CONTROL!$C$15, $D$11, 100%, $F$11)</f>
        <v>5.6230000000000002</v>
      </c>
      <c r="H141" s="4">
        <f>CHOOSE( CONTROL!$C$32, 6.5548, 6.5516) * CHOOSE(CONTROL!$C$15, $D$11, 100%, $F$11)</f>
        <v>6.5548000000000002</v>
      </c>
      <c r="I141" s="8">
        <f>CHOOSE( CONTROL!$C$32, 5.6214, 5.6183) * CHOOSE(CONTROL!$C$15, $D$11, 100%, $F$11)</f>
        <v>5.6214000000000004</v>
      </c>
      <c r="J141" s="4">
        <f>CHOOSE( CONTROL!$C$32, 5.5284, 5.5253) * CHOOSE(CONTROL!$C$15, $D$11, 100%, $F$11)</f>
        <v>5.5284000000000004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1.2183999999999999</v>
      </c>
      <c r="Q141" s="9">
        <v>32.254300000000001</v>
      </c>
      <c r="R141" s="9"/>
      <c r="S141" s="11"/>
    </row>
    <row r="142" spans="1:19" ht="15.75">
      <c r="A142" s="13">
        <v>45809</v>
      </c>
      <c r="B142" s="8">
        <f>CHOOSE( CONTROL!$C$32, 5.6592, 5.656) * CHOOSE(CONTROL!$C$15, $D$11, 100%, $F$11)</f>
        <v>5.6592000000000002</v>
      </c>
      <c r="C142" s="8">
        <f>CHOOSE( CONTROL!$C$32, 5.6672, 5.664) * CHOOSE(CONTROL!$C$15, $D$11, 100%, $F$11)</f>
        <v>5.6672000000000002</v>
      </c>
      <c r="D142" s="8">
        <f>CHOOSE( CONTROL!$C$32, 5.6699, 5.6667) * CHOOSE( CONTROL!$C$15, $D$11, 100%, $F$11)</f>
        <v>5.6699000000000002</v>
      </c>
      <c r="E142" s="12">
        <f>CHOOSE( CONTROL!$C$32, 5.6677, 5.6645) * CHOOSE( CONTROL!$C$15, $D$11, 100%, $F$11)</f>
        <v>5.6677</v>
      </c>
      <c r="F142" s="4">
        <f>CHOOSE( CONTROL!$C$32, 6.3408, 6.3376) * CHOOSE(CONTROL!$C$15, $D$11, 100%, $F$11)</f>
        <v>6.3407999999999998</v>
      </c>
      <c r="G142" s="8">
        <f>CHOOSE( CONTROL!$C$32, 5.533, 5.5299) * CHOOSE( CONTROL!$C$15, $D$11, 100%, $F$11)</f>
        <v>5.5330000000000004</v>
      </c>
      <c r="H142" s="4">
        <f>CHOOSE( CONTROL!$C$32, 6.4644, 6.4612) * CHOOSE(CONTROL!$C$15, $D$11, 100%, $F$11)</f>
        <v>6.4644000000000004</v>
      </c>
      <c r="I142" s="8">
        <f>CHOOSE( CONTROL!$C$32, 5.534, 5.5309) * CHOOSE(CONTROL!$C$15, $D$11, 100%, $F$11)</f>
        <v>5.5339999999999998</v>
      </c>
      <c r="J142" s="4">
        <f>CHOOSE( CONTROL!$C$32, 5.4395, 5.4364) * CHOOSE(CONTROL!$C$15, $D$11, 100%, $F$11)</f>
        <v>5.4394999999999998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1.1791</v>
      </c>
      <c r="Q142" s="9">
        <v>31.213799999999999</v>
      </c>
      <c r="R142" s="9"/>
      <c r="S142" s="11"/>
    </row>
    <row r="143" spans="1:19" ht="15.75">
      <c r="A143" s="13">
        <v>45839</v>
      </c>
      <c r="B143" s="8">
        <f>CHOOSE( CONTROL!$C$32, 5.9012, 5.898) * CHOOSE(CONTROL!$C$15, $D$11, 100%, $F$11)</f>
        <v>5.9012000000000002</v>
      </c>
      <c r="C143" s="8">
        <f>CHOOSE( CONTROL!$C$32, 5.9092, 5.906) * CHOOSE(CONTROL!$C$15, $D$11, 100%, $F$11)</f>
        <v>5.9092000000000002</v>
      </c>
      <c r="D143" s="8">
        <f>CHOOSE( CONTROL!$C$32, 5.9121, 5.9089) * CHOOSE( CONTROL!$C$15, $D$11, 100%, $F$11)</f>
        <v>5.9120999999999997</v>
      </c>
      <c r="E143" s="12">
        <f>CHOOSE( CONTROL!$C$32, 5.9098, 5.9066) * CHOOSE( CONTROL!$C$15, $D$11, 100%, $F$11)</f>
        <v>5.9097999999999997</v>
      </c>
      <c r="F143" s="4">
        <f>CHOOSE( CONTROL!$C$32, 6.5828, 6.5796) * CHOOSE(CONTROL!$C$15, $D$11, 100%, $F$11)</f>
        <v>6.5827999999999998</v>
      </c>
      <c r="G143" s="8">
        <f>CHOOSE( CONTROL!$C$32, 5.7715, 5.7683) * CHOOSE( CONTROL!$C$15, $D$11, 100%, $F$11)</f>
        <v>5.7714999999999996</v>
      </c>
      <c r="H143" s="4">
        <f>CHOOSE( CONTROL!$C$32, 6.7024, 6.6992) * CHOOSE(CONTROL!$C$15, $D$11, 100%, $F$11)</f>
        <v>6.7023999999999999</v>
      </c>
      <c r="I143" s="8">
        <f>CHOOSE( CONTROL!$C$32, 5.7695, 5.7664) * CHOOSE(CONTROL!$C$15, $D$11, 100%, $F$11)</f>
        <v>5.7694999999999999</v>
      </c>
      <c r="J143" s="4">
        <f>CHOOSE( CONTROL!$C$32, 5.6735, 5.6704) * CHOOSE(CONTROL!$C$15, $D$11, 100%, $F$11)</f>
        <v>5.6734999999999998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32.254300000000001</v>
      </c>
      <c r="R143" s="9"/>
      <c r="S143" s="11"/>
    </row>
    <row r="144" spans="1:19" ht="15.75">
      <c r="A144" s="13">
        <v>45870</v>
      </c>
      <c r="B144" s="8">
        <f>CHOOSE( CONTROL!$C$32, 5.4484, 5.4452) * CHOOSE(CONTROL!$C$15, $D$11, 100%, $F$11)</f>
        <v>5.4484000000000004</v>
      </c>
      <c r="C144" s="8">
        <f>CHOOSE( CONTROL!$C$32, 5.4564, 5.4532) * CHOOSE(CONTROL!$C$15, $D$11, 100%, $F$11)</f>
        <v>5.4564000000000004</v>
      </c>
      <c r="D144" s="8">
        <f>CHOOSE( CONTROL!$C$32, 5.4595, 5.4563) * CHOOSE( CONTROL!$C$15, $D$11, 100%, $F$11)</f>
        <v>5.4595000000000002</v>
      </c>
      <c r="E144" s="12">
        <f>CHOOSE( CONTROL!$C$32, 5.4572, 5.454) * CHOOSE( CONTROL!$C$15, $D$11, 100%, $F$11)</f>
        <v>5.4572000000000003</v>
      </c>
      <c r="F144" s="4">
        <f>CHOOSE( CONTROL!$C$32, 6.13, 6.1268) * CHOOSE(CONTROL!$C$15, $D$11, 100%, $F$11)</f>
        <v>6.13</v>
      </c>
      <c r="G144" s="8">
        <f>CHOOSE( CONTROL!$C$32, 5.3264, 5.3233) * CHOOSE( CONTROL!$C$15, $D$11, 100%, $F$11)</f>
        <v>5.3263999999999996</v>
      </c>
      <c r="H144" s="4">
        <f>CHOOSE( CONTROL!$C$32, 6.2571, 6.2539) * CHOOSE(CONTROL!$C$15, $D$11, 100%, $F$11)</f>
        <v>6.2571000000000003</v>
      </c>
      <c r="I144" s="8">
        <f>CHOOSE( CONTROL!$C$32, 5.3323, 5.3292) * CHOOSE(CONTROL!$C$15, $D$11, 100%, $F$11)</f>
        <v>5.3323</v>
      </c>
      <c r="J144" s="4">
        <f>CHOOSE( CONTROL!$C$32, 5.2358, 5.2327) * CHOOSE(CONTROL!$C$15, $D$11, 100%, $F$11)</f>
        <v>5.2358000000000002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1.2183999999999999</v>
      </c>
      <c r="Q144" s="9">
        <v>32.254300000000001</v>
      </c>
      <c r="R144" s="9"/>
      <c r="S144" s="11"/>
    </row>
    <row r="145" spans="1:19" ht="15.75">
      <c r="A145" s="13">
        <v>45901</v>
      </c>
      <c r="B145" s="8">
        <f>CHOOSE( CONTROL!$C$32, 5.335, 5.3318) * CHOOSE(CONTROL!$C$15, $D$11, 100%, $F$11)</f>
        <v>5.335</v>
      </c>
      <c r="C145" s="8">
        <f>CHOOSE( CONTROL!$C$32, 5.343, 5.3399) * CHOOSE(CONTROL!$C$15, $D$11, 100%, $F$11)</f>
        <v>5.343</v>
      </c>
      <c r="D145" s="8">
        <f>CHOOSE( CONTROL!$C$32, 5.3462, 5.343) * CHOOSE( CONTROL!$C$15, $D$11, 100%, $F$11)</f>
        <v>5.3461999999999996</v>
      </c>
      <c r="E145" s="12">
        <f>CHOOSE( CONTROL!$C$32, 5.3438, 5.3406) * CHOOSE( CONTROL!$C$15, $D$11, 100%, $F$11)</f>
        <v>5.3437999999999999</v>
      </c>
      <c r="F145" s="4">
        <f>CHOOSE( CONTROL!$C$32, 6.0166, 6.0134) * CHOOSE(CONTROL!$C$15, $D$11, 100%, $F$11)</f>
        <v>6.0166000000000004</v>
      </c>
      <c r="G145" s="8">
        <f>CHOOSE( CONTROL!$C$32, 5.215, 5.2118) * CHOOSE( CONTROL!$C$15, $D$11, 100%, $F$11)</f>
        <v>5.2149999999999999</v>
      </c>
      <c r="H145" s="4">
        <f>CHOOSE( CONTROL!$C$32, 6.1456, 6.1424) * CHOOSE(CONTROL!$C$15, $D$11, 100%, $F$11)</f>
        <v>6.1456</v>
      </c>
      <c r="I145" s="8">
        <f>CHOOSE( CONTROL!$C$32, 5.2228, 5.2197) * CHOOSE(CONTROL!$C$15, $D$11, 100%, $F$11)</f>
        <v>5.2228000000000003</v>
      </c>
      <c r="J145" s="4">
        <f>CHOOSE( CONTROL!$C$32, 5.1261, 5.1231) * CHOOSE(CONTROL!$C$15, $D$11, 100%, $F$11)</f>
        <v>5.1261000000000001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1.1791</v>
      </c>
      <c r="Q145" s="9">
        <v>31.213799999999999</v>
      </c>
      <c r="R145" s="9"/>
      <c r="S145" s="11"/>
    </row>
    <row r="146" spans="1:19" ht="15.75">
      <c r="A146" s="13">
        <v>45931</v>
      </c>
      <c r="B146" s="8">
        <f>5.5655 * CHOOSE(CONTROL!$C$15, $D$11, 100%, $F$11)</f>
        <v>5.5655000000000001</v>
      </c>
      <c r="C146" s="8">
        <f>5.5709 * CHOOSE(CONTROL!$C$15, $D$11, 100%, $F$11)</f>
        <v>5.5709</v>
      </c>
      <c r="D146" s="8">
        <f>5.5788 * CHOOSE( CONTROL!$C$15, $D$11, 100%, $F$11)</f>
        <v>5.5788000000000002</v>
      </c>
      <c r="E146" s="12">
        <f>5.5756 * CHOOSE( CONTROL!$C$15, $D$11, 100%, $F$11)</f>
        <v>5.5755999999999997</v>
      </c>
      <c r="F146" s="4">
        <f>6.2488 * CHOOSE(CONTROL!$C$15, $D$11, 100%, $F$11)</f>
        <v>6.2488000000000001</v>
      </c>
      <c r="G146" s="8">
        <f>5.4429 * CHOOSE( CONTROL!$C$15, $D$11, 100%, $F$11)</f>
        <v>5.4428999999999998</v>
      </c>
      <c r="H146" s="4">
        <f>6.374 * CHOOSE(CONTROL!$C$15, $D$11, 100%, $F$11)</f>
        <v>6.3739999999999997</v>
      </c>
      <c r="I146" s="8">
        <f>5.448 * CHOOSE(CONTROL!$C$15, $D$11, 100%, $F$11)</f>
        <v>5.4480000000000004</v>
      </c>
      <c r="J146" s="4">
        <f>5.3506 * CHOOSE(CONTROL!$C$15, $D$11, 100%, $F$11)</f>
        <v>5.3506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1.2183999999999999</v>
      </c>
      <c r="Q146" s="9">
        <v>32.254300000000001</v>
      </c>
      <c r="R146" s="9"/>
      <c r="S146" s="11"/>
    </row>
    <row r="147" spans="1:19" ht="15.75">
      <c r="A147" s="13">
        <v>45962</v>
      </c>
      <c r="B147" s="8">
        <f>5.9997 * CHOOSE(CONTROL!$C$15, $D$11, 100%, $F$11)</f>
        <v>5.9996999999999998</v>
      </c>
      <c r="C147" s="8">
        <f>6.0048 * CHOOSE(CONTROL!$C$15, $D$11, 100%, $F$11)</f>
        <v>6.0048000000000004</v>
      </c>
      <c r="D147" s="8">
        <f>5.9823 * CHOOSE( CONTROL!$C$15, $D$11, 100%, $F$11)</f>
        <v>5.9823000000000004</v>
      </c>
      <c r="E147" s="12">
        <f>5.99 * CHOOSE( CONTROL!$C$15, $D$11, 100%, $F$11)</f>
        <v>5.99</v>
      </c>
      <c r="F147" s="4">
        <f>6.6446 * CHOOSE(CONTROL!$C$15, $D$11, 100%, $F$11)</f>
        <v>6.6445999999999996</v>
      </c>
      <c r="G147" s="8">
        <f>5.8828 * CHOOSE( CONTROL!$C$15, $D$11, 100%, $F$11)</f>
        <v>5.8827999999999996</v>
      </c>
      <c r="H147" s="4">
        <f>6.7631 * CHOOSE(CONTROL!$C$15, $D$11, 100%, $F$11)</f>
        <v>6.7630999999999997</v>
      </c>
      <c r="I147" s="8">
        <f>5.8939 * CHOOSE(CONTROL!$C$15, $D$11, 100%, $F$11)</f>
        <v>5.8939000000000004</v>
      </c>
      <c r="J147" s="4">
        <f>5.7707 * CHOOSE(CONTROL!$C$15, $D$11, 100%, $F$11)</f>
        <v>5.7706999999999997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31.213799999999999</v>
      </c>
      <c r="R147" s="9"/>
      <c r="S147" s="11"/>
    </row>
    <row r="148" spans="1:19" ht="15.75">
      <c r="A148" s="13">
        <v>45992</v>
      </c>
      <c r="B148" s="8">
        <f>5.9888 * CHOOSE(CONTROL!$C$15, $D$11, 100%, $F$11)</f>
        <v>5.9888000000000003</v>
      </c>
      <c r="C148" s="8">
        <f>5.9939 * CHOOSE(CONTROL!$C$15, $D$11, 100%, $F$11)</f>
        <v>5.9939</v>
      </c>
      <c r="D148" s="8">
        <f>5.9729 * CHOOSE( CONTROL!$C$15, $D$11, 100%, $F$11)</f>
        <v>5.9729000000000001</v>
      </c>
      <c r="E148" s="12">
        <f>5.98 * CHOOSE( CONTROL!$C$15, $D$11, 100%, $F$11)</f>
        <v>5.98</v>
      </c>
      <c r="F148" s="4">
        <f>6.6337 * CHOOSE(CONTROL!$C$15, $D$11, 100%, $F$11)</f>
        <v>6.6337000000000002</v>
      </c>
      <c r="G148" s="8">
        <f>5.8732 * CHOOSE( CONTROL!$C$15, $D$11, 100%, $F$11)</f>
        <v>5.8731999999999998</v>
      </c>
      <c r="H148" s="4">
        <f>6.7525 * CHOOSE(CONTROL!$C$15, $D$11, 100%, $F$11)</f>
        <v>6.7525000000000004</v>
      </c>
      <c r="I148" s="8">
        <f>5.888 * CHOOSE(CONTROL!$C$15, $D$11, 100%, $F$11)</f>
        <v>5.8879999999999999</v>
      </c>
      <c r="J148" s="4">
        <f>5.7602 * CHOOSE(CONTROL!$C$15, $D$11, 100%, $F$11)</f>
        <v>5.7602000000000002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32.254300000000001</v>
      </c>
      <c r="R148" s="9"/>
      <c r="S148" s="11"/>
    </row>
    <row r="149" spans="1:19" ht="15.75">
      <c r="A149" s="13">
        <v>46023</v>
      </c>
      <c r="B149" s="8">
        <f>5.9988 * CHOOSE(CONTROL!$C$15, $D$11, 100%, $F$11)</f>
        <v>5.9988000000000001</v>
      </c>
      <c r="C149" s="8">
        <f>6.0039 * CHOOSE(CONTROL!$C$15, $D$11, 100%, $F$11)</f>
        <v>6.0038999999999998</v>
      </c>
      <c r="D149" s="8">
        <f>5.9819 * CHOOSE( CONTROL!$C$15, $D$11, 100%, $F$11)</f>
        <v>5.9819000000000004</v>
      </c>
      <c r="E149" s="12">
        <f>5.9894 * CHOOSE( CONTROL!$C$15, $D$11, 100%, $F$11)</f>
        <v>5.9893999999999998</v>
      </c>
      <c r="F149" s="4">
        <f>6.6437 * CHOOSE(CONTROL!$C$15, $D$11, 100%, $F$11)</f>
        <v>6.6436999999999999</v>
      </c>
      <c r="G149" s="8">
        <f>5.8804 * CHOOSE( CONTROL!$C$15, $D$11, 100%, $F$11)</f>
        <v>5.8803999999999998</v>
      </c>
      <c r="H149" s="4">
        <f>6.7623 * CHOOSE(CONTROL!$C$15, $D$11, 100%, $F$11)</f>
        <v>6.7622999999999998</v>
      </c>
      <c r="I149" s="8">
        <f>5.8694 * CHOOSE(CONTROL!$C$15, $D$11, 100%, $F$11)</f>
        <v>5.8693999999999997</v>
      </c>
      <c r="J149" s="4">
        <f>5.7698 * CHOOSE(CONTROL!$C$15, $D$11, 100%, $F$11)</f>
        <v>5.7698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32.070099999999996</v>
      </c>
      <c r="R149" s="9"/>
      <c r="S149" s="11"/>
    </row>
    <row r="150" spans="1:19" ht="15.75">
      <c r="A150" s="13">
        <v>46054</v>
      </c>
      <c r="B150" s="8">
        <f>5.6129 * CHOOSE(CONTROL!$C$15, $D$11, 100%, $F$11)</f>
        <v>5.6128999999999998</v>
      </c>
      <c r="C150" s="8">
        <f>5.618 * CHOOSE(CONTROL!$C$15, $D$11, 100%, $F$11)</f>
        <v>5.6180000000000003</v>
      </c>
      <c r="D150" s="8">
        <f>5.5917 * CHOOSE( CONTROL!$C$15, $D$11, 100%, $F$11)</f>
        <v>5.5917000000000003</v>
      </c>
      <c r="E150" s="12">
        <f>5.6008 * CHOOSE( CONTROL!$C$15, $D$11, 100%, $F$11)</f>
        <v>5.6007999999999996</v>
      </c>
      <c r="F150" s="4">
        <f>6.2578 * CHOOSE(CONTROL!$C$15, $D$11, 100%, $F$11)</f>
        <v>6.2577999999999996</v>
      </c>
      <c r="G150" s="8">
        <f>5.4925 * CHOOSE( CONTROL!$C$15, $D$11, 100%, $F$11)</f>
        <v>5.4924999999999997</v>
      </c>
      <c r="H150" s="4">
        <f>6.3828 * CHOOSE(CONTROL!$C$15, $D$11, 100%, $F$11)</f>
        <v>6.3827999999999996</v>
      </c>
      <c r="I150" s="8">
        <f>5.4672 * CHOOSE(CONTROL!$C$15, $D$11, 100%, $F$11)</f>
        <v>5.4672000000000001</v>
      </c>
      <c r="J150" s="4">
        <f>5.3968 * CHOOSE(CONTROL!$C$15, $D$11, 100%, $F$11)</f>
        <v>5.3967999999999998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28.9666</v>
      </c>
      <c r="R150" s="9"/>
      <c r="S150" s="11"/>
    </row>
    <row r="151" spans="1:19" ht="15.75">
      <c r="A151" s="13">
        <v>46082</v>
      </c>
      <c r="B151" s="8">
        <f>5.4941 * CHOOSE(CONTROL!$C$15, $D$11, 100%, $F$11)</f>
        <v>5.4941000000000004</v>
      </c>
      <c r="C151" s="8">
        <f>5.4992 * CHOOSE(CONTROL!$C$15, $D$11, 100%, $F$11)</f>
        <v>5.4992000000000001</v>
      </c>
      <c r="D151" s="8">
        <f>5.4732 * CHOOSE( CONTROL!$C$15, $D$11, 100%, $F$11)</f>
        <v>5.4732000000000003</v>
      </c>
      <c r="E151" s="12">
        <f>5.4822 * CHOOSE( CONTROL!$C$15, $D$11, 100%, $F$11)</f>
        <v>5.4821999999999997</v>
      </c>
      <c r="F151" s="4">
        <f>6.139 * CHOOSE(CONTROL!$C$15, $D$11, 100%, $F$11)</f>
        <v>6.1390000000000002</v>
      </c>
      <c r="G151" s="8">
        <f>5.3759 * CHOOSE( CONTROL!$C$15, $D$11, 100%, $F$11)</f>
        <v>5.3758999999999997</v>
      </c>
      <c r="H151" s="4">
        <f>6.2659 * CHOOSE(CONTROL!$C$15, $D$11, 100%, $F$11)</f>
        <v>6.2659000000000002</v>
      </c>
      <c r="I151" s="8">
        <f>5.3535 * CHOOSE(CONTROL!$C$15, $D$11, 100%, $F$11)</f>
        <v>5.3535000000000004</v>
      </c>
      <c r="J151" s="4">
        <f>5.2819 * CHOOSE(CONTROL!$C$15, $D$11, 100%, $F$11)</f>
        <v>5.2819000000000003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32.070099999999996</v>
      </c>
      <c r="R151" s="9"/>
      <c r="S151" s="11"/>
    </row>
    <row r="152" spans="1:19" ht="15.75">
      <c r="A152" s="13">
        <v>46113</v>
      </c>
      <c r="B152" s="8">
        <f>5.5779 * CHOOSE(CONTROL!$C$15, $D$11, 100%, $F$11)</f>
        <v>5.5778999999999996</v>
      </c>
      <c r="C152" s="8">
        <f>5.5824 * CHOOSE(CONTROL!$C$15, $D$11, 100%, $F$11)</f>
        <v>5.5823999999999998</v>
      </c>
      <c r="D152" s="8">
        <f>5.5896 * CHOOSE( CONTROL!$C$15, $D$11, 100%, $F$11)</f>
        <v>5.5895999999999999</v>
      </c>
      <c r="E152" s="12">
        <f>5.5867 * CHOOSE( CONTROL!$C$15, $D$11, 100%, $F$11)</f>
        <v>5.5867000000000004</v>
      </c>
      <c r="F152" s="4">
        <f>6.2608 * CHOOSE(CONTROL!$C$15, $D$11, 100%, $F$11)</f>
        <v>6.2607999999999997</v>
      </c>
      <c r="G152" s="8">
        <f>5.4528 * CHOOSE( CONTROL!$C$15, $D$11, 100%, $F$11)</f>
        <v>5.4527999999999999</v>
      </c>
      <c r="H152" s="4">
        <f>6.3857 * CHOOSE(CONTROL!$C$15, $D$11, 100%, $F$11)</f>
        <v>6.3856999999999999</v>
      </c>
      <c r="I152" s="8">
        <f>5.4537 * CHOOSE(CONTROL!$C$15, $D$11, 100%, $F$11)</f>
        <v>5.4537000000000004</v>
      </c>
      <c r="J152" s="4">
        <f>5.3622 * CHOOSE(CONTROL!$C$15, $D$11, 100%, $F$11)</f>
        <v>5.3621999999999996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1.1791</v>
      </c>
      <c r="Q152" s="9">
        <v>31.035599999999999</v>
      </c>
      <c r="R152" s="9"/>
      <c r="S152" s="11"/>
    </row>
    <row r="153" spans="1:19" ht="15.75">
      <c r="A153" s="13">
        <v>46143</v>
      </c>
      <c r="B153" s="8">
        <f>CHOOSE( CONTROL!$C$32, 5.7303, 5.7271) * CHOOSE(CONTROL!$C$15, $D$11, 100%, $F$11)</f>
        <v>5.7302999999999997</v>
      </c>
      <c r="C153" s="8">
        <f>CHOOSE( CONTROL!$C$32, 5.7383, 5.7351) * CHOOSE(CONTROL!$C$15, $D$11, 100%, $F$11)</f>
        <v>5.7382999999999997</v>
      </c>
      <c r="D153" s="8">
        <f>CHOOSE( CONTROL!$C$32, 5.7406, 5.7374) * CHOOSE( CONTROL!$C$15, $D$11, 100%, $F$11)</f>
        <v>5.7405999999999997</v>
      </c>
      <c r="E153" s="12">
        <f>CHOOSE( CONTROL!$C$32, 5.7385, 5.7353) * CHOOSE( CONTROL!$C$15, $D$11, 100%, $F$11)</f>
        <v>5.7385000000000002</v>
      </c>
      <c r="F153" s="4">
        <f>CHOOSE( CONTROL!$C$32, 6.4118, 6.4086) * CHOOSE(CONTROL!$C$15, $D$11, 100%, $F$11)</f>
        <v>6.4118000000000004</v>
      </c>
      <c r="G153" s="8">
        <f>CHOOSE( CONTROL!$C$32, 5.6024, 5.5993) * CHOOSE( CONTROL!$C$15, $D$11, 100%, $F$11)</f>
        <v>5.6024000000000003</v>
      </c>
      <c r="H153" s="4">
        <f>CHOOSE( CONTROL!$C$32, 6.5342, 6.5311) * CHOOSE(CONTROL!$C$15, $D$11, 100%, $F$11)</f>
        <v>6.5342000000000002</v>
      </c>
      <c r="I153" s="8">
        <f>CHOOSE( CONTROL!$C$32, 5.6013, 5.5982) * CHOOSE(CONTROL!$C$15, $D$11, 100%, $F$11)</f>
        <v>5.6013000000000002</v>
      </c>
      <c r="J153" s="4">
        <f>CHOOSE( CONTROL!$C$32, 5.5082, 5.5051) * CHOOSE(CONTROL!$C$15, $D$11, 100%, $F$11)</f>
        <v>5.5082000000000004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1.2183999999999999</v>
      </c>
      <c r="Q153" s="9">
        <v>32.070099999999996</v>
      </c>
      <c r="R153" s="9"/>
      <c r="S153" s="11"/>
    </row>
    <row r="154" spans="1:19" ht="15.75">
      <c r="A154" s="13">
        <v>46174</v>
      </c>
      <c r="B154" s="8">
        <f>CHOOSE( CONTROL!$C$32, 5.6387, 5.6355) * CHOOSE(CONTROL!$C$15, $D$11, 100%, $F$11)</f>
        <v>5.6387</v>
      </c>
      <c r="C154" s="8">
        <f>CHOOSE( CONTROL!$C$32, 5.6467, 5.6435) * CHOOSE(CONTROL!$C$15, $D$11, 100%, $F$11)</f>
        <v>5.6467000000000001</v>
      </c>
      <c r="D154" s="8">
        <f>CHOOSE( CONTROL!$C$32, 5.6493, 5.6461) * CHOOSE( CONTROL!$C$15, $D$11, 100%, $F$11)</f>
        <v>5.6493000000000002</v>
      </c>
      <c r="E154" s="12">
        <f>CHOOSE( CONTROL!$C$32, 5.6471, 5.6439) * CHOOSE( CONTROL!$C$15, $D$11, 100%, $F$11)</f>
        <v>5.6471</v>
      </c>
      <c r="F154" s="4">
        <f>CHOOSE( CONTROL!$C$32, 6.3202, 6.317) * CHOOSE(CONTROL!$C$15, $D$11, 100%, $F$11)</f>
        <v>6.3201999999999998</v>
      </c>
      <c r="G154" s="8">
        <f>CHOOSE( CONTROL!$C$32, 5.5129, 5.5097) * CHOOSE( CONTROL!$C$15, $D$11, 100%, $F$11)</f>
        <v>5.5129000000000001</v>
      </c>
      <c r="H154" s="4">
        <f>CHOOSE( CONTROL!$C$32, 6.4442, 6.4411) * CHOOSE(CONTROL!$C$15, $D$11, 100%, $F$11)</f>
        <v>6.4442000000000004</v>
      </c>
      <c r="I154" s="8">
        <f>CHOOSE( CONTROL!$C$32, 5.5141, 5.511) * CHOOSE(CONTROL!$C$15, $D$11, 100%, $F$11)</f>
        <v>5.5141</v>
      </c>
      <c r="J154" s="4">
        <f>CHOOSE( CONTROL!$C$32, 5.4197, 5.4166) * CHOOSE(CONTROL!$C$15, $D$11, 100%, $F$11)</f>
        <v>5.4196999999999997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1.1791</v>
      </c>
      <c r="Q154" s="9">
        <v>31.035599999999999</v>
      </c>
      <c r="R154" s="9"/>
      <c r="S154" s="11"/>
    </row>
    <row r="155" spans="1:19" ht="15.75">
      <c r="A155" s="13">
        <v>46204</v>
      </c>
      <c r="B155" s="8">
        <f>CHOOSE( CONTROL!$C$32, 5.8798, 5.8766) * CHOOSE(CONTROL!$C$15, $D$11, 100%, $F$11)</f>
        <v>5.8798000000000004</v>
      </c>
      <c r="C155" s="8">
        <f>CHOOSE( CONTROL!$C$32, 5.8878, 5.8846) * CHOOSE(CONTROL!$C$15, $D$11, 100%, $F$11)</f>
        <v>5.8878000000000004</v>
      </c>
      <c r="D155" s="8">
        <f>CHOOSE( CONTROL!$C$32, 5.8907, 5.8875) * CHOOSE( CONTROL!$C$15, $D$11, 100%, $F$11)</f>
        <v>5.8906999999999998</v>
      </c>
      <c r="E155" s="12">
        <f>CHOOSE( CONTROL!$C$32, 5.8884, 5.8852) * CHOOSE( CONTROL!$C$15, $D$11, 100%, $F$11)</f>
        <v>5.8883999999999999</v>
      </c>
      <c r="F155" s="4">
        <f>CHOOSE( CONTROL!$C$32, 6.5613, 6.5581) * CHOOSE(CONTROL!$C$15, $D$11, 100%, $F$11)</f>
        <v>6.5613000000000001</v>
      </c>
      <c r="G155" s="8">
        <f>CHOOSE( CONTROL!$C$32, 5.7504, 5.7473) * CHOOSE( CONTROL!$C$15, $D$11, 100%, $F$11)</f>
        <v>5.7504</v>
      </c>
      <c r="H155" s="4">
        <f>CHOOSE( CONTROL!$C$32, 6.6813, 6.6782) * CHOOSE(CONTROL!$C$15, $D$11, 100%, $F$11)</f>
        <v>6.6813000000000002</v>
      </c>
      <c r="I155" s="8">
        <f>CHOOSE( CONTROL!$C$32, 5.7487, 5.7457) * CHOOSE(CONTROL!$C$15, $D$11, 100%, $F$11)</f>
        <v>5.7487000000000004</v>
      </c>
      <c r="J155" s="4">
        <f>CHOOSE( CONTROL!$C$32, 5.6528, 5.6497) * CHOOSE(CONTROL!$C$15, $D$11, 100%, $F$11)</f>
        <v>5.6528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32.070099999999996</v>
      </c>
      <c r="R155" s="9"/>
      <c r="S155" s="11"/>
    </row>
    <row r="156" spans="1:19" ht="15.75">
      <c r="A156" s="13">
        <v>46235</v>
      </c>
      <c r="B156" s="8">
        <f>CHOOSE( CONTROL!$C$32, 5.4287, 5.4255) * CHOOSE(CONTROL!$C$15, $D$11, 100%, $F$11)</f>
        <v>5.4287000000000001</v>
      </c>
      <c r="C156" s="8">
        <f>CHOOSE( CONTROL!$C$32, 5.4367, 5.4335) * CHOOSE(CONTROL!$C$15, $D$11, 100%, $F$11)</f>
        <v>5.4367000000000001</v>
      </c>
      <c r="D156" s="8">
        <f>CHOOSE( CONTROL!$C$32, 5.4398, 5.4366) * CHOOSE( CONTROL!$C$15, $D$11, 100%, $F$11)</f>
        <v>5.4398</v>
      </c>
      <c r="E156" s="12">
        <f>CHOOSE( CONTROL!$C$32, 5.4375, 5.4343) * CHOOSE( CONTROL!$C$15, $D$11, 100%, $F$11)</f>
        <v>5.4375</v>
      </c>
      <c r="F156" s="4">
        <f>CHOOSE( CONTROL!$C$32, 6.1102, 6.107) * CHOOSE(CONTROL!$C$15, $D$11, 100%, $F$11)</f>
        <v>6.1101999999999999</v>
      </c>
      <c r="G156" s="8">
        <f>CHOOSE( CONTROL!$C$32, 5.307, 5.3038) * CHOOSE( CONTROL!$C$15, $D$11, 100%, $F$11)</f>
        <v>5.3070000000000004</v>
      </c>
      <c r="H156" s="4">
        <f>CHOOSE( CONTROL!$C$32, 6.2377, 6.2345) * CHOOSE(CONTROL!$C$15, $D$11, 100%, $F$11)</f>
        <v>6.2377000000000002</v>
      </c>
      <c r="I156" s="8">
        <f>CHOOSE( CONTROL!$C$32, 5.3132, 5.3101) * CHOOSE(CONTROL!$C$15, $D$11, 100%, $F$11)</f>
        <v>5.3132000000000001</v>
      </c>
      <c r="J156" s="4">
        <f>CHOOSE( CONTROL!$C$32, 5.2167, 5.2136) * CHOOSE(CONTROL!$C$15, $D$11, 100%, $F$11)</f>
        <v>5.2167000000000003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1.2183999999999999</v>
      </c>
      <c r="Q156" s="9">
        <v>32.070099999999996</v>
      </c>
      <c r="R156" s="9"/>
      <c r="S156" s="11"/>
    </row>
    <row r="157" spans="1:19" ht="15.75">
      <c r="A157" s="13">
        <v>46266</v>
      </c>
      <c r="B157" s="8">
        <f>CHOOSE( CONTROL!$C$32, 5.3157, 5.3125) * CHOOSE(CONTROL!$C$15, $D$11, 100%, $F$11)</f>
        <v>5.3156999999999996</v>
      </c>
      <c r="C157" s="8">
        <f>CHOOSE( CONTROL!$C$32, 5.3237, 5.3205) * CHOOSE(CONTROL!$C$15, $D$11, 100%, $F$11)</f>
        <v>5.3236999999999997</v>
      </c>
      <c r="D157" s="8">
        <f>CHOOSE( CONTROL!$C$32, 5.3268, 5.3236) * CHOOSE( CONTROL!$C$15, $D$11, 100%, $F$11)</f>
        <v>5.3268000000000004</v>
      </c>
      <c r="E157" s="12">
        <f>CHOOSE( CONTROL!$C$32, 5.3245, 5.3213) * CHOOSE( CONTROL!$C$15, $D$11, 100%, $F$11)</f>
        <v>5.3244999999999996</v>
      </c>
      <c r="F157" s="4">
        <f>CHOOSE( CONTROL!$C$32, 5.9972, 5.994) * CHOOSE(CONTROL!$C$15, $D$11, 100%, $F$11)</f>
        <v>5.9972000000000003</v>
      </c>
      <c r="G157" s="8">
        <f>CHOOSE( CONTROL!$C$32, 5.1959, 5.1928) * CHOOSE( CONTROL!$C$15, $D$11, 100%, $F$11)</f>
        <v>5.1959</v>
      </c>
      <c r="H157" s="4">
        <f>CHOOSE( CONTROL!$C$32, 6.1266, 6.1234) * CHOOSE(CONTROL!$C$15, $D$11, 100%, $F$11)</f>
        <v>6.1265999999999998</v>
      </c>
      <c r="I157" s="8">
        <f>CHOOSE( CONTROL!$C$32, 5.2041, 5.201) * CHOOSE(CONTROL!$C$15, $D$11, 100%, $F$11)</f>
        <v>5.2041000000000004</v>
      </c>
      <c r="J157" s="4">
        <f>CHOOSE( CONTROL!$C$32, 5.1074, 5.1044) * CHOOSE(CONTROL!$C$15, $D$11, 100%, $F$11)</f>
        <v>5.1074000000000002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1.1791</v>
      </c>
      <c r="Q157" s="9">
        <v>31.035599999999999</v>
      </c>
      <c r="R157" s="9"/>
      <c r="S157" s="11"/>
    </row>
    <row r="158" spans="1:19" ht="15.75">
      <c r="A158" s="13">
        <v>46296</v>
      </c>
      <c r="B158" s="8">
        <f>5.5453 * CHOOSE(CONTROL!$C$15, $D$11, 100%, $F$11)</f>
        <v>5.5453000000000001</v>
      </c>
      <c r="C158" s="8">
        <f>5.5507 * CHOOSE(CONTROL!$C$15, $D$11, 100%, $F$11)</f>
        <v>5.5507</v>
      </c>
      <c r="D158" s="8">
        <f>5.5586 * CHOOSE( CONTROL!$C$15, $D$11, 100%, $F$11)</f>
        <v>5.5586000000000002</v>
      </c>
      <c r="E158" s="12">
        <f>5.5554 * CHOOSE( CONTROL!$C$15, $D$11, 100%, $F$11)</f>
        <v>5.5553999999999997</v>
      </c>
      <c r="F158" s="4">
        <f>6.2286 * CHOOSE(CONTROL!$C$15, $D$11, 100%, $F$11)</f>
        <v>6.2286000000000001</v>
      </c>
      <c r="G158" s="8">
        <f>5.423 * CHOOSE( CONTROL!$C$15, $D$11, 100%, $F$11)</f>
        <v>5.423</v>
      </c>
      <c r="H158" s="4">
        <f>6.3541 * CHOOSE(CONTROL!$C$15, $D$11, 100%, $F$11)</f>
        <v>6.3540999999999999</v>
      </c>
      <c r="I158" s="8">
        <f>5.4285 * CHOOSE(CONTROL!$C$15, $D$11, 100%, $F$11)</f>
        <v>5.4284999999999997</v>
      </c>
      <c r="J158" s="4">
        <f>5.3311 * CHOOSE(CONTROL!$C$15, $D$11, 100%, $F$11)</f>
        <v>5.3311000000000002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1.2183999999999999</v>
      </c>
      <c r="Q158" s="9">
        <v>32.070099999999996</v>
      </c>
      <c r="R158" s="9"/>
      <c r="S158" s="11"/>
    </row>
    <row r="159" spans="1:19" ht="15.75">
      <c r="A159" s="13">
        <v>46327</v>
      </c>
      <c r="B159" s="8">
        <f>5.9779 * CHOOSE(CONTROL!$C$15, $D$11, 100%, $F$11)</f>
        <v>5.9779</v>
      </c>
      <c r="C159" s="8">
        <f>5.983 * CHOOSE(CONTROL!$C$15, $D$11, 100%, $F$11)</f>
        <v>5.9829999999999997</v>
      </c>
      <c r="D159" s="8">
        <f>5.9605 * CHOOSE( CONTROL!$C$15, $D$11, 100%, $F$11)</f>
        <v>5.9604999999999997</v>
      </c>
      <c r="E159" s="12">
        <f>5.9682 * CHOOSE( CONTROL!$C$15, $D$11, 100%, $F$11)</f>
        <v>5.9682000000000004</v>
      </c>
      <c r="F159" s="4">
        <f>6.6228 * CHOOSE(CONTROL!$C$15, $D$11, 100%, $F$11)</f>
        <v>6.6227999999999998</v>
      </c>
      <c r="G159" s="8">
        <f>5.8614 * CHOOSE( CONTROL!$C$15, $D$11, 100%, $F$11)</f>
        <v>5.8613999999999997</v>
      </c>
      <c r="H159" s="4">
        <f>6.7417 * CHOOSE(CONTROL!$C$15, $D$11, 100%, $F$11)</f>
        <v>6.7416999999999998</v>
      </c>
      <c r="I159" s="8">
        <f>5.8728 * CHOOSE(CONTROL!$C$15, $D$11, 100%, $F$11)</f>
        <v>5.8727999999999998</v>
      </c>
      <c r="J159" s="4">
        <f>5.7496 * CHOOSE(CONTROL!$C$15, $D$11, 100%, $F$11)</f>
        <v>5.7496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31.035599999999999</v>
      </c>
      <c r="R159" s="9"/>
      <c r="S159" s="11"/>
    </row>
    <row r="160" spans="1:19" ht="15.75">
      <c r="A160" s="13">
        <v>46357</v>
      </c>
      <c r="B160" s="8">
        <f>5.9671 * CHOOSE(CONTROL!$C$15, $D$11, 100%, $F$11)</f>
        <v>5.9671000000000003</v>
      </c>
      <c r="C160" s="8">
        <f>5.9722 * CHOOSE(CONTROL!$C$15, $D$11, 100%, $F$11)</f>
        <v>5.9722</v>
      </c>
      <c r="D160" s="8">
        <f>5.9511 * CHOOSE( CONTROL!$C$15, $D$11, 100%, $F$11)</f>
        <v>5.9511000000000003</v>
      </c>
      <c r="E160" s="12">
        <f>5.9583 * CHOOSE( CONTROL!$C$15, $D$11, 100%, $F$11)</f>
        <v>5.9583000000000004</v>
      </c>
      <c r="F160" s="4">
        <f>6.612 * CHOOSE(CONTROL!$C$15, $D$11, 100%, $F$11)</f>
        <v>6.6120000000000001</v>
      </c>
      <c r="G160" s="8">
        <f>5.8518 * CHOOSE( CONTROL!$C$15, $D$11, 100%, $F$11)</f>
        <v>5.8517999999999999</v>
      </c>
      <c r="H160" s="4">
        <f>6.7311 * CHOOSE(CONTROL!$C$15, $D$11, 100%, $F$11)</f>
        <v>6.7310999999999996</v>
      </c>
      <c r="I160" s="8">
        <f>5.867 * CHOOSE(CONTROL!$C$15, $D$11, 100%, $F$11)</f>
        <v>5.867</v>
      </c>
      <c r="J160" s="4">
        <f>5.7392 * CHOOSE(CONTROL!$C$15, $D$11, 100%, $F$11)</f>
        <v>5.7392000000000003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32.070099999999996</v>
      </c>
      <c r="R160" s="9"/>
      <c r="S160" s="11"/>
    </row>
    <row r="161" spans="1:19" ht="15.75">
      <c r="A161" s="13">
        <v>46388</v>
      </c>
      <c r="B161" s="8">
        <f>6.1846 * CHOOSE(CONTROL!$C$15, $D$11, 100%, $F$11)</f>
        <v>6.1845999999999997</v>
      </c>
      <c r="C161" s="8">
        <f>6.1897 * CHOOSE(CONTROL!$C$15, $D$11, 100%, $F$11)</f>
        <v>6.1897000000000002</v>
      </c>
      <c r="D161" s="8">
        <f>6.1677 * CHOOSE( CONTROL!$C$15, $D$11, 100%, $F$11)</f>
        <v>6.1677</v>
      </c>
      <c r="E161" s="12">
        <f>6.1752 * CHOOSE( CONTROL!$C$15, $D$11, 100%, $F$11)</f>
        <v>6.1752000000000002</v>
      </c>
      <c r="F161" s="4">
        <f>6.8295 * CHOOSE(CONTROL!$C$15, $D$11, 100%, $F$11)</f>
        <v>6.8295000000000003</v>
      </c>
      <c r="G161" s="8">
        <f>6.0631 * CHOOSE( CONTROL!$C$15, $D$11, 100%, $F$11)</f>
        <v>6.0631000000000004</v>
      </c>
      <c r="H161" s="4">
        <f>6.945 * CHOOSE(CONTROL!$C$15, $D$11, 100%, $F$11)</f>
        <v>6.9450000000000003</v>
      </c>
      <c r="I161" s="8">
        <f>6.0492 * CHOOSE(CONTROL!$C$15, $D$11, 100%, $F$11)</f>
        <v>6.0491999999999999</v>
      </c>
      <c r="J161" s="4">
        <f>5.9495 * CHOOSE(CONTROL!$C$15, $D$11, 100%, $F$11)</f>
        <v>5.9494999999999996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31.885999999999999</v>
      </c>
      <c r="R161" s="9"/>
      <c r="S161" s="11"/>
    </row>
    <row r="162" spans="1:19" ht="15.75">
      <c r="A162" s="13">
        <v>46419</v>
      </c>
      <c r="B162" s="8">
        <f>5.7867 * CHOOSE(CONTROL!$C$15, $D$11, 100%, $F$11)</f>
        <v>5.7866999999999997</v>
      </c>
      <c r="C162" s="8">
        <f>5.7919 * CHOOSE(CONTROL!$C$15, $D$11, 100%, $F$11)</f>
        <v>5.7919</v>
      </c>
      <c r="D162" s="8">
        <f>5.7655 * CHOOSE( CONTROL!$C$15, $D$11, 100%, $F$11)</f>
        <v>5.7655000000000003</v>
      </c>
      <c r="E162" s="12">
        <f>5.7746 * CHOOSE( CONTROL!$C$15, $D$11, 100%, $F$11)</f>
        <v>5.7746000000000004</v>
      </c>
      <c r="F162" s="4">
        <f>6.4316 * CHOOSE(CONTROL!$C$15, $D$11, 100%, $F$11)</f>
        <v>6.4316000000000004</v>
      </c>
      <c r="G162" s="8">
        <f>5.6634 * CHOOSE( CONTROL!$C$15, $D$11, 100%, $F$11)</f>
        <v>5.6634000000000002</v>
      </c>
      <c r="H162" s="4">
        <f>6.5537 * CHOOSE(CONTROL!$C$15, $D$11, 100%, $F$11)</f>
        <v>6.5537000000000001</v>
      </c>
      <c r="I162" s="8">
        <f>5.6354 * CHOOSE(CONTROL!$C$15, $D$11, 100%, $F$11)</f>
        <v>5.6353999999999997</v>
      </c>
      <c r="J162" s="4">
        <f>5.5649 * CHOOSE(CONTROL!$C$15, $D$11, 100%, $F$11)</f>
        <v>5.5648999999999997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28.8002</v>
      </c>
      <c r="R162" s="9"/>
      <c r="S162" s="11"/>
    </row>
    <row r="163" spans="1:19" ht="15.75">
      <c r="A163" s="13">
        <v>46447</v>
      </c>
      <c r="B163" s="8">
        <f>5.6642 * CHOOSE(CONTROL!$C$15, $D$11, 100%, $F$11)</f>
        <v>5.6642000000000001</v>
      </c>
      <c r="C163" s="8">
        <f>5.6693 * CHOOSE(CONTROL!$C$15, $D$11, 100%, $F$11)</f>
        <v>5.6692999999999998</v>
      </c>
      <c r="D163" s="8">
        <f>5.6433 * CHOOSE( CONTROL!$C$15, $D$11, 100%, $F$11)</f>
        <v>5.6433</v>
      </c>
      <c r="E163" s="12">
        <f>5.6523 * CHOOSE( CONTROL!$C$15, $D$11, 100%, $F$11)</f>
        <v>5.6523000000000003</v>
      </c>
      <c r="F163" s="4">
        <f>6.3091 * CHOOSE(CONTROL!$C$15, $D$11, 100%, $F$11)</f>
        <v>6.3090999999999999</v>
      </c>
      <c r="G163" s="8">
        <f>5.5432 * CHOOSE( CONTROL!$C$15, $D$11, 100%, $F$11)</f>
        <v>5.5431999999999997</v>
      </c>
      <c r="H163" s="4">
        <f>6.4332 * CHOOSE(CONTROL!$C$15, $D$11, 100%, $F$11)</f>
        <v>6.4332000000000003</v>
      </c>
      <c r="I163" s="8">
        <f>5.518 * CHOOSE(CONTROL!$C$15, $D$11, 100%, $F$11)</f>
        <v>5.5179999999999998</v>
      </c>
      <c r="J163" s="4">
        <f>5.4464 * CHOOSE(CONTROL!$C$15, $D$11, 100%, $F$11)</f>
        <v>5.4463999999999997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31.885999999999999</v>
      </c>
      <c r="R163" s="9"/>
      <c r="S163" s="11"/>
    </row>
    <row r="164" spans="1:19" ht="15.75">
      <c r="A164" s="13">
        <v>46478</v>
      </c>
      <c r="B164" s="8">
        <f>5.7506 * CHOOSE(CONTROL!$C$15, $D$11, 100%, $F$11)</f>
        <v>5.7506000000000004</v>
      </c>
      <c r="C164" s="8">
        <f>5.7551 * CHOOSE(CONTROL!$C$15, $D$11, 100%, $F$11)</f>
        <v>5.7550999999999997</v>
      </c>
      <c r="D164" s="8">
        <f>5.7623 * CHOOSE( CONTROL!$C$15, $D$11, 100%, $F$11)</f>
        <v>5.7622999999999998</v>
      </c>
      <c r="E164" s="12">
        <f>5.7594 * CHOOSE( CONTROL!$C$15, $D$11, 100%, $F$11)</f>
        <v>5.7594000000000003</v>
      </c>
      <c r="F164" s="4">
        <f>6.4335 * CHOOSE(CONTROL!$C$15, $D$11, 100%, $F$11)</f>
        <v>6.4335000000000004</v>
      </c>
      <c r="G164" s="8">
        <f>5.6227 * CHOOSE( CONTROL!$C$15, $D$11, 100%, $F$11)</f>
        <v>5.6227</v>
      </c>
      <c r="H164" s="4">
        <f>6.5556 * CHOOSE(CONTROL!$C$15, $D$11, 100%, $F$11)</f>
        <v>6.5556000000000001</v>
      </c>
      <c r="I164" s="8">
        <f>5.6207 * CHOOSE(CONTROL!$C$15, $D$11, 100%, $F$11)</f>
        <v>5.6207000000000003</v>
      </c>
      <c r="J164" s="4">
        <f>5.5292 * CHOOSE(CONTROL!$C$15, $D$11, 100%, $F$11)</f>
        <v>5.5292000000000003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1.1791</v>
      </c>
      <c r="Q164" s="9">
        <v>30.857399999999998</v>
      </c>
      <c r="R164" s="9"/>
      <c r="S164" s="11"/>
    </row>
    <row r="165" spans="1:19" ht="15.75">
      <c r="A165" s="13">
        <v>46508</v>
      </c>
      <c r="B165" s="8">
        <f>CHOOSE( CONTROL!$C$32, 5.9076, 5.9044) * CHOOSE(CONTROL!$C$15, $D$11, 100%, $F$11)</f>
        <v>5.9076000000000004</v>
      </c>
      <c r="C165" s="8">
        <f>CHOOSE( CONTROL!$C$32, 5.9156, 5.9124) * CHOOSE(CONTROL!$C$15, $D$11, 100%, $F$11)</f>
        <v>5.9156000000000004</v>
      </c>
      <c r="D165" s="8">
        <f>CHOOSE( CONTROL!$C$32, 5.9179, 5.9147) * CHOOSE( CONTROL!$C$15, $D$11, 100%, $F$11)</f>
        <v>5.9179000000000004</v>
      </c>
      <c r="E165" s="12">
        <f>CHOOSE( CONTROL!$C$32, 5.9158, 5.9126) * CHOOSE( CONTROL!$C$15, $D$11, 100%, $F$11)</f>
        <v>5.9157999999999999</v>
      </c>
      <c r="F165" s="4">
        <f>CHOOSE( CONTROL!$C$32, 6.5891, 6.5859) * CHOOSE(CONTROL!$C$15, $D$11, 100%, $F$11)</f>
        <v>6.5891000000000002</v>
      </c>
      <c r="G165" s="8">
        <f>CHOOSE( CONTROL!$C$32, 5.7768, 5.7737) * CHOOSE( CONTROL!$C$15, $D$11, 100%, $F$11)</f>
        <v>5.7767999999999997</v>
      </c>
      <c r="H165" s="4">
        <f>CHOOSE( CONTROL!$C$32, 6.7086, 6.7055) * CHOOSE(CONTROL!$C$15, $D$11, 100%, $F$11)</f>
        <v>6.7085999999999997</v>
      </c>
      <c r="I165" s="8">
        <f>CHOOSE( CONTROL!$C$32, 5.7727, 5.7696) * CHOOSE(CONTROL!$C$15, $D$11, 100%, $F$11)</f>
        <v>5.7727000000000004</v>
      </c>
      <c r="J165" s="4">
        <f>CHOOSE( CONTROL!$C$32, 5.6796, 5.6765) * CHOOSE(CONTROL!$C$15, $D$11, 100%, $F$11)</f>
        <v>5.6795999999999998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1.2183999999999999</v>
      </c>
      <c r="Q165" s="9">
        <v>31.885999999999999</v>
      </c>
      <c r="R165" s="9"/>
      <c r="S165" s="11"/>
    </row>
    <row r="166" spans="1:19" ht="15.75">
      <c r="A166" s="13">
        <v>46539</v>
      </c>
      <c r="B166" s="8">
        <f>CHOOSE( CONTROL!$C$32, 5.8132, 5.81) * CHOOSE(CONTROL!$C$15, $D$11, 100%, $F$11)</f>
        <v>5.8132000000000001</v>
      </c>
      <c r="C166" s="8">
        <f>CHOOSE( CONTROL!$C$32, 5.8212, 5.818) * CHOOSE(CONTROL!$C$15, $D$11, 100%, $F$11)</f>
        <v>5.8212000000000002</v>
      </c>
      <c r="D166" s="8">
        <f>CHOOSE( CONTROL!$C$32, 5.8238, 5.8206) * CHOOSE( CONTROL!$C$15, $D$11, 100%, $F$11)</f>
        <v>5.8238000000000003</v>
      </c>
      <c r="E166" s="12">
        <f>CHOOSE( CONTROL!$C$32, 5.8216, 5.8184) * CHOOSE( CONTROL!$C$15, $D$11, 100%, $F$11)</f>
        <v>5.8216000000000001</v>
      </c>
      <c r="F166" s="4">
        <f>CHOOSE( CONTROL!$C$32, 6.4947, 6.4915) * CHOOSE(CONTROL!$C$15, $D$11, 100%, $F$11)</f>
        <v>6.4946999999999999</v>
      </c>
      <c r="G166" s="8">
        <f>CHOOSE( CONTROL!$C$32, 5.6844, 5.6813) * CHOOSE( CONTROL!$C$15, $D$11, 100%, $F$11)</f>
        <v>5.6844000000000001</v>
      </c>
      <c r="H166" s="4">
        <f>CHOOSE( CONTROL!$C$32, 6.6158, 6.6126) * CHOOSE(CONTROL!$C$15, $D$11, 100%, $F$11)</f>
        <v>6.6158000000000001</v>
      </c>
      <c r="I166" s="8">
        <f>CHOOSE( CONTROL!$C$32, 5.6828, 5.6798) * CHOOSE(CONTROL!$C$15, $D$11, 100%, $F$11)</f>
        <v>5.6828000000000003</v>
      </c>
      <c r="J166" s="4">
        <f>CHOOSE( CONTROL!$C$32, 5.5883, 5.5852) * CHOOSE(CONTROL!$C$15, $D$11, 100%, $F$11)</f>
        <v>5.5883000000000003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1.1791</v>
      </c>
      <c r="Q166" s="9">
        <v>30.857399999999998</v>
      </c>
      <c r="R166" s="9"/>
      <c r="S166" s="11"/>
    </row>
    <row r="167" spans="1:19" ht="15.75">
      <c r="A167" s="13">
        <v>46569</v>
      </c>
      <c r="B167" s="8">
        <f>CHOOSE( CONTROL!$C$32, 6.0618, 6.0586) * CHOOSE(CONTROL!$C$15, $D$11, 100%, $F$11)</f>
        <v>6.0617999999999999</v>
      </c>
      <c r="C167" s="8">
        <f>CHOOSE( CONTROL!$C$32, 6.0698, 6.0666) * CHOOSE(CONTROL!$C$15, $D$11, 100%, $F$11)</f>
        <v>6.0697999999999999</v>
      </c>
      <c r="D167" s="8">
        <f>CHOOSE( CONTROL!$C$32, 6.0727, 6.0695) * CHOOSE( CONTROL!$C$15, $D$11, 100%, $F$11)</f>
        <v>6.0727000000000002</v>
      </c>
      <c r="E167" s="12">
        <f>CHOOSE( CONTROL!$C$32, 6.0704, 6.0672) * CHOOSE( CONTROL!$C$15, $D$11, 100%, $F$11)</f>
        <v>6.0704000000000002</v>
      </c>
      <c r="F167" s="4">
        <f>CHOOSE( CONTROL!$C$32, 6.7433, 6.7401) * CHOOSE(CONTROL!$C$15, $D$11, 100%, $F$11)</f>
        <v>6.7432999999999996</v>
      </c>
      <c r="G167" s="8">
        <f>CHOOSE( CONTROL!$C$32, 5.9294, 5.9262) * CHOOSE( CONTROL!$C$15, $D$11, 100%, $F$11)</f>
        <v>5.9294000000000002</v>
      </c>
      <c r="H167" s="4">
        <f>CHOOSE( CONTROL!$C$32, 6.8603, 6.8571) * CHOOSE(CONTROL!$C$15, $D$11, 100%, $F$11)</f>
        <v>6.8602999999999996</v>
      </c>
      <c r="I167" s="8">
        <f>CHOOSE( CONTROL!$C$32, 5.9247, 5.9216) * CHOOSE(CONTROL!$C$15, $D$11, 100%, $F$11)</f>
        <v>5.9246999999999996</v>
      </c>
      <c r="J167" s="4">
        <f>CHOOSE( CONTROL!$C$32, 5.8287, 5.8256) * CHOOSE(CONTROL!$C$15, $D$11, 100%, $F$11)</f>
        <v>5.8287000000000004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31.885999999999999</v>
      </c>
      <c r="R167" s="9"/>
      <c r="S167" s="11"/>
    </row>
    <row r="168" spans="1:19" ht="15.75">
      <c r="A168" s="13">
        <v>46600</v>
      </c>
      <c r="B168" s="8">
        <f>CHOOSE( CONTROL!$C$32, 5.5966, 5.5934) * CHOOSE(CONTROL!$C$15, $D$11, 100%, $F$11)</f>
        <v>5.5965999999999996</v>
      </c>
      <c r="C168" s="8">
        <f>CHOOSE( CONTROL!$C$32, 5.6046, 5.6014) * CHOOSE(CONTROL!$C$15, $D$11, 100%, $F$11)</f>
        <v>5.6045999999999996</v>
      </c>
      <c r="D168" s="8">
        <f>CHOOSE( CONTROL!$C$32, 5.6077, 5.6045) * CHOOSE( CONTROL!$C$15, $D$11, 100%, $F$11)</f>
        <v>5.6077000000000004</v>
      </c>
      <c r="E168" s="12">
        <f>CHOOSE( CONTROL!$C$32, 5.6054, 5.6022) * CHOOSE( CONTROL!$C$15, $D$11, 100%, $F$11)</f>
        <v>5.6054000000000004</v>
      </c>
      <c r="F168" s="4">
        <f>CHOOSE( CONTROL!$C$32, 6.2781, 6.2749) * CHOOSE(CONTROL!$C$15, $D$11, 100%, $F$11)</f>
        <v>6.2781000000000002</v>
      </c>
      <c r="G168" s="8">
        <f>CHOOSE( CONTROL!$C$32, 5.4721, 5.469) * CHOOSE( CONTROL!$C$15, $D$11, 100%, $F$11)</f>
        <v>5.4721000000000002</v>
      </c>
      <c r="H168" s="4">
        <f>CHOOSE( CONTROL!$C$32, 6.4028, 6.3996) * CHOOSE(CONTROL!$C$15, $D$11, 100%, $F$11)</f>
        <v>6.4028</v>
      </c>
      <c r="I168" s="8">
        <f>CHOOSE( CONTROL!$C$32, 5.4756, 5.4725) * CHOOSE(CONTROL!$C$15, $D$11, 100%, $F$11)</f>
        <v>5.4756</v>
      </c>
      <c r="J168" s="4">
        <f>CHOOSE( CONTROL!$C$32, 5.379, 5.3759) * CHOOSE(CONTROL!$C$15, $D$11, 100%, $F$11)</f>
        <v>5.3789999999999996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1.2183999999999999</v>
      </c>
      <c r="Q168" s="9">
        <v>31.885999999999999</v>
      </c>
      <c r="R168" s="9"/>
      <c r="S168" s="11"/>
    </row>
    <row r="169" spans="1:19" ht="15.75">
      <c r="A169" s="13">
        <v>46631</v>
      </c>
      <c r="B169" s="8">
        <f>CHOOSE( CONTROL!$C$32, 5.4801, 5.4769) * CHOOSE(CONTROL!$C$15, $D$11, 100%, $F$11)</f>
        <v>5.4801000000000002</v>
      </c>
      <c r="C169" s="8">
        <f>CHOOSE( CONTROL!$C$32, 5.4881, 5.4849) * CHOOSE(CONTROL!$C$15, $D$11, 100%, $F$11)</f>
        <v>5.4881000000000002</v>
      </c>
      <c r="D169" s="8">
        <f>CHOOSE( CONTROL!$C$32, 5.4912, 5.488) * CHOOSE( CONTROL!$C$15, $D$11, 100%, $F$11)</f>
        <v>5.4912000000000001</v>
      </c>
      <c r="E169" s="12">
        <f>CHOOSE( CONTROL!$C$32, 5.4889, 5.4857) * CHOOSE( CONTROL!$C$15, $D$11, 100%, $F$11)</f>
        <v>5.4889000000000001</v>
      </c>
      <c r="F169" s="4">
        <f>CHOOSE( CONTROL!$C$32, 6.1616, 6.1584) * CHOOSE(CONTROL!$C$15, $D$11, 100%, $F$11)</f>
        <v>6.1616</v>
      </c>
      <c r="G169" s="8">
        <f>CHOOSE( CONTROL!$C$32, 5.3576, 5.3545) * CHOOSE( CONTROL!$C$15, $D$11, 100%, $F$11)</f>
        <v>5.3575999999999997</v>
      </c>
      <c r="H169" s="4">
        <f>CHOOSE( CONTROL!$C$32, 6.2882, 6.2851) * CHOOSE(CONTROL!$C$15, $D$11, 100%, $F$11)</f>
        <v>6.2881999999999998</v>
      </c>
      <c r="I169" s="8">
        <f>CHOOSE( CONTROL!$C$32, 5.3631, 5.36) * CHOOSE(CONTROL!$C$15, $D$11, 100%, $F$11)</f>
        <v>5.3631000000000002</v>
      </c>
      <c r="J169" s="4">
        <f>CHOOSE( CONTROL!$C$32, 5.2664, 5.2633) * CHOOSE(CONTROL!$C$15, $D$11, 100%, $F$11)</f>
        <v>5.2664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1.1791</v>
      </c>
      <c r="Q169" s="9">
        <v>30.857399999999998</v>
      </c>
      <c r="R169" s="9"/>
      <c r="S169" s="11"/>
    </row>
    <row r="170" spans="1:19" ht="15.75">
      <c r="A170" s="13">
        <v>46661</v>
      </c>
      <c r="B170" s="8">
        <f>5.717 * CHOOSE(CONTROL!$C$15, $D$11, 100%, $F$11)</f>
        <v>5.7169999999999996</v>
      </c>
      <c r="C170" s="8">
        <f>5.7224 * CHOOSE(CONTROL!$C$15, $D$11, 100%, $F$11)</f>
        <v>5.7224000000000004</v>
      </c>
      <c r="D170" s="8">
        <f>5.7303 * CHOOSE( CONTROL!$C$15, $D$11, 100%, $F$11)</f>
        <v>5.7302999999999997</v>
      </c>
      <c r="E170" s="12">
        <f>5.7271 * CHOOSE( CONTROL!$C$15, $D$11, 100%, $F$11)</f>
        <v>5.7271000000000001</v>
      </c>
      <c r="F170" s="4">
        <f>6.4003 * CHOOSE(CONTROL!$C$15, $D$11, 100%, $F$11)</f>
        <v>6.4002999999999997</v>
      </c>
      <c r="G170" s="8">
        <f>5.5919 * CHOOSE( CONTROL!$C$15, $D$11, 100%, $F$11)</f>
        <v>5.5918999999999999</v>
      </c>
      <c r="H170" s="4">
        <f>6.5229 * CHOOSE(CONTROL!$C$15, $D$11, 100%, $F$11)</f>
        <v>6.5228999999999999</v>
      </c>
      <c r="I170" s="8">
        <f>5.5945 * CHOOSE(CONTROL!$C$15, $D$11, 100%, $F$11)</f>
        <v>5.5945</v>
      </c>
      <c r="J170" s="4">
        <f>5.4971 * CHOOSE(CONTROL!$C$15, $D$11, 100%, $F$11)</f>
        <v>5.4970999999999997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1.2183999999999999</v>
      </c>
      <c r="Q170" s="9">
        <v>31.885999999999999</v>
      </c>
      <c r="R170" s="9"/>
      <c r="S170" s="11"/>
    </row>
    <row r="171" spans="1:19" ht="15.75">
      <c r="A171" s="13">
        <v>46692</v>
      </c>
      <c r="B171" s="8">
        <f>6.1631 * CHOOSE(CONTROL!$C$15, $D$11, 100%, $F$11)</f>
        <v>6.1631</v>
      </c>
      <c r="C171" s="8">
        <f>6.1682 * CHOOSE(CONTROL!$C$15, $D$11, 100%, $F$11)</f>
        <v>6.1681999999999997</v>
      </c>
      <c r="D171" s="8">
        <f>6.1457 * CHOOSE( CONTROL!$C$15, $D$11, 100%, $F$11)</f>
        <v>6.1456999999999997</v>
      </c>
      <c r="E171" s="12">
        <f>6.1534 * CHOOSE( CONTROL!$C$15, $D$11, 100%, $F$11)</f>
        <v>6.1534000000000004</v>
      </c>
      <c r="F171" s="4">
        <f>6.808 * CHOOSE(CONTROL!$C$15, $D$11, 100%, $F$11)</f>
        <v>6.8079999999999998</v>
      </c>
      <c r="G171" s="8">
        <f>6.0435 * CHOOSE( CONTROL!$C$15, $D$11, 100%, $F$11)</f>
        <v>6.0434999999999999</v>
      </c>
      <c r="H171" s="4">
        <f>6.9238 * CHOOSE(CONTROL!$C$15, $D$11, 100%, $F$11)</f>
        <v>6.9238</v>
      </c>
      <c r="I171" s="8">
        <f>6.0519 * CHOOSE(CONTROL!$C$15, $D$11, 100%, $F$11)</f>
        <v>6.0518999999999998</v>
      </c>
      <c r="J171" s="4">
        <f>5.9287 * CHOOSE(CONTROL!$C$15, $D$11, 100%, $F$11)</f>
        <v>5.9287000000000001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30.857399999999998</v>
      </c>
      <c r="R171" s="9"/>
      <c r="S171" s="11"/>
    </row>
    <row r="172" spans="1:19" ht="15.75">
      <c r="A172" s="13">
        <v>46722</v>
      </c>
      <c r="B172" s="8">
        <f>6.1519 * CHOOSE(CONTROL!$C$15, $D$11, 100%, $F$11)</f>
        <v>6.1519000000000004</v>
      </c>
      <c r="C172" s="8">
        <f>6.157 * CHOOSE(CONTROL!$C$15, $D$11, 100%, $F$11)</f>
        <v>6.157</v>
      </c>
      <c r="D172" s="8">
        <f>6.136 * CHOOSE( CONTROL!$C$15, $D$11, 100%, $F$11)</f>
        <v>6.1360000000000001</v>
      </c>
      <c r="E172" s="12">
        <f>6.1431 * CHOOSE( CONTROL!$C$15, $D$11, 100%, $F$11)</f>
        <v>6.1430999999999996</v>
      </c>
      <c r="F172" s="4">
        <f>6.7968 * CHOOSE(CONTROL!$C$15, $D$11, 100%, $F$11)</f>
        <v>6.7968000000000002</v>
      </c>
      <c r="G172" s="8">
        <f>6.0336 * CHOOSE( CONTROL!$C$15, $D$11, 100%, $F$11)</f>
        <v>6.0335999999999999</v>
      </c>
      <c r="H172" s="4">
        <f>6.9129 * CHOOSE(CONTROL!$C$15, $D$11, 100%, $F$11)</f>
        <v>6.9128999999999996</v>
      </c>
      <c r="I172" s="8">
        <f>6.0458 * CHOOSE(CONTROL!$C$15, $D$11, 100%, $F$11)</f>
        <v>6.0457999999999998</v>
      </c>
      <c r="J172" s="4">
        <f>5.9179 * CHOOSE(CONTROL!$C$15, $D$11, 100%, $F$11)</f>
        <v>5.9179000000000004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31.885999999999999</v>
      </c>
      <c r="R172" s="9"/>
      <c r="S172" s="11"/>
    </row>
    <row r="173" spans="1:19" ht="15.75">
      <c r="A173" s="13">
        <v>46753</v>
      </c>
      <c r="B173" s="8">
        <f>6.3814 * CHOOSE(CONTROL!$C$15, $D$11, 100%, $F$11)</f>
        <v>6.3814000000000002</v>
      </c>
      <c r="C173" s="8">
        <f>6.3865 * CHOOSE(CONTROL!$C$15, $D$11, 100%, $F$11)</f>
        <v>6.3864999999999998</v>
      </c>
      <c r="D173" s="8">
        <f>6.3645 * CHOOSE( CONTROL!$C$15, $D$11, 100%, $F$11)</f>
        <v>6.3644999999999996</v>
      </c>
      <c r="E173" s="12">
        <f>6.372 * CHOOSE( CONTROL!$C$15, $D$11, 100%, $F$11)</f>
        <v>6.3719999999999999</v>
      </c>
      <c r="F173" s="4">
        <f>7.0263 * CHOOSE(CONTROL!$C$15, $D$11, 100%, $F$11)</f>
        <v>7.0263</v>
      </c>
      <c r="G173" s="8">
        <f>6.2567 * CHOOSE( CONTROL!$C$15, $D$11, 100%, $F$11)</f>
        <v>6.2567000000000004</v>
      </c>
      <c r="H173" s="4">
        <f>7.1385 * CHOOSE(CONTROL!$C$15, $D$11, 100%, $F$11)</f>
        <v>7.1384999999999996</v>
      </c>
      <c r="I173" s="8">
        <f>6.2395 * CHOOSE(CONTROL!$C$15, $D$11, 100%, $F$11)</f>
        <v>6.2394999999999996</v>
      </c>
      <c r="J173" s="4">
        <f>6.1397 * CHOOSE(CONTROL!$C$15, $D$11, 100%, $F$11)</f>
        <v>6.1397000000000004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31.701799999999999</v>
      </c>
      <c r="R173" s="9"/>
      <c r="S173" s="11"/>
    </row>
    <row r="174" spans="1:19" ht="15.75">
      <c r="A174" s="13">
        <v>46784</v>
      </c>
      <c r="B174" s="8">
        <f>5.9708 * CHOOSE(CONTROL!$C$15, $D$11, 100%, $F$11)</f>
        <v>5.9707999999999997</v>
      </c>
      <c r="C174" s="8">
        <f>5.9759 * CHOOSE(CONTROL!$C$15, $D$11, 100%, $F$11)</f>
        <v>5.9759000000000002</v>
      </c>
      <c r="D174" s="8">
        <f>5.9495 * CHOOSE( CONTROL!$C$15, $D$11, 100%, $F$11)</f>
        <v>5.9494999999999996</v>
      </c>
      <c r="E174" s="12">
        <f>5.9586 * CHOOSE( CONTROL!$C$15, $D$11, 100%, $F$11)</f>
        <v>5.9585999999999997</v>
      </c>
      <c r="F174" s="4">
        <f>6.6157 * CHOOSE(CONTROL!$C$15, $D$11, 100%, $F$11)</f>
        <v>6.6157000000000004</v>
      </c>
      <c r="G174" s="8">
        <f>5.8444 * CHOOSE( CONTROL!$C$15, $D$11, 100%, $F$11)</f>
        <v>5.8444000000000003</v>
      </c>
      <c r="H174" s="4">
        <f>6.7347 * CHOOSE(CONTROL!$C$15, $D$11, 100%, $F$11)</f>
        <v>6.7347000000000001</v>
      </c>
      <c r="I174" s="8">
        <f>5.8134 * CHOOSE(CONTROL!$C$15, $D$11, 100%, $F$11)</f>
        <v>5.8133999999999997</v>
      </c>
      <c r="J174" s="4">
        <f>5.7428 * CHOOSE(CONTROL!$C$15, $D$11, 100%, $F$11)</f>
        <v>5.7427999999999999</v>
      </c>
      <c r="K174" s="4"/>
      <c r="L174" s="9">
        <v>27.415299999999998</v>
      </c>
      <c r="M174" s="9">
        <v>11.285299999999999</v>
      </c>
      <c r="N174" s="9">
        <v>4.6254999999999997</v>
      </c>
      <c r="O174" s="9">
        <v>0.34989999999999999</v>
      </c>
      <c r="P174" s="9">
        <v>1.2093</v>
      </c>
      <c r="Q174" s="9">
        <v>29.656600000000001</v>
      </c>
      <c r="R174" s="9"/>
      <c r="S174" s="11"/>
    </row>
    <row r="175" spans="1:19" ht="15.75">
      <c r="A175" s="13">
        <v>46813</v>
      </c>
      <c r="B175" s="8">
        <f>5.8443 * CHOOSE(CONTROL!$C$15, $D$11, 100%, $F$11)</f>
        <v>5.8442999999999996</v>
      </c>
      <c r="C175" s="8">
        <f>5.8494 * CHOOSE(CONTROL!$C$15, $D$11, 100%, $F$11)</f>
        <v>5.8494000000000002</v>
      </c>
      <c r="D175" s="8">
        <f>5.8234 * CHOOSE( CONTROL!$C$15, $D$11, 100%, $F$11)</f>
        <v>5.8234000000000004</v>
      </c>
      <c r="E175" s="12">
        <f>5.8324 * CHOOSE( CONTROL!$C$15, $D$11, 100%, $F$11)</f>
        <v>5.8323999999999998</v>
      </c>
      <c r="F175" s="4">
        <f>6.4892 * CHOOSE(CONTROL!$C$15, $D$11, 100%, $F$11)</f>
        <v>6.4892000000000003</v>
      </c>
      <c r="G175" s="8">
        <f>5.7203 * CHOOSE( CONTROL!$C$15, $D$11, 100%, $F$11)</f>
        <v>5.7202999999999999</v>
      </c>
      <c r="H175" s="4">
        <f>6.6104 * CHOOSE(CONTROL!$C$15, $D$11, 100%, $F$11)</f>
        <v>6.6104000000000003</v>
      </c>
      <c r="I175" s="8">
        <f>5.6923 * CHOOSE(CONTROL!$C$15, $D$11, 100%, $F$11)</f>
        <v>5.6923000000000004</v>
      </c>
      <c r="J175" s="4">
        <f>5.6205 * CHOOSE(CONTROL!$C$15, $D$11, 100%, $F$11)</f>
        <v>5.6204999999999998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31.701799999999999</v>
      </c>
      <c r="R175" s="9"/>
      <c r="S175" s="11"/>
    </row>
    <row r="176" spans="1:19" ht="15.75">
      <c r="A176" s="13">
        <v>46844</v>
      </c>
      <c r="B176" s="8">
        <f>5.9335 * CHOOSE(CONTROL!$C$15, $D$11, 100%, $F$11)</f>
        <v>5.9335000000000004</v>
      </c>
      <c r="C176" s="8">
        <f>5.938 * CHOOSE(CONTROL!$C$15, $D$11, 100%, $F$11)</f>
        <v>5.9379999999999997</v>
      </c>
      <c r="D176" s="8">
        <f>5.9452 * CHOOSE( CONTROL!$C$15, $D$11, 100%, $F$11)</f>
        <v>5.9451999999999998</v>
      </c>
      <c r="E176" s="12">
        <f>5.9423 * CHOOSE( CONTROL!$C$15, $D$11, 100%, $F$11)</f>
        <v>5.9423000000000004</v>
      </c>
      <c r="F176" s="4">
        <f>6.6164 * CHOOSE(CONTROL!$C$15, $D$11, 100%, $F$11)</f>
        <v>6.6163999999999996</v>
      </c>
      <c r="G176" s="8">
        <f>5.8025 * CHOOSE( CONTROL!$C$15, $D$11, 100%, $F$11)</f>
        <v>5.8025000000000002</v>
      </c>
      <c r="H176" s="4">
        <f>6.7354 * CHOOSE(CONTROL!$C$15, $D$11, 100%, $F$11)</f>
        <v>6.7354000000000003</v>
      </c>
      <c r="I176" s="8">
        <f>5.7976 * CHOOSE(CONTROL!$C$15, $D$11, 100%, $F$11)</f>
        <v>5.7976000000000001</v>
      </c>
      <c r="J176" s="4">
        <f>5.706 * CHOOSE(CONTROL!$C$15, $D$11, 100%, $F$11)</f>
        <v>5.7060000000000004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1.1791</v>
      </c>
      <c r="Q176" s="9">
        <v>30.679200000000002</v>
      </c>
      <c r="R176" s="9"/>
      <c r="S176" s="11"/>
    </row>
    <row r="177" spans="1:19" ht="15.75">
      <c r="A177" s="13">
        <v>46874</v>
      </c>
      <c r="B177" s="8">
        <f>CHOOSE( CONTROL!$C$32, 6.0953, 6.0921) * CHOOSE(CONTROL!$C$15, $D$11, 100%, $F$11)</f>
        <v>6.0952999999999999</v>
      </c>
      <c r="C177" s="8">
        <f>CHOOSE( CONTROL!$C$32, 6.1033, 6.1001) * CHOOSE(CONTROL!$C$15, $D$11, 100%, $F$11)</f>
        <v>6.1032999999999999</v>
      </c>
      <c r="D177" s="8">
        <f>CHOOSE( CONTROL!$C$32, 6.1056, 6.1024) * CHOOSE( CONTROL!$C$15, $D$11, 100%, $F$11)</f>
        <v>6.1055999999999999</v>
      </c>
      <c r="E177" s="12">
        <f>CHOOSE( CONTROL!$C$32, 6.1035, 6.1003) * CHOOSE( CONTROL!$C$15, $D$11, 100%, $F$11)</f>
        <v>6.1035000000000004</v>
      </c>
      <c r="F177" s="4">
        <f>CHOOSE( CONTROL!$C$32, 6.7768, 6.7736) * CHOOSE(CONTROL!$C$15, $D$11, 100%, $F$11)</f>
        <v>6.7767999999999997</v>
      </c>
      <c r="G177" s="8">
        <f>CHOOSE( CONTROL!$C$32, 5.9614, 5.9583) * CHOOSE( CONTROL!$C$15, $D$11, 100%, $F$11)</f>
        <v>5.9614000000000003</v>
      </c>
      <c r="H177" s="4">
        <f>CHOOSE( CONTROL!$C$32, 6.8932, 6.8901) * CHOOSE(CONTROL!$C$15, $D$11, 100%, $F$11)</f>
        <v>6.8932000000000002</v>
      </c>
      <c r="I177" s="8">
        <f>CHOOSE( CONTROL!$C$32, 5.9543, 5.9512) * CHOOSE(CONTROL!$C$15, $D$11, 100%, $F$11)</f>
        <v>5.9542999999999999</v>
      </c>
      <c r="J177" s="4">
        <f>CHOOSE( CONTROL!$C$32, 5.8611, 5.858) * CHOOSE(CONTROL!$C$15, $D$11, 100%, $F$11)</f>
        <v>5.8611000000000004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1.2183999999999999</v>
      </c>
      <c r="Q177" s="9">
        <v>31.701799999999999</v>
      </c>
      <c r="R177" s="9"/>
      <c r="S177" s="11"/>
    </row>
    <row r="178" spans="1:19" ht="15.75">
      <c r="A178" s="13">
        <v>46905</v>
      </c>
      <c r="B178" s="8">
        <f>CHOOSE( CONTROL!$C$32, 5.9979, 5.9947) * CHOOSE(CONTROL!$C$15, $D$11, 100%, $F$11)</f>
        <v>5.9978999999999996</v>
      </c>
      <c r="C178" s="8">
        <f>CHOOSE( CONTROL!$C$32, 6.0059, 6.0027) * CHOOSE(CONTROL!$C$15, $D$11, 100%, $F$11)</f>
        <v>6.0058999999999996</v>
      </c>
      <c r="D178" s="8">
        <f>CHOOSE( CONTROL!$C$32, 6.0085, 6.0053) * CHOOSE( CONTROL!$C$15, $D$11, 100%, $F$11)</f>
        <v>6.0084999999999997</v>
      </c>
      <c r="E178" s="12">
        <f>CHOOSE( CONTROL!$C$32, 6.0063, 6.0031) * CHOOSE( CONTROL!$C$15, $D$11, 100%, $F$11)</f>
        <v>6.0063000000000004</v>
      </c>
      <c r="F178" s="4">
        <f>CHOOSE( CONTROL!$C$32, 6.6794, 6.6762) * CHOOSE(CONTROL!$C$15, $D$11, 100%, $F$11)</f>
        <v>6.6794000000000002</v>
      </c>
      <c r="G178" s="8">
        <f>CHOOSE( CONTROL!$C$32, 5.8661, 5.8629) * CHOOSE( CONTROL!$C$15, $D$11, 100%, $F$11)</f>
        <v>5.8661000000000003</v>
      </c>
      <c r="H178" s="4">
        <f>CHOOSE( CONTROL!$C$32, 6.7974, 6.7943) * CHOOSE(CONTROL!$C$15, $D$11, 100%, $F$11)</f>
        <v>6.7973999999999997</v>
      </c>
      <c r="I178" s="8">
        <f>CHOOSE( CONTROL!$C$32, 5.8615, 5.8584) * CHOOSE(CONTROL!$C$15, $D$11, 100%, $F$11)</f>
        <v>5.8615000000000004</v>
      </c>
      <c r="J178" s="4">
        <f>CHOOSE( CONTROL!$C$32, 5.7669, 5.7638) * CHOOSE(CONTROL!$C$15, $D$11, 100%, $F$11)</f>
        <v>5.7668999999999997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1.1791</v>
      </c>
      <c r="Q178" s="9">
        <v>30.679200000000002</v>
      </c>
      <c r="R178" s="9"/>
      <c r="S178" s="11"/>
    </row>
    <row r="179" spans="1:19" ht="15.75">
      <c r="A179" s="13">
        <v>46935</v>
      </c>
      <c r="B179" s="8">
        <f>CHOOSE( CONTROL!$C$32, 6.2544, 6.2512) * CHOOSE(CONTROL!$C$15, $D$11, 100%, $F$11)</f>
        <v>6.2544000000000004</v>
      </c>
      <c r="C179" s="8">
        <f>CHOOSE( CONTROL!$C$32, 6.2624, 6.2592) * CHOOSE(CONTROL!$C$15, $D$11, 100%, $F$11)</f>
        <v>6.2624000000000004</v>
      </c>
      <c r="D179" s="8">
        <f>CHOOSE( CONTROL!$C$32, 6.2654, 6.2622) * CHOOSE( CONTROL!$C$15, $D$11, 100%, $F$11)</f>
        <v>6.2653999999999996</v>
      </c>
      <c r="E179" s="12">
        <f>CHOOSE( CONTROL!$C$32, 6.2631, 6.2599) * CHOOSE( CONTROL!$C$15, $D$11, 100%, $F$11)</f>
        <v>6.2630999999999997</v>
      </c>
      <c r="F179" s="4">
        <f>CHOOSE( CONTROL!$C$32, 6.936, 6.9328) * CHOOSE(CONTROL!$C$15, $D$11, 100%, $F$11)</f>
        <v>6.9359999999999999</v>
      </c>
      <c r="G179" s="8">
        <f>CHOOSE( CONTROL!$C$32, 6.1188, 6.1157) * CHOOSE( CONTROL!$C$15, $D$11, 100%, $F$11)</f>
        <v>6.1188000000000002</v>
      </c>
      <c r="H179" s="4">
        <f>CHOOSE( CONTROL!$C$32, 7.0497, 7.0466) * CHOOSE(CONTROL!$C$15, $D$11, 100%, $F$11)</f>
        <v>7.0496999999999996</v>
      </c>
      <c r="I179" s="8">
        <f>CHOOSE( CONTROL!$C$32, 6.1111, 6.108) * CHOOSE(CONTROL!$C$15, $D$11, 100%, $F$11)</f>
        <v>6.1111000000000004</v>
      </c>
      <c r="J179" s="4">
        <f>CHOOSE( CONTROL!$C$32, 6.0149, 6.0118) * CHOOSE(CONTROL!$C$15, $D$11, 100%, $F$11)</f>
        <v>6.0148999999999999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31.701799999999999</v>
      </c>
      <c r="R179" s="9"/>
      <c r="S179" s="11"/>
    </row>
    <row r="180" spans="1:19" ht="15.75">
      <c r="A180" s="13">
        <v>46966</v>
      </c>
      <c r="B180" s="8">
        <f>CHOOSE( CONTROL!$C$32, 5.7744, 5.7712) * CHOOSE(CONTROL!$C$15, $D$11, 100%, $F$11)</f>
        <v>5.7744</v>
      </c>
      <c r="C180" s="8">
        <f>CHOOSE( CONTROL!$C$32, 5.7824, 5.7792) * CHOOSE(CONTROL!$C$15, $D$11, 100%, $F$11)</f>
        <v>5.7824</v>
      </c>
      <c r="D180" s="8">
        <f>CHOOSE( CONTROL!$C$32, 5.7855, 5.7823) * CHOOSE( CONTROL!$C$15, $D$11, 100%, $F$11)</f>
        <v>5.7854999999999999</v>
      </c>
      <c r="E180" s="12">
        <f>CHOOSE( CONTROL!$C$32, 5.7832, 5.78) * CHOOSE( CONTROL!$C$15, $D$11, 100%, $F$11)</f>
        <v>5.7831999999999999</v>
      </c>
      <c r="F180" s="4">
        <f>CHOOSE( CONTROL!$C$32, 6.4559, 6.4527) * CHOOSE(CONTROL!$C$15, $D$11, 100%, $F$11)</f>
        <v>6.4558999999999997</v>
      </c>
      <c r="G180" s="8">
        <f>CHOOSE( CONTROL!$C$32, 5.647, 5.6438) * CHOOSE( CONTROL!$C$15, $D$11, 100%, $F$11)</f>
        <v>5.6470000000000002</v>
      </c>
      <c r="H180" s="4">
        <f>CHOOSE( CONTROL!$C$32, 6.5776, 6.5745) * CHOOSE(CONTROL!$C$15, $D$11, 100%, $F$11)</f>
        <v>6.5776000000000003</v>
      </c>
      <c r="I180" s="8">
        <f>CHOOSE( CONTROL!$C$32, 5.6476, 5.6445) * CHOOSE(CONTROL!$C$15, $D$11, 100%, $F$11)</f>
        <v>5.6475999999999997</v>
      </c>
      <c r="J180" s="4">
        <f>CHOOSE( CONTROL!$C$32, 5.5509, 5.5478) * CHOOSE(CONTROL!$C$15, $D$11, 100%, $F$11)</f>
        <v>5.5509000000000004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1.2183999999999999</v>
      </c>
      <c r="Q180" s="9">
        <v>31.701799999999999</v>
      </c>
      <c r="R180" s="9"/>
      <c r="S180" s="11"/>
    </row>
    <row r="181" spans="1:19" ht="15.75">
      <c r="A181" s="13">
        <v>46997</v>
      </c>
      <c r="B181" s="8">
        <f>CHOOSE( CONTROL!$C$32, 5.6542, 5.651) * CHOOSE(CONTROL!$C$15, $D$11, 100%, $F$11)</f>
        <v>5.6542000000000003</v>
      </c>
      <c r="C181" s="8">
        <f>CHOOSE( CONTROL!$C$32, 5.6622, 5.659) * CHOOSE(CONTROL!$C$15, $D$11, 100%, $F$11)</f>
        <v>5.6622000000000003</v>
      </c>
      <c r="D181" s="8">
        <f>CHOOSE( CONTROL!$C$32, 5.6653, 5.6621) * CHOOSE( CONTROL!$C$15, $D$11, 100%, $F$11)</f>
        <v>5.6653000000000002</v>
      </c>
      <c r="E181" s="12">
        <f>CHOOSE( CONTROL!$C$32, 5.663, 5.6598) * CHOOSE( CONTROL!$C$15, $D$11, 100%, $F$11)</f>
        <v>5.6630000000000003</v>
      </c>
      <c r="F181" s="4">
        <f>CHOOSE( CONTROL!$C$32, 6.3357, 6.3325) * CHOOSE(CONTROL!$C$15, $D$11, 100%, $F$11)</f>
        <v>6.3357000000000001</v>
      </c>
      <c r="G181" s="8">
        <f>CHOOSE( CONTROL!$C$32, 5.5288, 5.5257) * CHOOSE( CONTROL!$C$15, $D$11, 100%, $F$11)</f>
        <v>5.5288000000000004</v>
      </c>
      <c r="H181" s="4">
        <f>CHOOSE( CONTROL!$C$32, 6.4594, 6.4563) * CHOOSE(CONTROL!$C$15, $D$11, 100%, $F$11)</f>
        <v>6.4593999999999996</v>
      </c>
      <c r="I181" s="8">
        <f>CHOOSE( CONTROL!$C$32, 5.5314, 5.5283) * CHOOSE(CONTROL!$C$15, $D$11, 100%, $F$11)</f>
        <v>5.5313999999999997</v>
      </c>
      <c r="J181" s="4">
        <f>CHOOSE( CONTROL!$C$32, 5.4347, 5.4316) * CHOOSE(CONTROL!$C$15, $D$11, 100%, $F$11)</f>
        <v>5.4347000000000003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1.1791</v>
      </c>
      <c r="Q181" s="9">
        <v>30.679200000000002</v>
      </c>
      <c r="R181" s="9"/>
      <c r="S181" s="11"/>
    </row>
    <row r="182" spans="1:19" ht="15.75">
      <c r="A182" s="13">
        <v>47027</v>
      </c>
      <c r="B182" s="8">
        <f>5.8988 * CHOOSE(CONTROL!$C$15, $D$11, 100%, $F$11)</f>
        <v>5.8987999999999996</v>
      </c>
      <c r="C182" s="8">
        <f>5.9042 * CHOOSE(CONTROL!$C$15, $D$11, 100%, $F$11)</f>
        <v>5.9042000000000003</v>
      </c>
      <c r="D182" s="8">
        <f>5.9121 * CHOOSE( CONTROL!$C$15, $D$11, 100%, $F$11)</f>
        <v>5.9120999999999997</v>
      </c>
      <c r="E182" s="12">
        <f>5.9089 * CHOOSE( CONTROL!$C$15, $D$11, 100%, $F$11)</f>
        <v>5.9089</v>
      </c>
      <c r="F182" s="4">
        <f>6.5821 * CHOOSE(CONTROL!$C$15, $D$11, 100%, $F$11)</f>
        <v>6.5820999999999996</v>
      </c>
      <c r="G182" s="8">
        <f>5.7707 * CHOOSE( CONTROL!$C$15, $D$11, 100%, $F$11)</f>
        <v>5.7706999999999997</v>
      </c>
      <c r="H182" s="4">
        <f>6.7017 * CHOOSE(CONTROL!$C$15, $D$11, 100%, $F$11)</f>
        <v>6.7016999999999998</v>
      </c>
      <c r="I182" s="8">
        <f>5.7704 * CHOOSE(CONTROL!$C$15, $D$11, 100%, $F$11)</f>
        <v>5.7704000000000004</v>
      </c>
      <c r="J182" s="4">
        <f>5.6728 * CHOOSE(CONTROL!$C$15, $D$11, 100%, $F$11)</f>
        <v>5.6727999999999996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1.2183999999999999</v>
      </c>
      <c r="Q182" s="9">
        <v>31.701799999999999</v>
      </c>
      <c r="R182" s="9"/>
      <c r="S182" s="11"/>
    </row>
    <row r="183" spans="1:19" ht="15.75">
      <c r="A183" s="13">
        <v>47058</v>
      </c>
      <c r="B183" s="8">
        <f>6.3591 * CHOOSE(CONTROL!$C$15, $D$11, 100%, $F$11)</f>
        <v>6.3590999999999998</v>
      </c>
      <c r="C183" s="8">
        <f>6.3643 * CHOOSE(CONTROL!$C$15, $D$11, 100%, $F$11)</f>
        <v>6.3643000000000001</v>
      </c>
      <c r="D183" s="8">
        <f>6.3418 * CHOOSE( CONTROL!$C$15, $D$11, 100%, $F$11)</f>
        <v>6.3418000000000001</v>
      </c>
      <c r="E183" s="12">
        <f>6.3495 * CHOOSE( CONTROL!$C$15, $D$11, 100%, $F$11)</f>
        <v>6.3494999999999999</v>
      </c>
      <c r="F183" s="4">
        <f>7.004 * CHOOSE(CONTROL!$C$15, $D$11, 100%, $F$11)</f>
        <v>7.0039999999999996</v>
      </c>
      <c r="G183" s="8">
        <f>6.2363 * CHOOSE( CONTROL!$C$15, $D$11, 100%, $F$11)</f>
        <v>6.2363</v>
      </c>
      <c r="H183" s="4">
        <f>7.1167 * CHOOSE(CONTROL!$C$15, $D$11, 100%, $F$11)</f>
        <v>7.1166999999999998</v>
      </c>
      <c r="I183" s="8">
        <f>6.2416 * CHOOSE(CONTROL!$C$15, $D$11, 100%, $F$11)</f>
        <v>6.2416</v>
      </c>
      <c r="J183" s="4">
        <f>6.1182 * CHOOSE(CONTROL!$C$15, $D$11, 100%, $F$11)</f>
        <v>6.1181999999999999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30.679200000000002</v>
      </c>
      <c r="R183" s="9"/>
      <c r="S183" s="11"/>
    </row>
    <row r="184" spans="1:19" ht="15.75">
      <c r="A184" s="13">
        <v>47088</v>
      </c>
      <c r="B184" s="8">
        <f>6.3476 * CHOOSE(CONTROL!$C$15, $D$11, 100%, $F$11)</f>
        <v>6.3475999999999999</v>
      </c>
      <c r="C184" s="8">
        <f>6.3528 * CHOOSE(CONTROL!$C$15, $D$11, 100%, $F$11)</f>
        <v>6.3528000000000002</v>
      </c>
      <c r="D184" s="8">
        <f>6.3317 * CHOOSE( CONTROL!$C$15, $D$11, 100%, $F$11)</f>
        <v>6.3316999999999997</v>
      </c>
      <c r="E184" s="12">
        <f>6.3389 * CHOOSE( CONTROL!$C$15, $D$11, 100%, $F$11)</f>
        <v>6.3388999999999998</v>
      </c>
      <c r="F184" s="4">
        <f>6.9925 * CHOOSE(CONTROL!$C$15, $D$11, 100%, $F$11)</f>
        <v>6.9924999999999997</v>
      </c>
      <c r="G184" s="8">
        <f>6.226 * CHOOSE( CONTROL!$C$15, $D$11, 100%, $F$11)</f>
        <v>6.226</v>
      </c>
      <c r="H184" s="4">
        <f>7.1053 * CHOOSE(CONTROL!$C$15, $D$11, 100%, $F$11)</f>
        <v>7.1052999999999997</v>
      </c>
      <c r="I184" s="8">
        <f>6.2351 * CHOOSE(CONTROL!$C$15, $D$11, 100%, $F$11)</f>
        <v>6.2351000000000001</v>
      </c>
      <c r="J184" s="4">
        <f>6.1071 * CHOOSE(CONTROL!$C$15, $D$11, 100%, $F$11)</f>
        <v>6.1071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31.701799999999999</v>
      </c>
      <c r="R184" s="9"/>
      <c r="S184" s="11"/>
    </row>
    <row r="185" spans="1:19" ht="15.75">
      <c r="A185" s="13">
        <v>47119</v>
      </c>
      <c r="B185" s="8">
        <f>6.5781 * CHOOSE(CONTROL!$C$15, $D$11, 100%, $F$11)</f>
        <v>6.5781000000000001</v>
      </c>
      <c r="C185" s="8">
        <f>6.5833 * CHOOSE(CONTROL!$C$15, $D$11, 100%, $F$11)</f>
        <v>6.5833000000000004</v>
      </c>
      <c r="D185" s="8">
        <f>6.5613 * CHOOSE( CONTROL!$C$15, $D$11, 100%, $F$11)</f>
        <v>6.5613000000000001</v>
      </c>
      <c r="E185" s="12">
        <f>6.5688 * CHOOSE( CONTROL!$C$15, $D$11, 100%, $F$11)</f>
        <v>6.5688000000000004</v>
      </c>
      <c r="F185" s="4">
        <f>7.223 * CHOOSE(CONTROL!$C$15, $D$11, 100%, $F$11)</f>
        <v>7.2229999999999999</v>
      </c>
      <c r="G185" s="8">
        <f>6.4502 * CHOOSE( CONTROL!$C$15, $D$11, 100%, $F$11)</f>
        <v>6.4501999999999997</v>
      </c>
      <c r="H185" s="4">
        <f>7.332 * CHOOSE(CONTROL!$C$15, $D$11, 100%, $F$11)</f>
        <v>7.3319999999999999</v>
      </c>
      <c r="I185" s="8">
        <f>6.4298 * CHOOSE(CONTROL!$C$15, $D$11, 100%, $F$11)</f>
        <v>6.4298000000000002</v>
      </c>
      <c r="J185" s="4">
        <f>6.3299 * CHOOSE(CONTROL!$C$15, $D$11, 100%, $F$11)</f>
        <v>6.3299000000000003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31.517700000000001</v>
      </c>
      <c r="R185" s="9"/>
      <c r="S185" s="11"/>
    </row>
    <row r="186" spans="1:19" ht="15.75">
      <c r="A186" s="13">
        <v>47150</v>
      </c>
      <c r="B186" s="8">
        <f>6.1548 * CHOOSE(CONTROL!$C$15, $D$11, 100%, $F$11)</f>
        <v>6.1547999999999998</v>
      </c>
      <c r="C186" s="8">
        <f>6.1599 * CHOOSE(CONTROL!$C$15, $D$11, 100%, $F$11)</f>
        <v>6.1599000000000004</v>
      </c>
      <c r="D186" s="8">
        <f>6.1336 * CHOOSE( CONTROL!$C$15, $D$11, 100%, $F$11)</f>
        <v>6.1336000000000004</v>
      </c>
      <c r="E186" s="12">
        <f>6.1427 * CHOOSE( CONTROL!$C$15, $D$11, 100%, $F$11)</f>
        <v>6.1426999999999996</v>
      </c>
      <c r="F186" s="4">
        <f>6.7997 * CHOOSE(CONTROL!$C$15, $D$11, 100%, $F$11)</f>
        <v>6.7996999999999996</v>
      </c>
      <c r="G186" s="8">
        <f>6.0254 * CHOOSE( CONTROL!$C$15, $D$11, 100%, $F$11)</f>
        <v>6.0254000000000003</v>
      </c>
      <c r="H186" s="4">
        <f>6.9157 * CHOOSE(CONTROL!$C$15, $D$11, 100%, $F$11)</f>
        <v>6.9157000000000002</v>
      </c>
      <c r="I186" s="8">
        <f>5.9914 * CHOOSE(CONTROL!$C$15, $D$11, 100%, $F$11)</f>
        <v>5.9913999999999996</v>
      </c>
      <c r="J186" s="4">
        <f>5.9207 * CHOOSE(CONTROL!$C$15, $D$11, 100%, $F$11)</f>
        <v>5.9207000000000001</v>
      </c>
      <c r="K186" s="4"/>
      <c r="L186" s="9">
        <v>26.469899999999999</v>
      </c>
      <c r="M186" s="9">
        <v>10.8962</v>
      </c>
      <c r="N186" s="9">
        <v>4.4660000000000002</v>
      </c>
      <c r="O186" s="9">
        <v>0.33789999999999998</v>
      </c>
      <c r="P186" s="9">
        <v>1.1676</v>
      </c>
      <c r="Q186" s="9">
        <v>28.467600000000001</v>
      </c>
      <c r="R186" s="9"/>
      <c r="S186" s="11"/>
    </row>
    <row r="187" spans="1:19" ht="15.75">
      <c r="A187" s="13">
        <v>47178</v>
      </c>
      <c r="B187" s="8">
        <f>6.0245 * CHOOSE(CONTROL!$C$15, $D$11, 100%, $F$11)</f>
        <v>6.0244999999999997</v>
      </c>
      <c r="C187" s="8">
        <f>6.0296 * CHOOSE(CONTROL!$C$15, $D$11, 100%, $F$11)</f>
        <v>6.0296000000000003</v>
      </c>
      <c r="D187" s="8">
        <f>6.0036 * CHOOSE( CONTROL!$C$15, $D$11, 100%, $F$11)</f>
        <v>6.0035999999999996</v>
      </c>
      <c r="E187" s="12">
        <f>6.0126 * CHOOSE( CONTROL!$C$15, $D$11, 100%, $F$11)</f>
        <v>6.0125999999999999</v>
      </c>
      <c r="F187" s="4">
        <f>6.6693 * CHOOSE(CONTROL!$C$15, $D$11, 100%, $F$11)</f>
        <v>6.6692999999999998</v>
      </c>
      <c r="G187" s="8">
        <f>5.8974 * CHOOSE( CONTROL!$C$15, $D$11, 100%, $F$11)</f>
        <v>5.8974000000000002</v>
      </c>
      <c r="H187" s="4">
        <f>6.7875 * CHOOSE(CONTROL!$C$15, $D$11, 100%, $F$11)</f>
        <v>6.7874999999999996</v>
      </c>
      <c r="I187" s="8">
        <f>5.8665 * CHOOSE(CONTROL!$C$15, $D$11, 100%, $F$11)</f>
        <v>5.8665000000000003</v>
      </c>
      <c r="J187" s="4">
        <f>5.7947 * CHOOSE(CONTROL!$C$15, $D$11, 100%, $F$11)</f>
        <v>5.7946999999999997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31.517700000000001</v>
      </c>
      <c r="R187" s="9"/>
      <c r="S187" s="11"/>
    </row>
    <row r="188" spans="1:19" ht="15.75">
      <c r="A188" s="13">
        <v>47209</v>
      </c>
      <c r="B188" s="8">
        <f>6.1163 * CHOOSE(CONTROL!$C$15, $D$11, 100%, $F$11)</f>
        <v>6.1162999999999998</v>
      </c>
      <c r="C188" s="8">
        <f>6.1209 * CHOOSE(CONTROL!$C$15, $D$11, 100%, $F$11)</f>
        <v>6.1208999999999998</v>
      </c>
      <c r="D188" s="8">
        <f>6.128 * CHOOSE( CONTROL!$C$15, $D$11, 100%, $F$11)</f>
        <v>6.1280000000000001</v>
      </c>
      <c r="E188" s="12">
        <f>6.1251 * CHOOSE( CONTROL!$C$15, $D$11, 100%, $F$11)</f>
        <v>6.1250999999999998</v>
      </c>
      <c r="F188" s="4">
        <f>6.7992 * CHOOSE(CONTROL!$C$15, $D$11, 100%, $F$11)</f>
        <v>6.7991999999999999</v>
      </c>
      <c r="G188" s="8">
        <f>5.9823 * CHOOSE( CONTROL!$C$15, $D$11, 100%, $F$11)</f>
        <v>5.9823000000000004</v>
      </c>
      <c r="H188" s="4">
        <f>6.9153 * CHOOSE(CONTROL!$C$15, $D$11, 100%, $F$11)</f>
        <v>6.9153000000000002</v>
      </c>
      <c r="I188" s="8">
        <f>5.9744 * CHOOSE(CONTROL!$C$15, $D$11, 100%, $F$11)</f>
        <v>5.9744000000000002</v>
      </c>
      <c r="J188" s="4">
        <f>5.8827 * CHOOSE(CONTROL!$C$15, $D$11, 100%, $F$11)</f>
        <v>5.8826999999999998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1.1791</v>
      </c>
      <c r="Q188" s="9">
        <v>30.501000000000001</v>
      </c>
      <c r="R188" s="9"/>
      <c r="S188" s="11"/>
    </row>
    <row r="189" spans="1:19" ht="15.75">
      <c r="A189" s="13">
        <v>47239</v>
      </c>
      <c r="B189" s="8">
        <f>CHOOSE( CONTROL!$C$32, 6.283, 6.2798) * CHOOSE(CONTROL!$C$15, $D$11, 100%, $F$11)</f>
        <v>6.2830000000000004</v>
      </c>
      <c r="C189" s="8">
        <f>CHOOSE( CONTROL!$C$32, 6.2911, 6.2879) * CHOOSE(CONTROL!$C$15, $D$11, 100%, $F$11)</f>
        <v>6.2911000000000001</v>
      </c>
      <c r="D189" s="8">
        <f>CHOOSE( CONTROL!$C$32, 6.2934, 6.2902) * CHOOSE( CONTROL!$C$15, $D$11, 100%, $F$11)</f>
        <v>6.2934000000000001</v>
      </c>
      <c r="E189" s="12">
        <f>CHOOSE( CONTROL!$C$32, 6.2913, 6.2881) * CHOOSE( CONTROL!$C$15, $D$11, 100%, $F$11)</f>
        <v>6.2912999999999997</v>
      </c>
      <c r="F189" s="4">
        <f>CHOOSE( CONTROL!$C$32, 6.9646, 6.9614) * CHOOSE(CONTROL!$C$15, $D$11, 100%, $F$11)</f>
        <v>6.9645999999999999</v>
      </c>
      <c r="G189" s="8">
        <f>CHOOSE( CONTROL!$C$32, 6.1461, 6.1429) * CHOOSE( CONTROL!$C$15, $D$11, 100%, $F$11)</f>
        <v>6.1460999999999997</v>
      </c>
      <c r="H189" s="4">
        <f>CHOOSE( CONTROL!$C$32, 7.0779, 7.0747) * CHOOSE(CONTROL!$C$15, $D$11, 100%, $F$11)</f>
        <v>7.0778999999999996</v>
      </c>
      <c r="I189" s="8">
        <f>CHOOSE( CONTROL!$C$32, 6.1359, 6.1328) * CHOOSE(CONTROL!$C$15, $D$11, 100%, $F$11)</f>
        <v>6.1359000000000004</v>
      </c>
      <c r="J189" s="4">
        <f>CHOOSE( CONTROL!$C$32, 6.0426, 6.0395) * CHOOSE(CONTROL!$C$15, $D$11, 100%, $F$11)</f>
        <v>6.0426000000000002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1.2183999999999999</v>
      </c>
      <c r="Q189" s="9">
        <v>31.517700000000001</v>
      </c>
      <c r="R189" s="9"/>
      <c r="S189" s="11"/>
    </row>
    <row r="190" spans="1:19" ht="15.75">
      <c r="A190" s="13">
        <v>47270</v>
      </c>
      <c r="B190" s="8">
        <f>CHOOSE( CONTROL!$C$32, 6.1826, 6.1794) * CHOOSE(CONTROL!$C$15, $D$11, 100%, $F$11)</f>
        <v>6.1825999999999999</v>
      </c>
      <c r="C190" s="8">
        <f>CHOOSE( CONTROL!$C$32, 6.1906, 6.1874) * CHOOSE(CONTROL!$C$15, $D$11, 100%, $F$11)</f>
        <v>6.1905999999999999</v>
      </c>
      <c r="D190" s="8">
        <f>CHOOSE( CONTROL!$C$32, 6.1932, 6.19) * CHOOSE( CONTROL!$C$15, $D$11, 100%, $F$11)</f>
        <v>6.1932</v>
      </c>
      <c r="E190" s="12">
        <f>CHOOSE( CONTROL!$C$32, 6.191, 6.1878) * CHOOSE( CONTROL!$C$15, $D$11, 100%, $F$11)</f>
        <v>6.1909999999999998</v>
      </c>
      <c r="F190" s="4">
        <f>CHOOSE( CONTROL!$C$32, 6.8641, 6.8609) * CHOOSE(CONTROL!$C$15, $D$11, 100%, $F$11)</f>
        <v>6.8640999999999996</v>
      </c>
      <c r="G190" s="8">
        <f>CHOOSE( CONTROL!$C$32, 6.0477, 6.0446) * CHOOSE( CONTROL!$C$15, $D$11, 100%, $F$11)</f>
        <v>6.0476999999999999</v>
      </c>
      <c r="H190" s="4">
        <f>CHOOSE( CONTROL!$C$32, 6.9791, 6.9759) * CHOOSE(CONTROL!$C$15, $D$11, 100%, $F$11)</f>
        <v>6.9790999999999999</v>
      </c>
      <c r="I190" s="8">
        <f>CHOOSE( CONTROL!$C$32, 6.0402, 6.0371) * CHOOSE(CONTROL!$C$15, $D$11, 100%, $F$11)</f>
        <v>6.0401999999999996</v>
      </c>
      <c r="J190" s="4">
        <f>CHOOSE( CONTROL!$C$32, 5.9455, 5.9424) * CHOOSE(CONTROL!$C$15, $D$11, 100%, $F$11)</f>
        <v>5.9455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1.1791</v>
      </c>
      <c r="Q190" s="9">
        <v>30.501000000000001</v>
      </c>
      <c r="R190" s="9"/>
      <c r="S190" s="11"/>
    </row>
    <row r="191" spans="1:19" ht="15.75">
      <c r="A191" s="13">
        <v>47300</v>
      </c>
      <c r="B191" s="8">
        <f>CHOOSE( CONTROL!$C$32, 6.4471, 6.4439) * CHOOSE(CONTROL!$C$15, $D$11, 100%, $F$11)</f>
        <v>6.4470999999999998</v>
      </c>
      <c r="C191" s="8">
        <f>CHOOSE( CONTROL!$C$32, 6.4551, 6.4519) * CHOOSE(CONTROL!$C$15, $D$11, 100%, $F$11)</f>
        <v>6.4550999999999998</v>
      </c>
      <c r="D191" s="8">
        <f>CHOOSE( CONTROL!$C$32, 6.458, 6.4548) * CHOOSE( CONTROL!$C$15, $D$11, 100%, $F$11)</f>
        <v>6.4580000000000002</v>
      </c>
      <c r="E191" s="12">
        <f>CHOOSE( CONTROL!$C$32, 6.4557, 6.4525) * CHOOSE( CONTROL!$C$15, $D$11, 100%, $F$11)</f>
        <v>6.4557000000000002</v>
      </c>
      <c r="F191" s="4">
        <f>CHOOSE( CONTROL!$C$32, 7.1286, 7.1255) * CHOOSE(CONTROL!$C$15, $D$11, 100%, $F$11)</f>
        <v>7.1285999999999996</v>
      </c>
      <c r="G191" s="8">
        <f>CHOOSE( CONTROL!$C$32, 6.3083, 6.3052) * CHOOSE( CONTROL!$C$15, $D$11, 100%, $F$11)</f>
        <v>6.3083</v>
      </c>
      <c r="H191" s="4">
        <f>CHOOSE( CONTROL!$C$32, 7.2392, 7.2361) * CHOOSE(CONTROL!$C$15, $D$11, 100%, $F$11)</f>
        <v>7.2392000000000003</v>
      </c>
      <c r="I191" s="8">
        <f>CHOOSE( CONTROL!$C$32, 6.2974, 6.2943) * CHOOSE(CONTROL!$C$15, $D$11, 100%, $F$11)</f>
        <v>6.2973999999999997</v>
      </c>
      <c r="J191" s="4">
        <f>CHOOSE( CONTROL!$C$32, 6.2012, 6.1981) * CHOOSE(CONTROL!$C$15, $D$11, 100%, $F$11)</f>
        <v>6.2012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31.517700000000001</v>
      </c>
      <c r="R191" s="9"/>
      <c r="S191" s="11"/>
    </row>
    <row r="192" spans="1:19" ht="15.75">
      <c r="A192" s="13">
        <v>47331</v>
      </c>
      <c r="B192" s="8">
        <f>CHOOSE( CONTROL!$C$32, 5.9522, 5.949) * CHOOSE(CONTROL!$C$15, $D$11, 100%, $F$11)</f>
        <v>5.9522000000000004</v>
      </c>
      <c r="C192" s="8">
        <f>CHOOSE( CONTROL!$C$32, 5.9602, 5.957) * CHOOSE(CONTROL!$C$15, $D$11, 100%, $F$11)</f>
        <v>5.9602000000000004</v>
      </c>
      <c r="D192" s="8">
        <f>CHOOSE( CONTROL!$C$32, 5.9633, 5.9601) * CHOOSE( CONTROL!$C$15, $D$11, 100%, $F$11)</f>
        <v>5.9633000000000003</v>
      </c>
      <c r="E192" s="12">
        <f>CHOOSE( CONTROL!$C$32, 5.961, 5.9578) * CHOOSE( CONTROL!$C$15, $D$11, 100%, $F$11)</f>
        <v>5.9610000000000003</v>
      </c>
      <c r="F192" s="4">
        <f>CHOOSE( CONTROL!$C$32, 6.6337, 6.6305) * CHOOSE(CONTROL!$C$15, $D$11, 100%, $F$11)</f>
        <v>6.6337000000000002</v>
      </c>
      <c r="G192" s="8">
        <f>CHOOSE( CONTROL!$C$32, 5.8218, 5.8187) * CHOOSE( CONTROL!$C$15, $D$11, 100%, $F$11)</f>
        <v>5.8217999999999996</v>
      </c>
      <c r="H192" s="4">
        <f>CHOOSE( CONTROL!$C$32, 6.7525, 6.7493) * CHOOSE(CONTROL!$C$15, $D$11, 100%, $F$11)</f>
        <v>6.7525000000000004</v>
      </c>
      <c r="I192" s="8">
        <f>CHOOSE( CONTROL!$C$32, 5.8195, 5.8164) * CHOOSE(CONTROL!$C$15, $D$11, 100%, $F$11)</f>
        <v>5.8194999999999997</v>
      </c>
      <c r="J192" s="4">
        <f>CHOOSE( CONTROL!$C$32, 5.7227, 5.7196) * CHOOSE(CONTROL!$C$15, $D$11, 100%, $F$11)</f>
        <v>5.7226999999999997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1.2183999999999999</v>
      </c>
      <c r="Q192" s="9">
        <v>31.517700000000001</v>
      </c>
      <c r="R192" s="9"/>
      <c r="S192" s="11"/>
    </row>
    <row r="193" spans="1:19" ht="15.75">
      <c r="A193" s="13">
        <v>47362</v>
      </c>
      <c r="B193" s="8">
        <f>CHOOSE( CONTROL!$C$32, 5.8282, 5.825) * CHOOSE(CONTROL!$C$15, $D$11, 100%, $F$11)</f>
        <v>5.8281999999999998</v>
      </c>
      <c r="C193" s="8">
        <f>CHOOSE( CONTROL!$C$32, 5.8363, 5.8331) * CHOOSE(CONTROL!$C$15, $D$11, 100%, $F$11)</f>
        <v>5.8362999999999996</v>
      </c>
      <c r="D193" s="8">
        <f>CHOOSE( CONTROL!$C$32, 5.8394, 5.8362) * CHOOSE( CONTROL!$C$15, $D$11, 100%, $F$11)</f>
        <v>5.8394000000000004</v>
      </c>
      <c r="E193" s="12">
        <f>CHOOSE( CONTROL!$C$32, 5.837, 5.8338) * CHOOSE( CONTROL!$C$15, $D$11, 100%, $F$11)</f>
        <v>5.8369999999999997</v>
      </c>
      <c r="F193" s="4">
        <f>CHOOSE( CONTROL!$C$32, 6.5098, 6.5066) * CHOOSE(CONTROL!$C$15, $D$11, 100%, $F$11)</f>
        <v>6.5098000000000003</v>
      </c>
      <c r="G193" s="8">
        <f>CHOOSE( CONTROL!$C$32, 5.7, 5.6968) * CHOOSE( CONTROL!$C$15, $D$11, 100%, $F$11)</f>
        <v>5.7</v>
      </c>
      <c r="H193" s="4">
        <f>CHOOSE( CONTROL!$C$32, 6.6306, 6.6275) * CHOOSE(CONTROL!$C$15, $D$11, 100%, $F$11)</f>
        <v>6.6306000000000003</v>
      </c>
      <c r="I193" s="8">
        <f>CHOOSE( CONTROL!$C$32, 5.6998, 5.6967) * CHOOSE(CONTROL!$C$15, $D$11, 100%, $F$11)</f>
        <v>5.6997999999999998</v>
      </c>
      <c r="J193" s="4">
        <f>CHOOSE( CONTROL!$C$32, 5.6029, 5.5998) * CHOOSE(CONTROL!$C$15, $D$11, 100%, $F$11)</f>
        <v>5.6029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1.1791</v>
      </c>
      <c r="Q193" s="9">
        <v>30.501000000000001</v>
      </c>
      <c r="R193" s="9"/>
      <c r="S193" s="11"/>
    </row>
    <row r="194" spans="1:19" ht="15.75">
      <c r="A194" s="13">
        <v>47392</v>
      </c>
      <c r="B194" s="8">
        <f>6.0806 * CHOOSE(CONTROL!$C$15, $D$11, 100%, $F$11)</f>
        <v>6.0805999999999996</v>
      </c>
      <c r="C194" s="8">
        <f>6.086 * CHOOSE(CONTROL!$C$15, $D$11, 100%, $F$11)</f>
        <v>6.0860000000000003</v>
      </c>
      <c r="D194" s="8">
        <f>6.0939 * CHOOSE( CONTROL!$C$15, $D$11, 100%, $F$11)</f>
        <v>6.0938999999999997</v>
      </c>
      <c r="E194" s="12">
        <f>6.0907 * CHOOSE( CONTROL!$C$15, $D$11, 100%, $F$11)</f>
        <v>6.0907</v>
      </c>
      <c r="F194" s="4">
        <f>6.7639 * CHOOSE(CONTROL!$C$15, $D$11, 100%, $F$11)</f>
        <v>6.7638999999999996</v>
      </c>
      <c r="G194" s="8">
        <f>5.9494 * CHOOSE( CONTROL!$C$15, $D$11, 100%, $F$11)</f>
        <v>5.9493999999999998</v>
      </c>
      <c r="H194" s="4">
        <f>6.8805 * CHOOSE(CONTROL!$C$15, $D$11, 100%, $F$11)</f>
        <v>6.8804999999999996</v>
      </c>
      <c r="I194" s="8">
        <f>5.9462 * CHOOSE(CONTROL!$C$15, $D$11, 100%, $F$11)</f>
        <v>5.9462000000000002</v>
      </c>
      <c r="J194" s="4">
        <f>5.8486 * CHOOSE(CONTROL!$C$15, $D$11, 100%, $F$11)</f>
        <v>5.8486000000000002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1.2183999999999999</v>
      </c>
      <c r="Q194" s="9">
        <v>31.517700000000001</v>
      </c>
      <c r="R194" s="9"/>
      <c r="S194" s="11"/>
    </row>
    <row r="195" spans="1:19" ht="15.75">
      <c r="A195" s="13">
        <v>47423</v>
      </c>
      <c r="B195" s="8">
        <f>6.5552 * CHOOSE(CONTROL!$C$15, $D$11, 100%, $F$11)</f>
        <v>6.5552000000000001</v>
      </c>
      <c r="C195" s="8">
        <f>6.5603 * CHOOSE(CONTROL!$C$15, $D$11, 100%, $F$11)</f>
        <v>6.5602999999999998</v>
      </c>
      <c r="D195" s="8">
        <f>6.5379 * CHOOSE( CONTROL!$C$15, $D$11, 100%, $F$11)</f>
        <v>6.5378999999999996</v>
      </c>
      <c r="E195" s="12">
        <f>6.5455 * CHOOSE( CONTROL!$C$15, $D$11, 100%, $F$11)</f>
        <v>6.5454999999999997</v>
      </c>
      <c r="F195" s="4">
        <f>7.2001 * CHOOSE(CONTROL!$C$15, $D$11, 100%, $F$11)</f>
        <v>7.2000999999999999</v>
      </c>
      <c r="G195" s="8">
        <f>6.4291 * CHOOSE( CONTROL!$C$15, $D$11, 100%, $F$11)</f>
        <v>6.4291</v>
      </c>
      <c r="H195" s="4">
        <f>7.3095 * CHOOSE(CONTROL!$C$15, $D$11, 100%, $F$11)</f>
        <v>7.3094999999999999</v>
      </c>
      <c r="I195" s="8">
        <f>6.4312 * CHOOSE(CONTROL!$C$15, $D$11, 100%, $F$11)</f>
        <v>6.4311999999999996</v>
      </c>
      <c r="J195" s="4">
        <f>6.3078 * CHOOSE(CONTROL!$C$15, $D$11, 100%, $F$11)</f>
        <v>6.3078000000000003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30.501000000000001</v>
      </c>
      <c r="R195" s="9"/>
      <c r="S195" s="11"/>
    </row>
    <row r="196" spans="1:19" ht="15.75">
      <c r="A196" s="13">
        <v>47453</v>
      </c>
      <c r="B196" s="8">
        <f>6.5434 * CHOOSE(CONTROL!$C$15, $D$11, 100%, $F$11)</f>
        <v>6.5434000000000001</v>
      </c>
      <c r="C196" s="8">
        <f>6.5485 * CHOOSE(CONTROL!$C$15, $D$11, 100%, $F$11)</f>
        <v>6.5484999999999998</v>
      </c>
      <c r="D196" s="8">
        <f>6.5274 * CHOOSE( CONTROL!$C$15, $D$11, 100%, $F$11)</f>
        <v>6.5274000000000001</v>
      </c>
      <c r="E196" s="12">
        <f>6.5346 * CHOOSE( CONTROL!$C$15, $D$11, 100%, $F$11)</f>
        <v>6.5346000000000002</v>
      </c>
      <c r="F196" s="4">
        <f>7.1882 * CHOOSE(CONTROL!$C$15, $D$11, 100%, $F$11)</f>
        <v>7.1882000000000001</v>
      </c>
      <c r="G196" s="8">
        <f>6.4185 * CHOOSE( CONTROL!$C$15, $D$11, 100%, $F$11)</f>
        <v>6.4184999999999999</v>
      </c>
      <c r="H196" s="4">
        <f>7.2978 * CHOOSE(CONTROL!$C$15, $D$11, 100%, $F$11)</f>
        <v>7.2977999999999996</v>
      </c>
      <c r="I196" s="8">
        <f>6.4244 * CHOOSE(CONTROL!$C$15, $D$11, 100%, $F$11)</f>
        <v>6.4244000000000003</v>
      </c>
      <c r="J196" s="4">
        <f>6.2963 * CHOOSE(CONTROL!$C$15, $D$11, 100%, $F$11)</f>
        <v>6.2962999999999996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31.517700000000001</v>
      </c>
      <c r="R196" s="9"/>
      <c r="S196" s="11"/>
    </row>
    <row r="197" spans="1:19" ht="15.75">
      <c r="A197" s="13">
        <v>47484</v>
      </c>
      <c r="B197" s="8">
        <f>6.7858 * CHOOSE(CONTROL!$C$15, $D$11, 100%, $F$11)</f>
        <v>6.7858000000000001</v>
      </c>
      <c r="C197" s="8">
        <f>6.791 * CHOOSE(CONTROL!$C$15, $D$11, 100%, $F$11)</f>
        <v>6.7910000000000004</v>
      </c>
      <c r="D197" s="8">
        <f>6.769 * CHOOSE( CONTROL!$C$15, $D$11, 100%, $F$11)</f>
        <v>6.7690000000000001</v>
      </c>
      <c r="E197" s="12">
        <f>6.7765 * CHOOSE( CONTROL!$C$15, $D$11, 100%, $F$11)</f>
        <v>6.7765000000000004</v>
      </c>
      <c r="F197" s="4">
        <f>7.4307 * CHOOSE(CONTROL!$C$15, $D$11, 100%, $F$11)</f>
        <v>7.4306999999999999</v>
      </c>
      <c r="G197" s="8">
        <f>6.6544 * CHOOSE( CONTROL!$C$15, $D$11, 100%, $F$11)</f>
        <v>6.6543999999999999</v>
      </c>
      <c r="H197" s="4">
        <f>7.5363 * CHOOSE(CONTROL!$C$15, $D$11, 100%, $F$11)</f>
        <v>7.5362999999999998</v>
      </c>
      <c r="I197" s="8">
        <f>6.6307 * CHOOSE(CONTROL!$C$15, $D$11, 100%, $F$11)</f>
        <v>6.6307</v>
      </c>
      <c r="J197" s="4">
        <f>6.5307 * CHOOSE(CONTROL!$C$15, $D$11, 100%, $F$11)</f>
        <v>6.5307000000000004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31.333600000000001</v>
      </c>
      <c r="R197" s="9"/>
      <c r="S197" s="11"/>
    </row>
    <row r="198" spans="1:19" ht="15.75">
      <c r="A198" s="13">
        <v>47515</v>
      </c>
      <c r="B198" s="8">
        <f>6.3491 * CHOOSE(CONTROL!$C$15, $D$11, 100%, $F$11)</f>
        <v>6.3491</v>
      </c>
      <c r="C198" s="8">
        <f>6.3542 * CHOOSE(CONTROL!$C$15, $D$11, 100%, $F$11)</f>
        <v>6.3541999999999996</v>
      </c>
      <c r="D198" s="8">
        <f>6.3278 * CHOOSE( CONTROL!$C$15, $D$11, 100%, $F$11)</f>
        <v>6.3277999999999999</v>
      </c>
      <c r="E198" s="12">
        <f>6.3369 * CHOOSE( CONTROL!$C$15, $D$11, 100%, $F$11)</f>
        <v>6.3369</v>
      </c>
      <c r="F198" s="4">
        <f>6.994 * CHOOSE(CONTROL!$C$15, $D$11, 100%, $F$11)</f>
        <v>6.9939999999999998</v>
      </c>
      <c r="G198" s="8">
        <f>6.2164 * CHOOSE( CONTROL!$C$15, $D$11, 100%, $F$11)</f>
        <v>6.2164000000000001</v>
      </c>
      <c r="H198" s="4">
        <f>7.1068 * CHOOSE(CONTROL!$C$15, $D$11, 100%, $F$11)</f>
        <v>7.1067999999999998</v>
      </c>
      <c r="I198" s="8">
        <f>6.1793 * CHOOSE(CONTROL!$C$15, $D$11, 100%, $F$11)</f>
        <v>6.1792999999999996</v>
      </c>
      <c r="J198" s="4">
        <f>6.1085 * CHOOSE(CONTROL!$C$15, $D$11, 100%, $F$11)</f>
        <v>6.1085000000000003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28.301300000000001</v>
      </c>
      <c r="R198" s="9"/>
      <c r="S198" s="11"/>
    </row>
    <row r="199" spans="1:19" ht="15.75">
      <c r="A199" s="13">
        <v>47543</v>
      </c>
      <c r="B199" s="8">
        <f>6.2146 * CHOOSE(CONTROL!$C$15, $D$11, 100%, $F$11)</f>
        <v>6.2145999999999999</v>
      </c>
      <c r="C199" s="8">
        <f>6.2197 * CHOOSE(CONTROL!$C$15, $D$11, 100%, $F$11)</f>
        <v>6.2196999999999996</v>
      </c>
      <c r="D199" s="8">
        <f>6.1937 * CHOOSE( CONTROL!$C$15, $D$11, 100%, $F$11)</f>
        <v>6.1936999999999998</v>
      </c>
      <c r="E199" s="12">
        <f>6.2027 * CHOOSE( CONTROL!$C$15, $D$11, 100%, $F$11)</f>
        <v>6.2027000000000001</v>
      </c>
      <c r="F199" s="4">
        <f>6.8595 * CHOOSE(CONTROL!$C$15, $D$11, 100%, $F$11)</f>
        <v>6.8594999999999997</v>
      </c>
      <c r="G199" s="8">
        <f>6.0844 * CHOOSE( CONTROL!$C$15, $D$11, 100%, $F$11)</f>
        <v>6.0843999999999996</v>
      </c>
      <c r="H199" s="4">
        <f>6.9745 * CHOOSE(CONTROL!$C$15, $D$11, 100%, $F$11)</f>
        <v>6.9744999999999999</v>
      </c>
      <c r="I199" s="8">
        <f>6.0504 * CHOOSE(CONTROL!$C$15, $D$11, 100%, $F$11)</f>
        <v>6.0503999999999998</v>
      </c>
      <c r="J199" s="4">
        <f>5.9785 * CHOOSE(CONTROL!$C$15, $D$11, 100%, $F$11)</f>
        <v>5.9785000000000004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31.333600000000001</v>
      </c>
      <c r="R199" s="9"/>
      <c r="S199" s="11"/>
    </row>
    <row r="200" spans="1:19" ht="15.75">
      <c r="A200" s="13">
        <v>47574</v>
      </c>
      <c r="B200" s="8">
        <f>6.3093 * CHOOSE(CONTROL!$C$15, $D$11, 100%, $F$11)</f>
        <v>6.3093000000000004</v>
      </c>
      <c r="C200" s="8">
        <f>6.3139 * CHOOSE(CONTROL!$C$15, $D$11, 100%, $F$11)</f>
        <v>6.3139000000000003</v>
      </c>
      <c r="D200" s="8">
        <f>6.3211 * CHOOSE( CONTROL!$C$15, $D$11, 100%, $F$11)</f>
        <v>6.3211000000000004</v>
      </c>
      <c r="E200" s="12">
        <f>6.3182 * CHOOSE( CONTROL!$C$15, $D$11, 100%, $F$11)</f>
        <v>6.3182</v>
      </c>
      <c r="F200" s="4">
        <f>6.9923 * CHOOSE(CONTROL!$C$15, $D$11, 100%, $F$11)</f>
        <v>6.9923000000000002</v>
      </c>
      <c r="G200" s="8">
        <f>6.1721 * CHOOSE( CONTROL!$C$15, $D$11, 100%, $F$11)</f>
        <v>6.1721000000000004</v>
      </c>
      <c r="H200" s="4">
        <f>7.1051 * CHOOSE(CONTROL!$C$15, $D$11, 100%, $F$11)</f>
        <v>7.1051000000000002</v>
      </c>
      <c r="I200" s="8">
        <f>6.1611 * CHOOSE(CONTROL!$C$15, $D$11, 100%, $F$11)</f>
        <v>6.1611000000000002</v>
      </c>
      <c r="J200" s="4">
        <f>6.0693 * CHOOSE(CONTROL!$C$15, $D$11, 100%, $F$11)</f>
        <v>6.0693000000000001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1.1791</v>
      </c>
      <c r="Q200" s="9">
        <v>30.322800000000001</v>
      </c>
      <c r="R200" s="9"/>
      <c r="S200" s="11"/>
    </row>
    <row r="201" spans="1:19" ht="15.75">
      <c r="A201" s="13">
        <v>47604</v>
      </c>
      <c r="B201" s="8">
        <f>CHOOSE( CONTROL!$C$32, 6.4812, 6.478) * CHOOSE(CONTROL!$C$15, $D$11, 100%, $F$11)</f>
        <v>6.4812000000000003</v>
      </c>
      <c r="C201" s="8">
        <f>CHOOSE( CONTROL!$C$32, 6.4892, 6.486) * CHOOSE(CONTROL!$C$15, $D$11, 100%, $F$11)</f>
        <v>6.4892000000000003</v>
      </c>
      <c r="D201" s="8">
        <f>CHOOSE( CONTROL!$C$32, 6.4915, 6.4883) * CHOOSE( CONTROL!$C$15, $D$11, 100%, $F$11)</f>
        <v>6.4915000000000003</v>
      </c>
      <c r="E201" s="12">
        <f>CHOOSE( CONTROL!$C$32, 6.4894, 6.4862) * CHOOSE( CONTROL!$C$15, $D$11, 100%, $F$11)</f>
        <v>6.4893999999999998</v>
      </c>
      <c r="F201" s="4">
        <f>CHOOSE( CONTROL!$C$32, 7.1628, 7.1596) * CHOOSE(CONTROL!$C$15, $D$11, 100%, $F$11)</f>
        <v>7.1627999999999998</v>
      </c>
      <c r="G201" s="8">
        <f>CHOOSE( CONTROL!$C$32, 6.341, 6.3378) * CHOOSE( CONTROL!$C$15, $D$11, 100%, $F$11)</f>
        <v>6.3410000000000002</v>
      </c>
      <c r="H201" s="4">
        <f>CHOOSE( CONTROL!$C$32, 7.2727, 7.2696) * CHOOSE(CONTROL!$C$15, $D$11, 100%, $F$11)</f>
        <v>7.2727000000000004</v>
      </c>
      <c r="I201" s="8">
        <f>CHOOSE( CONTROL!$C$32, 6.3276, 6.3245) * CHOOSE(CONTROL!$C$15, $D$11, 100%, $F$11)</f>
        <v>6.3276000000000003</v>
      </c>
      <c r="J201" s="4">
        <f>CHOOSE( CONTROL!$C$32, 6.2341, 6.2311) * CHOOSE(CONTROL!$C$15, $D$11, 100%, $F$11)</f>
        <v>6.2340999999999998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1.2183999999999999</v>
      </c>
      <c r="Q201" s="9">
        <v>31.333600000000001</v>
      </c>
      <c r="R201" s="9"/>
      <c r="S201" s="11"/>
    </row>
    <row r="202" spans="1:19" ht="15.75">
      <c r="A202" s="13">
        <v>47635</v>
      </c>
      <c r="B202" s="8">
        <f>CHOOSE( CONTROL!$C$32, 6.3776, 6.3744) * CHOOSE(CONTROL!$C$15, $D$11, 100%, $F$11)</f>
        <v>6.3776000000000002</v>
      </c>
      <c r="C202" s="8">
        <f>CHOOSE( CONTROL!$C$32, 6.3856, 6.3824) * CHOOSE(CONTROL!$C$15, $D$11, 100%, $F$11)</f>
        <v>6.3856000000000002</v>
      </c>
      <c r="D202" s="8">
        <f>CHOOSE( CONTROL!$C$32, 6.3882, 6.385) * CHOOSE( CONTROL!$C$15, $D$11, 100%, $F$11)</f>
        <v>6.3882000000000003</v>
      </c>
      <c r="E202" s="12">
        <f>CHOOSE( CONTROL!$C$32, 6.386, 6.3828) * CHOOSE( CONTROL!$C$15, $D$11, 100%, $F$11)</f>
        <v>6.3860000000000001</v>
      </c>
      <c r="F202" s="4">
        <f>CHOOSE( CONTROL!$C$32, 7.0591, 7.0559) * CHOOSE(CONTROL!$C$15, $D$11, 100%, $F$11)</f>
        <v>7.0590999999999999</v>
      </c>
      <c r="G202" s="8">
        <f>CHOOSE( CONTROL!$C$32, 6.2395, 6.2363) * CHOOSE( CONTROL!$C$15, $D$11, 100%, $F$11)</f>
        <v>6.2394999999999996</v>
      </c>
      <c r="H202" s="4">
        <f>CHOOSE( CONTROL!$C$32, 7.1708, 7.1677) * CHOOSE(CONTROL!$C$15, $D$11, 100%, $F$11)</f>
        <v>7.1707999999999998</v>
      </c>
      <c r="I202" s="8">
        <f>CHOOSE( CONTROL!$C$32, 6.2287, 6.2257) * CHOOSE(CONTROL!$C$15, $D$11, 100%, $F$11)</f>
        <v>6.2286999999999999</v>
      </c>
      <c r="J202" s="4">
        <f>CHOOSE( CONTROL!$C$32, 6.134, 6.1309) * CHOOSE(CONTROL!$C$15, $D$11, 100%, $F$11)</f>
        <v>6.1340000000000003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1.1791</v>
      </c>
      <c r="Q202" s="9">
        <v>30.322800000000001</v>
      </c>
      <c r="R202" s="9"/>
      <c r="S202" s="11"/>
    </row>
    <row r="203" spans="1:19" ht="15.75">
      <c r="A203" s="13">
        <v>47665</v>
      </c>
      <c r="B203" s="8">
        <f>CHOOSE( CONTROL!$C$32, 6.6505, 6.6473) * CHOOSE(CONTROL!$C$15, $D$11, 100%, $F$11)</f>
        <v>6.6505000000000001</v>
      </c>
      <c r="C203" s="8">
        <f>CHOOSE( CONTROL!$C$32, 6.6585, 6.6553) * CHOOSE(CONTROL!$C$15, $D$11, 100%, $F$11)</f>
        <v>6.6585000000000001</v>
      </c>
      <c r="D203" s="8">
        <f>CHOOSE( CONTROL!$C$32, 6.6614, 6.6582) * CHOOSE( CONTROL!$C$15, $D$11, 100%, $F$11)</f>
        <v>6.6614000000000004</v>
      </c>
      <c r="E203" s="12">
        <f>CHOOSE( CONTROL!$C$32, 6.6591, 6.6559) * CHOOSE( CONTROL!$C$15, $D$11, 100%, $F$11)</f>
        <v>6.6590999999999996</v>
      </c>
      <c r="F203" s="4">
        <f>CHOOSE( CONTROL!$C$32, 7.332, 7.3288) * CHOOSE(CONTROL!$C$15, $D$11, 100%, $F$11)</f>
        <v>7.3319999999999999</v>
      </c>
      <c r="G203" s="8">
        <f>CHOOSE( CONTROL!$C$32, 6.5083, 6.5052) * CHOOSE( CONTROL!$C$15, $D$11, 100%, $F$11)</f>
        <v>6.5083000000000002</v>
      </c>
      <c r="H203" s="4">
        <f>CHOOSE( CONTROL!$C$32, 7.4392, 7.4361) * CHOOSE(CONTROL!$C$15, $D$11, 100%, $F$11)</f>
        <v>7.4391999999999996</v>
      </c>
      <c r="I203" s="8">
        <f>CHOOSE( CONTROL!$C$32, 6.4941, 6.491) * CHOOSE(CONTROL!$C$15, $D$11, 100%, $F$11)</f>
        <v>6.4941000000000004</v>
      </c>
      <c r="J203" s="4">
        <f>CHOOSE( CONTROL!$C$32, 6.3978, 6.3947) * CHOOSE(CONTROL!$C$15, $D$11, 100%, $F$11)</f>
        <v>6.3978000000000002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31.333600000000001</v>
      </c>
      <c r="R203" s="9"/>
      <c r="S203" s="11"/>
    </row>
    <row r="204" spans="1:19" ht="15.75">
      <c r="A204" s="13">
        <v>47696</v>
      </c>
      <c r="B204" s="8">
        <f>CHOOSE( CONTROL!$C$32, 6.1398, 6.1366) * CHOOSE(CONTROL!$C$15, $D$11, 100%, $F$11)</f>
        <v>6.1398000000000001</v>
      </c>
      <c r="C204" s="8">
        <f>CHOOSE( CONTROL!$C$32, 6.1479, 6.1447) * CHOOSE(CONTROL!$C$15, $D$11, 100%, $F$11)</f>
        <v>6.1478999999999999</v>
      </c>
      <c r="D204" s="8">
        <f>CHOOSE( CONTROL!$C$32, 6.1509, 6.1477) * CHOOSE( CONTROL!$C$15, $D$11, 100%, $F$11)</f>
        <v>6.1509</v>
      </c>
      <c r="E204" s="12">
        <f>CHOOSE( CONTROL!$C$32, 6.1486, 6.1454) * CHOOSE( CONTROL!$C$15, $D$11, 100%, $F$11)</f>
        <v>6.1486000000000001</v>
      </c>
      <c r="F204" s="4">
        <f>CHOOSE( CONTROL!$C$32, 6.8214, 6.8182) * CHOOSE(CONTROL!$C$15, $D$11, 100%, $F$11)</f>
        <v>6.8213999999999997</v>
      </c>
      <c r="G204" s="8">
        <f>CHOOSE( CONTROL!$C$32, 6.0064, 6.0032) * CHOOSE( CONTROL!$C$15, $D$11, 100%, $F$11)</f>
        <v>6.0064000000000002</v>
      </c>
      <c r="H204" s="4">
        <f>CHOOSE( CONTROL!$C$32, 6.937, 6.9339) * CHOOSE(CONTROL!$C$15, $D$11, 100%, $F$11)</f>
        <v>6.9370000000000003</v>
      </c>
      <c r="I204" s="8">
        <f>CHOOSE( CONTROL!$C$32, 6.001, 5.9979) * CHOOSE(CONTROL!$C$15, $D$11, 100%, $F$11)</f>
        <v>6.0010000000000003</v>
      </c>
      <c r="J204" s="4">
        <f>CHOOSE( CONTROL!$C$32, 5.9042, 5.9011) * CHOOSE(CONTROL!$C$15, $D$11, 100%, $F$11)</f>
        <v>5.9042000000000003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1.2183999999999999</v>
      </c>
      <c r="Q204" s="9">
        <v>31.333600000000001</v>
      </c>
      <c r="R204" s="9"/>
      <c r="S204" s="11"/>
    </row>
    <row r="205" spans="1:19" ht="15.75">
      <c r="A205" s="13">
        <v>47727</v>
      </c>
      <c r="B205" s="8">
        <f>CHOOSE( CONTROL!$C$32, 6.012, 6.0088) * CHOOSE(CONTROL!$C$15, $D$11, 100%, $F$11)</f>
        <v>6.0119999999999996</v>
      </c>
      <c r="C205" s="8">
        <f>CHOOSE( CONTROL!$C$32, 6.02, 6.0168) * CHOOSE(CONTROL!$C$15, $D$11, 100%, $F$11)</f>
        <v>6.02</v>
      </c>
      <c r="D205" s="8">
        <f>CHOOSE( CONTROL!$C$32, 6.0231, 6.0199) * CHOOSE( CONTROL!$C$15, $D$11, 100%, $F$11)</f>
        <v>6.0231000000000003</v>
      </c>
      <c r="E205" s="12">
        <f>CHOOSE( CONTROL!$C$32, 6.0208, 6.0176) * CHOOSE( CONTROL!$C$15, $D$11, 100%, $F$11)</f>
        <v>6.0208000000000004</v>
      </c>
      <c r="F205" s="4">
        <f>CHOOSE( CONTROL!$C$32, 6.6935, 6.6903) * CHOOSE(CONTROL!$C$15, $D$11, 100%, $F$11)</f>
        <v>6.6935000000000002</v>
      </c>
      <c r="G205" s="8">
        <f>CHOOSE( CONTROL!$C$32, 5.8807, 5.8775) * CHOOSE( CONTROL!$C$15, $D$11, 100%, $F$11)</f>
        <v>5.8807</v>
      </c>
      <c r="H205" s="4">
        <f>CHOOSE( CONTROL!$C$32, 6.8113, 6.8082) * CHOOSE(CONTROL!$C$15, $D$11, 100%, $F$11)</f>
        <v>6.8113000000000001</v>
      </c>
      <c r="I205" s="8">
        <f>CHOOSE( CONTROL!$C$32, 5.8775, 5.8744) * CHOOSE(CONTROL!$C$15, $D$11, 100%, $F$11)</f>
        <v>5.8775000000000004</v>
      </c>
      <c r="J205" s="4">
        <f>CHOOSE( CONTROL!$C$32, 5.7805, 5.7775) * CHOOSE(CONTROL!$C$15, $D$11, 100%, $F$11)</f>
        <v>5.7805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1.1791</v>
      </c>
      <c r="Q205" s="9">
        <v>30.322800000000001</v>
      </c>
      <c r="R205" s="9"/>
      <c r="S205" s="11"/>
    </row>
    <row r="206" spans="1:19" ht="15.75">
      <c r="A206" s="13">
        <v>47757</v>
      </c>
      <c r="B206" s="8">
        <f>6.2726 * CHOOSE(CONTROL!$C$15, $D$11, 100%, $F$11)</f>
        <v>6.2725999999999997</v>
      </c>
      <c r="C206" s="8">
        <f>6.2779 * CHOOSE(CONTROL!$C$15, $D$11, 100%, $F$11)</f>
        <v>6.2778999999999998</v>
      </c>
      <c r="D206" s="8">
        <f>6.2858 * CHOOSE( CONTROL!$C$15, $D$11, 100%, $F$11)</f>
        <v>6.2858000000000001</v>
      </c>
      <c r="E206" s="12">
        <f>6.2826 * CHOOSE( CONTROL!$C$15, $D$11, 100%, $F$11)</f>
        <v>6.2826000000000004</v>
      </c>
      <c r="F206" s="4">
        <f>6.9558 * CHOOSE(CONTROL!$C$15, $D$11, 100%, $F$11)</f>
        <v>6.9558</v>
      </c>
      <c r="G206" s="8">
        <f>6.1382 * CHOOSE( CONTROL!$C$15, $D$11, 100%, $F$11)</f>
        <v>6.1382000000000003</v>
      </c>
      <c r="H206" s="4">
        <f>7.0692 * CHOOSE(CONTROL!$C$15, $D$11, 100%, $F$11)</f>
        <v>7.0692000000000004</v>
      </c>
      <c r="I206" s="8">
        <f>6.1318 * CHOOSE(CONTROL!$C$15, $D$11, 100%, $F$11)</f>
        <v>6.1318000000000001</v>
      </c>
      <c r="J206" s="4">
        <f>6.0341 * CHOOSE(CONTROL!$C$15, $D$11, 100%, $F$11)</f>
        <v>6.0340999999999996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1.2183999999999999</v>
      </c>
      <c r="Q206" s="9">
        <v>31.333600000000001</v>
      </c>
      <c r="R206" s="9"/>
      <c r="S206" s="11"/>
    </row>
    <row r="207" spans="1:19" ht="15.75">
      <c r="A207" s="13">
        <v>47788</v>
      </c>
      <c r="B207" s="8">
        <f>6.7622 * CHOOSE(CONTROL!$C$15, $D$11, 100%, $F$11)</f>
        <v>6.7622</v>
      </c>
      <c r="C207" s="8">
        <f>6.7673 * CHOOSE(CONTROL!$C$15, $D$11, 100%, $F$11)</f>
        <v>6.7672999999999996</v>
      </c>
      <c r="D207" s="8">
        <f>6.7448 * CHOOSE( CONTROL!$C$15, $D$11, 100%, $F$11)</f>
        <v>6.7447999999999997</v>
      </c>
      <c r="E207" s="12">
        <f>6.7525 * CHOOSE( CONTROL!$C$15, $D$11, 100%, $F$11)</f>
        <v>6.7525000000000004</v>
      </c>
      <c r="F207" s="4">
        <f>7.4071 * CHOOSE(CONTROL!$C$15, $D$11, 100%, $F$11)</f>
        <v>7.4070999999999998</v>
      </c>
      <c r="G207" s="8">
        <f>6.6327 * CHOOSE( CONTROL!$C$15, $D$11, 100%, $F$11)</f>
        <v>6.6326999999999998</v>
      </c>
      <c r="H207" s="4">
        <f>7.513 * CHOOSE(CONTROL!$C$15, $D$11, 100%, $F$11)</f>
        <v>7.5129999999999999</v>
      </c>
      <c r="I207" s="8">
        <f>6.6314 * CHOOSE(CONTROL!$C$15, $D$11, 100%, $F$11)</f>
        <v>6.6314000000000002</v>
      </c>
      <c r="J207" s="4">
        <f>6.5078 * CHOOSE(CONTROL!$C$15, $D$11, 100%, $F$11)</f>
        <v>6.5077999999999996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30.322800000000001</v>
      </c>
      <c r="R207" s="9"/>
      <c r="S207" s="11"/>
    </row>
    <row r="208" spans="1:19" ht="15.75">
      <c r="A208" s="13">
        <v>47818</v>
      </c>
      <c r="B208" s="8">
        <f>6.75 * CHOOSE(CONTROL!$C$15, $D$11, 100%, $F$11)</f>
        <v>6.75</v>
      </c>
      <c r="C208" s="8">
        <f>6.7551 * CHOOSE(CONTROL!$C$15, $D$11, 100%, $F$11)</f>
        <v>6.7550999999999997</v>
      </c>
      <c r="D208" s="8">
        <f>6.734 * CHOOSE( CONTROL!$C$15, $D$11, 100%, $F$11)</f>
        <v>6.734</v>
      </c>
      <c r="E208" s="12">
        <f>6.7412 * CHOOSE( CONTROL!$C$15, $D$11, 100%, $F$11)</f>
        <v>6.7412000000000001</v>
      </c>
      <c r="F208" s="4">
        <f>7.3948 * CHOOSE(CONTROL!$C$15, $D$11, 100%, $F$11)</f>
        <v>7.3948</v>
      </c>
      <c r="G208" s="8">
        <f>6.6217 * CHOOSE( CONTROL!$C$15, $D$11, 100%, $F$11)</f>
        <v>6.6216999999999997</v>
      </c>
      <c r="H208" s="4">
        <f>7.501 * CHOOSE(CONTROL!$C$15, $D$11, 100%, $F$11)</f>
        <v>7.5010000000000003</v>
      </c>
      <c r="I208" s="8">
        <f>6.6242 * CHOOSE(CONTROL!$C$15, $D$11, 100%, $F$11)</f>
        <v>6.6242000000000001</v>
      </c>
      <c r="J208" s="4">
        <f>6.496 * CHOOSE(CONTROL!$C$15, $D$11, 100%, $F$11)</f>
        <v>6.4960000000000004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31.333600000000001</v>
      </c>
      <c r="R208" s="9"/>
      <c r="S208" s="11"/>
    </row>
    <row r="209" spans="1:19" ht="15.75">
      <c r="A209" s="13">
        <v>47849</v>
      </c>
      <c r="B209" s="8">
        <f>6.9935 * CHOOSE(CONTROL!$C$15, $D$11, 100%, $F$11)</f>
        <v>6.9935</v>
      </c>
      <c r="C209" s="8">
        <f>6.9987 * CHOOSE(CONTROL!$C$15, $D$11, 100%, $F$11)</f>
        <v>6.9987000000000004</v>
      </c>
      <c r="D209" s="8">
        <f>6.9767 * CHOOSE( CONTROL!$C$15, $D$11, 100%, $F$11)</f>
        <v>6.9767000000000001</v>
      </c>
      <c r="E209" s="12">
        <f>6.9842 * CHOOSE( CONTROL!$C$15, $D$11, 100%, $F$11)</f>
        <v>6.9842000000000004</v>
      </c>
      <c r="F209" s="4">
        <f>7.6384 * CHOOSE(CONTROL!$C$15, $D$11, 100%, $F$11)</f>
        <v>7.6383999999999999</v>
      </c>
      <c r="G209" s="8">
        <f>6.8587 * CHOOSE( CONTROL!$C$15, $D$11, 100%, $F$11)</f>
        <v>6.8586999999999998</v>
      </c>
      <c r="H209" s="4">
        <f>7.7405 * CHOOSE(CONTROL!$C$15, $D$11, 100%, $F$11)</f>
        <v>7.7404999999999999</v>
      </c>
      <c r="I209" s="8">
        <f>6.8316 * CHOOSE(CONTROL!$C$15, $D$11, 100%, $F$11)</f>
        <v>6.8315999999999999</v>
      </c>
      <c r="J209" s="4">
        <f>6.7315 * CHOOSE(CONTROL!$C$15, $D$11, 100%, $F$11)</f>
        <v>6.7314999999999996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31.026700000000002</v>
      </c>
      <c r="R209" s="9"/>
      <c r="S209" s="11"/>
    </row>
    <row r="210" spans="1:19" ht="15.75">
      <c r="A210" s="13">
        <v>47880</v>
      </c>
      <c r="B210" s="8">
        <f>6.5434 * CHOOSE(CONTROL!$C$15, $D$11, 100%, $F$11)</f>
        <v>6.5434000000000001</v>
      </c>
      <c r="C210" s="8">
        <f>6.5485 * CHOOSE(CONTROL!$C$15, $D$11, 100%, $F$11)</f>
        <v>6.5484999999999998</v>
      </c>
      <c r="D210" s="8">
        <f>6.5221 * CHOOSE( CONTROL!$C$15, $D$11, 100%, $F$11)</f>
        <v>6.5221</v>
      </c>
      <c r="E210" s="12">
        <f>6.5312 * CHOOSE( CONTROL!$C$15, $D$11, 100%, $F$11)</f>
        <v>6.5312000000000001</v>
      </c>
      <c r="F210" s="4">
        <f>7.1883 * CHOOSE(CONTROL!$C$15, $D$11, 100%, $F$11)</f>
        <v>7.1882999999999999</v>
      </c>
      <c r="G210" s="8">
        <f>6.4075 * CHOOSE( CONTROL!$C$15, $D$11, 100%, $F$11)</f>
        <v>6.4074999999999998</v>
      </c>
      <c r="H210" s="4">
        <f>7.2978 * CHOOSE(CONTROL!$C$15, $D$11, 100%, $F$11)</f>
        <v>7.2977999999999996</v>
      </c>
      <c r="I210" s="8">
        <f>6.3672 * CHOOSE(CONTROL!$C$15, $D$11, 100%, $F$11)</f>
        <v>6.3672000000000004</v>
      </c>
      <c r="J210" s="4">
        <f>6.2963 * CHOOSE(CONTROL!$C$15, $D$11, 100%, $F$11)</f>
        <v>6.2962999999999996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28.024100000000001</v>
      </c>
      <c r="R210" s="9"/>
      <c r="S210" s="11"/>
    </row>
    <row r="211" spans="1:19" ht="15.75">
      <c r="A211" s="13">
        <v>47908</v>
      </c>
      <c r="B211" s="8">
        <f>6.4047 * CHOOSE(CONTROL!$C$15, $D$11, 100%, $F$11)</f>
        <v>6.4047000000000001</v>
      </c>
      <c r="C211" s="8">
        <f>6.4098 * CHOOSE(CONTROL!$C$15, $D$11, 100%, $F$11)</f>
        <v>6.4097999999999997</v>
      </c>
      <c r="D211" s="8">
        <f>6.3838 * CHOOSE( CONTROL!$C$15, $D$11, 100%, $F$11)</f>
        <v>6.3837999999999999</v>
      </c>
      <c r="E211" s="12">
        <f>6.3928 * CHOOSE( CONTROL!$C$15, $D$11, 100%, $F$11)</f>
        <v>6.3928000000000003</v>
      </c>
      <c r="F211" s="4">
        <f>7.0496 * CHOOSE(CONTROL!$C$15, $D$11, 100%, $F$11)</f>
        <v>7.0495999999999999</v>
      </c>
      <c r="G211" s="8">
        <f>6.2714 * CHOOSE( CONTROL!$C$15, $D$11, 100%, $F$11)</f>
        <v>6.2713999999999999</v>
      </c>
      <c r="H211" s="4">
        <f>7.1615 * CHOOSE(CONTROL!$C$15, $D$11, 100%, $F$11)</f>
        <v>7.1615000000000002</v>
      </c>
      <c r="I211" s="8">
        <f>6.2343 * CHOOSE(CONTROL!$C$15, $D$11, 100%, $F$11)</f>
        <v>6.2343000000000002</v>
      </c>
      <c r="J211" s="4">
        <f>6.1623 * CHOOSE(CONTROL!$C$15, $D$11, 100%, $F$11)</f>
        <v>6.1623000000000001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31.026700000000002</v>
      </c>
      <c r="R211" s="9"/>
      <c r="S211" s="11"/>
    </row>
    <row r="212" spans="1:19" ht="15.75">
      <c r="A212" s="13">
        <v>47939</v>
      </c>
      <c r="B212" s="8">
        <f>6.5024 * CHOOSE(CONTROL!$C$15, $D$11, 100%, $F$11)</f>
        <v>6.5023999999999997</v>
      </c>
      <c r="C212" s="8">
        <f>6.5069 * CHOOSE(CONTROL!$C$15, $D$11, 100%, $F$11)</f>
        <v>6.5068999999999999</v>
      </c>
      <c r="D212" s="8">
        <f>6.5141 * CHOOSE( CONTROL!$C$15, $D$11, 100%, $F$11)</f>
        <v>6.5141</v>
      </c>
      <c r="E212" s="12">
        <f>6.5112 * CHOOSE( CONTROL!$C$15, $D$11, 100%, $F$11)</f>
        <v>6.5111999999999997</v>
      </c>
      <c r="F212" s="4">
        <f>7.1853 * CHOOSE(CONTROL!$C$15, $D$11, 100%, $F$11)</f>
        <v>7.1852999999999998</v>
      </c>
      <c r="G212" s="8">
        <f>6.362 * CHOOSE( CONTROL!$C$15, $D$11, 100%, $F$11)</f>
        <v>6.3620000000000001</v>
      </c>
      <c r="H212" s="4">
        <f>7.2949 * CHOOSE(CONTROL!$C$15, $D$11, 100%, $F$11)</f>
        <v>7.2949000000000002</v>
      </c>
      <c r="I212" s="8">
        <f>6.3478 * CHOOSE(CONTROL!$C$15, $D$11, 100%, $F$11)</f>
        <v>6.3478000000000003</v>
      </c>
      <c r="J212" s="4">
        <f>6.2559 * CHOOSE(CONTROL!$C$15, $D$11, 100%, $F$11)</f>
        <v>6.2558999999999996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1.1791</v>
      </c>
      <c r="Q212" s="9">
        <v>30.0258</v>
      </c>
      <c r="R212" s="9"/>
      <c r="S212" s="11"/>
    </row>
    <row r="213" spans="1:19" ht="15.75">
      <c r="A213" s="13">
        <v>47969</v>
      </c>
      <c r="B213" s="8">
        <f>CHOOSE( CONTROL!$C$32, 6.6794, 6.6762) * CHOOSE(CONTROL!$C$15, $D$11, 100%, $F$11)</f>
        <v>6.6794000000000002</v>
      </c>
      <c r="C213" s="8">
        <f>CHOOSE( CONTROL!$C$32, 6.6874, 6.6842) * CHOOSE(CONTROL!$C$15, $D$11, 100%, $F$11)</f>
        <v>6.6874000000000002</v>
      </c>
      <c r="D213" s="8">
        <f>CHOOSE( CONTROL!$C$32, 6.6897, 6.6865) * CHOOSE( CONTROL!$C$15, $D$11, 100%, $F$11)</f>
        <v>6.6897000000000002</v>
      </c>
      <c r="E213" s="12">
        <f>CHOOSE( CONTROL!$C$32, 6.6876, 6.6844) * CHOOSE( CONTROL!$C$15, $D$11, 100%, $F$11)</f>
        <v>6.6875999999999998</v>
      </c>
      <c r="F213" s="4">
        <f>CHOOSE( CONTROL!$C$32, 7.3609, 7.3577) * CHOOSE(CONTROL!$C$15, $D$11, 100%, $F$11)</f>
        <v>7.3609</v>
      </c>
      <c r="G213" s="8">
        <f>CHOOSE( CONTROL!$C$32, 6.5358, 6.5327) * CHOOSE( CONTROL!$C$15, $D$11, 100%, $F$11)</f>
        <v>6.5358000000000001</v>
      </c>
      <c r="H213" s="4">
        <f>CHOOSE( CONTROL!$C$32, 7.4676, 7.4645) * CHOOSE(CONTROL!$C$15, $D$11, 100%, $F$11)</f>
        <v>7.4676</v>
      </c>
      <c r="I213" s="8">
        <f>CHOOSE( CONTROL!$C$32, 6.5192, 6.5161) * CHOOSE(CONTROL!$C$15, $D$11, 100%, $F$11)</f>
        <v>6.5191999999999997</v>
      </c>
      <c r="J213" s="4">
        <f>CHOOSE( CONTROL!$C$32, 6.4257, 6.4226) * CHOOSE(CONTROL!$C$15, $D$11, 100%, $F$11)</f>
        <v>6.4257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1.2183999999999999</v>
      </c>
      <c r="Q213" s="9">
        <v>31.026700000000002</v>
      </c>
      <c r="R213" s="9"/>
      <c r="S213" s="11"/>
    </row>
    <row r="214" spans="1:19" ht="15.75">
      <c r="A214" s="13">
        <v>48000</v>
      </c>
      <c r="B214" s="8">
        <f>CHOOSE( CONTROL!$C$32, 6.5726, 6.5694) * CHOOSE(CONTROL!$C$15, $D$11, 100%, $F$11)</f>
        <v>6.5726000000000004</v>
      </c>
      <c r="C214" s="8">
        <f>CHOOSE( CONTROL!$C$32, 6.5806, 6.5774) * CHOOSE(CONTROL!$C$15, $D$11, 100%, $F$11)</f>
        <v>6.5805999999999996</v>
      </c>
      <c r="D214" s="8">
        <f>CHOOSE( CONTROL!$C$32, 6.5832, 6.58) * CHOOSE( CONTROL!$C$15, $D$11, 100%, $F$11)</f>
        <v>6.5831999999999997</v>
      </c>
      <c r="E214" s="12">
        <f>CHOOSE( CONTROL!$C$32, 6.581, 6.5778) * CHOOSE( CONTROL!$C$15, $D$11, 100%, $F$11)</f>
        <v>6.5810000000000004</v>
      </c>
      <c r="F214" s="4">
        <f>CHOOSE( CONTROL!$C$32, 7.2541, 7.2509) * CHOOSE(CONTROL!$C$15, $D$11, 100%, $F$11)</f>
        <v>7.2541000000000002</v>
      </c>
      <c r="G214" s="8">
        <f>CHOOSE( CONTROL!$C$32, 6.4312, 6.4281) * CHOOSE( CONTROL!$C$15, $D$11, 100%, $F$11)</f>
        <v>6.4311999999999996</v>
      </c>
      <c r="H214" s="4">
        <f>CHOOSE( CONTROL!$C$32, 7.3626, 7.3594) * CHOOSE(CONTROL!$C$15, $D$11, 100%, $F$11)</f>
        <v>7.3625999999999996</v>
      </c>
      <c r="I214" s="8">
        <f>CHOOSE( CONTROL!$C$32, 6.4173, 6.4142) * CHOOSE(CONTROL!$C$15, $D$11, 100%, $F$11)</f>
        <v>6.4173</v>
      </c>
      <c r="J214" s="4">
        <f>CHOOSE( CONTROL!$C$32, 6.3225, 6.3194) * CHOOSE(CONTROL!$C$15, $D$11, 100%, $F$11)</f>
        <v>6.3224999999999998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1.1791</v>
      </c>
      <c r="Q214" s="9">
        <v>30.0258</v>
      </c>
      <c r="R214" s="9"/>
      <c r="S214" s="11"/>
    </row>
    <row r="215" spans="1:19" ht="15.75">
      <c r="A215" s="13">
        <v>48030</v>
      </c>
      <c r="B215" s="8">
        <f>CHOOSE( CONTROL!$C$32, 6.8538, 6.8506) * CHOOSE(CONTROL!$C$15, $D$11, 100%, $F$11)</f>
        <v>6.8537999999999997</v>
      </c>
      <c r="C215" s="8">
        <f>CHOOSE( CONTROL!$C$32, 6.8619, 6.8587) * CHOOSE(CONTROL!$C$15, $D$11, 100%, $F$11)</f>
        <v>6.8619000000000003</v>
      </c>
      <c r="D215" s="8">
        <f>CHOOSE( CONTROL!$C$32, 6.8648, 6.8616) * CHOOSE( CONTROL!$C$15, $D$11, 100%, $F$11)</f>
        <v>6.8647999999999998</v>
      </c>
      <c r="E215" s="12">
        <f>CHOOSE( CONTROL!$C$32, 6.8625, 6.8593) * CHOOSE( CONTROL!$C$15, $D$11, 100%, $F$11)</f>
        <v>6.8624999999999998</v>
      </c>
      <c r="F215" s="4">
        <f>CHOOSE( CONTROL!$C$32, 7.5354, 7.5322) * CHOOSE(CONTROL!$C$15, $D$11, 100%, $F$11)</f>
        <v>7.5354000000000001</v>
      </c>
      <c r="G215" s="8">
        <f>CHOOSE( CONTROL!$C$32, 6.7083, 6.7052) * CHOOSE( CONTROL!$C$15, $D$11, 100%, $F$11)</f>
        <v>6.7083000000000004</v>
      </c>
      <c r="H215" s="4">
        <f>CHOOSE( CONTROL!$C$32, 7.6392, 7.6361) * CHOOSE(CONTROL!$C$15, $D$11, 100%, $F$11)</f>
        <v>7.6391999999999998</v>
      </c>
      <c r="I215" s="8">
        <f>CHOOSE( CONTROL!$C$32, 6.6908, 6.6877) * CHOOSE(CONTROL!$C$15, $D$11, 100%, $F$11)</f>
        <v>6.6908000000000003</v>
      </c>
      <c r="J215" s="4">
        <f>CHOOSE( CONTROL!$C$32, 6.5944, 6.5913) * CHOOSE(CONTROL!$C$15, $D$11, 100%, $F$11)</f>
        <v>6.5944000000000003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31.026700000000002</v>
      </c>
      <c r="R215" s="9"/>
      <c r="S215" s="11"/>
    </row>
    <row r="216" spans="1:19" ht="15.75">
      <c r="A216" s="13">
        <v>48061</v>
      </c>
      <c r="B216" s="8">
        <f>CHOOSE( CONTROL!$C$32, 6.3275, 6.3243) * CHOOSE(CONTROL!$C$15, $D$11, 100%, $F$11)</f>
        <v>6.3274999999999997</v>
      </c>
      <c r="C216" s="8">
        <f>CHOOSE( CONTROL!$C$32, 6.3355, 6.3323) * CHOOSE(CONTROL!$C$15, $D$11, 100%, $F$11)</f>
        <v>6.3354999999999997</v>
      </c>
      <c r="D216" s="8">
        <f>CHOOSE( CONTROL!$C$32, 6.3386, 6.3354) * CHOOSE( CONTROL!$C$15, $D$11, 100%, $F$11)</f>
        <v>6.3385999999999996</v>
      </c>
      <c r="E216" s="12">
        <f>CHOOSE( CONTROL!$C$32, 6.3363, 6.3331) * CHOOSE( CONTROL!$C$15, $D$11, 100%, $F$11)</f>
        <v>6.3362999999999996</v>
      </c>
      <c r="F216" s="4">
        <f>CHOOSE( CONTROL!$C$32, 7.0091, 7.0059) * CHOOSE(CONTROL!$C$15, $D$11, 100%, $F$11)</f>
        <v>7.0091000000000001</v>
      </c>
      <c r="G216" s="8">
        <f>CHOOSE( CONTROL!$C$32, 6.191, 6.1878) * CHOOSE( CONTROL!$C$15, $D$11, 100%, $F$11)</f>
        <v>6.1909999999999998</v>
      </c>
      <c r="H216" s="4">
        <f>CHOOSE( CONTROL!$C$32, 7.1216, 7.1185) * CHOOSE(CONTROL!$C$15, $D$11, 100%, $F$11)</f>
        <v>7.1215999999999999</v>
      </c>
      <c r="I216" s="8">
        <f>CHOOSE( CONTROL!$C$32, 6.1826, 6.1795) * CHOOSE(CONTROL!$C$15, $D$11, 100%, $F$11)</f>
        <v>6.1825999999999999</v>
      </c>
      <c r="J216" s="4">
        <f>CHOOSE( CONTROL!$C$32, 6.0856, 6.0825) * CHOOSE(CONTROL!$C$15, $D$11, 100%, $F$11)</f>
        <v>6.0856000000000003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1.2183999999999999</v>
      </c>
      <c r="Q216" s="9">
        <v>31.026700000000002</v>
      </c>
      <c r="R216" s="9"/>
      <c r="S216" s="11"/>
    </row>
    <row r="217" spans="1:19" ht="15.75">
      <c r="A217" s="13">
        <v>48092</v>
      </c>
      <c r="B217" s="8">
        <f>CHOOSE( CONTROL!$C$32, 6.1957, 6.1925) * CHOOSE(CONTROL!$C$15, $D$11, 100%, $F$11)</f>
        <v>6.1957000000000004</v>
      </c>
      <c r="C217" s="8">
        <f>CHOOSE( CONTROL!$C$32, 6.2037, 6.2005) * CHOOSE(CONTROL!$C$15, $D$11, 100%, $F$11)</f>
        <v>6.2037000000000004</v>
      </c>
      <c r="D217" s="8">
        <f>CHOOSE( CONTROL!$C$32, 6.2069, 6.2037) * CHOOSE( CONTROL!$C$15, $D$11, 100%, $F$11)</f>
        <v>6.2069000000000001</v>
      </c>
      <c r="E217" s="12">
        <f>CHOOSE( CONTROL!$C$32, 6.2045, 6.2013) * CHOOSE( CONTROL!$C$15, $D$11, 100%, $F$11)</f>
        <v>6.2045000000000003</v>
      </c>
      <c r="F217" s="4">
        <f>CHOOSE( CONTROL!$C$32, 6.8773, 6.8741) * CHOOSE(CONTROL!$C$15, $D$11, 100%, $F$11)</f>
        <v>6.8773</v>
      </c>
      <c r="G217" s="8">
        <f>CHOOSE( CONTROL!$C$32, 6.0614, 6.0582) * CHOOSE( CONTROL!$C$15, $D$11, 100%, $F$11)</f>
        <v>6.0613999999999999</v>
      </c>
      <c r="H217" s="4">
        <f>CHOOSE( CONTROL!$C$32, 6.992, 6.9889) * CHOOSE(CONTROL!$C$15, $D$11, 100%, $F$11)</f>
        <v>6.992</v>
      </c>
      <c r="I217" s="8">
        <f>CHOOSE( CONTROL!$C$32, 6.0552, 6.0521) * CHOOSE(CONTROL!$C$15, $D$11, 100%, $F$11)</f>
        <v>6.0552000000000001</v>
      </c>
      <c r="J217" s="4">
        <f>CHOOSE( CONTROL!$C$32, 5.9582, 5.9551) * CHOOSE(CONTROL!$C$15, $D$11, 100%, $F$11)</f>
        <v>5.9581999999999997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1.1791</v>
      </c>
      <c r="Q217" s="9">
        <v>30.0258</v>
      </c>
      <c r="R217" s="9"/>
      <c r="S217" s="11"/>
    </row>
    <row r="218" spans="1:19" ht="15.75">
      <c r="A218" s="13">
        <v>48122</v>
      </c>
      <c r="B218" s="8">
        <f>6.4645 * CHOOSE(CONTROL!$C$15, $D$11, 100%, $F$11)</f>
        <v>6.4645000000000001</v>
      </c>
      <c r="C218" s="8">
        <f>6.4698 * CHOOSE(CONTROL!$C$15, $D$11, 100%, $F$11)</f>
        <v>6.4698000000000002</v>
      </c>
      <c r="D218" s="8">
        <f>6.4777 * CHOOSE( CONTROL!$C$15, $D$11, 100%, $F$11)</f>
        <v>6.4776999999999996</v>
      </c>
      <c r="E218" s="12">
        <f>6.4745 * CHOOSE( CONTROL!$C$15, $D$11, 100%, $F$11)</f>
        <v>6.4744999999999999</v>
      </c>
      <c r="F218" s="4">
        <f>7.1477 * CHOOSE(CONTROL!$C$15, $D$11, 100%, $F$11)</f>
        <v>7.1477000000000004</v>
      </c>
      <c r="G218" s="8">
        <f>6.3269 * CHOOSE( CONTROL!$C$15, $D$11, 100%, $F$11)</f>
        <v>6.3269000000000002</v>
      </c>
      <c r="H218" s="4">
        <f>7.258 * CHOOSE(CONTROL!$C$15, $D$11, 100%, $F$11)</f>
        <v>7.258</v>
      </c>
      <c r="I218" s="8">
        <f>6.3174 * CHOOSE(CONTROL!$C$15, $D$11, 100%, $F$11)</f>
        <v>6.3174000000000001</v>
      </c>
      <c r="J218" s="4">
        <f>6.2196 * CHOOSE(CONTROL!$C$15, $D$11, 100%, $F$11)</f>
        <v>6.2195999999999998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1.2183999999999999</v>
      </c>
      <c r="Q218" s="9">
        <v>31.026700000000002</v>
      </c>
      <c r="R218" s="9"/>
      <c r="S218" s="11"/>
    </row>
    <row r="219" spans="1:19" ht="15.75">
      <c r="A219" s="13">
        <v>48153</v>
      </c>
      <c r="B219" s="8">
        <f>6.9692 * CHOOSE(CONTROL!$C$15, $D$11, 100%, $F$11)</f>
        <v>6.9691999999999998</v>
      </c>
      <c r="C219" s="8">
        <f>6.9743 * CHOOSE(CONTROL!$C$15, $D$11, 100%, $F$11)</f>
        <v>6.9743000000000004</v>
      </c>
      <c r="D219" s="8">
        <f>6.9518 * CHOOSE( CONTROL!$C$15, $D$11, 100%, $F$11)</f>
        <v>6.9518000000000004</v>
      </c>
      <c r="E219" s="12">
        <f>6.9595 * CHOOSE( CONTROL!$C$15, $D$11, 100%, $F$11)</f>
        <v>6.9595000000000002</v>
      </c>
      <c r="F219" s="4">
        <f>7.6141 * CHOOSE(CONTROL!$C$15, $D$11, 100%, $F$11)</f>
        <v>7.6140999999999996</v>
      </c>
      <c r="G219" s="8">
        <f>6.8362 * CHOOSE( CONTROL!$C$15, $D$11, 100%, $F$11)</f>
        <v>6.8361999999999998</v>
      </c>
      <c r="H219" s="4">
        <f>7.7166 * CHOOSE(CONTROL!$C$15, $D$11, 100%, $F$11)</f>
        <v>7.7165999999999997</v>
      </c>
      <c r="I219" s="8">
        <f>6.8316 * CHOOSE(CONTROL!$C$15, $D$11, 100%, $F$11)</f>
        <v>6.8315999999999999</v>
      </c>
      <c r="J219" s="4">
        <f>6.7079 * CHOOSE(CONTROL!$C$15, $D$11, 100%, $F$11)</f>
        <v>6.7079000000000004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30.0258</v>
      </c>
      <c r="R219" s="9"/>
      <c r="S219" s="11"/>
    </row>
    <row r="220" spans="1:19" ht="15.75">
      <c r="A220" s="13">
        <v>48183</v>
      </c>
      <c r="B220" s="8">
        <f>6.9566 * CHOOSE(CONTROL!$C$15, $D$11, 100%, $F$11)</f>
        <v>6.9565999999999999</v>
      </c>
      <c r="C220" s="8">
        <f>6.9617 * CHOOSE(CONTROL!$C$15, $D$11, 100%, $F$11)</f>
        <v>6.9617000000000004</v>
      </c>
      <c r="D220" s="8">
        <f>6.9406 * CHOOSE( CONTROL!$C$15, $D$11, 100%, $F$11)</f>
        <v>6.9405999999999999</v>
      </c>
      <c r="E220" s="12">
        <f>6.9478 * CHOOSE( CONTROL!$C$15, $D$11, 100%, $F$11)</f>
        <v>6.9478</v>
      </c>
      <c r="F220" s="4">
        <f>7.6014 * CHOOSE(CONTROL!$C$15, $D$11, 100%, $F$11)</f>
        <v>7.6013999999999999</v>
      </c>
      <c r="G220" s="8">
        <f>6.8249 * CHOOSE( CONTROL!$C$15, $D$11, 100%, $F$11)</f>
        <v>6.8249000000000004</v>
      </c>
      <c r="H220" s="4">
        <f>7.7042 * CHOOSE(CONTROL!$C$15, $D$11, 100%, $F$11)</f>
        <v>7.7042000000000002</v>
      </c>
      <c r="I220" s="8">
        <f>6.824 * CHOOSE(CONTROL!$C$15, $D$11, 100%, $F$11)</f>
        <v>6.8239999999999998</v>
      </c>
      <c r="J220" s="4">
        <f>6.6957 * CHOOSE(CONTROL!$C$15, $D$11, 100%, $F$11)</f>
        <v>6.6957000000000004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31.026700000000002</v>
      </c>
      <c r="R220" s="9"/>
      <c r="S220" s="11"/>
    </row>
    <row r="221" spans="1:19" ht="15.75">
      <c r="A221" s="13">
        <v>48214</v>
      </c>
      <c r="B221" s="8">
        <f>7.2122 * CHOOSE(CONTROL!$C$15, $D$11, 100%, $F$11)</f>
        <v>7.2122000000000002</v>
      </c>
      <c r="C221" s="8">
        <f>7.2173 * CHOOSE(CONTROL!$C$15, $D$11, 100%, $F$11)</f>
        <v>7.2172999999999998</v>
      </c>
      <c r="D221" s="8">
        <f>7.1953 * CHOOSE( CONTROL!$C$15, $D$11, 100%, $F$11)</f>
        <v>7.1952999999999996</v>
      </c>
      <c r="E221" s="12">
        <f>7.2028 * CHOOSE( CONTROL!$C$15, $D$11, 100%, $F$11)</f>
        <v>7.2027999999999999</v>
      </c>
      <c r="F221" s="4">
        <f>7.8571 * CHOOSE(CONTROL!$C$15, $D$11, 100%, $F$11)</f>
        <v>7.8571</v>
      </c>
      <c r="G221" s="8">
        <f>7.0737 * CHOOSE( CONTROL!$C$15, $D$11, 100%, $F$11)</f>
        <v>7.0736999999999997</v>
      </c>
      <c r="H221" s="4">
        <f>7.9555 * CHOOSE(CONTROL!$C$15, $D$11, 100%, $F$11)</f>
        <v>7.9554999999999998</v>
      </c>
      <c r="I221" s="8">
        <f>7.043 * CHOOSE(CONTROL!$C$15, $D$11, 100%, $F$11)</f>
        <v>7.0430000000000001</v>
      </c>
      <c r="J221" s="4">
        <f>6.9428 * CHOOSE(CONTROL!$C$15, $D$11, 100%, $F$11)</f>
        <v>6.9428000000000001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30.8704</v>
      </c>
      <c r="R221" s="9"/>
      <c r="S221" s="11"/>
    </row>
    <row r="222" spans="1:19" ht="15.75">
      <c r="A222" s="13">
        <v>48245</v>
      </c>
      <c r="B222" s="8">
        <f>6.7479 * CHOOSE(CONTROL!$C$15, $D$11, 100%, $F$11)</f>
        <v>6.7478999999999996</v>
      </c>
      <c r="C222" s="8">
        <f>6.753 * CHOOSE(CONTROL!$C$15, $D$11, 100%, $F$11)</f>
        <v>6.7530000000000001</v>
      </c>
      <c r="D222" s="8">
        <f>6.7266 * CHOOSE( CONTROL!$C$15, $D$11, 100%, $F$11)</f>
        <v>6.7266000000000004</v>
      </c>
      <c r="E222" s="12">
        <f>6.7357 * CHOOSE( CONTROL!$C$15, $D$11, 100%, $F$11)</f>
        <v>6.7356999999999996</v>
      </c>
      <c r="F222" s="4">
        <f>7.3928 * CHOOSE(CONTROL!$C$15, $D$11, 100%, $F$11)</f>
        <v>7.3928000000000003</v>
      </c>
      <c r="G222" s="8">
        <f>6.6086 * CHOOSE( CONTROL!$C$15, $D$11, 100%, $F$11)</f>
        <v>6.6086</v>
      </c>
      <c r="H222" s="4">
        <f>7.4989 * CHOOSE(CONTROL!$C$15, $D$11, 100%, $F$11)</f>
        <v>7.4988999999999999</v>
      </c>
      <c r="I222" s="8">
        <f>6.5649 * CHOOSE(CONTROL!$C$15, $D$11, 100%, $F$11)</f>
        <v>6.5648999999999997</v>
      </c>
      <c r="J222" s="4">
        <f>6.494 * CHOOSE(CONTROL!$C$15, $D$11, 100%, $F$11)</f>
        <v>6.4939999999999998</v>
      </c>
      <c r="K222" s="4"/>
      <c r="L222" s="9">
        <v>27.415299999999998</v>
      </c>
      <c r="M222" s="9">
        <v>11.285299999999999</v>
      </c>
      <c r="N222" s="9">
        <v>4.6254999999999997</v>
      </c>
      <c r="O222" s="9">
        <v>0.34989999999999999</v>
      </c>
      <c r="P222" s="9">
        <v>1.2093</v>
      </c>
      <c r="Q222" s="9">
        <v>28.878799999999998</v>
      </c>
      <c r="R222" s="9"/>
      <c r="S222" s="11"/>
    </row>
    <row r="223" spans="1:19" ht="15.75">
      <c r="A223" s="13">
        <v>48274</v>
      </c>
      <c r="B223" s="8">
        <f>6.6049 * CHOOSE(CONTROL!$C$15, $D$11, 100%, $F$11)</f>
        <v>6.6048999999999998</v>
      </c>
      <c r="C223" s="8">
        <f>6.61 * CHOOSE(CONTROL!$C$15, $D$11, 100%, $F$11)</f>
        <v>6.61</v>
      </c>
      <c r="D223" s="8">
        <f>6.584 * CHOOSE( CONTROL!$C$15, $D$11, 100%, $F$11)</f>
        <v>6.5839999999999996</v>
      </c>
      <c r="E223" s="12">
        <f>6.593 * CHOOSE( CONTROL!$C$15, $D$11, 100%, $F$11)</f>
        <v>6.593</v>
      </c>
      <c r="F223" s="4">
        <f>7.2498 * CHOOSE(CONTROL!$C$15, $D$11, 100%, $F$11)</f>
        <v>7.2497999999999996</v>
      </c>
      <c r="G223" s="8">
        <f>6.4682 * CHOOSE( CONTROL!$C$15, $D$11, 100%, $F$11)</f>
        <v>6.4682000000000004</v>
      </c>
      <c r="H223" s="4">
        <f>7.3583 * CHOOSE(CONTROL!$C$15, $D$11, 100%, $F$11)</f>
        <v>7.3582999999999998</v>
      </c>
      <c r="I223" s="8">
        <f>6.4278 * CHOOSE(CONTROL!$C$15, $D$11, 100%, $F$11)</f>
        <v>6.4278000000000004</v>
      </c>
      <c r="J223" s="4">
        <f>6.3558 * CHOOSE(CONTROL!$C$15, $D$11, 100%, $F$11)</f>
        <v>6.3558000000000003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30.8704</v>
      </c>
      <c r="R223" s="9"/>
      <c r="S223" s="11"/>
    </row>
    <row r="224" spans="1:19" ht="15.75">
      <c r="A224" s="13">
        <v>48305</v>
      </c>
      <c r="B224" s="8">
        <f>6.7056 * CHOOSE(CONTROL!$C$15, $D$11, 100%, $F$11)</f>
        <v>6.7055999999999996</v>
      </c>
      <c r="C224" s="8">
        <f>6.7101 * CHOOSE(CONTROL!$C$15, $D$11, 100%, $F$11)</f>
        <v>6.7100999999999997</v>
      </c>
      <c r="D224" s="8">
        <f>6.7173 * CHOOSE( CONTROL!$C$15, $D$11, 100%, $F$11)</f>
        <v>6.7172999999999998</v>
      </c>
      <c r="E224" s="12">
        <f>6.7144 * CHOOSE( CONTROL!$C$15, $D$11, 100%, $F$11)</f>
        <v>6.7144000000000004</v>
      </c>
      <c r="F224" s="4">
        <f>7.3885 * CHOOSE(CONTROL!$C$15, $D$11, 100%, $F$11)</f>
        <v>7.3884999999999996</v>
      </c>
      <c r="G224" s="8">
        <f>6.5618 * CHOOSE( CONTROL!$C$15, $D$11, 100%, $F$11)</f>
        <v>6.5617999999999999</v>
      </c>
      <c r="H224" s="4">
        <f>7.4947 * CHOOSE(CONTROL!$C$15, $D$11, 100%, $F$11)</f>
        <v>7.4946999999999999</v>
      </c>
      <c r="I224" s="8">
        <f>6.5443 * CHOOSE(CONTROL!$C$15, $D$11, 100%, $F$11)</f>
        <v>6.5442999999999998</v>
      </c>
      <c r="J224" s="4">
        <f>6.4524 * CHOOSE(CONTROL!$C$15, $D$11, 100%, $F$11)</f>
        <v>6.4523999999999999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1.1791</v>
      </c>
      <c r="Q224" s="9">
        <v>29.874600000000001</v>
      </c>
      <c r="R224" s="9"/>
      <c r="S224" s="11"/>
    </row>
    <row r="225" spans="1:19" ht="15.75">
      <c r="A225" s="13">
        <v>48335</v>
      </c>
      <c r="B225" s="8">
        <f>CHOOSE( CONTROL!$C$32, 6.888, 6.8848) * CHOOSE(CONTROL!$C$15, $D$11, 100%, $F$11)</f>
        <v>6.8879999999999999</v>
      </c>
      <c r="C225" s="8">
        <f>CHOOSE( CONTROL!$C$32, 6.896, 6.8928) * CHOOSE(CONTROL!$C$15, $D$11, 100%, $F$11)</f>
        <v>6.8959999999999999</v>
      </c>
      <c r="D225" s="8">
        <f>CHOOSE( CONTROL!$C$32, 6.8983, 6.8951) * CHOOSE( CONTROL!$C$15, $D$11, 100%, $F$11)</f>
        <v>6.8982999999999999</v>
      </c>
      <c r="E225" s="12">
        <f>CHOOSE( CONTROL!$C$32, 6.8962, 6.893) * CHOOSE( CONTROL!$C$15, $D$11, 100%, $F$11)</f>
        <v>6.8962000000000003</v>
      </c>
      <c r="F225" s="4">
        <f>CHOOSE( CONTROL!$C$32, 7.5695, 7.5663) * CHOOSE(CONTROL!$C$15, $D$11, 100%, $F$11)</f>
        <v>7.5694999999999997</v>
      </c>
      <c r="G225" s="8">
        <f>CHOOSE( CONTROL!$C$32, 6.741, 6.7378) * CHOOSE( CONTROL!$C$15, $D$11, 100%, $F$11)</f>
        <v>6.7409999999999997</v>
      </c>
      <c r="H225" s="4">
        <f>CHOOSE( CONTROL!$C$32, 7.6728, 7.6696) * CHOOSE(CONTROL!$C$15, $D$11, 100%, $F$11)</f>
        <v>7.6727999999999996</v>
      </c>
      <c r="I225" s="8">
        <f>CHOOSE( CONTROL!$C$32, 6.721, 6.7179) * CHOOSE(CONTROL!$C$15, $D$11, 100%, $F$11)</f>
        <v>6.7210000000000001</v>
      </c>
      <c r="J225" s="4">
        <f>CHOOSE( CONTROL!$C$32, 6.6274, 6.6243) * CHOOSE(CONTROL!$C$15, $D$11, 100%, $F$11)</f>
        <v>6.6273999999999997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1.2183999999999999</v>
      </c>
      <c r="Q225" s="9">
        <v>30.8704</v>
      </c>
      <c r="R225" s="9"/>
      <c r="S225" s="11"/>
    </row>
    <row r="226" spans="1:19" ht="15.75">
      <c r="A226" s="13">
        <v>48366</v>
      </c>
      <c r="B226" s="8">
        <f>CHOOSE( CONTROL!$C$32, 6.7778, 6.7746) * CHOOSE(CONTROL!$C$15, $D$11, 100%, $F$11)</f>
        <v>6.7778</v>
      </c>
      <c r="C226" s="8">
        <f>CHOOSE( CONTROL!$C$32, 6.7858, 6.7826) * CHOOSE(CONTROL!$C$15, $D$11, 100%, $F$11)</f>
        <v>6.7858000000000001</v>
      </c>
      <c r="D226" s="8">
        <f>CHOOSE( CONTROL!$C$32, 6.7884, 6.7852) * CHOOSE( CONTROL!$C$15, $D$11, 100%, $F$11)</f>
        <v>6.7884000000000002</v>
      </c>
      <c r="E226" s="12">
        <f>CHOOSE( CONTROL!$C$32, 6.7862, 6.783) * CHOOSE( CONTROL!$C$15, $D$11, 100%, $F$11)</f>
        <v>6.7862</v>
      </c>
      <c r="F226" s="4">
        <f>CHOOSE( CONTROL!$C$32, 7.4593, 7.4561) * CHOOSE(CONTROL!$C$15, $D$11, 100%, $F$11)</f>
        <v>7.4592999999999998</v>
      </c>
      <c r="G226" s="8">
        <f>CHOOSE( CONTROL!$C$32, 6.6331, 6.6299) * CHOOSE( CONTROL!$C$15, $D$11, 100%, $F$11)</f>
        <v>6.6330999999999998</v>
      </c>
      <c r="H226" s="4">
        <f>CHOOSE( CONTROL!$C$32, 7.5644, 7.5613) * CHOOSE(CONTROL!$C$15, $D$11, 100%, $F$11)</f>
        <v>7.5644</v>
      </c>
      <c r="I226" s="8">
        <f>CHOOSE( CONTROL!$C$32, 6.6158, 6.6127) * CHOOSE(CONTROL!$C$15, $D$11, 100%, $F$11)</f>
        <v>6.6158000000000001</v>
      </c>
      <c r="J226" s="4">
        <f>CHOOSE( CONTROL!$C$32, 6.5209, 6.5178) * CHOOSE(CONTROL!$C$15, $D$11, 100%, $F$11)</f>
        <v>6.5209000000000001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1.1791</v>
      </c>
      <c r="Q226" s="9">
        <v>29.874600000000001</v>
      </c>
      <c r="R226" s="9"/>
      <c r="S226" s="11"/>
    </row>
    <row r="227" spans="1:19" ht="15.75">
      <c r="A227" s="13">
        <v>48396</v>
      </c>
      <c r="B227" s="8">
        <f>CHOOSE( CONTROL!$C$32, 7.0679, 7.0647) * CHOOSE(CONTROL!$C$15, $D$11, 100%, $F$11)</f>
        <v>7.0678999999999998</v>
      </c>
      <c r="C227" s="8">
        <f>CHOOSE( CONTROL!$C$32, 7.0759, 7.0727) * CHOOSE(CONTROL!$C$15, $D$11, 100%, $F$11)</f>
        <v>7.0758999999999999</v>
      </c>
      <c r="D227" s="8">
        <f>CHOOSE( CONTROL!$C$32, 7.0789, 7.0757) * CHOOSE( CONTROL!$C$15, $D$11, 100%, $F$11)</f>
        <v>7.0789</v>
      </c>
      <c r="E227" s="12">
        <f>CHOOSE( CONTROL!$C$32, 7.0766, 7.0734) * CHOOSE( CONTROL!$C$15, $D$11, 100%, $F$11)</f>
        <v>7.0766</v>
      </c>
      <c r="F227" s="4">
        <f>CHOOSE( CONTROL!$C$32, 7.7495, 7.7463) * CHOOSE(CONTROL!$C$15, $D$11, 100%, $F$11)</f>
        <v>7.7495000000000003</v>
      </c>
      <c r="G227" s="8">
        <f>CHOOSE( CONTROL!$C$32, 6.9188, 6.9157) * CHOOSE( CONTROL!$C$15, $D$11, 100%, $F$11)</f>
        <v>6.9188000000000001</v>
      </c>
      <c r="H227" s="4">
        <f>CHOOSE( CONTROL!$C$32, 7.8497, 7.8466) * CHOOSE(CONTROL!$C$15, $D$11, 100%, $F$11)</f>
        <v>7.8497000000000003</v>
      </c>
      <c r="I227" s="8">
        <f>CHOOSE( CONTROL!$C$32, 6.8979, 6.8948) * CHOOSE(CONTROL!$C$15, $D$11, 100%, $F$11)</f>
        <v>6.8978999999999999</v>
      </c>
      <c r="J227" s="4">
        <f>CHOOSE( CONTROL!$C$32, 6.8013, 6.7982) * CHOOSE(CONTROL!$C$15, $D$11, 100%, $F$11)</f>
        <v>6.8013000000000003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30.8704</v>
      </c>
      <c r="R227" s="9"/>
      <c r="S227" s="11"/>
    </row>
    <row r="228" spans="1:19" ht="15.75">
      <c r="A228" s="13">
        <v>48427</v>
      </c>
      <c r="B228" s="8">
        <f>CHOOSE( CONTROL!$C$32, 6.5251, 6.5219) * CHOOSE(CONTROL!$C$15, $D$11, 100%, $F$11)</f>
        <v>6.5251000000000001</v>
      </c>
      <c r="C228" s="8">
        <f>CHOOSE( CONTROL!$C$32, 6.5331, 6.5299) * CHOOSE(CONTROL!$C$15, $D$11, 100%, $F$11)</f>
        <v>6.5331000000000001</v>
      </c>
      <c r="D228" s="8">
        <f>CHOOSE( CONTROL!$C$32, 6.5362, 6.533) * CHOOSE( CONTROL!$C$15, $D$11, 100%, $F$11)</f>
        <v>6.5362</v>
      </c>
      <c r="E228" s="12">
        <f>CHOOSE( CONTROL!$C$32, 6.5339, 6.5307) * CHOOSE( CONTROL!$C$15, $D$11, 100%, $F$11)</f>
        <v>6.5339</v>
      </c>
      <c r="F228" s="4">
        <f>CHOOSE( CONTROL!$C$32, 7.2066, 7.2034) * CHOOSE(CONTROL!$C$15, $D$11, 100%, $F$11)</f>
        <v>7.2065999999999999</v>
      </c>
      <c r="G228" s="8">
        <f>CHOOSE( CONTROL!$C$32, 6.3852, 6.3821) * CHOOSE( CONTROL!$C$15, $D$11, 100%, $F$11)</f>
        <v>6.3852000000000002</v>
      </c>
      <c r="H228" s="4">
        <f>CHOOSE( CONTROL!$C$32, 7.3159, 7.3127) * CHOOSE(CONTROL!$C$15, $D$11, 100%, $F$11)</f>
        <v>7.3159000000000001</v>
      </c>
      <c r="I228" s="8">
        <f>CHOOSE( CONTROL!$C$32, 6.3736, 6.3705) * CHOOSE(CONTROL!$C$15, $D$11, 100%, $F$11)</f>
        <v>6.3735999999999997</v>
      </c>
      <c r="J228" s="4">
        <f>CHOOSE( CONTROL!$C$32, 6.2766, 6.2735) * CHOOSE(CONTROL!$C$15, $D$11, 100%, $F$11)</f>
        <v>6.2766000000000002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1.2183999999999999</v>
      </c>
      <c r="Q228" s="9">
        <v>30.8704</v>
      </c>
      <c r="R228" s="9"/>
      <c r="S228" s="11"/>
    </row>
    <row r="229" spans="1:19" ht="15.75">
      <c r="A229" s="13">
        <v>48458</v>
      </c>
      <c r="B229" s="8">
        <f>CHOOSE( CONTROL!$C$32, 6.3891, 6.3859) * CHOOSE(CONTROL!$C$15, $D$11, 100%, $F$11)</f>
        <v>6.3891</v>
      </c>
      <c r="C229" s="8">
        <f>CHOOSE( CONTROL!$C$32, 6.3972, 6.394) * CHOOSE(CONTROL!$C$15, $D$11, 100%, $F$11)</f>
        <v>6.3971999999999998</v>
      </c>
      <c r="D229" s="8">
        <f>CHOOSE( CONTROL!$C$32, 6.4003, 6.3971) * CHOOSE( CONTROL!$C$15, $D$11, 100%, $F$11)</f>
        <v>6.4002999999999997</v>
      </c>
      <c r="E229" s="12">
        <f>CHOOSE( CONTROL!$C$32, 6.3979, 6.3947) * CHOOSE( CONTROL!$C$15, $D$11, 100%, $F$11)</f>
        <v>6.3978999999999999</v>
      </c>
      <c r="F229" s="4">
        <f>CHOOSE( CONTROL!$C$32, 7.0707, 7.0675) * CHOOSE(CONTROL!$C$15, $D$11, 100%, $F$11)</f>
        <v>7.0707000000000004</v>
      </c>
      <c r="G229" s="8">
        <f>CHOOSE( CONTROL!$C$32, 6.2516, 6.2484) * CHOOSE( CONTROL!$C$15, $D$11, 100%, $F$11)</f>
        <v>6.2515999999999998</v>
      </c>
      <c r="H229" s="4">
        <f>CHOOSE( CONTROL!$C$32, 7.1822, 7.1791) * CHOOSE(CONTROL!$C$15, $D$11, 100%, $F$11)</f>
        <v>7.1821999999999999</v>
      </c>
      <c r="I229" s="8">
        <f>CHOOSE( CONTROL!$C$32, 6.2423, 6.2392) * CHOOSE(CONTROL!$C$15, $D$11, 100%, $F$11)</f>
        <v>6.2423000000000002</v>
      </c>
      <c r="J229" s="4">
        <f>CHOOSE( CONTROL!$C$32, 6.1451, 6.1421) * CHOOSE(CONTROL!$C$15, $D$11, 100%, $F$11)</f>
        <v>6.1451000000000002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1.1791</v>
      </c>
      <c r="Q229" s="9">
        <v>29.874600000000001</v>
      </c>
      <c r="R229" s="9"/>
      <c r="S229" s="11"/>
    </row>
    <row r="230" spans="1:19" ht="15.75">
      <c r="A230" s="13">
        <v>48488</v>
      </c>
      <c r="B230" s="8">
        <f>6.6665 * CHOOSE(CONTROL!$C$15, $D$11, 100%, $F$11)</f>
        <v>6.6665000000000001</v>
      </c>
      <c r="C230" s="8">
        <f>6.6718 * CHOOSE(CONTROL!$C$15, $D$11, 100%, $F$11)</f>
        <v>6.6718000000000002</v>
      </c>
      <c r="D230" s="8">
        <f>6.6797 * CHOOSE( CONTROL!$C$15, $D$11, 100%, $F$11)</f>
        <v>6.6797000000000004</v>
      </c>
      <c r="E230" s="12">
        <f>6.6765 * CHOOSE( CONTROL!$C$15, $D$11, 100%, $F$11)</f>
        <v>6.6764999999999999</v>
      </c>
      <c r="F230" s="4">
        <f>7.3497 * CHOOSE(CONTROL!$C$15, $D$11, 100%, $F$11)</f>
        <v>7.3497000000000003</v>
      </c>
      <c r="G230" s="8">
        <f>6.5255 * CHOOSE( CONTROL!$C$15, $D$11, 100%, $F$11)</f>
        <v>6.5255000000000001</v>
      </c>
      <c r="H230" s="4">
        <f>7.4566 * CHOOSE(CONTROL!$C$15, $D$11, 100%, $F$11)</f>
        <v>7.4565999999999999</v>
      </c>
      <c r="I230" s="8">
        <f>6.5128 * CHOOSE(CONTROL!$C$15, $D$11, 100%, $F$11)</f>
        <v>6.5128000000000004</v>
      </c>
      <c r="J230" s="4">
        <f>6.4149 * CHOOSE(CONTROL!$C$15, $D$11, 100%, $F$11)</f>
        <v>6.4149000000000003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1.2183999999999999</v>
      </c>
      <c r="Q230" s="9">
        <v>30.8704</v>
      </c>
      <c r="R230" s="9"/>
      <c r="S230" s="11"/>
    </row>
    <row r="231" spans="1:19" ht="15.75">
      <c r="A231" s="13">
        <v>48519</v>
      </c>
      <c r="B231" s="8">
        <f>7.187 * CHOOSE(CONTROL!$C$15, $D$11, 100%, $F$11)</f>
        <v>7.1870000000000003</v>
      </c>
      <c r="C231" s="8">
        <f>7.1922 * CHOOSE(CONTROL!$C$15, $D$11, 100%, $F$11)</f>
        <v>7.1921999999999997</v>
      </c>
      <c r="D231" s="8">
        <f>7.1697 * CHOOSE( CONTROL!$C$15, $D$11, 100%, $F$11)</f>
        <v>7.1696999999999997</v>
      </c>
      <c r="E231" s="12">
        <f>7.1774 * CHOOSE( CONTROL!$C$15, $D$11, 100%, $F$11)</f>
        <v>7.1773999999999996</v>
      </c>
      <c r="F231" s="4">
        <f>7.8319 * CHOOSE(CONTROL!$C$15, $D$11, 100%, $F$11)</f>
        <v>7.8319000000000001</v>
      </c>
      <c r="G231" s="8">
        <f>7.0505 * CHOOSE( CONTROL!$C$15, $D$11, 100%, $F$11)</f>
        <v>7.0505000000000004</v>
      </c>
      <c r="H231" s="4">
        <f>7.9308 * CHOOSE(CONTROL!$C$15, $D$11, 100%, $F$11)</f>
        <v>7.9307999999999996</v>
      </c>
      <c r="I231" s="8">
        <f>7.0423 * CHOOSE(CONTROL!$C$15, $D$11, 100%, $F$11)</f>
        <v>7.0423</v>
      </c>
      <c r="J231" s="4">
        <f>6.9185 * CHOOSE(CONTROL!$C$15, $D$11, 100%, $F$11)</f>
        <v>6.9184999999999999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29.874600000000001</v>
      </c>
      <c r="R231" s="9"/>
      <c r="S231" s="11"/>
    </row>
    <row r="232" spans="1:19" ht="15.75">
      <c r="A232" s="13">
        <v>48549</v>
      </c>
      <c r="B232" s="8">
        <f>7.174 * CHOOSE(CONTROL!$C$15, $D$11, 100%, $F$11)</f>
        <v>7.1740000000000004</v>
      </c>
      <c r="C232" s="8">
        <f>7.1791 * CHOOSE(CONTROL!$C$15, $D$11, 100%, $F$11)</f>
        <v>7.1791</v>
      </c>
      <c r="D232" s="8">
        <f>7.1581 * CHOOSE( CONTROL!$C$15, $D$11, 100%, $F$11)</f>
        <v>7.1581000000000001</v>
      </c>
      <c r="E232" s="12">
        <f>7.1652 * CHOOSE( CONTROL!$C$15, $D$11, 100%, $F$11)</f>
        <v>7.1651999999999996</v>
      </c>
      <c r="F232" s="4">
        <f>7.8189 * CHOOSE(CONTROL!$C$15, $D$11, 100%, $F$11)</f>
        <v>7.8189000000000002</v>
      </c>
      <c r="G232" s="8">
        <f>7.0387 * CHOOSE( CONTROL!$C$15, $D$11, 100%, $F$11)</f>
        <v>7.0387000000000004</v>
      </c>
      <c r="H232" s="4">
        <f>7.918 * CHOOSE(CONTROL!$C$15, $D$11, 100%, $F$11)</f>
        <v>7.9180000000000001</v>
      </c>
      <c r="I232" s="8">
        <f>7.0343 * CHOOSE(CONTROL!$C$15, $D$11, 100%, $F$11)</f>
        <v>7.0343</v>
      </c>
      <c r="J232" s="4">
        <f>6.906 * CHOOSE(CONTROL!$C$15, $D$11, 100%, $F$11)</f>
        <v>6.9059999999999997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30.8704</v>
      </c>
      <c r="R232" s="9"/>
      <c r="S232" s="11"/>
    </row>
    <row r="233" spans="1:19" ht="15.75">
      <c r="A233" s="13">
        <v>48580</v>
      </c>
      <c r="B233" s="8">
        <f>7.4308 * CHOOSE(CONTROL!$C$15, $D$11, 100%, $F$11)</f>
        <v>7.4307999999999996</v>
      </c>
      <c r="C233" s="8">
        <f>7.4359 * CHOOSE(CONTROL!$C$15, $D$11, 100%, $F$11)</f>
        <v>7.4359000000000002</v>
      </c>
      <c r="D233" s="8">
        <f>7.4139 * CHOOSE( CONTROL!$C$15, $D$11, 100%, $F$11)</f>
        <v>7.4138999999999999</v>
      </c>
      <c r="E233" s="12">
        <f>7.4214 * CHOOSE( CONTROL!$C$15, $D$11, 100%, $F$11)</f>
        <v>7.4214000000000002</v>
      </c>
      <c r="F233" s="4">
        <f>8.0757 * CHOOSE(CONTROL!$C$15, $D$11, 100%, $F$11)</f>
        <v>8.0756999999999994</v>
      </c>
      <c r="G233" s="8">
        <f>7.2887 * CHOOSE( CONTROL!$C$15, $D$11, 100%, $F$11)</f>
        <v>7.2887000000000004</v>
      </c>
      <c r="H233" s="4">
        <f>8.1705 * CHOOSE(CONTROL!$C$15, $D$11, 100%, $F$11)</f>
        <v>8.1705000000000005</v>
      </c>
      <c r="I233" s="8">
        <f>7.2545 * CHOOSE(CONTROL!$C$15, $D$11, 100%, $F$11)</f>
        <v>7.2545000000000002</v>
      </c>
      <c r="J233" s="4">
        <f>7.1542 * CHOOSE(CONTROL!$C$15, $D$11, 100%, $F$11)</f>
        <v>7.1542000000000003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30.773700000000002</v>
      </c>
      <c r="R233" s="9"/>
      <c r="S233" s="11"/>
    </row>
    <row r="234" spans="1:19" ht="15.75">
      <c r="A234" s="13">
        <v>48611</v>
      </c>
      <c r="B234" s="8">
        <f>6.9524 * CHOOSE(CONTROL!$C$15, $D$11, 100%, $F$11)</f>
        <v>6.9523999999999999</v>
      </c>
      <c r="C234" s="8">
        <f>6.9575 * CHOOSE(CONTROL!$C$15, $D$11, 100%, $F$11)</f>
        <v>6.9574999999999996</v>
      </c>
      <c r="D234" s="8">
        <f>6.9311 * CHOOSE( CONTROL!$C$15, $D$11, 100%, $F$11)</f>
        <v>6.9310999999999998</v>
      </c>
      <c r="E234" s="12">
        <f>6.9402 * CHOOSE( CONTROL!$C$15, $D$11, 100%, $F$11)</f>
        <v>6.9401999999999999</v>
      </c>
      <c r="F234" s="4">
        <f>7.5973 * CHOOSE(CONTROL!$C$15, $D$11, 100%, $F$11)</f>
        <v>7.5972999999999997</v>
      </c>
      <c r="G234" s="8">
        <f>6.8097 * CHOOSE( CONTROL!$C$15, $D$11, 100%, $F$11)</f>
        <v>6.8097000000000003</v>
      </c>
      <c r="H234" s="4">
        <f>7.7 * CHOOSE(CONTROL!$C$15, $D$11, 100%, $F$11)</f>
        <v>7.7</v>
      </c>
      <c r="I234" s="8">
        <f>6.7627 * CHOOSE(CONTROL!$C$15, $D$11, 100%, $F$11)</f>
        <v>6.7626999999999997</v>
      </c>
      <c r="J234" s="4">
        <f>6.6917 * CHOOSE(CONTROL!$C$15, $D$11, 100%, $F$11)</f>
        <v>6.6917</v>
      </c>
      <c r="K234" s="4"/>
      <c r="L234" s="9">
        <v>26.469899999999999</v>
      </c>
      <c r="M234" s="9">
        <v>10.8962</v>
      </c>
      <c r="N234" s="9">
        <v>4.4660000000000002</v>
      </c>
      <c r="O234" s="9">
        <v>0.33789999999999998</v>
      </c>
      <c r="P234" s="9">
        <v>1.1676</v>
      </c>
      <c r="Q234" s="9">
        <v>27.7956</v>
      </c>
      <c r="R234" s="9"/>
      <c r="S234" s="11"/>
    </row>
    <row r="235" spans="1:19" ht="15.75">
      <c r="A235" s="13">
        <v>48639</v>
      </c>
      <c r="B235" s="8">
        <f>6.805 * CHOOSE(CONTROL!$C$15, $D$11, 100%, $F$11)</f>
        <v>6.8049999999999997</v>
      </c>
      <c r="C235" s="8">
        <f>6.8101 * CHOOSE(CONTROL!$C$15, $D$11, 100%, $F$11)</f>
        <v>6.8101000000000003</v>
      </c>
      <c r="D235" s="8">
        <f>6.7841 * CHOOSE( CONTROL!$C$15, $D$11, 100%, $F$11)</f>
        <v>6.7840999999999996</v>
      </c>
      <c r="E235" s="12">
        <f>6.7931 * CHOOSE( CONTROL!$C$15, $D$11, 100%, $F$11)</f>
        <v>6.7930999999999999</v>
      </c>
      <c r="F235" s="4">
        <f>7.4499 * CHOOSE(CONTROL!$C$15, $D$11, 100%, $F$11)</f>
        <v>7.4499000000000004</v>
      </c>
      <c r="G235" s="8">
        <f>6.6651 * CHOOSE( CONTROL!$C$15, $D$11, 100%, $F$11)</f>
        <v>6.6650999999999998</v>
      </c>
      <c r="H235" s="4">
        <f>7.5551 * CHOOSE(CONTROL!$C$15, $D$11, 100%, $F$11)</f>
        <v>7.5551000000000004</v>
      </c>
      <c r="I235" s="8">
        <f>6.6214 * CHOOSE(CONTROL!$C$15, $D$11, 100%, $F$11)</f>
        <v>6.6214000000000004</v>
      </c>
      <c r="J235" s="4">
        <f>6.5492 * CHOOSE(CONTROL!$C$15, $D$11, 100%, $F$11)</f>
        <v>6.5491999999999999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30.773700000000002</v>
      </c>
      <c r="R235" s="9"/>
      <c r="S235" s="11"/>
    </row>
    <row r="236" spans="1:19" ht="15.75">
      <c r="A236" s="13">
        <v>48670</v>
      </c>
      <c r="B236" s="8">
        <f>6.9087 * CHOOSE(CONTROL!$C$15, $D$11, 100%, $F$11)</f>
        <v>6.9086999999999996</v>
      </c>
      <c r="C236" s="8">
        <f>6.9133 * CHOOSE(CONTROL!$C$15, $D$11, 100%, $F$11)</f>
        <v>6.9132999999999996</v>
      </c>
      <c r="D236" s="8">
        <f>6.9205 * CHOOSE( CONTROL!$C$15, $D$11, 100%, $F$11)</f>
        <v>6.9204999999999997</v>
      </c>
      <c r="E236" s="12">
        <f>6.9176 * CHOOSE( CONTROL!$C$15, $D$11, 100%, $F$11)</f>
        <v>6.9176000000000002</v>
      </c>
      <c r="F236" s="4">
        <f>7.5917 * CHOOSE(CONTROL!$C$15, $D$11, 100%, $F$11)</f>
        <v>7.5917000000000003</v>
      </c>
      <c r="G236" s="8">
        <f>6.7616 * CHOOSE( CONTROL!$C$15, $D$11, 100%, $F$11)</f>
        <v>6.7615999999999996</v>
      </c>
      <c r="H236" s="4">
        <f>7.6945 * CHOOSE(CONTROL!$C$15, $D$11, 100%, $F$11)</f>
        <v>7.6944999999999997</v>
      </c>
      <c r="I236" s="8">
        <f>6.7408 * CHOOSE(CONTROL!$C$15, $D$11, 100%, $F$11)</f>
        <v>6.7408000000000001</v>
      </c>
      <c r="J236" s="4">
        <f>6.6488 * CHOOSE(CONTROL!$C$15, $D$11, 100%, $F$11)</f>
        <v>6.6487999999999996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1.1791</v>
      </c>
      <c r="Q236" s="9">
        <v>29.780999999999999</v>
      </c>
      <c r="R236" s="9"/>
      <c r="S236" s="11"/>
    </row>
    <row r="237" spans="1:19" ht="15.75">
      <c r="A237" s="13">
        <v>48700</v>
      </c>
      <c r="B237" s="8">
        <f>CHOOSE( CONTROL!$C$32, 7.0966, 7.0934) * CHOOSE(CONTROL!$C$15, $D$11, 100%, $F$11)</f>
        <v>7.0965999999999996</v>
      </c>
      <c r="C237" s="8">
        <f>CHOOSE( CONTROL!$C$32, 7.1046, 7.1014) * CHOOSE(CONTROL!$C$15, $D$11, 100%, $F$11)</f>
        <v>7.1045999999999996</v>
      </c>
      <c r="D237" s="8">
        <f>CHOOSE( CONTROL!$C$32, 7.1069, 7.1037) * CHOOSE( CONTROL!$C$15, $D$11, 100%, $F$11)</f>
        <v>7.1069000000000004</v>
      </c>
      <c r="E237" s="12">
        <f>CHOOSE( CONTROL!$C$32, 7.1048, 7.1016) * CHOOSE( CONTROL!$C$15, $D$11, 100%, $F$11)</f>
        <v>7.1048</v>
      </c>
      <c r="F237" s="4">
        <f>CHOOSE( CONTROL!$C$32, 7.7781, 7.7749) * CHOOSE(CONTROL!$C$15, $D$11, 100%, $F$11)</f>
        <v>7.7781000000000002</v>
      </c>
      <c r="G237" s="8">
        <f>CHOOSE( CONTROL!$C$32, 6.9461, 6.943) * CHOOSE( CONTROL!$C$15, $D$11, 100%, $F$11)</f>
        <v>6.9461000000000004</v>
      </c>
      <c r="H237" s="4">
        <f>CHOOSE( CONTROL!$C$32, 7.8779, 7.8748) * CHOOSE(CONTROL!$C$15, $D$11, 100%, $F$11)</f>
        <v>7.8779000000000003</v>
      </c>
      <c r="I237" s="8">
        <f>CHOOSE( CONTROL!$C$32, 6.9227, 6.9196) * CHOOSE(CONTROL!$C$15, $D$11, 100%, $F$11)</f>
        <v>6.9226999999999999</v>
      </c>
      <c r="J237" s="4">
        <f>CHOOSE( CONTROL!$C$32, 6.829, 6.8259) * CHOOSE(CONTROL!$C$15, $D$11, 100%, $F$11)</f>
        <v>6.8289999999999997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1.2183999999999999</v>
      </c>
      <c r="Q237" s="9">
        <v>30.773700000000002</v>
      </c>
      <c r="R237" s="9"/>
      <c r="S237" s="11"/>
    </row>
    <row r="238" spans="1:19" ht="15.75">
      <c r="A238" s="13">
        <v>48731</v>
      </c>
      <c r="B238" s="8">
        <f>CHOOSE( CONTROL!$C$32, 6.983, 6.9798) * CHOOSE(CONTROL!$C$15, $D$11, 100%, $F$11)</f>
        <v>6.9829999999999997</v>
      </c>
      <c r="C238" s="8">
        <f>CHOOSE( CONTROL!$C$32, 6.9911, 6.9879) * CHOOSE(CONTROL!$C$15, $D$11, 100%, $F$11)</f>
        <v>6.9911000000000003</v>
      </c>
      <c r="D238" s="8">
        <f>CHOOSE( CONTROL!$C$32, 6.9937, 6.9905) * CHOOSE( CONTROL!$C$15, $D$11, 100%, $F$11)</f>
        <v>6.9936999999999996</v>
      </c>
      <c r="E238" s="12">
        <f>CHOOSE( CONTROL!$C$32, 6.9915, 6.9883) * CHOOSE( CONTROL!$C$15, $D$11, 100%, $F$11)</f>
        <v>6.9915000000000003</v>
      </c>
      <c r="F238" s="4">
        <f>CHOOSE( CONTROL!$C$32, 7.6646, 7.6614) * CHOOSE(CONTROL!$C$15, $D$11, 100%, $F$11)</f>
        <v>7.6646000000000001</v>
      </c>
      <c r="G238" s="8">
        <f>CHOOSE( CONTROL!$C$32, 6.8349, 6.8318) * CHOOSE( CONTROL!$C$15, $D$11, 100%, $F$11)</f>
        <v>6.8349000000000002</v>
      </c>
      <c r="H238" s="4">
        <f>CHOOSE( CONTROL!$C$32, 7.7663, 7.7631) * CHOOSE(CONTROL!$C$15, $D$11, 100%, $F$11)</f>
        <v>7.7663000000000002</v>
      </c>
      <c r="I238" s="8">
        <f>CHOOSE( CONTROL!$C$32, 6.8143, 6.8113) * CHOOSE(CONTROL!$C$15, $D$11, 100%, $F$11)</f>
        <v>6.8143000000000002</v>
      </c>
      <c r="J238" s="4">
        <f>CHOOSE( CONTROL!$C$32, 6.7193, 6.7162) * CHOOSE(CONTROL!$C$15, $D$11, 100%, $F$11)</f>
        <v>6.7192999999999996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1.1791</v>
      </c>
      <c r="Q238" s="9">
        <v>29.780999999999999</v>
      </c>
      <c r="R238" s="9"/>
      <c r="S238" s="11"/>
    </row>
    <row r="239" spans="1:19" ht="15.75">
      <c r="A239" s="13">
        <v>48761</v>
      </c>
      <c r="B239" s="8">
        <f>CHOOSE( CONTROL!$C$32, 7.282, 7.2788) * CHOOSE(CONTROL!$C$15, $D$11, 100%, $F$11)</f>
        <v>7.282</v>
      </c>
      <c r="C239" s="8">
        <f>CHOOSE( CONTROL!$C$32, 7.29, 7.2868) * CHOOSE(CONTROL!$C$15, $D$11, 100%, $F$11)</f>
        <v>7.29</v>
      </c>
      <c r="D239" s="8">
        <f>CHOOSE( CONTROL!$C$32, 7.2929, 7.2897) * CHOOSE( CONTROL!$C$15, $D$11, 100%, $F$11)</f>
        <v>7.2929000000000004</v>
      </c>
      <c r="E239" s="12">
        <f>CHOOSE( CONTROL!$C$32, 7.2906, 7.2874) * CHOOSE( CONTROL!$C$15, $D$11, 100%, $F$11)</f>
        <v>7.2906000000000004</v>
      </c>
      <c r="F239" s="4">
        <f>CHOOSE( CONTROL!$C$32, 7.9635, 7.9603) * CHOOSE(CONTROL!$C$15, $D$11, 100%, $F$11)</f>
        <v>7.9634999999999998</v>
      </c>
      <c r="G239" s="8">
        <f>CHOOSE( CONTROL!$C$32, 7.1294, 7.1262) * CHOOSE( CONTROL!$C$15, $D$11, 100%, $F$11)</f>
        <v>7.1294000000000004</v>
      </c>
      <c r="H239" s="4">
        <f>CHOOSE( CONTROL!$C$32, 8.0603, 8.0571) * CHOOSE(CONTROL!$C$15, $D$11, 100%, $F$11)</f>
        <v>8.0602999999999998</v>
      </c>
      <c r="I239" s="8">
        <f>CHOOSE( CONTROL!$C$32, 7.1049, 7.1018) * CHOOSE(CONTROL!$C$15, $D$11, 100%, $F$11)</f>
        <v>7.1048999999999998</v>
      </c>
      <c r="J239" s="4">
        <f>CHOOSE( CONTROL!$C$32, 7.0083, 7.0052) * CHOOSE(CONTROL!$C$15, $D$11, 100%, $F$11)</f>
        <v>7.0083000000000002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30.773700000000002</v>
      </c>
      <c r="R239" s="9"/>
      <c r="S239" s="11"/>
    </row>
    <row r="240" spans="1:19" ht="15.75">
      <c r="A240" s="13">
        <v>48792</v>
      </c>
      <c r="B240" s="8">
        <f>CHOOSE( CONTROL!$C$32, 6.7226, 6.7194) * CHOOSE(CONTROL!$C$15, $D$11, 100%, $F$11)</f>
        <v>6.7225999999999999</v>
      </c>
      <c r="C240" s="8">
        <f>CHOOSE( CONTROL!$C$32, 6.7306, 6.7274) * CHOOSE(CONTROL!$C$15, $D$11, 100%, $F$11)</f>
        <v>6.7305999999999999</v>
      </c>
      <c r="D240" s="8">
        <f>CHOOSE( CONTROL!$C$32, 6.7337, 6.7305) * CHOOSE( CONTROL!$C$15, $D$11, 100%, $F$11)</f>
        <v>6.7336999999999998</v>
      </c>
      <c r="E240" s="12">
        <f>CHOOSE( CONTROL!$C$32, 6.7314, 6.7282) * CHOOSE( CONTROL!$C$15, $D$11, 100%, $F$11)</f>
        <v>6.7313999999999998</v>
      </c>
      <c r="F240" s="4">
        <f>CHOOSE( CONTROL!$C$32, 7.4042, 7.401) * CHOOSE(CONTROL!$C$15, $D$11, 100%, $F$11)</f>
        <v>7.4042000000000003</v>
      </c>
      <c r="G240" s="8">
        <f>CHOOSE( CONTROL!$C$32, 6.5795, 6.5764) * CHOOSE( CONTROL!$C$15, $D$11, 100%, $F$11)</f>
        <v>6.5795000000000003</v>
      </c>
      <c r="H240" s="4">
        <f>CHOOSE( CONTROL!$C$32, 7.5102, 7.507) * CHOOSE(CONTROL!$C$15, $D$11, 100%, $F$11)</f>
        <v>7.5102000000000002</v>
      </c>
      <c r="I240" s="8">
        <f>CHOOSE( CONTROL!$C$32, 6.5647, 6.5616) * CHOOSE(CONTROL!$C$15, $D$11, 100%, $F$11)</f>
        <v>6.5647000000000002</v>
      </c>
      <c r="J240" s="4">
        <f>CHOOSE( CONTROL!$C$32, 6.4675, 6.4644) * CHOOSE(CONTROL!$C$15, $D$11, 100%, $F$11)</f>
        <v>6.4675000000000002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1.2183999999999999</v>
      </c>
      <c r="Q240" s="9">
        <v>30.773700000000002</v>
      </c>
      <c r="R240" s="9"/>
      <c r="S240" s="11"/>
    </row>
    <row r="241" spans="1:19" ht="15.75">
      <c r="A241" s="13">
        <v>48823</v>
      </c>
      <c r="B241" s="8">
        <f>CHOOSE( CONTROL!$C$32, 6.5826, 6.5794) * CHOOSE(CONTROL!$C$15, $D$11, 100%, $F$11)</f>
        <v>6.5826000000000002</v>
      </c>
      <c r="C241" s="8">
        <f>CHOOSE( CONTROL!$C$32, 6.5906, 6.5874) * CHOOSE(CONTROL!$C$15, $D$11, 100%, $F$11)</f>
        <v>6.5906000000000002</v>
      </c>
      <c r="D241" s="8">
        <f>CHOOSE( CONTROL!$C$32, 6.5937, 6.5905) * CHOOSE( CONTROL!$C$15, $D$11, 100%, $F$11)</f>
        <v>6.5937000000000001</v>
      </c>
      <c r="E241" s="12">
        <f>CHOOSE( CONTROL!$C$32, 6.5914, 6.5882) * CHOOSE( CONTROL!$C$15, $D$11, 100%, $F$11)</f>
        <v>6.5914000000000001</v>
      </c>
      <c r="F241" s="4">
        <f>CHOOSE( CONTROL!$C$32, 7.2641, 7.2609) * CHOOSE(CONTROL!$C$15, $D$11, 100%, $F$11)</f>
        <v>7.2641</v>
      </c>
      <c r="G241" s="8">
        <f>CHOOSE( CONTROL!$C$32, 6.4418, 6.4386) * CHOOSE( CONTROL!$C$15, $D$11, 100%, $F$11)</f>
        <v>6.4417999999999997</v>
      </c>
      <c r="H241" s="4">
        <f>CHOOSE( CONTROL!$C$32, 7.3724, 7.3693) * CHOOSE(CONTROL!$C$15, $D$11, 100%, $F$11)</f>
        <v>7.3723999999999998</v>
      </c>
      <c r="I241" s="8">
        <f>CHOOSE( CONTROL!$C$32, 6.4294, 6.4263) * CHOOSE(CONTROL!$C$15, $D$11, 100%, $F$11)</f>
        <v>6.4294000000000002</v>
      </c>
      <c r="J241" s="4">
        <f>CHOOSE( CONTROL!$C$32, 6.3321, 6.329) * CHOOSE(CONTROL!$C$15, $D$11, 100%, $F$11)</f>
        <v>6.3320999999999996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1.1791</v>
      </c>
      <c r="Q241" s="9">
        <v>29.780999999999999</v>
      </c>
      <c r="R241" s="9"/>
      <c r="S241" s="11"/>
    </row>
    <row r="242" spans="1:19" ht="15.75">
      <c r="A242" s="13">
        <v>48853</v>
      </c>
      <c r="B242" s="8">
        <f>6.8685 * CHOOSE(CONTROL!$C$15, $D$11, 100%, $F$11)</f>
        <v>6.8685</v>
      </c>
      <c r="C242" s="8">
        <f>6.8738 * CHOOSE(CONTROL!$C$15, $D$11, 100%, $F$11)</f>
        <v>6.8738000000000001</v>
      </c>
      <c r="D242" s="8">
        <f>6.8817 * CHOOSE( CONTROL!$C$15, $D$11, 100%, $F$11)</f>
        <v>6.8817000000000004</v>
      </c>
      <c r="E242" s="12">
        <f>6.8785 * CHOOSE( CONTROL!$C$15, $D$11, 100%, $F$11)</f>
        <v>6.8784999999999998</v>
      </c>
      <c r="F242" s="4">
        <f>7.5517 * CHOOSE(CONTROL!$C$15, $D$11, 100%, $F$11)</f>
        <v>7.5517000000000003</v>
      </c>
      <c r="G242" s="8">
        <f>6.7242 * CHOOSE( CONTROL!$C$15, $D$11, 100%, $F$11)</f>
        <v>6.7241999999999997</v>
      </c>
      <c r="H242" s="4">
        <f>7.6553 * CHOOSE(CONTROL!$C$15, $D$11, 100%, $F$11)</f>
        <v>7.6553000000000004</v>
      </c>
      <c r="I242" s="8">
        <f>6.7082 * CHOOSE(CONTROL!$C$15, $D$11, 100%, $F$11)</f>
        <v>6.7081999999999997</v>
      </c>
      <c r="J242" s="4">
        <f>6.6102 * CHOOSE(CONTROL!$C$15, $D$11, 100%, $F$11)</f>
        <v>6.6101999999999999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1.2183999999999999</v>
      </c>
      <c r="Q242" s="9">
        <v>30.773700000000002</v>
      </c>
      <c r="R242" s="9"/>
      <c r="S242" s="11"/>
    </row>
    <row r="243" spans="1:19" ht="15.75">
      <c r="A243" s="13">
        <v>48884</v>
      </c>
      <c r="B243" s="8">
        <f>7.4049 * CHOOSE(CONTROL!$C$15, $D$11, 100%, $F$11)</f>
        <v>7.4048999999999996</v>
      </c>
      <c r="C243" s="8">
        <f>7.41 * CHOOSE(CONTROL!$C$15, $D$11, 100%, $F$11)</f>
        <v>7.41</v>
      </c>
      <c r="D243" s="8">
        <f>7.3875 * CHOOSE( CONTROL!$C$15, $D$11, 100%, $F$11)</f>
        <v>7.3875000000000002</v>
      </c>
      <c r="E243" s="12">
        <f>7.3952 * CHOOSE( CONTROL!$C$15, $D$11, 100%, $F$11)</f>
        <v>7.3952</v>
      </c>
      <c r="F243" s="4">
        <f>8.0498 * CHOOSE(CONTROL!$C$15, $D$11, 100%, $F$11)</f>
        <v>8.0497999999999994</v>
      </c>
      <c r="G243" s="8">
        <f>7.2647 * CHOOSE( CONTROL!$C$15, $D$11, 100%, $F$11)</f>
        <v>7.2647000000000004</v>
      </c>
      <c r="H243" s="4">
        <f>8.1451 * CHOOSE(CONTROL!$C$15, $D$11, 100%, $F$11)</f>
        <v>8.1450999999999993</v>
      </c>
      <c r="I243" s="8">
        <f>7.253 * CHOOSE(CONTROL!$C$15, $D$11, 100%, $F$11)</f>
        <v>7.2530000000000001</v>
      </c>
      <c r="J243" s="4">
        <f>7.1291 * CHOOSE(CONTROL!$C$15, $D$11, 100%, $F$11)</f>
        <v>7.1291000000000002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29.780999999999999</v>
      </c>
      <c r="R243" s="9"/>
      <c r="S243" s="11"/>
    </row>
    <row r="244" spans="1:19" ht="15.75">
      <c r="A244" s="13">
        <v>48914</v>
      </c>
      <c r="B244" s="8">
        <f>7.3915 * CHOOSE(CONTROL!$C$15, $D$11, 100%, $F$11)</f>
        <v>7.3914999999999997</v>
      </c>
      <c r="C244" s="8">
        <f>7.3966 * CHOOSE(CONTROL!$C$15, $D$11, 100%, $F$11)</f>
        <v>7.3966000000000003</v>
      </c>
      <c r="D244" s="8">
        <f>7.3756 * CHOOSE( CONTROL!$C$15, $D$11, 100%, $F$11)</f>
        <v>7.3756000000000004</v>
      </c>
      <c r="E244" s="12">
        <f>7.3827 * CHOOSE( CONTROL!$C$15, $D$11, 100%, $F$11)</f>
        <v>7.3826999999999998</v>
      </c>
      <c r="F244" s="4">
        <f>8.0364 * CHOOSE(CONTROL!$C$15, $D$11, 100%, $F$11)</f>
        <v>8.0364000000000004</v>
      </c>
      <c r="G244" s="8">
        <f>7.2526 * CHOOSE( CONTROL!$C$15, $D$11, 100%, $F$11)</f>
        <v>7.2526000000000002</v>
      </c>
      <c r="H244" s="4">
        <f>8.1319 * CHOOSE(CONTROL!$C$15, $D$11, 100%, $F$11)</f>
        <v>8.1318999999999999</v>
      </c>
      <c r="I244" s="8">
        <f>7.2447 * CHOOSE(CONTROL!$C$15, $D$11, 100%, $F$11)</f>
        <v>7.2446999999999999</v>
      </c>
      <c r="J244" s="4">
        <f>7.1162 * CHOOSE(CONTROL!$C$15, $D$11, 100%, $F$11)</f>
        <v>7.1162000000000001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30.773700000000002</v>
      </c>
      <c r="R244" s="9"/>
      <c r="S244" s="11"/>
    </row>
    <row r="245" spans="1:19" ht="15.75">
      <c r="A245" s="13">
        <v>48945</v>
      </c>
      <c r="B245" s="8">
        <f>7.5838 * CHOOSE(CONTROL!$C$15, $D$11, 100%, $F$11)</f>
        <v>7.5838000000000001</v>
      </c>
      <c r="C245" s="8">
        <f>7.589 * CHOOSE(CONTROL!$C$15, $D$11, 100%, $F$11)</f>
        <v>7.5890000000000004</v>
      </c>
      <c r="D245" s="8">
        <f>7.567 * CHOOSE( CONTROL!$C$15, $D$11, 100%, $F$11)</f>
        <v>7.5670000000000002</v>
      </c>
      <c r="E245" s="12">
        <f>7.5745 * CHOOSE( CONTROL!$C$15, $D$11, 100%, $F$11)</f>
        <v>7.5744999999999996</v>
      </c>
      <c r="F245" s="4">
        <f>8.2287 * CHOOSE(CONTROL!$C$15, $D$11, 100%, $F$11)</f>
        <v>8.2286999999999999</v>
      </c>
      <c r="G245" s="8">
        <f>7.4392 * CHOOSE( CONTROL!$C$15, $D$11, 100%, $F$11)</f>
        <v>7.4391999999999996</v>
      </c>
      <c r="H245" s="4">
        <f>8.321 * CHOOSE(CONTROL!$C$15, $D$11, 100%, $F$11)</f>
        <v>8.3209999999999997</v>
      </c>
      <c r="I245" s="8">
        <f>7.4025 * CHOOSE(CONTROL!$C$15, $D$11, 100%, $F$11)</f>
        <v>7.4024999999999999</v>
      </c>
      <c r="J245" s="4">
        <f>7.3021 * CHOOSE(CONTROL!$C$15, $D$11, 100%, $F$11)</f>
        <v>7.3021000000000003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30.7105</v>
      </c>
      <c r="R245" s="9"/>
      <c r="S245" s="11"/>
    </row>
    <row r="246" spans="1:19" ht="15.75">
      <c r="A246" s="13">
        <v>48976</v>
      </c>
      <c r="B246" s="8">
        <f>7.0955 * CHOOSE(CONTROL!$C$15, $D$11, 100%, $F$11)</f>
        <v>7.0955000000000004</v>
      </c>
      <c r="C246" s="8">
        <f>7.1006 * CHOOSE(CONTROL!$C$15, $D$11, 100%, $F$11)</f>
        <v>7.1006</v>
      </c>
      <c r="D246" s="8">
        <f>7.0743 * CHOOSE( CONTROL!$C$15, $D$11, 100%, $F$11)</f>
        <v>7.0743</v>
      </c>
      <c r="E246" s="12">
        <f>7.0834 * CHOOSE( CONTROL!$C$15, $D$11, 100%, $F$11)</f>
        <v>7.0834000000000001</v>
      </c>
      <c r="F246" s="4">
        <f>7.7404 * CHOOSE(CONTROL!$C$15, $D$11, 100%, $F$11)</f>
        <v>7.7404000000000002</v>
      </c>
      <c r="G246" s="8">
        <f>6.9505 * CHOOSE( CONTROL!$C$15, $D$11, 100%, $F$11)</f>
        <v>6.9504999999999999</v>
      </c>
      <c r="H246" s="4">
        <f>7.8408 * CHOOSE(CONTROL!$C$15, $D$11, 100%, $F$11)</f>
        <v>7.8407999999999998</v>
      </c>
      <c r="I246" s="8">
        <f>6.9012 * CHOOSE(CONTROL!$C$15, $D$11, 100%, $F$11)</f>
        <v>6.9012000000000002</v>
      </c>
      <c r="J246" s="4">
        <f>6.8301 * CHOOSE(CONTROL!$C$15, $D$11, 100%, $F$11)</f>
        <v>6.8300999999999998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27.738499999999998</v>
      </c>
      <c r="R246" s="9"/>
      <c r="S246" s="11"/>
    </row>
    <row r="247" spans="1:19" ht="15.75">
      <c r="A247" s="13">
        <v>49004</v>
      </c>
      <c r="B247" s="8">
        <f>6.9451 * CHOOSE(CONTROL!$C$15, $D$11, 100%, $F$11)</f>
        <v>6.9451000000000001</v>
      </c>
      <c r="C247" s="8">
        <f>6.9502 * CHOOSE(CONTROL!$C$15, $D$11, 100%, $F$11)</f>
        <v>6.9501999999999997</v>
      </c>
      <c r="D247" s="8">
        <f>6.9242 * CHOOSE( CONTROL!$C$15, $D$11, 100%, $F$11)</f>
        <v>6.9241999999999999</v>
      </c>
      <c r="E247" s="12">
        <f>6.9332 * CHOOSE( CONTROL!$C$15, $D$11, 100%, $F$11)</f>
        <v>6.9332000000000003</v>
      </c>
      <c r="F247" s="4">
        <f>7.59 * CHOOSE(CONTROL!$C$15, $D$11, 100%, $F$11)</f>
        <v>7.59</v>
      </c>
      <c r="G247" s="8">
        <f>6.8028 * CHOOSE( CONTROL!$C$15, $D$11, 100%, $F$11)</f>
        <v>6.8028000000000004</v>
      </c>
      <c r="H247" s="4">
        <f>7.6929 * CHOOSE(CONTROL!$C$15, $D$11, 100%, $F$11)</f>
        <v>7.6928999999999998</v>
      </c>
      <c r="I247" s="8">
        <f>6.7569 * CHOOSE(CONTROL!$C$15, $D$11, 100%, $F$11)</f>
        <v>6.7568999999999999</v>
      </c>
      <c r="J247" s="4">
        <f>6.6847 * CHOOSE(CONTROL!$C$15, $D$11, 100%, $F$11)</f>
        <v>6.6847000000000003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30.7105</v>
      </c>
      <c r="R247" s="9"/>
      <c r="S247" s="11"/>
    </row>
    <row r="248" spans="1:19" ht="15.75">
      <c r="A248" s="13">
        <v>49035</v>
      </c>
      <c r="B248" s="8">
        <f>7.051 * CHOOSE(CONTROL!$C$15, $D$11, 100%, $F$11)</f>
        <v>7.0510000000000002</v>
      </c>
      <c r="C248" s="8">
        <f>7.0555 * CHOOSE(CONTROL!$C$15, $D$11, 100%, $F$11)</f>
        <v>7.0555000000000003</v>
      </c>
      <c r="D248" s="8">
        <f>7.0627 * CHOOSE( CONTROL!$C$15, $D$11, 100%, $F$11)</f>
        <v>7.0627000000000004</v>
      </c>
      <c r="E248" s="12">
        <f>7.0598 * CHOOSE( CONTROL!$C$15, $D$11, 100%, $F$11)</f>
        <v>7.0598000000000001</v>
      </c>
      <c r="F248" s="4">
        <f>7.7339 * CHOOSE(CONTROL!$C$15, $D$11, 100%, $F$11)</f>
        <v>7.7339000000000002</v>
      </c>
      <c r="G248" s="8">
        <f>6.9015 * CHOOSE( CONTROL!$C$15, $D$11, 100%, $F$11)</f>
        <v>6.9015000000000004</v>
      </c>
      <c r="H248" s="4">
        <f>7.8344 * CHOOSE(CONTROL!$C$15, $D$11, 100%, $F$11)</f>
        <v>7.8343999999999996</v>
      </c>
      <c r="I248" s="8">
        <f>6.8784 * CHOOSE(CONTROL!$C$15, $D$11, 100%, $F$11)</f>
        <v>6.8784000000000001</v>
      </c>
      <c r="J248" s="4">
        <f>6.7863 * CHOOSE(CONTROL!$C$15, $D$11, 100%, $F$11)</f>
        <v>6.7862999999999998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1.1791</v>
      </c>
      <c r="Q248" s="9">
        <v>29.719799999999999</v>
      </c>
      <c r="R248" s="9"/>
      <c r="S248" s="11"/>
    </row>
    <row r="249" spans="1:19" ht="15.75">
      <c r="A249" s="13">
        <v>49065</v>
      </c>
      <c r="B249" s="8">
        <f>CHOOSE( CONTROL!$C$32, 7.2426, 7.2394) * CHOOSE(CONTROL!$C$15, $D$11, 100%, $F$11)</f>
        <v>7.2426000000000004</v>
      </c>
      <c r="C249" s="8">
        <f>CHOOSE( CONTROL!$C$32, 7.2506, 7.2474) * CHOOSE(CONTROL!$C$15, $D$11, 100%, $F$11)</f>
        <v>7.2506000000000004</v>
      </c>
      <c r="D249" s="8">
        <f>CHOOSE( CONTROL!$C$32, 7.2529, 7.2497) * CHOOSE( CONTROL!$C$15, $D$11, 100%, $F$11)</f>
        <v>7.2529000000000003</v>
      </c>
      <c r="E249" s="12">
        <f>CHOOSE( CONTROL!$C$32, 7.2508, 7.2476) * CHOOSE( CONTROL!$C$15, $D$11, 100%, $F$11)</f>
        <v>7.2507999999999999</v>
      </c>
      <c r="F249" s="4">
        <f>CHOOSE( CONTROL!$C$32, 7.9241, 7.9209) * CHOOSE(CONTROL!$C$15, $D$11, 100%, $F$11)</f>
        <v>7.9241000000000001</v>
      </c>
      <c r="G249" s="8">
        <f>CHOOSE( CONTROL!$C$32, 7.0897, 7.0866) * CHOOSE( CONTROL!$C$15, $D$11, 100%, $F$11)</f>
        <v>7.0896999999999997</v>
      </c>
      <c r="H249" s="4">
        <f>CHOOSE( CONTROL!$C$32, 8.0215, 8.0184) * CHOOSE(CONTROL!$C$15, $D$11, 100%, $F$11)</f>
        <v>8.0214999999999996</v>
      </c>
      <c r="I249" s="8">
        <f>CHOOSE( CONTROL!$C$32, 7.064, 7.0609) * CHOOSE(CONTROL!$C$15, $D$11, 100%, $F$11)</f>
        <v>7.0640000000000001</v>
      </c>
      <c r="J249" s="4">
        <f>CHOOSE( CONTROL!$C$32, 6.9702, 6.9671) * CHOOSE(CONTROL!$C$15, $D$11, 100%, $F$11)</f>
        <v>6.9702000000000002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1.2183999999999999</v>
      </c>
      <c r="Q249" s="9">
        <v>30.7105</v>
      </c>
      <c r="R249" s="9"/>
      <c r="S249" s="11"/>
    </row>
    <row r="250" spans="1:19" ht="15.75">
      <c r="A250" s="13">
        <v>49096</v>
      </c>
      <c r="B250" s="8">
        <f>CHOOSE( CONTROL!$C$32, 7.1267, 7.1235) * CHOOSE(CONTROL!$C$15, $D$11, 100%, $F$11)</f>
        <v>7.1266999999999996</v>
      </c>
      <c r="C250" s="8">
        <f>CHOOSE( CONTROL!$C$32, 7.1347, 7.1315) * CHOOSE(CONTROL!$C$15, $D$11, 100%, $F$11)</f>
        <v>7.1346999999999996</v>
      </c>
      <c r="D250" s="8">
        <f>CHOOSE( CONTROL!$C$32, 7.1374, 7.1342) * CHOOSE( CONTROL!$C$15, $D$11, 100%, $F$11)</f>
        <v>7.1374000000000004</v>
      </c>
      <c r="E250" s="12">
        <f>CHOOSE( CONTROL!$C$32, 7.1352, 7.132) * CHOOSE( CONTROL!$C$15, $D$11, 100%, $F$11)</f>
        <v>7.1352000000000002</v>
      </c>
      <c r="F250" s="4">
        <f>CHOOSE( CONTROL!$C$32, 7.8083, 7.8051) * CHOOSE(CONTROL!$C$15, $D$11, 100%, $F$11)</f>
        <v>7.8083</v>
      </c>
      <c r="G250" s="8">
        <f>CHOOSE( CONTROL!$C$32, 6.9762, 6.9731) * CHOOSE( CONTROL!$C$15, $D$11, 100%, $F$11)</f>
        <v>6.9762000000000004</v>
      </c>
      <c r="H250" s="4">
        <f>CHOOSE( CONTROL!$C$32, 7.9076, 7.9044) * CHOOSE(CONTROL!$C$15, $D$11, 100%, $F$11)</f>
        <v>7.9076000000000004</v>
      </c>
      <c r="I250" s="8">
        <f>CHOOSE( CONTROL!$C$32, 6.9533, 6.9502) * CHOOSE(CONTROL!$C$15, $D$11, 100%, $F$11)</f>
        <v>6.9532999999999996</v>
      </c>
      <c r="J250" s="4">
        <f>CHOOSE( CONTROL!$C$32, 6.8582, 6.8551) * CHOOSE(CONTROL!$C$15, $D$11, 100%, $F$11)</f>
        <v>6.8582000000000001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1.1791</v>
      </c>
      <c r="Q250" s="9">
        <v>29.719799999999999</v>
      </c>
      <c r="R250" s="9"/>
      <c r="S250" s="11"/>
    </row>
    <row r="251" spans="1:19" ht="15.75">
      <c r="A251" s="13">
        <v>49126</v>
      </c>
      <c r="B251" s="8">
        <f>CHOOSE( CONTROL!$C$32, 7.4319, 7.4287) * CHOOSE(CONTROL!$C$15, $D$11, 100%, $F$11)</f>
        <v>7.4318999999999997</v>
      </c>
      <c r="C251" s="8">
        <f>CHOOSE( CONTROL!$C$32, 7.4399, 7.4367) * CHOOSE(CONTROL!$C$15, $D$11, 100%, $F$11)</f>
        <v>7.4398999999999997</v>
      </c>
      <c r="D251" s="8">
        <f>CHOOSE( CONTROL!$C$32, 7.4428, 7.4396) * CHOOSE( CONTROL!$C$15, $D$11, 100%, $F$11)</f>
        <v>7.4428000000000001</v>
      </c>
      <c r="E251" s="12">
        <f>CHOOSE( CONTROL!$C$32, 7.4405, 7.4373) * CHOOSE( CONTROL!$C$15, $D$11, 100%, $F$11)</f>
        <v>7.4405000000000001</v>
      </c>
      <c r="F251" s="4">
        <f>CHOOSE( CONTROL!$C$32, 8.1134, 8.1102) * CHOOSE(CONTROL!$C$15, $D$11, 100%, $F$11)</f>
        <v>8.1134000000000004</v>
      </c>
      <c r="G251" s="8">
        <f>CHOOSE( CONTROL!$C$32, 7.2767, 7.2736) * CHOOSE( CONTROL!$C$15, $D$11, 100%, $F$11)</f>
        <v>7.2766999999999999</v>
      </c>
      <c r="H251" s="4">
        <f>CHOOSE( CONTROL!$C$32, 8.2076, 8.2045) * CHOOSE(CONTROL!$C$15, $D$11, 100%, $F$11)</f>
        <v>8.2075999999999993</v>
      </c>
      <c r="I251" s="8">
        <f>CHOOSE( CONTROL!$C$32, 7.2499, 7.2468) * CHOOSE(CONTROL!$C$15, $D$11, 100%, $F$11)</f>
        <v>7.2499000000000002</v>
      </c>
      <c r="J251" s="4">
        <f>CHOOSE( CONTROL!$C$32, 7.1531, 7.15) * CHOOSE(CONTROL!$C$15, $D$11, 100%, $F$11)</f>
        <v>7.1531000000000002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30.7105</v>
      </c>
      <c r="R251" s="9"/>
      <c r="S251" s="11"/>
    </row>
    <row r="252" spans="1:19" ht="15.75">
      <c r="A252" s="13">
        <v>49157</v>
      </c>
      <c r="B252" s="8">
        <f>CHOOSE( CONTROL!$C$32, 6.8609, 6.8577) * CHOOSE(CONTROL!$C$15, $D$11, 100%, $F$11)</f>
        <v>6.8609</v>
      </c>
      <c r="C252" s="8">
        <f>CHOOSE( CONTROL!$C$32, 6.8689, 6.8657) * CHOOSE(CONTROL!$C$15, $D$11, 100%, $F$11)</f>
        <v>6.8689</v>
      </c>
      <c r="D252" s="8">
        <f>CHOOSE( CONTROL!$C$32, 6.872, 6.8688) * CHOOSE( CONTROL!$C$15, $D$11, 100%, $F$11)</f>
        <v>6.8719999999999999</v>
      </c>
      <c r="E252" s="12">
        <f>CHOOSE( CONTROL!$C$32, 6.8697, 6.8665) * CHOOSE( CONTROL!$C$15, $D$11, 100%, $F$11)</f>
        <v>6.8696999999999999</v>
      </c>
      <c r="F252" s="4">
        <f>CHOOSE( CONTROL!$C$32, 7.5425, 7.5393) * CHOOSE(CONTROL!$C$15, $D$11, 100%, $F$11)</f>
        <v>7.5425000000000004</v>
      </c>
      <c r="G252" s="8">
        <f>CHOOSE( CONTROL!$C$32, 6.7155, 6.7123) * CHOOSE( CONTROL!$C$15, $D$11, 100%, $F$11)</f>
        <v>6.7154999999999996</v>
      </c>
      <c r="H252" s="4">
        <f>CHOOSE( CONTROL!$C$32, 7.6462, 7.643) * CHOOSE(CONTROL!$C$15, $D$11, 100%, $F$11)</f>
        <v>7.6462000000000003</v>
      </c>
      <c r="I252" s="8">
        <f>CHOOSE( CONTROL!$C$32, 6.6984, 6.6953) * CHOOSE(CONTROL!$C$15, $D$11, 100%, $F$11)</f>
        <v>6.6984000000000004</v>
      </c>
      <c r="J252" s="4">
        <f>CHOOSE( CONTROL!$C$32, 6.6012, 6.5981) * CHOOSE(CONTROL!$C$15, $D$11, 100%, $F$11)</f>
        <v>6.6012000000000004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1.2183999999999999</v>
      </c>
      <c r="Q252" s="9">
        <v>30.7105</v>
      </c>
      <c r="R252" s="9"/>
      <c r="S252" s="11"/>
    </row>
    <row r="253" spans="1:19" ht="15.75">
      <c r="A253" s="13">
        <v>49188</v>
      </c>
      <c r="B253" s="8">
        <f>CHOOSE( CONTROL!$C$32, 6.7179, 6.7147) * CHOOSE(CONTROL!$C$15, $D$11, 100%, $F$11)</f>
        <v>6.7179000000000002</v>
      </c>
      <c r="C253" s="8">
        <f>CHOOSE( CONTROL!$C$32, 6.726, 6.7228) * CHOOSE(CONTROL!$C$15, $D$11, 100%, $F$11)</f>
        <v>6.726</v>
      </c>
      <c r="D253" s="8">
        <f>CHOOSE( CONTROL!$C$32, 6.7291, 6.7259) * CHOOSE( CONTROL!$C$15, $D$11, 100%, $F$11)</f>
        <v>6.7290999999999999</v>
      </c>
      <c r="E253" s="12">
        <f>CHOOSE( CONTROL!$C$32, 6.7267, 6.7235) * CHOOSE( CONTROL!$C$15, $D$11, 100%, $F$11)</f>
        <v>6.7267000000000001</v>
      </c>
      <c r="F253" s="4">
        <f>CHOOSE( CONTROL!$C$32, 7.3995, 7.3963) * CHOOSE(CONTROL!$C$15, $D$11, 100%, $F$11)</f>
        <v>7.3994999999999997</v>
      </c>
      <c r="G253" s="8">
        <f>CHOOSE( CONTROL!$C$32, 6.5749, 6.5718) * CHOOSE( CONTROL!$C$15, $D$11, 100%, $F$11)</f>
        <v>6.5749000000000004</v>
      </c>
      <c r="H253" s="4">
        <f>CHOOSE( CONTROL!$C$32, 7.5056, 7.5024) * CHOOSE(CONTROL!$C$15, $D$11, 100%, $F$11)</f>
        <v>7.5056000000000003</v>
      </c>
      <c r="I253" s="8">
        <f>CHOOSE( CONTROL!$C$32, 6.5603, 6.5572) * CHOOSE(CONTROL!$C$15, $D$11, 100%, $F$11)</f>
        <v>6.5602999999999998</v>
      </c>
      <c r="J253" s="4">
        <f>CHOOSE( CONTROL!$C$32, 6.463, 6.4599) * CHOOSE(CONTROL!$C$15, $D$11, 100%, $F$11)</f>
        <v>6.4630000000000001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1.1791</v>
      </c>
      <c r="Q253" s="9">
        <v>29.719799999999999</v>
      </c>
      <c r="R253" s="9"/>
      <c r="S253" s="11"/>
    </row>
    <row r="254" spans="1:19" ht="15.75">
      <c r="A254" s="13">
        <v>49218</v>
      </c>
      <c r="B254" s="8">
        <f>7.0099 * CHOOSE(CONTROL!$C$15, $D$11, 100%, $F$11)</f>
        <v>7.0099</v>
      </c>
      <c r="C254" s="8">
        <f>7.0152 * CHOOSE(CONTROL!$C$15, $D$11, 100%, $F$11)</f>
        <v>7.0152000000000001</v>
      </c>
      <c r="D254" s="8">
        <f>7.0231 * CHOOSE( CONTROL!$C$15, $D$11, 100%, $F$11)</f>
        <v>7.0231000000000003</v>
      </c>
      <c r="E254" s="12">
        <f>7.0199 * CHOOSE( CONTROL!$C$15, $D$11, 100%, $F$11)</f>
        <v>7.0198999999999998</v>
      </c>
      <c r="F254" s="4">
        <f>7.6931 * CHOOSE(CONTROL!$C$15, $D$11, 100%, $F$11)</f>
        <v>7.6931000000000003</v>
      </c>
      <c r="G254" s="8">
        <f>6.8633 * CHOOSE( CONTROL!$C$15, $D$11, 100%, $F$11)</f>
        <v>6.8632999999999997</v>
      </c>
      <c r="H254" s="4">
        <f>7.7943 * CHOOSE(CONTROL!$C$15, $D$11, 100%, $F$11)</f>
        <v>7.7942999999999998</v>
      </c>
      <c r="I254" s="8">
        <f>6.8449 * CHOOSE(CONTROL!$C$15, $D$11, 100%, $F$11)</f>
        <v>6.8449</v>
      </c>
      <c r="J254" s="4">
        <f>6.7469 * CHOOSE(CONTROL!$C$15, $D$11, 100%, $F$11)</f>
        <v>6.7469000000000001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1.2183999999999999</v>
      </c>
      <c r="Q254" s="9">
        <v>30.7105</v>
      </c>
      <c r="R254" s="9"/>
      <c r="S254" s="11"/>
    </row>
    <row r="255" spans="1:19" ht="15.75">
      <c r="A255" s="13">
        <v>49249</v>
      </c>
      <c r="B255" s="8">
        <f>7.5574 * CHOOSE(CONTROL!$C$15, $D$11, 100%, $F$11)</f>
        <v>7.5574000000000003</v>
      </c>
      <c r="C255" s="8">
        <f>7.5625 * CHOOSE(CONTROL!$C$15, $D$11, 100%, $F$11)</f>
        <v>7.5625</v>
      </c>
      <c r="D255" s="8">
        <f>7.54 * CHOOSE( CONTROL!$C$15, $D$11, 100%, $F$11)</f>
        <v>7.54</v>
      </c>
      <c r="E255" s="12">
        <f>7.5477 * CHOOSE( CONTROL!$C$15, $D$11, 100%, $F$11)</f>
        <v>7.5476999999999999</v>
      </c>
      <c r="F255" s="4">
        <f>8.2023 * CHOOSE(CONTROL!$C$15, $D$11, 100%, $F$11)</f>
        <v>8.2022999999999993</v>
      </c>
      <c r="G255" s="8">
        <f>7.4147 * CHOOSE( CONTROL!$C$15, $D$11, 100%, $F$11)</f>
        <v>7.4146999999999998</v>
      </c>
      <c r="H255" s="4">
        <f>8.295 * CHOOSE(CONTROL!$C$15, $D$11, 100%, $F$11)</f>
        <v>8.2949999999999999</v>
      </c>
      <c r="I255" s="8">
        <f>7.4005 * CHOOSE(CONTROL!$C$15, $D$11, 100%, $F$11)</f>
        <v>7.4005000000000001</v>
      </c>
      <c r="J255" s="4">
        <f>7.2766 * CHOOSE(CONTROL!$C$15, $D$11, 100%, $F$11)</f>
        <v>7.2766000000000002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29.719799999999999</v>
      </c>
      <c r="R255" s="9"/>
      <c r="S255" s="11"/>
    </row>
    <row r="256" spans="1:19" ht="15.75">
      <c r="A256" s="13">
        <v>49279</v>
      </c>
      <c r="B256" s="8">
        <f>7.5437 * CHOOSE(CONTROL!$C$15, $D$11, 100%, $F$11)</f>
        <v>7.5437000000000003</v>
      </c>
      <c r="C256" s="8">
        <f>7.5488 * CHOOSE(CONTROL!$C$15, $D$11, 100%, $F$11)</f>
        <v>7.5488</v>
      </c>
      <c r="D256" s="8">
        <f>7.5278 * CHOOSE( CONTROL!$C$15, $D$11, 100%, $F$11)</f>
        <v>7.5278</v>
      </c>
      <c r="E256" s="12">
        <f>7.5349 * CHOOSE( CONTROL!$C$15, $D$11, 100%, $F$11)</f>
        <v>7.5349000000000004</v>
      </c>
      <c r="F256" s="4">
        <f>8.1886 * CHOOSE(CONTROL!$C$15, $D$11, 100%, $F$11)</f>
        <v>8.1885999999999992</v>
      </c>
      <c r="G256" s="8">
        <f>7.4023 * CHOOSE( CONTROL!$C$15, $D$11, 100%, $F$11)</f>
        <v>7.4023000000000003</v>
      </c>
      <c r="H256" s="4">
        <f>8.2816 * CHOOSE(CONTROL!$C$15, $D$11, 100%, $F$11)</f>
        <v>8.2815999999999992</v>
      </c>
      <c r="I256" s="8">
        <f>7.3919 * CHOOSE(CONTROL!$C$15, $D$11, 100%, $F$11)</f>
        <v>7.3918999999999997</v>
      </c>
      <c r="J256" s="4">
        <f>7.2633 * CHOOSE(CONTROL!$C$15, $D$11, 100%, $F$11)</f>
        <v>7.2633000000000001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30.7105</v>
      </c>
      <c r="R256" s="9"/>
      <c r="S256" s="11"/>
    </row>
    <row r="257" spans="1:19" ht="15.75">
      <c r="A257" s="13">
        <v>49310</v>
      </c>
      <c r="B257" s="8">
        <f>7.7369 * CHOOSE(CONTROL!$C$15, $D$11, 100%, $F$11)</f>
        <v>7.7369000000000003</v>
      </c>
      <c r="C257" s="8">
        <f>7.742 * CHOOSE(CONTROL!$C$15, $D$11, 100%, $F$11)</f>
        <v>7.742</v>
      </c>
      <c r="D257" s="8">
        <f>7.72 * CHOOSE( CONTROL!$C$15, $D$11, 100%, $F$11)</f>
        <v>7.72</v>
      </c>
      <c r="E257" s="12">
        <f>7.7275 * CHOOSE( CONTROL!$C$15, $D$11, 100%, $F$11)</f>
        <v>7.7275</v>
      </c>
      <c r="F257" s="4">
        <f>8.3818 * CHOOSE(CONTROL!$C$15, $D$11, 100%, $F$11)</f>
        <v>8.3818000000000001</v>
      </c>
      <c r="G257" s="8">
        <f>7.5897 * CHOOSE( CONTROL!$C$15, $D$11, 100%, $F$11)</f>
        <v>7.5896999999999997</v>
      </c>
      <c r="H257" s="4">
        <f>8.4716 * CHOOSE(CONTROL!$C$15, $D$11, 100%, $F$11)</f>
        <v>8.4716000000000005</v>
      </c>
      <c r="I257" s="8">
        <f>7.5505 * CHOOSE(CONTROL!$C$15, $D$11, 100%, $F$11)</f>
        <v>7.5505000000000004</v>
      </c>
      <c r="J257" s="4">
        <f>7.4501 * CHOOSE(CONTROL!$C$15, $D$11, 100%, $F$11)</f>
        <v>7.4500999999999999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30.645399999999999</v>
      </c>
      <c r="R257" s="9"/>
      <c r="S257" s="11"/>
    </row>
    <row r="258" spans="1:19" ht="15.75">
      <c r="A258" s="13">
        <v>49341</v>
      </c>
      <c r="B258" s="8">
        <f>7.2387 * CHOOSE(CONTROL!$C$15, $D$11, 100%, $F$11)</f>
        <v>7.2386999999999997</v>
      </c>
      <c r="C258" s="8">
        <f>7.2438 * CHOOSE(CONTROL!$C$15, $D$11, 100%, $F$11)</f>
        <v>7.2438000000000002</v>
      </c>
      <c r="D258" s="8">
        <f>7.2174 * CHOOSE( CONTROL!$C$15, $D$11, 100%, $F$11)</f>
        <v>7.2173999999999996</v>
      </c>
      <c r="E258" s="12">
        <f>7.2265 * CHOOSE( CONTROL!$C$15, $D$11, 100%, $F$11)</f>
        <v>7.2264999999999997</v>
      </c>
      <c r="F258" s="4">
        <f>7.8835 * CHOOSE(CONTROL!$C$15, $D$11, 100%, $F$11)</f>
        <v>7.8834999999999997</v>
      </c>
      <c r="G258" s="8">
        <f>7.0912 * CHOOSE( CONTROL!$C$15, $D$11, 100%, $F$11)</f>
        <v>7.0911999999999997</v>
      </c>
      <c r="H258" s="4">
        <f>7.9816 * CHOOSE(CONTROL!$C$15, $D$11, 100%, $F$11)</f>
        <v>7.9816000000000003</v>
      </c>
      <c r="I258" s="8">
        <f>7.0396 * CHOOSE(CONTROL!$C$15, $D$11, 100%, $F$11)</f>
        <v>7.0396000000000001</v>
      </c>
      <c r="J258" s="4">
        <f>6.9684 * CHOOSE(CONTROL!$C$15, $D$11, 100%, $F$11)</f>
        <v>6.9683999999999999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27.6797</v>
      </c>
      <c r="R258" s="9"/>
      <c r="S258" s="11"/>
    </row>
    <row r="259" spans="1:19" ht="15.75">
      <c r="A259" s="13">
        <v>49369</v>
      </c>
      <c r="B259" s="8">
        <f>7.0852 * CHOOSE(CONTROL!$C$15, $D$11, 100%, $F$11)</f>
        <v>7.0852000000000004</v>
      </c>
      <c r="C259" s="8">
        <f>7.0903 * CHOOSE(CONTROL!$C$15, $D$11, 100%, $F$11)</f>
        <v>7.0903</v>
      </c>
      <c r="D259" s="8">
        <f>7.0643 * CHOOSE( CONTROL!$C$15, $D$11, 100%, $F$11)</f>
        <v>7.0643000000000002</v>
      </c>
      <c r="E259" s="12">
        <f>7.0733 * CHOOSE( CONTROL!$C$15, $D$11, 100%, $F$11)</f>
        <v>7.0732999999999997</v>
      </c>
      <c r="F259" s="4">
        <f>7.7301 * CHOOSE(CONTROL!$C$15, $D$11, 100%, $F$11)</f>
        <v>7.7301000000000002</v>
      </c>
      <c r="G259" s="8">
        <f>6.9406 * CHOOSE( CONTROL!$C$15, $D$11, 100%, $F$11)</f>
        <v>6.9405999999999999</v>
      </c>
      <c r="H259" s="4">
        <f>7.8307 * CHOOSE(CONTROL!$C$15, $D$11, 100%, $F$11)</f>
        <v>7.8307000000000002</v>
      </c>
      <c r="I259" s="8">
        <f>6.8924 * CHOOSE(CONTROL!$C$15, $D$11, 100%, $F$11)</f>
        <v>6.8924000000000003</v>
      </c>
      <c r="J259" s="4">
        <f>6.8201 * CHOOSE(CONTROL!$C$15, $D$11, 100%, $F$11)</f>
        <v>6.8201000000000001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30.645399999999999</v>
      </c>
      <c r="R259" s="9"/>
      <c r="S259" s="11"/>
    </row>
    <row r="260" spans="1:19" ht="15.75">
      <c r="A260" s="13">
        <v>49400</v>
      </c>
      <c r="B260" s="8">
        <f>7.1932 * CHOOSE(CONTROL!$C$15, $D$11, 100%, $F$11)</f>
        <v>7.1932</v>
      </c>
      <c r="C260" s="8">
        <f>7.1977 * CHOOSE(CONTROL!$C$15, $D$11, 100%, $F$11)</f>
        <v>7.1977000000000002</v>
      </c>
      <c r="D260" s="8">
        <f>7.2049 * CHOOSE( CONTROL!$C$15, $D$11, 100%, $F$11)</f>
        <v>7.2049000000000003</v>
      </c>
      <c r="E260" s="12">
        <f>7.202 * CHOOSE( CONTROL!$C$15, $D$11, 100%, $F$11)</f>
        <v>7.202</v>
      </c>
      <c r="F260" s="4">
        <f>7.8761 * CHOOSE(CONTROL!$C$15, $D$11, 100%, $F$11)</f>
        <v>7.8761000000000001</v>
      </c>
      <c r="G260" s="8">
        <f>7.0413 * CHOOSE( CONTROL!$C$15, $D$11, 100%, $F$11)</f>
        <v>7.0412999999999997</v>
      </c>
      <c r="H260" s="4">
        <f>7.9743 * CHOOSE(CONTROL!$C$15, $D$11, 100%, $F$11)</f>
        <v>7.9743000000000004</v>
      </c>
      <c r="I260" s="8">
        <f>7.016 * CHOOSE(CONTROL!$C$15, $D$11, 100%, $F$11)</f>
        <v>7.016</v>
      </c>
      <c r="J260" s="4">
        <f>6.9238 * CHOOSE(CONTROL!$C$15, $D$11, 100%, $F$11)</f>
        <v>6.9238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1.1791</v>
      </c>
      <c r="Q260" s="9">
        <v>29.6568</v>
      </c>
      <c r="R260" s="9"/>
      <c r="S260" s="11"/>
    </row>
    <row r="261" spans="1:19" ht="15.75">
      <c r="A261" s="13">
        <v>49430</v>
      </c>
      <c r="B261" s="8">
        <f>CHOOSE( CONTROL!$C$32, 7.3886, 7.3854) * CHOOSE(CONTROL!$C$15, $D$11, 100%, $F$11)</f>
        <v>7.3886000000000003</v>
      </c>
      <c r="C261" s="8">
        <f>CHOOSE( CONTROL!$C$32, 7.3966, 7.3934) * CHOOSE(CONTROL!$C$15, $D$11, 100%, $F$11)</f>
        <v>7.3966000000000003</v>
      </c>
      <c r="D261" s="8">
        <f>CHOOSE( CONTROL!$C$32, 7.399, 7.3958) * CHOOSE( CONTROL!$C$15, $D$11, 100%, $F$11)</f>
        <v>7.399</v>
      </c>
      <c r="E261" s="12">
        <f>CHOOSE( CONTROL!$C$32, 7.3969, 7.3937) * CHOOSE( CONTROL!$C$15, $D$11, 100%, $F$11)</f>
        <v>7.3968999999999996</v>
      </c>
      <c r="F261" s="4">
        <f>CHOOSE( CONTROL!$C$32, 8.0702, 8.067) * CHOOSE(CONTROL!$C$15, $D$11, 100%, $F$11)</f>
        <v>8.0701999999999998</v>
      </c>
      <c r="G261" s="8">
        <f>CHOOSE( CONTROL!$C$32, 7.2333, 7.2302) * CHOOSE( CONTROL!$C$15, $D$11, 100%, $F$11)</f>
        <v>7.2332999999999998</v>
      </c>
      <c r="H261" s="4">
        <f>CHOOSE( CONTROL!$C$32, 8.1651, 8.162) * CHOOSE(CONTROL!$C$15, $D$11, 100%, $F$11)</f>
        <v>8.1651000000000007</v>
      </c>
      <c r="I261" s="8">
        <f>CHOOSE( CONTROL!$C$32, 7.2052, 7.2021) * CHOOSE(CONTROL!$C$15, $D$11, 100%, $F$11)</f>
        <v>7.2051999999999996</v>
      </c>
      <c r="J261" s="4">
        <f>CHOOSE( CONTROL!$C$32, 7.1113, 7.1082) * CHOOSE(CONTROL!$C$15, $D$11, 100%, $F$11)</f>
        <v>7.1113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1.2183999999999999</v>
      </c>
      <c r="Q261" s="9">
        <v>30.645399999999999</v>
      </c>
      <c r="R261" s="9"/>
      <c r="S261" s="11"/>
    </row>
    <row r="262" spans="1:19" ht="15.75">
      <c r="A262" s="14">
        <v>49461</v>
      </c>
      <c r="B262" s="8">
        <f>CHOOSE( CONTROL!$C$32, 7.2704, 7.2672) * CHOOSE(CONTROL!$C$15, $D$11, 100%, $F$11)</f>
        <v>7.2704000000000004</v>
      </c>
      <c r="C262" s="8">
        <f>CHOOSE( CONTROL!$C$32, 7.2784, 7.2752) * CHOOSE(CONTROL!$C$15, $D$11, 100%, $F$11)</f>
        <v>7.2784000000000004</v>
      </c>
      <c r="D262" s="8">
        <f>CHOOSE( CONTROL!$C$32, 7.281, 7.2778) * CHOOSE( CONTROL!$C$15, $D$11, 100%, $F$11)</f>
        <v>7.2809999999999997</v>
      </c>
      <c r="E262" s="12">
        <f>CHOOSE( CONTROL!$C$32, 7.2788, 7.2756) * CHOOSE( CONTROL!$C$15, $D$11, 100%, $F$11)</f>
        <v>7.2788000000000004</v>
      </c>
      <c r="F262" s="4">
        <f>CHOOSE( CONTROL!$C$32, 7.9519, 7.9487) * CHOOSE(CONTROL!$C$15, $D$11, 100%, $F$11)</f>
        <v>7.9519000000000002</v>
      </c>
      <c r="G262" s="8">
        <f>CHOOSE( CONTROL!$C$32, 7.1175, 7.1143) * CHOOSE( CONTROL!$C$15, $D$11, 100%, $F$11)</f>
        <v>7.1174999999999997</v>
      </c>
      <c r="H262" s="4">
        <f>CHOOSE( CONTROL!$C$32, 8.0488, 8.0457) * CHOOSE(CONTROL!$C$15, $D$11, 100%, $F$11)</f>
        <v>8.0488</v>
      </c>
      <c r="I262" s="8">
        <f>CHOOSE( CONTROL!$C$32, 7.0923, 7.0892) * CHOOSE(CONTROL!$C$15, $D$11, 100%, $F$11)</f>
        <v>7.0922999999999998</v>
      </c>
      <c r="J262" s="4">
        <f>CHOOSE( CONTROL!$C$32, 6.9971, 6.994) * CHOOSE(CONTROL!$C$15, $D$11, 100%, $F$11)</f>
        <v>6.9970999999999997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1.1791</v>
      </c>
      <c r="Q262" s="9">
        <v>29.6568</v>
      </c>
      <c r="R262" s="9"/>
      <c r="S262" s="11"/>
    </row>
    <row r="263" spans="1:19" ht="15.75">
      <c r="A263" s="14">
        <v>49491</v>
      </c>
      <c r="B263" s="8">
        <f>CHOOSE( CONTROL!$C$32, 7.5817, 7.5785) * CHOOSE(CONTROL!$C$15, $D$11, 100%, $F$11)</f>
        <v>7.5816999999999997</v>
      </c>
      <c r="C263" s="8">
        <f>CHOOSE( CONTROL!$C$32, 7.5897, 7.5865) * CHOOSE(CONTROL!$C$15, $D$11, 100%, $F$11)</f>
        <v>7.5896999999999997</v>
      </c>
      <c r="D263" s="8">
        <f>CHOOSE( CONTROL!$C$32, 7.5926, 7.5894) * CHOOSE( CONTROL!$C$15, $D$11, 100%, $F$11)</f>
        <v>7.5926</v>
      </c>
      <c r="E263" s="12">
        <f>CHOOSE( CONTROL!$C$32, 7.5903, 7.5871) * CHOOSE( CONTROL!$C$15, $D$11, 100%, $F$11)</f>
        <v>7.5903</v>
      </c>
      <c r="F263" s="4">
        <f>CHOOSE( CONTROL!$C$32, 8.2633, 8.2601) * CHOOSE(CONTROL!$C$15, $D$11, 100%, $F$11)</f>
        <v>8.2632999999999992</v>
      </c>
      <c r="G263" s="8">
        <f>CHOOSE( CONTROL!$C$32, 7.4241, 7.421) * CHOOSE( CONTROL!$C$15, $D$11, 100%, $F$11)</f>
        <v>7.4241000000000001</v>
      </c>
      <c r="H263" s="4">
        <f>CHOOSE( CONTROL!$C$32, 8.355, 8.3519) * CHOOSE(CONTROL!$C$15, $D$11, 100%, $F$11)</f>
        <v>8.3550000000000004</v>
      </c>
      <c r="I263" s="8">
        <f>CHOOSE( CONTROL!$C$32, 7.3948, 7.3917) * CHOOSE(CONTROL!$C$15, $D$11, 100%, $F$11)</f>
        <v>7.3948</v>
      </c>
      <c r="J263" s="4">
        <f>CHOOSE( CONTROL!$C$32, 7.298, 7.2949) * CHOOSE(CONTROL!$C$15, $D$11, 100%, $F$11)</f>
        <v>7.298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30.645399999999999</v>
      </c>
      <c r="R263" s="9"/>
      <c r="S263" s="11"/>
    </row>
    <row r="264" spans="1:19" ht="15.75">
      <c r="A264" s="14">
        <v>49522</v>
      </c>
      <c r="B264" s="8">
        <f>CHOOSE( CONTROL!$C$32, 6.9992, 6.996) * CHOOSE(CONTROL!$C$15, $D$11, 100%, $F$11)</f>
        <v>6.9992000000000001</v>
      </c>
      <c r="C264" s="8">
        <f>CHOOSE( CONTROL!$C$32, 7.0072, 7.004) * CHOOSE(CONTROL!$C$15, $D$11, 100%, $F$11)</f>
        <v>7.0072000000000001</v>
      </c>
      <c r="D264" s="8">
        <f>CHOOSE( CONTROL!$C$32, 7.0103, 7.0071) * CHOOSE( CONTROL!$C$15, $D$11, 100%, $F$11)</f>
        <v>7.0103</v>
      </c>
      <c r="E264" s="12">
        <f>CHOOSE( CONTROL!$C$32, 7.008, 7.0048) * CHOOSE( CONTROL!$C$15, $D$11, 100%, $F$11)</f>
        <v>7.008</v>
      </c>
      <c r="F264" s="4">
        <f>CHOOSE( CONTROL!$C$32, 7.6807, 7.6775) * CHOOSE(CONTROL!$C$15, $D$11, 100%, $F$11)</f>
        <v>7.6806999999999999</v>
      </c>
      <c r="G264" s="8">
        <f>CHOOSE( CONTROL!$C$32, 6.8515, 6.8483) * CHOOSE( CONTROL!$C$15, $D$11, 100%, $F$11)</f>
        <v>6.8514999999999997</v>
      </c>
      <c r="H264" s="4">
        <f>CHOOSE( CONTROL!$C$32, 7.7821, 7.779) * CHOOSE(CONTROL!$C$15, $D$11, 100%, $F$11)</f>
        <v>7.7820999999999998</v>
      </c>
      <c r="I264" s="8">
        <f>CHOOSE( CONTROL!$C$32, 6.8322, 6.8291) * CHOOSE(CONTROL!$C$15, $D$11, 100%, $F$11)</f>
        <v>6.8322000000000003</v>
      </c>
      <c r="J264" s="4">
        <f>CHOOSE( CONTROL!$C$32, 6.7349, 6.7318) * CHOOSE(CONTROL!$C$15, $D$11, 100%, $F$11)</f>
        <v>6.7348999999999997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1.2183999999999999</v>
      </c>
      <c r="Q264" s="9">
        <v>30.645399999999999</v>
      </c>
      <c r="R264" s="9"/>
      <c r="S264" s="11"/>
    </row>
    <row r="265" spans="1:19" ht="15.75">
      <c r="A265" s="14">
        <v>49553</v>
      </c>
      <c r="B265" s="8">
        <f>CHOOSE( CONTROL!$C$32, 6.8533, 6.8501) * CHOOSE(CONTROL!$C$15, $D$11, 100%, $F$11)</f>
        <v>6.8532999999999999</v>
      </c>
      <c r="C265" s="8">
        <f>CHOOSE( CONTROL!$C$32, 6.8613, 6.8581) * CHOOSE(CONTROL!$C$15, $D$11, 100%, $F$11)</f>
        <v>6.8613</v>
      </c>
      <c r="D265" s="8">
        <f>CHOOSE( CONTROL!$C$32, 6.8645, 6.8613) * CHOOSE( CONTROL!$C$15, $D$11, 100%, $F$11)</f>
        <v>6.8644999999999996</v>
      </c>
      <c r="E265" s="12">
        <f>CHOOSE( CONTROL!$C$32, 6.8621, 6.8589) * CHOOSE( CONTROL!$C$15, $D$11, 100%, $F$11)</f>
        <v>6.8620999999999999</v>
      </c>
      <c r="F265" s="4">
        <f>CHOOSE( CONTROL!$C$32, 7.5349, 7.5317) * CHOOSE(CONTROL!$C$15, $D$11, 100%, $F$11)</f>
        <v>7.5349000000000004</v>
      </c>
      <c r="G265" s="8">
        <f>CHOOSE( CONTROL!$C$32, 6.7081, 6.7049) * CHOOSE( CONTROL!$C$15, $D$11, 100%, $F$11)</f>
        <v>6.7081</v>
      </c>
      <c r="H265" s="4">
        <f>CHOOSE( CONTROL!$C$32, 7.6387, 7.6356) * CHOOSE(CONTROL!$C$15, $D$11, 100%, $F$11)</f>
        <v>7.6387</v>
      </c>
      <c r="I265" s="8">
        <f>CHOOSE( CONTROL!$C$32, 6.6913, 6.6882) * CHOOSE(CONTROL!$C$15, $D$11, 100%, $F$11)</f>
        <v>6.6913</v>
      </c>
      <c r="J265" s="4">
        <f>CHOOSE( CONTROL!$C$32, 6.5939, 6.5908) * CHOOSE(CONTROL!$C$15, $D$11, 100%, $F$11)</f>
        <v>6.5938999999999997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1.1791</v>
      </c>
      <c r="Q265" s="9">
        <v>29.6568</v>
      </c>
      <c r="R265" s="9"/>
      <c r="S265" s="11"/>
    </row>
    <row r="266" spans="1:19" ht="15.75">
      <c r="A266" s="14">
        <v>49583</v>
      </c>
      <c r="B266" s="8">
        <f>7.1513 * CHOOSE(CONTROL!$C$15, $D$11, 100%, $F$11)</f>
        <v>7.1513</v>
      </c>
      <c r="C266" s="8">
        <f>7.1566 * CHOOSE(CONTROL!$C$15, $D$11, 100%, $F$11)</f>
        <v>7.1566000000000001</v>
      </c>
      <c r="D266" s="8">
        <f>7.1645 * CHOOSE( CONTROL!$C$15, $D$11, 100%, $F$11)</f>
        <v>7.1645000000000003</v>
      </c>
      <c r="E266" s="12">
        <f>7.1613 * CHOOSE( CONTROL!$C$15, $D$11, 100%, $F$11)</f>
        <v>7.1612999999999998</v>
      </c>
      <c r="F266" s="4">
        <f>7.8345 * CHOOSE(CONTROL!$C$15, $D$11, 100%, $F$11)</f>
        <v>7.8345000000000002</v>
      </c>
      <c r="G266" s="8">
        <f>7.0023 * CHOOSE( CONTROL!$C$15, $D$11, 100%, $F$11)</f>
        <v>7.0023</v>
      </c>
      <c r="H266" s="4">
        <f>7.9334 * CHOOSE(CONTROL!$C$15, $D$11, 100%, $F$11)</f>
        <v>7.9333999999999998</v>
      </c>
      <c r="I266" s="8">
        <f>6.9817 * CHOOSE(CONTROL!$C$15, $D$11, 100%, $F$11)</f>
        <v>6.9817</v>
      </c>
      <c r="J266" s="4">
        <f>6.8836 * CHOOSE(CONTROL!$C$15, $D$11, 100%, $F$11)</f>
        <v>6.8836000000000004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1.2183999999999999</v>
      </c>
      <c r="Q266" s="9">
        <v>30.645399999999999</v>
      </c>
      <c r="R266" s="9"/>
      <c r="S266" s="11"/>
    </row>
    <row r="267" spans="1:19" ht="15.75">
      <c r="A267" s="14">
        <v>49614</v>
      </c>
      <c r="B267" s="8">
        <f>7.7099 * CHOOSE(CONTROL!$C$15, $D$11, 100%, $F$11)</f>
        <v>7.7099000000000002</v>
      </c>
      <c r="C267" s="8">
        <f>7.715 * CHOOSE(CONTROL!$C$15, $D$11, 100%, $F$11)</f>
        <v>7.7149999999999999</v>
      </c>
      <c r="D267" s="8">
        <f>7.6925 * CHOOSE( CONTROL!$C$15, $D$11, 100%, $F$11)</f>
        <v>7.6924999999999999</v>
      </c>
      <c r="E267" s="12">
        <f>7.7002 * CHOOSE( CONTROL!$C$15, $D$11, 100%, $F$11)</f>
        <v>7.7001999999999997</v>
      </c>
      <c r="F267" s="4">
        <f>8.3548 * CHOOSE(CONTROL!$C$15, $D$11, 100%, $F$11)</f>
        <v>8.3547999999999991</v>
      </c>
      <c r="G267" s="8">
        <f>7.5647 * CHOOSE( CONTROL!$C$15, $D$11, 100%, $F$11)</f>
        <v>7.5647000000000002</v>
      </c>
      <c r="H267" s="4">
        <f>8.445 * CHOOSE(CONTROL!$C$15, $D$11, 100%, $F$11)</f>
        <v>8.4450000000000003</v>
      </c>
      <c r="I267" s="8">
        <f>7.548 * CHOOSE(CONTROL!$C$15, $D$11, 100%, $F$11)</f>
        <v>7.548</v>
      </c>
      <c r="J267" s="4">
        <f>7.424 * CHOOSE(CONTROL!$C$15, $D$11, 100%, $F$11)</f>
        <v>7.4240000000000004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29.6568</v>
      </c>
      <c r="R267" s="9"/>
      <c r="S267" s="11"/>
    </row>
    <row r="268" spans="1:19" ht="15.75">
      <c r="A268" s="14">
        <v>49644</v>
      </c>
      <c r="B268" s="8">
        <f>7.6959 * CHOOSE(CONTROL!$C$15, $D$11, 100%, $F$11)</f>
        <v>7.6959</v>
      </c>
      <c r="C268" s="8">
        <f>7.7011 * CHOOSE(CONTROL!$C$15, $D$11, 100%, $F$11)</f>
        <v>7.7011000000000003</v>
      </c>
      <c r="D268" s="8">
        <f>7.68 * CHOOSE( CONTROL!$C$15, $D$11, 100%, $F$11)</f>
        <v>7.68</v>
      </c>
      <c r="E268" s="12">
        <f>7.6872 * CHOOSE( CONTROL!$C$15, $D$11, 100%, $F$11)</f>
        <v>7.6871999999999998</v>
      </c>
      <c r="F268" s="4">
        <f>8.3408 * CHOOSE(CONTROL!$C$15, $D$11, 100%, $F$11)</f>
        <v>8.3407999999999998</v>
      </c>
      <c r="G268" s="8">
        <f>7.552 * CHOOSE( CONTROL!$C$15, $D$11, 100%, $F$11)</f>
        <v>7.5519999999999996</v>
      </c>
      <c r="H268" s="4">
        <f>8.4313 * CHOOSE(CONTROL!$C$15, $D$11, 100%, $F$11)</f>
        <v>8.4313000000000002</v>
      </c>
      <c r="I268" s="8">
        <f>7.5391 * CHOOSE(CONTROL!$C$15, $D$11, 100%, $F$11)</f>
        <v>7.5391000000000004</v>
      </c>
      <c r="J268" s="4">
        <f>7.4105 * CHOOSE(CONTROL!$C$15, $D$11, 100%, $F$11)</f>
        <v>7.4104999999999999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30.645399999999999</v>
      </c>
      <c r="R268" s="9"/>
      <c r="S268" s="11"/>
    </row>
    <row r="269" spans="1:19" ht="15.75">
      <c r="A269" s="14">
        <v>49675</v>
      </c>
      <c r="B269" s="8">
        <f>7.9889 * CHOOSE(CONTROL!$C$15, $D$11, 100%, $F$11)</f>
        <v>7.9889000000000001</v>
      </c>
      <c r="C269" s="8">
        <f>7.994 * CHOOSE(CONTROL!$C$15, $D$11, 100%, $F$11)</f>
        <v>7.9939999999999998</v>
      </c>
      <c r="D269" s="8">
        <f>7.972 * CHOOSE( CONTROL!$C$15, $D$11, 100%, $F$11)</f>
        <v>7.9720000000000004</v>
      </c>
      <c r="E269" s="12">
        <f>7.9795 * CHOOSE( CONTROL!$C$15, $D$11, 100%, $F$11)</f>
        <v>7.9794999999999998</v>
      </c>
      <c r="F269" s="4">
        <f>8.6338 * CHOOSE(CONTROL!$C$15, $D$11, 100%, $F$11)</f>
        <v>8.6338000000000008</v>
      </c>
      <c r="G269" s="8">
        <f>7.8375 * CHOOSE( CONTROL!$C$15, $D$11, 100%, $F$11)</f>
        <v>7.8375000000000004</v>
      </c>
      <c r="H269" s="4">
        <f>8.7194 * CHOOSE(CONTROL!$C$15, $D$11, 100%, $F$11)</f>
        <v>8.7194000000000003</v>
      </c>
      <c r="I269" s="8">
        <f>7.7943 * CHOOSE(CONTROL!$C$15, $D$11, 100%, $F$11)</f>
        <v>7.7942999999999998</v>
      </c>
      <c r="J269" s="4">
        <f>7.6937 * CHOOSE(CONTROL!$C$15, $D$11, 100%, $F$11)</f>
        <v>7.6936999999999998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30.580300000000001</v>
      </c>
      <c r="R269" s="9"/>
      <c r="S269" s="11"/>
    </row>
    <row r="270" spans="1:19" ht="15.75">
      <c r="A270" s="14">
        <v>49706</v>
      </c>
      <c r="B270" s="8">
        <f>7.4744 * CHOOSE(CONTROL!$C$15, $D$11, 100%, $F$11)</f>
        <v>7.4744000000000002</v>
      </c>
      <c r="C270" s="8">
        <f>7.4795 * CHOOSE(CONTROL!$C$15, $D$11, 100%, $F$11)</f>
        <v>7.4794999999999998</v>
      </c>
      <c r="D270" s="8">
        <f>7.4531 * CHOOSE( CONTROL!$C$15, $D$11, 100%, $F$11)</f>
        <v>7.4531000000000001</v>
      </c>
      <c r="E270" s="12">
        <f>7.4622 * CHOOSE( CONTROL!$C$15, $D$11, 100%, $F$11)</f>
        <v>7.4622000000000002</v>
      </c>
      <c r="F270" s="4">
        <f>8.1193 * CHOOSE(CONTROL!$C$15, $D$11, 100%, $F$11)</f>
        <v>8.1193000000000008</v>
      </c>
      <c r="G270" s="8">
        <f>7.3231 * CHOOSE( CONTROL!$C$15, $D$11, 100%, $F$11)</f>
        <v>7.3231000000000002</v>
      </c>
      <c r="H270" s="4">
        <f>8.2134 * CHOOSE(CONTROL!$C$15, $D$11, 100%, $F$11)</f>
        <v>8.2134</v>
      </c>
      <c r="I270" s="8">
        <f>7.2676 * CHOOSE(CONTROL!$C$15, $D$11, 100%, $F$11)</f>
        <v>7.2675999999999998</v>
      </c>
      <c r="J270" s="4">
        <f>7.1963 * CHOOSE(CONTROL!$C$15, $D$11, 100%, $F$11)</f>
        <v>7.1962999999999999</v>
      </c>
      <c r="K270" s="4"/>
      <c r="L270" s="9">
        <v>27.415299999999998</v>
      </c>
      <c r="M270" s="9">
        <v>11.285299999999999</v>
      </c>
      <c r="N270" s="9">
        <v>4.6254999999999997</v>
      </c>
      <c r="O270" s="9">
        <v>0.34989999999999999</v>
      </c>
      <c r="P270" s="9">
        <v>1.2093</v>
      </c>
      <c r="Q270" s="9">
        <v>28.607299999999999</v>
      </c>
      <c r="R270" s="9"/>
      <c r="S270" s="11"/>
    </row>
    <row r="271" spans="1:19" ht="15.75">
      <c r="A271" s="14">
        <v>49735</v>
      </c>
      <c r="B271" s="8">
        <f>7.3159 * CHOOSE(CONTROL!$C$15, $D$11, 100%, $F$11)</f>
        <v>7.3159000000000001</v>
      </c>
      <c r="C271" s="8">
        <f>7.3211 * CHOOSE(CONTROL!$C$15, $D$11, 100%, $F$11)</f>
        <v>7.3211000000000004</v>
      </c>
      <c r="D271" s="8">
        <f>7.2951 * CHOOSE( CONTROL!$C$15, $D$11, 100%, $F$11)</f>
        <v>7.2950999999999997</v>
      </c>
      <c r="E271" s="12">
        <f>7.3041 * CHOOSE( CONTROL!$C$15, $D$11, 100%, $F$11)</f>
        <v>7.3041</v>
      </c>
      <c r="F271" s="4">
        <f>7.9608 * CHOOSE(CONTROL!$C$15, $D$11, 100%, $F$11)</f>
        <v>7.9607999999999999</v>
      </c>
      <c r="G271" s="8">
        <f>7.1675 * CHOOSE( CONTROL!$C$15, $D$11, 100%, $F$11)</f>
        <v>7.1675000000000004</v>
      </c>
      <c r="H271" s="4">
        <f>8.0576 * CHOOSE(CONTROL!$C$15, $D$11, 100%, $F$11)</f>
        <v>8.0576000000000008</v>
      </c>
      <c r="I271" s="8">
        <f>7.1156 * CHOOSE(CONTROL!$C$15, $D$11, 100%, $F$11)</f>
        <v>7.1155999999999997</v>
      </c>
      <c r="J271" s="4">
        <f>7.0431 * CHOOSE(CONTROL!$C$15, $D$11, 100%, $F$11)</f>
        <v>7.0430999999999999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30.580300000000001</v>
      </c>
      <c r="R271" s="9"/>
      <c r="S271" s="11"/>
    </row>
    <row r="272" spans="1:19" ht="15.75">
      <c r="A272" s="14">
        <v>49766</v>
      </c>
      <c r="B272" s="8">
        <f>7.4274 * CHOOSE(CONTROL!$C$15, $D$11, 100%, $F$11)</f>
        <v>7.4273999999999996</v>
      </c>
      <c r="C272" s="8">
        <f>7.432 * CHOOSE(CONTROL!$C$15, $D$11, 100%, $F$11)</f>
        <v>7.4320000000000004</v>
      </c>
      <c r="D272" s="8">
        <f>7.4391 * CHOOSE( CONTROL!$C$15, $D$11, 100%, $F$11)</f>
        <v>7.4390999999999998</v>
      </c>
      <c r="E272" s="12">
        <f>7.4362 * CHOOSE( CONTROL!$C$15, $D$11, 100%, $F$11)</f>
        <v>7.4362000000000004</v>
      </c>
      <c r="F272" s="4">
        <f>8.1103 * CHOOSE(CONTROL!$C$15, $D$11, 100%, $F$11)</f>
        <v>8.1103000000000005</v>
      </c>
      <c r="G272" s="8">
        <f>7.2717 * CHOOSE( CONTROL!$C$15, $D$11, 100%, $F$11)</f>
        <v>7.2717000000000001</v>
      </c>
      <c r="H272" s="4">
        <f>8.2046 * CHOOSE(CONTROL!$C$15, $D$11, 100%, $F$11)</f>
        <v>8.2045999999999992</v>
      </c>
      <c r="I272" s="8">
        <f>7.2425 * CHOOSE(CONTROL!$C$15, $D$11, 100%, $F$11)</f>
        <v>7.2424999999999997</v>
      </c>
      <c r="J272" s="4">
        <f>7.1502 * CHOOSE(CONTROL!$C$15, $D$11, 100%, $F$11)</f>
        <v>7.1501999999999999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1.1791</v>
      </c>
      <c r="Q272" s="9">
        <v>29.593800000000002</v>
      </c>
      <c r="R272" s="9"/>
      <c r="S272" s="11"/>
    </row>
    <row r="273" spans="1:19" ht="15.75">
      <c r="A273" s="14">
        <v>49796</v>
      </c>
      <c r="B273" s="8">
        <f>CHOOSE( CONTROL!$C$32, 7.6291, 7.6259) * CHOOSE(CONTROL!$C$15, $D$11, 100%, $F$11)</f>
        <v>7.6291000000000002</v>
      </c>
      <c r="C273" s="8">
        <f>CHOOSE( CONTROL!$C$32, 7.6371, 7.6339) * CHOOSE(CONTROL!$C$15, $D$11, 100%, $F$11)</f>
        <v>7.6371000000000002</v>
      </c>
      <c r="D273" s="8">
        <f>CHOOSE( CONTROL!$C$32, 7.6394, 7.6362) * CHOOSE( CONTROL!$C$15, $D$11, 100%, $F$11)</f>
        <v>7.6394000000000002</v>
      </c>
      <c r="E273" s="12">
        <f>CHOOSE( CONTROL!$C$32, 7.6373, 7.6341) * CHOOSE( CONTROL!$C$15, $D$11, 100%, $F$11)</f>
        <v>7.6372999999999998</v>
      </c>
      <c r="F273" s="4">
        <f>CHOOSE( CONTROL!$C$32, 8.3106, 8.3074) * CHOOSE(CONTROL!$C$15, $D$11, 100%, $F$11)</f>
        <v>8.3106000000000009</v>
      </c>
      <c r="G273" s="8">
        <f>CHOOSE( CONTROL!$C$32, 7.4698, 7.4667) * CHOOSE( CONTROL!$C$15, $D$11, 100%, $F$11)</f>
        <v>7.4698000000000002</v>
      </c>
      <c r="H273" s="4">
        <f>CHOOSE( CONTROL!$C$32, 8.4016, 8.3984) * CHOOSE(CONTROL!$C$15, $D$11, 100%, $F$11)</f>
        <v>8.4016000000000002</v>
      </c>
      <c r="I273" s="8">
        <f>CHOOSE( CONTROL!$C$32, 7.4378, 7.4347) * CHOOSE(CONTROL!$C$15, $D$11, 100%, $F$11)</f>
        <v>7.4378000000000002</v>
      </c>
      <c r="J273" s="4">
        <f>CHOOSE( CONTROL!$C$32, 7.3438, 7.3407) * CHOOSE(CONTROL!$C$15, $D$11, 100%, $F$11)</f>
        <v>7.3437999999999999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1.2183999999999999</v>
      </c>
      <c r="Q273" s="9">
        <v>30.580300000000001</v>
      </c>
      <c r="R273" s="9"/>
      <c r="S273" s="11"/>
    </row>
    <row r="274" spans="1:19" ht="15.75">
      <c r="A274" s="14">
        <v>49827</v>
      </c>
      <c r="B274" s="8">
        <f>CHOOSE( CONTROL!$C$32, 7.507, 7.5038) * CHOOSE(CONTROL!$C$15, $D$11, 100%, $F$11)</f>
        <v>7.5069999999999997</v>
      </c>
      <c r="C274" s="8">
        <f>CHOOSE( CONTROL!$C$32, 7.515, 7.5118) * CHOOSE(CONTROL!$C$15, $D$11, 100%, $F$11)</f>
        <v>7.5149999999999997</v>
      </c>
      <c r="D274" s="8">
        <f>CHOOSE( CONTROL!$C$32, 7.5176, 7.5144) * CHOOSE( CONTROL!$C$15, $D$11, 100%, $F$11)</f>
        <v>7.5175999999999998</v>
      </c>
      <c r="E274" s="12">
        <f>CHOOSE( CONTROL!$C$32, 7.5154, 7.5122) * CHOOSE( CONTROL!$C$15, $D$11, 100%, $F$11)</f>
        <v>7.5153999999999996</v>
      </c>
      <c r="F274" s="4">
        <f>CHOOSE( CONTROL!$C$32, 8.1885, 8.1853) * CHOOSE(CONTROL!$C$15, $D$11, 100%, $F$11)</f>
        <v>8.1884999999999994</v>
      </c>
      <c r="G274" s="8">
        <f>CHOOSE( CONTROL!$C$32, 7.3502, 7.347) * CHOOSE( CONTROL!$C$15, $D$11, 100%, $F$11)</f>
        <v>7.3502000000000001</v>
      </c>
      <c r="H274" s="4">
        <f>CHOOSE( CONTROL!$C$32, 8.2815, 8.2784) * CHOOSE(CONTROL!$C$15, $D$11, 100%, $F$11)</f>
        <v>8.2814999999999994</v>
      </c>
      <c r="I274" s="8">
        <f>CHOOSE( CONTROL!$C$32, 7.3211, 7.318) * CHOOSE(CONTROL!$C$15, $D$11, 100%, $F$11)</f>
        <v>7.3211000000000004</v>
      </c>
      <c r="J274" s="4">
        <f>CHOOSE( CONTROL!$C$32, 7.2258, 7.2227) * CHOOSE(CONTROL!$C$15, $D$11, 100%, $F$11)</f>
        <v>7.2257999999999996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1.1791</v>
      </c>
      <c r="Q274" s="9">
        <v>29.593800000000002</v>
      </c>
      <c r="R274" s="9"/>
      <c r="S274" s="11"/>
    </row>
    <row r="275" spans="1:19" ht="15.75">
      <c r="A275" s="14">
        <v>49857</v>
      </c>
      <c r="B275" s="8">
        <f>CHOOSE( CONTROL!$C$32, 7.8285, 7.8253) * CHOOSE(CONTROL!$C$15, $D$11, 100%, $F$11)</f>
        <v>7.8285</v>
      </c>
      <c r="C275" s="8">
        <f>CHOOSE( CONTROL!$C$32, 7.8365, 7.8333) * CHOOSE(CONTROL!$C$15, $D$11, 100%, $F$11)</f>
        <v>7.8365</v>
      </c>
      <c r="D275" s="8">
        <f>CHOOSE( CONTROL!$C$32, 7.8394, 7.8362) * CHOOSE( CONTROL!$C$15, $D$11, 100%, $F$11)</f>
        <v>7.8394000000000004</v>
      </c>
      <c r="E275" s="12">
        <f>CHOOSE( CONTROL!$C$32, 7.8371, 7.8339) * CHOOSE( CONTROL!$C$15, $D$11, 100%, $F$11)</f>
        <v>7.8371000000000004</v>
      </c>
      <c r="F275" s="4">
        <f>CHOOSE( CONTROL!$C$32, 8.51, 8.5068) * CHOOSE(CONTROL!$C$15, $D$11, 100%, $F$11)</f>
        <v>8.51</v>
      </c>
      <c r="G275" s="8">
        <f>CHOOSE( CONTROL!$C$32, 7.6668, 7.6636) * CHOOSE( CONTROL!$C$15, $D$11, 100%, $F$11)</f>
        <v>7.6668000000000003</v>
      </c>
      <c r="H275" s="4">
        <f>CHOOSE( CONTROL!$C$32, 8.5977, 8.5946) * CHOOSE(CONTROL!$C$15, $D$11, 100%, $F$11)</f>
        <v>8.5976999999999997</v>
      </c>
      <c r="I275" s="8">
        <f>CHOOSE( CONTROL!$C$32, 7.6335, 7.6304) * CHOOSE(CONTROL!$C$15, $D$11, 100%, $F$11)</f>
        <v>7.6334999999999997</v>
      </c>
      <c r="J275" s="4">
        <f>CHOOSE( CONTROL!$C$32, 7.5366, 7.5335) * CHOOSE(CONTROL!$C$15, $D$11, 100%, $F$11)</f>
        <v>7.5366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30.580300000000001</v>
      </c>
      <c r="R275" s="9"/>
      <c r="S275" s="11"/>
    </row>
    <row r="276" spans="1:19" ht="15.75">
      <c r="A276" s="14">
        <v>49888</v>
      </c>
      <c r="B276" s="8">
        <f>CHOOSE( CONTROL!$C$32, 7.2269, 7.2237) * CHOOSE(CONTROL!$C$15, $D$11, 100%, $F$11)</f>
        <v>7.2268999999999997</v>
      </c>
      <c r="C276" s="8">
        <f>CHOOSE( CONTROL!$C$32, 7.235, 7.2318) * CHOOSE(CONTROL!$C$15, $D$11, 100%, $F$11)</f>
        <v>7.2350000000000003</v>
      </c>
      <c r="D276" s="8">
        <f>CHOOSE( CONTROL!$C$32, 7.238, 7.2348) * CHOOSE( CONTROL!$C$15, $D$11, 100%, $F$11)</f>
        <v>7.2380000000000004</v>
      </c>
      <c r="E276" s="12">
        <f>CHOOSE( CONTROL!$C$32, 7.2357, 7.2325) * CHOOSE( CONTROL!$C$15, $D$11, 100%, $F$11)</f>
        <v>7.2356999999999996</v>
      </c>
      <c r="F276" s="4">
        <f>CHOOSE( CONTROL!$C$32, 7.9085, 7.9053) * CHOOSE(CONTROL!$C$15, $D$11, 100%, $F$11)</f>
        <v>7.9085000000000001</v>
      </c>
      <c r="G276" s="8">
        <f>CHOOSE( CONTROL!$C$32, 7.0755, 7.0723) * CHOOSE( CONTROL!$C$15, $D$11, 100%, $F$11)</f>
        <v>7.0754999999999999</v>
      </c>
      <c r="H276" s="4">
        <f>CHOOSE( CONTROL!$C$32, 8.0061, 8.003) * CHOOSE(CONTROL!$C$15, $D$11, 100%, $F$11)</f>
        <v>8.0061</v>
      </c>
      <c r="I276" s="8">
        <f>CHOOSE( CONTROL!$C$32, 7.0525, 7.0494) * CHOOSE(CONTROL!$C$15, $D$11, 100%, $F$11)</f>
        <v>7.0525000000000002</v>
      </c>
      <c r="J276" s="4">
        <f>CHOOSE( CONTROL!$C$32, 6.955, 6.952) * CHOOSE(CONTROL!$C$15, $D$11, 100%, $F$11)</f>
        <v>6.9550000000000001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1.2183999999999999</v>
      </c>
      <c r="Q276" s="9">
        <v>30.580300000000001</v>
      </c>
      <c r="R276" s="9"/>
      <c r="S276" s="11"/>
    </row>
    <row r="277" spans="1:19" ht="15.75">
      <c r="A277" s="14">
        <v>49919</v>
      </c>
      <c r="B277" s="8">
        <f>CHOOSE( CONTROL!$C$32, 7.0763, 7.0731) * CHOOSE(CONTROL!$C$15, $D$11, 100%, $F$11)</f>
        <v>7.0762999999999998</v>
      </c>
      <c r="C277" s="8">
        <f>CHOOSE( CONTROL!$C$32, 7.0843, 7.0811) * CHOOSE(CONTROL!$C$15, $D$11, 100%, $F$11)</f>
        <v>7.0842999999999998</v>
      </c>
      <c r="D277" s="8">
        <f>CHOOSE( CONTROL!$C$32, 7.0874, 7.0842) * CHOOSE( CONTROL!$C$15, $D$11, 100%, $F$11)</f>
        <v>7.0873999999999997</v>
      </c>
      <c r="E277" s="12">
        <f>CHOOSE( CONTROL!$C$32, 7.0851, 7.0819) * CHOOSE( CONTROL!$C$15, $D$11, 100%, $F$11)</f>
        <v>7.0850999999999997</v>
      </c>
      <c r="F277" s="4">
        <f>CHOOSE( CONTROL!$C$32, 7.7578, 7.7546) * CHOOSE(CONTROL!$C$15, $D$11, 100%, $F$11)</f>
        <v>7.7577999999999996</v>
      </c>
      <c r="G277" s="8">
        <f>CHOOSE( CONTROL!$C$32, 6.9274, 6.9242) * CHOOSE( CONTROL!$C$15, $D$11, 100%, $F$11)</f>
        <v>6.9273999999999996</v>
      </c>
      <c r="H277" s="4">
        <f>CHOOSE( CONTROL!$C$32, 7.858, 7.8548) * CHOOSE(CONTROL!$C$15, $D$11, 100%, $F$11)</f>
        <v>7.8579999999999997</v>
      </c>
      <c r="I277" s="8">
        <f>CHOOSE( CONTROL!$C$32, 6.9069, 6.9038) * CHOOSE(CONTROL!$C$15, $D$11, 100%, $F$11)</f>
        <v>6.9069000000000003</v>
      </c>
      <c r="J277" s="4">
        <f>CHOOSE( CONTROL!$C$32, 6.8094, 6.8063) * CHOOSE(CONTROL!$C$15, $D$11, 100%, $F$11)</f>
        <v>6.8094000000000001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1.1791</v>
      </c>
      <c r="Q277" s="9">
        <v>29.593800000000002</v>
      </c>
      <c r="R277" s="9"/>
      <c r="S277" s="11"/>
    </row>
    <row r="278" spans="1:19" ht="15.75">
      <c r="A278" s="14">
        <v>49949</v>
      </c>
      <c r="B278" s="8">
        <f>7.3842 * CHOOSE(CONTROL!$C$15, $D$11, 100%, $F$11)</f>
        <v>7.3841999999999999</v>
      </c>
      <c r="C278" s="8">
        <f>7.3895 * CHOOSE(CONTROL!$C$15, $D$11, 100%, $F$11)</f>
        <v>7.3895</v>
      </c>
      <c r="D278" s="8">
        <f>7.3974 * CHOOSE( CONTROL!$C$15, $D$11, 100%, $F$11)</f>
        <v>7.3974000000000002</v>
      </c>
      <c r="E278" s="12">
        <f>7.3942 * CHOOSE( CONTROL!$C$15, $D$11, 100%, $F$11)</f>
        <v>7.3941999999999997</v>
      </c>
      <c r="F278" s="4">
        <f>8.0674 * CHOOSE(CONTROL!$C$15, $D$11, 100%, $F$11)</f>
        <v>8.0673999999999992</v>
      </c>
      <c r="G278" s="8">
        <f>7.2313 * CHOOSE( CONTROL!$C$15, $D$11, 100%, $F$11)</f>
        <v>7.2313000000000001</v>
      </c>
      <c r="H278" s="4">
        <f>8.1624 * CHOOSE(CONTROL!$C$15, $D$11, 100%, $F$11)</f>
        <v>8.1623999999999999</v>
      </c>
      <c r="I278" s="8">
        <f>7.2069 * CHOOSE(CONTROL!$C$15, $D$11, 100%, $F$11)</f>
        <v>7.2069000000000001</v>
      </c>
      <c r="J278" s="4">
        <f>7.1087 * CHOOSE(CONTROL!$C$15, $D$11, 100%, $F$11)</f>
        <v>7.1086999999999998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1.2183999999999999</v>
      </c>
      <c r="Q278" s="9">
        <v>30.580300000000001</v>
      </c>
      <c r="R278" s="9"/>
      <c r="S278" s="11"/>
    </row>
    <row r="279" spans="1:19" ht="15.75">
      <c r="A279" s="14">
        <v>49980</v>
      </c>
      <c r="B279" s="8">
        <f>7.9611 * CHOOSE(CONTROL!$C$15, $D$11, 100%, $F$11)</f>
        <v>7.9611000000000001</v>
      </c>
      <c r="C279" s="8">
        <f>7.9662 * CHOOSE(CONTROL!$C$15, $D$11, 100%, $F$11)</f>
        <v>7.9661999999999997</v>
      </c>
      <c r="D279" s="8">
        <f>7.9437 * CHOOSE( CONTROL!$C$15, $D$11, 100%, $F$11)</f>
        <v>7.9436999999999998</v>
      </c>
      <c r="E279" s="12">
        <f>7.9514 * CHOOSE( CONTROL!$C$15, $D$11, 100%, $F$11)</f>
        <v>7.9513999999999996</v>
      </c>
      <c r="F279" s="4">
        <f>8.606 * CHOOSE(CONTROL!$C$15, $D$11, 100%, $F$11)</f>
        <v>8.6059999999999999</v>
      </c>
      <c r="G279" s="8">
        <f>7.8117 * CHOOSE( CONTROL!$C$15, $D$11, 100%, $F$11)</f>
        <v>7.8117000000000001</v>
      </c>
      <c r="H279" s="4">
        <f>8.692 * CHOOSE(CONTROL!$C$15, $D$11, 100%, $F$11)</f>
        <v>8.6920000000000002</v>
      </c>
      <c r="I279" s="8">
        <f>7.7909 * CHOOSE(CONTROL!$C$15, $D$11, 100%, $F$11)</f>
        <v>7.7908999999999997</v>
      </c>
      <c r="J279" s="4">
        <f>7.6668 * CHOOSE(CONTROL!$C$15, $D$11, 100%, $F$11)</f>
        <v>7.6668000000000003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29.593800000000002</v>
      </c>
      <c r="R279" s="9"/>
      <c r="S279" s="11"/>
    </row>
    <row r="280" spans="1:19" ht="15.75">
      <c r="A280" s="14">
        <v>50010</v>
      </c>
      <c r="B280" s="8">
        <f>7.9466 * CHOOSE(CONTROL!$C$15, $D$11, 100%, $F$11)</f>
        <v>7.9466000000000001</v>
      </c>
      <c r="C280" s="8">
        <f>7.9518 * CHOOSE(CONTROL!$C$15, $D$11, 100%, $F$11)</f>
        <v>7.9518000000000004</v>
      </c>
      <c r="D280" s="8">
        <f>7.9307 * CHOOSE( CONTROL!$C$15, $D$11, 100%, $F$11)</f>
        <v>7.9306999999999999</v>
      </c>
      <c r="E280" s="12">
        <f>7.9379 * CHOOSE( CONTROL!$C$15, $D$11, 100%, $F$11)</f>
        <v>7.9379</v>
      </c>
      <c r="F280" s="4">
        <f>8.5915 * CHOOSE(CONTROL!$C$15, $D$11, 100%, $F$11)</f>
        <v>8.5914999999999999</v>
      </c>
      <c r="G280" s="8">
        <f>7.7985 * CHOOSE( CONTROL!$C$15, $D$11, 100%, $F$11)</f>
        <v>7.7984999999999998</v>
      </c>
      <c r="H280" s="4">
        <f>8.6778 * CHOOSE(CONTROL!$C$15, $D$11, 100%, $F$11)</f>
        <v>8.6777999999999995</v>
      </c>
      <c r="I280" s="8">
        <f>7.7816 * CHOOSE(CONTROL!$C$15, $D$11, 100%, $F$11)</f>
        <v>7.7816000000000001</v>
      </c>
      <c r="J280" s="4">
        <f>7.6528 * CHOOSE(CONTROL!$C$15, $D$11, 100%, $F$11)</f>
        <v>7.6528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30.580300000000001</v>
      </c>
      <c r="R280" s="9"/>
      <c r="S280" s="11"/>
    </row>
    <row r="281" spans="1:19" ht="15.75">
      <c r="A281" s="14">
        <v>50041</v>
      </c>
      <c r="B281" s="8">
        <f>8.2492 * CHOOSE(CONTROL!$C$15, $D$11, 100%, $F$11)</f>
        <v>8.2492000000000001</v>
      </c>
      <c r="C281" s="8">
        <f>8.2543 * CHOOSE(CONTROL!$C$15, $D$11, 100%, $F$11)</f>
        <v>8.2543000000000006</v>
      </c>
      <c r="D281" s="8">
        <f>8.2323 * CHOOSE( CONTROL!$C$15, $D$11, 100%, $F$11)</f>
        <v>8.2323000000000004</v>
      </c>
      <c r="E281" s="12">
        <f>8.2398 * CHOOSE( CONTROL!$C$15, $D$11, 100%, $F$11)</f>
        <v>8.2398000000000007</v>
      </c>
      <c r="F281" s="4">
        <f>8.8941 * CHOOSE(CONTROL!$C$15, $D$11, 100%, $F$11)</f>
        <v>8.8940999999999999</v>
      </c>
      <c r="G281" s="8">
        <f>8.0935 * CHOOSE( CONTROL!$C$15, $D$11, 100%, $F$11)</f>
        <v>8.0935000000000006</v>
      </c>
      <c r="H281" s="4">
        <f>8.9754 * CHOOSE(CONTROL!$C$15, $D$11, 100%, $F$11)</f>
        <v>8.9754000000000005</v>
      </c>
      <c r="I281" s="8">
        <f>8.046 * CHOOSE(CONTROL!$C$15, $D$11, 100%, $F$11)</f>
        <v>8.0459999999999994</v>
      </c>
      <c r="J281" s="4">
        <f>7.9453 * CHOOSE(CONTROL!$C$15, $D$11, 100%, $F$11)</f>
        <v>7.9452999999999996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30.5152</v>
      </c>
      <c r="R281" s="9"/>
      <c r="S281" s="11"/>
    </row>
    <row r="282" spans="1:19" ht="15.75">
      <c r="A282" s="14">
        <v>50072</v>
      </c>
      <c r="B282" s="8">
        <f>7.7179 * CHOOSE(CONTROL!$C$15, $D$11, 100%, $F$11)</f>
        <v>7.7179000000000002</v>
      </c>
      <c r="C282" s="8">
        <f>7.723 * CHOOSE(CONTROL!$C$15, $D$11, 100%, $F$11)</f>
        <v>7.7229999999999999</v>
      </c>
      <c r="D282" s="8">
        <f>7.6966 * CHOOSE( CONTROL!$C$15, $D$11, 100%, $F$11)</f>
        <v>7.6966000000000001</v>
      </c>
      <c r="E282" s="12">
        <f>7.7057 * CHOOSE( CONTROL!$C$15, $D$11, 100%, $F$11)</f>
        <v>7.7057000000000002</v>
      </c>
      <c r="F282" s="4">
        <f>8.3627 * CHOOSE(CONTROL!$C$15, $D$11, 100%, $F$11)</f>
        <v>8.3627000000000002</v>
      </c>
      <c r="G282" s="8">
        <f>7.5625 * CHOOSE( CONTROL!$C$15, $D$11, 100%, $F$11)</f>
        <v>7.5625</v>
      </c>
      <c r="H282" s="4">
        <f>8.4528 * CHOOSE(CONTROL!$C$15, $D$11, 100%, $F$11)</f>
        <v>8.4527999999999999</v>
      </c>
      <c r="I282" s="8">
        <f>7.5031 * CHOOSE(CONTROL!$C$15, $D$11, 100%, $F$11)</f>
        <v>7.5030999999999999</v>
      </c>
      <c r="J282" s="4">
        <f>7.4317 * CHOOSE(CONTROL!$C$15, $D$11, 100%, $F$11)</f>
        <v>7.4317000000000002</v>
      </c>
      <c r="K282" s="4"/>
      <c r="L282" s="9">
        <v>26.469899999999999</v>
      </c>
      <c r="M282" s="9">
        <v>10.8962</v>
      </c>
      <c r="N282" s="9">
        <v>4.4660000000000002</v>
      </c>
      <c r="O282" s="9">
        <v>0.33789999999999998</v>
      </c>
      <c r="P282" s="9">
        <v>1.1676</v>
      </c>
      <c r="Q282" s="9">
        <v>27.562100000000001</v>
      </c>
      <c r="R282" s="9"/>
      <c r="S282" s="11"/>
    </row>
    <row r="283" spans="1:19" ht="15.75">
      <c r="A283" s="14">
        <v>50100</v>
      </c>
      <c r="B283" s="8">
        <f>7.5542 * CHOOSE(CONTROL!$C$15, $D$11, 100%, $F$11)</f>
        <v>7.5541999999999998</v>
      </c>
      <c r="C283" s="8">
        <f>7.5593 * CHOOSE(CONTROL!$C$15, $D$11, 100%, $F$11)</f>
        <v>7.5593000000000004</v>
      </c>
      <c r="D283" s="8">
        <f>7.5333 * CHOOSE( CONTROL!$C$15, $D$11, 100%, $F$11)</f>
        <v>7.5332999999999997</v>
      </c>
      <c r="E283" s="12">
        <f>7.5423 * CHOOSE( CONTROL!$C$15, $D$11, 100%, $F$11)</f>
        <v>7.5423</v>
      </c>
      <c r="F283" s="4">
        <f>8.1991 * CHOOSE(CONTROL!$C$15, $D$11, 100%, $F$11)</f>
        <v>8.1990999999999996</v>
      </c>
      <c r="G283" s="8">
        <f>7.4018 * CHOOSE( CONTROL!$C$15, $D$11, 100%, $F$11)</f>
        <v>7.4017999999999997</v>
      </c>
      <c r="H283" s="4">
        <f>8.2919 * CHOOSE(CONTROL!$C$15, $D$11, 100%, $F$11)</f>
        <v>8.2919</v>
      </c>
      <c r="I283" s="8">
        <f>7.346 * CHOOSE(CONTROL!$C$15, $D$11, 100%, $F$11)</f>
        <v>7.3460000000000001</v>
      </c>
      <c r="J283" s="4">
        <f>7.2735 * CHOOSE(CONTROL!$C$15, $D$11, 100%, $F$11)</f>
        <v>7.2735000000000003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30.5152</v>
      </c>
      <c r="R283" s="9"/>
      <c r="S283" s="11"/>
    </row>
    <row r="284" spans="1:19" ht="15.75">
      <c r="A284" s="14">
        <v>50131</v>
      </c>
      <c r="B284" s="8">
        <f>7.6693 * CHOOSE(CONTROL!$C$15, $D$11, 100%, $F$11)</f>
        <v>7.6692999999999998</v>
      </c>
      <c r="C284" s="8">
        <f>7.6739 * CHOOSE(CONTROL!$C$15, $D$11, 100%, $F$11)</f>
        <v>7.6738999999999997</v>
      </c>
      <c r="D284" s="8">
        <f>7.681 * CHOOSE( CONTROL!$C$15, $D$11, 100%, $F$11)</f>
        <v>7.681</v>
      </c>
      <c r="E284" s="12">
        <f>7.6781 * CHOOSE( CONTROL!$C$15, $D$11, 100%, $F$11)</f>
        <v>7.6780999999999997</v>
      </c>
      <c r="F284" s="4">
        <f>8.3522 * CHOOSE(CONTROL!$C$15, $D$11, 100%, $F$11)</f>
        <v>8.3521999999999998</v>
      </c>
      <c r="G284" s="8">
        <f>7.5096 * CHOOSE( CONTROL!$C$15, $D$11, 100%, $F$11)</f>
        <v>7.5095999999999998</v>
      </c>
      <c r="H284" s="4">
        <f>8.4425 * CHOOSE(CONTROL!$C$15, $D$11, 100%, $F$11)</f>
        <v>8.4425000000000008</v>
      </c>
      <c r="I284" s="8">
        <f>7.4765 * CHOOSE(CONTROL!$C$15, $D$11, 100%, $F$11)</f>
        <v>7.4764999999999997</v>
      </c>
      <c r="J284" s="4">
        <f>7.384 * CHOOSE(CONTROL!$C$15, $D$11, 100%, $F$11)</f>
        <v>7.3840000000000003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1.1791</v>
      </c>
      <c r="Q284" s="9">
        <v>29.530799999999999</v>
      </c>
      <c r="R284" s="9"/>
      <c r="S284" s="11"/>
    </row>
    <row r="285" spans="1:19" ht="15.75">
      <c r="A285" s="14">
        <v>50161</v>
      </c>
      <c r="B285" s="8">
        <f>CHOOSE( CONTROL!$C$32, 7.8774, 7.8742) * CHOOSE(CONTROL!$C$15, $D$11, 100%, $F$11)</f>
        <v>7.8773999999999997</v>
      </c>
      <c r="C285" s="8">
        <f>CHOOSE( CONTROL!$C$32, 7.8854, 7.8822) * CHOOSE(CONTROL!$C$15, $D$11, 100%, $F$11)</f>
        <v>7.8853999999999997</v>
      </c>
      <c r="D285" s="8">
        <f>CHOOSE( CONTROL!$C$32, 7.8878, 7.8846) * CHOOSE( CONTROL!$C$15, $D$11, 100%, $F$11)</f>
        <v>7.8878000000000004</v>
      </c>
      <c r="E285" s="12">
        <f>CHOOSE( CONTROL!$C$32, 7.8857, 7.8825) * CHOOSE( CONTROL!$C$15, $D$11, 100%, $F$11)</f>
        <v>7.8856999999999999</v>
      </c>
      <c r="F285" s="4">
        <f>CHOOSE( CONTROL!$C$32, 8.559, 8.5558) * CHOOSE(CONTROL!$C$15, $D$11, 100%, $F$11)</f>
        <v>8.5589999999999993</v>
      </c>
      <c r="G285" s="8">
        <f>CHOOSE( CONTROL!$C$32, 7.714, 7.7109) * CHOOSE( CONTROL!$C$15, $D$11, 100%, $F$11)</f>
        <v>7.7140000000000004</v>
      </c>
      <c r="H285" s="4">
        <f>CHOOSE( CONTROL!$C$32, 8.6458, 8.6427) * CHOOSE(CONTROL!$C$15, $D$11, 100%, $F$11)</f>
        <v>8.6457999999999995</v>
      </c>
      <c r="I285" s="8">
        <f>CHOOSE( CONTROL!$C$32, 7.678, 7.6749) * CHOOSE(CONTROL!$C$15, $D$11, 100%, $F$11)</f>
        <v>7.6779999999999999</v>
      </c>
      <c r="J285" s="4">
        <f>CHOOSE( CONTROL!$C$32, 7.5839, 7.5808) * CHOOSE(CONTROL!$C$15, $D$11, 100%, $F$11)</f>
        <v>7.5838999999999999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1.2183999999999999</v>
      </c>
      <c r="Q285" s="9">
        <v>30.5152</v>
      </c>
      <c r="R285" s="9"/>
      <c r="S285" s="11"/>
    </row>
    <row r="286" spans="1:19" ht="15.75">
      <c r="A286" s="14">
        <v>50192</v>
      </c>
      <c r="B286" s="8">
        <f>CHOOSE( CONTROL!$C$32, 7.7513, 7.7481) * CHOOSE(CONTROL!$C$15, $D$11, 100%, $F$11)</f>
        <v>7.7512999999999996</v>
      </c>
      <c r="C286" s="8">
        <f>CHOOSE( CONTROL!$C$32, 7.7594, 7.7562) * CHOOSE(CONTROL!$C$15, $D$11, 100%, $F$11)</f>
        <v>7.7594000000000003</v>
      </c>
      <c r="D286" s="8">
        <f>CHOOSE( CONTROL!$C$32, 7.762, 7.7588) * CHOOSE( CONTROL!$C$15, $D$11, 100%, $F$11)</f>
        <v>7.7619999999999996</v>
      </c>
      <c r="E286" s="12">
        <f>CHOOSE( CONTROL!$C$32, 7.7598, 7.7566) * CHOOSE( CONTROL!$C$15, $D$11, 100%, $F$11)</f>
        <v>7.7598000000000003</v>
      </c>
      <c r="F286" s="4">
        <f>CHOOSE( CONTROL!$C$32, 8.4329, 8.4297) * CHOOSE(CONTROL!$C$15, $D$11, 100%, $F$11)</f>
        <v>8.4329000000000001</v>
      </c>
      <c r="G286" s="8">
        <f>CHOOSE( CONTROL!$C$32, 7.5905, 7.5873) * CHOOSE( CONTROL!$C$15, $D$11, 100%, $F$11)</f>
        <v>7.5904999999999996</v>
      </c>
      <c r="H286" s="4">
        <f>CHOOSE( CONTROL!$C$32, 8.5218, 8.5187) * CHOOSE(CONTROL!$C$15, $D$11, 100%, $F$11)</f>
        <v>8.5218000000000007</v>
      </c>
      <c r="I286" s="8">
        <f>CHOOSE( CONTROL!$C$32, 7.5574, 7.5543) * CHOOSE(CONTROL!$C$15, $D$11, 100%, $F$11)</f>
        <v>7.5574000000000003</v>
      </c>
      <c r="J286" s="4">
        <f>CHOOSE( CONTROL!$C$32, 7.462, 7.4589) * CHOOSE(CONTROL!$C$15, $D$11, 100%, $F$11)</f>
        <v>7.4619999999999997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1.1791</v>
      </c>
      <c r="Q286" s="9">
        <v>29.530799999999999</v>
      </c>
      <c r="R286" s="9"/>
      <c r="S286" s="11"/>
    </row>
    <row r="287" spans="1:19" ht="15.75">
      <c r="A287" s="14">
        <v>50222</v>
      </c>
      <c r="B287" s="8">
        <f>CHOOSE( CONTROL!$C$32, 8.0834, 8.0802) * CHOOSE(CONTROL!$C$15, $D$11, 100%, $F$11)</f>
        <v>8.0833999999999993</v>
      </c>
      <c r="C287" s="8">
        <f>CHOOSE( CONTROL!$C$32, 8.0914, 8.0882) * CHOOSE(CONTROL!$C$15, $D$11, 100%, $F$11)</f>
        <v>8.0914000000000001</v>
      </c>
      <c r="D287" s="8">
        <f>CHOOSE( CONTROL!$C$32, 8.0943, 8.0911) * CHOOSE( CONTROL!$C$15, $D$11, 100%, $F$11)</f>
        <v>8.0943000000000005</v>
      </c>
      <c r="E287" s="12">
        <f>CHOOSE( CONTROL!$C$32, 8.092, 8.0888) * CHOOSE( CONTROL!$C$15, $D$11, 100%, $F$11)</f>
        <v>8.0920000000000005</v>
      </c>
      <c r="F287" s="4">
        <f>CHOOSE( CONTROL!$C$32, 8.7649, 8.7617) * CHOOSE(CONTROL!$C$15, $D$11, 100%, $F$11)</f>
        <v>8.7649000000000008</v>
      </c>
      <c r="G287" s="8">
        <f>CHOOSE( CONTROL!$C$32, 7.9174, 7.9143) * CHOOSE( CONTROL!$C$15, $D$11, 100%, $F$11)</f>
        <v>7.9173999999999998</v>
      </c>
      <c r="H287" s="4">
        <f>CHOOSE( CONTROL!$C$32, 8.8483, 8.8452) * CHOOSE(CONTROL!$C$15, $D$11, 100%, $F$11)</f>
        <v>8.8483000000000001</v>
      </c>
      <c r="I287" s="8">
        <f>CHOOSE( CONTROL!$C$32, 7.88, 7.8769) * CHOOSE(CONTROL!$C$15, $D$11, 100%, $F$11)</f>
        <v>7.88</v>
      </c>
      <c r="J287" s="4">
        <f>CHOOSE( CONTROL!$C$32, 7.7829, 7.7799) * CHOOSE(CONTROL!$C$15, $D$11, 100%, $F$11)</f>
        <v>7.7828999999999997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30.5152</v>
      </c>
      <c r="R287" s="9"/>
      <c r="S287" s="11"/>
    </row>
    <row r="288" spans="1:19" ht="15.75">
      <c r="A288" s="14">
        <v>50253</v>
      </c>
      <c r="B288" s="8">
        <f>CHOOSE( CONTROL!$C$32, 7.4621, 7.4589) * CHOOSE(CONTROL!$C$15, $D$11, 100%, $F$11)</f>
        <v>7.4621000000000004</v>
      </c>
      <c r="C288" s="8">
        <f>CHOOSE( CONTROL!$C$32, 7.4701, 7.4669) * CHOOSE(CONTROL!$C$15, $D$11, 100%, $F$11)</f>
        <v>7.4701000000000004</v>
      </c>
      <c r="D288" s="8">
        <f>CHOOSE( CONTROL!$C$32, 7.4732, 7.47) * CHOOSE( CONTROL!$C$15, $D$11, 100%, $F$11)</f>
        <v>7.4732000000000003</v>
      </c>
      <c r="E288" s="12">
        <f>CHOOSE( CONTROL!$C$32, 7.4709, 7.4677) * CHOOSE( CONTROL!$C$15, $D$11, 100%, $F$11)</f>
        <v>7.4709000000000003</v>
      </c>
      <c r="F288" s="4">
        <f>CHOOSE( CONTROL!$C$32, 8.1437, 8.1405) * CHOOSE(CONTROL!$C$15, $D$11, 100%, $F$11)</f>
        <v>8.1437000000000008</v>
      </c>
      <c r="G288" s="8">
        <f>CHOOSE( CONTROL!$C$32, 7.3067, 7.3036) * CHOOSE( CONTROL!$C$15, $D$11, 100%, $F$11)</f>
        <v>7.3067000000000002</v>
      </c>
      <c r="H288" s="4">
        <f>CHOOSE( CONTROL!$C$32, 8.2374, 8.2343) * CHOOSE(CONTROL!$C$15, $D$11, 100%, $F$11)</f>
        <v>8.2373999999999992</v>
      </c>
      <c r="I288" s="8">
        <f>CHOOSE( CONTROL!$C$32, 7.2799, 7.2768) * CHOOSE(CONTROL!$C$15, $D$11, 100%, $F$11)</f>
        <v>7.2798999999999996</v>
      </c>
      <c r="J288" s="4">
        <f>CHOOSE( CONTROL!$C$32, 7.1824, 7.1793) * CHOOSE(CONTROL!$C$15, $D$11, 100%, $F$11)</f>
        <v>7.1824000000000003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1.2183999999999999</v>
      </c>
      <c r="Q288" s="9">
        <v>30.5152</v>
      </c>
      <c r="R288" s="9"/>
      <c r="S288" s="11"/>
    </row>
    <row r="289" spans="1:19" ht="15.75">
      <c r="A289" s="14">
        <v>50284</v>
      </c>
      <c r="B289" s="8">
        <f>CHOOSE( CONTROL!$C$32, 7.3066, 7.3034) * CHOOSE(CONTROL!$C$15, $D$11, 100%, $F$11)</f>
        <v>7.3066000000000004</v>
      </c>
      <c r="C289" s="8">
        <f>CHOOSE( CONTROL!$C$32, 7.3146, 7.3114) * CHOOSE(CONTROL!$C$15, $D$11, 100%, $F$11)</f>
        <v>7.3146000000000004</v>
      </c>
      <c r="D289" s="8">
        <f>CHOOSE( CONTROL!$C$32, 7.3177, 7.3145) * CHOOSE( CONTROL!$C$15, $D$11, 100%, $F$11)</f>
        <v>7.3177000000000003</v>
      </c>
      <c r="E289" s="12">
        <f>CHOOSE( CONTROL!$C$32, 7.3154, 7.3122) * CHOOSE( CONTROL!$C$15, $D$11, 100%, $F$11)</f>
        <v>7.3154000000000003</v>
      </c>
      <c r="F289" s="4">
        <f>CHOOSE( CONTROL!$C$32, 7.9881, 7.9849) * CHOOSE(CONTROL!$C$15, $D$11, 100%, $F$11)</f>
        <v>7.9881000000000002</v>
      </c>
      <c r="G289" s="8">
        <f>CHOOSE( CONTROL!$C$32, 7.1538, 7.1507) * CHOOSE( CONTROL!$C$15, $D$11, 100%, $F$11)</f>
        <v>7.1538000000000004</v>
      </c>
      <c r="H289" s="4">
        <f>CHOOSE( CONTROL!$C$32, 8.0844, 8.0813) * CHOOSE(CONTROL!$C$15, $D$11, 100%, $F$11)</f>
        <v>8.0844000000000005</v>
      </c>
      <c r="I289" s="8">
        <f>CHOOSE( CONTROL!$C$32, 7.1296, 7.1265) * CHOOSE(CONTROL!$C$15, $D$11, 100%, $F$11)</f>
        <v>7.1295999999999999</v>
      </c>
      <c r="J289" s="4">
        <f>CHOOSE( CONTROL!$C$32, 7.032, 7.0289) * CHOOSE(CONTROL!$C$15, $D$11, 100%, $F$11)</f>
        <v>7.032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1.1791</v>
      </c>
      <c r="Q289" s="9">
        <v>29.530799999999999</v>
      </c>
      <c r="R289" s="9"/>
      <c r="S289" s="11"/>
    </row>
    <row r="290" spans="1:19" ht="15.75">
      <c r="A290" s="14">
        <v>50314</v>
      </c>
      <c r="B290" s="8">
        <f>7.6246 * CHOOSE(CONTROL!$C$15, $D$11, 100%, $F$11)</f>
        <v>7.6246</v>
      </c>
      <c r="C290" s="8">
        <f>7.63 * CHOOSE(CONTROL!$C$15, $D$11, 100%, $F$11)</f>
        <v>7.63</v>
      </c>
      <c r="D290" s="8">
        <f>7.6379 * CHOOSE( CONTROL!$C$15, $D$11, 100%, $F$11)</f>
        <v>7.6379000000000001</v>
      </c>
      <c r="E290" s="12">
        <f>7.6347 * CHOOSE( CONTROL!$C$15, $D$11, 100%, $F$11)</f>
        <v>7.6346999999999996</v>
      </c>
      <c r="F290" s="4">
        <f>8.3079 * CHOOSE(CONTROL!$C$15, $D$11, 100%, $F$11)</f>
        <v>8.3079000000000001</v>
      </c>
      <c r="G290" s="8">
        <f>7.4678 * CHOOSE( CONTROL!$C$15, $D$11, 100%, $F$11)</f>
        <v>7.4678000000000004</v>
      </c>
      <c r="H290" s="4">
        <f>8.3989 * CHOOSE(CONTROL!$C$15, $D$11, 100%, $F$11)</f>
        <v>8.3988999999999994</v>
      </c>
      <c r="I290" s="8">
        <f>7.4395 * CHOOSE(CONTROL!$C$15, $D$11, 100%, $F$11)</f>
        <v>7.4394999999999998</v>
      </c>
      <c r="J290" s="4">
        <f>7.3412 * CHOOSE(CONTROL!$C$15, $D$11, 100%, $F$11)</f>
        <v>7.3411999999999997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1.2183999999999999</v>
      </c>
      <c r="Q290" s="9">
        <v>30.5152</v>
      </c>
      <c r="R290" s="9"/>
      <c r="S290" s="11"/>
    </row>
    <row r="291" spans="1:19" ht="15.75">
      <c r="A291" s="14">
        <v>50345</v>
      </c>
      <c r="B291" s="8">
        <f>8.2204 * CHOOSE(CONTROL!$C$15, $D$11, 100%, $F$11)</f>
        <v>8.2203999999999997</v>
      </c>
      <c r="C291" s="8">
        <f>8.2256 * CHOOSE(CONTROL!$C$15, $D$11, 100%, $F$11)</f>
        <v>8.2256</v>
      </c>
      <c r="D291" s="8">
        <f>8.2031 * CHOOSE( CONTROL!$C$15, $D$11, 100%, $F$11)</f>
        <v>8.2030999999999992</v>
      </c>
      <c r="E291" s="12">
        <f>8.2108 * CHOOSE( CONTROL!$C$15, $D$11, 100%, $F$11)</f>
        <v>8.2108000000000008</v>
      </c>
      <c r="F291" s="4">
        <f>8.8653 * CHOOSE(CONTROL!$C$15, $D$11, 100%, $F$11)</f>
        <v>8.8652999999999995</v>
      </c>
      <c r="G291" s="8">
        <f>8.0667 * CHOOSE( CONTROL!$C$15, $D$11, 100%, $F$11)</f>
        <v>8.0667000000000009</v>
      </c>
      <c r="H291" s="4">
        <f>8.9471 * CHOOSE(CONTROL!$C$15, $D$11, 100%, $F$11)</f>
        <v>8.9471000000000007</v>
      </c>
      <c r="I291" s="8">
        <f>8.0418 * CHOOSE(CONTROL!$C$15, $D$11, 100%, $F$11)</f>
        <v>8.0418000000000003</v>
      </c>
      <c r="J291" s="4">
        <f>7.9175 * CHOOSE(CONTROL!$C$15, $D$11, 100%, $F$11)</f>
        <v>7.9175000000000004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29.530799999999999</v>
      </c>
      <c r="R291" s="9"/>
      <c r="S291" s="11"/>
    </row>
    <row r="292" spans="1:19" ht="15.75">
      <c r="A292" s="14">
        <v>50375</v>
      </c>
      <c r="B292" s="8">
        <f>8.2055 * CHOOSE(CONTROL!$C$15, $D$11, 100%, $F$11)</f>
        <v>8.2055000000000007</v>
      </c>
      <c r="C292" s="8">
        <f>8.2107 * CHOOSE(CONTROL!$C$15, $D$11, 100%, $F$11)</f>
        <v>8.2106999999999992</v>
      </c>
      <c r="D292" s="8">
        <f>8.1896 * CHOOSE( CONTROL!$C$15, $D$11, 100%, $F$11)</f>
        <v>8.1896000000000004</v>
      </c>
      <c r="E292" s="12">
        <f>8.1968 * CHOOSE( CONTROL!$C$15, $D$11, 100%, $F$11)</f>
        <v>8.1967999999999996</v>
      </c>
      <c r="F292" s="4">
        <f>8.8504 * CHOOSE(CONTROL!$C$15, $D$11, 100%, $F$11)</f>
        <v>8.8504000000000005</v>
      </c>
      <c r="G292" s="8">
        <f>8.0531 * CHOOSE( CONTROL!$C$15, $D$11, 100%, $F$11)</f>
        <v>8.0531000000000006</v>
      </c>
      <c r="H292" s="4">
        <f>8.9324 * CHOOSE(CONTROL!$C$15, $D$11, 100%, $F$11)</f>
        <v>8.9323999999999995</v>
      </c>
      <c r="I292" s="8">
        <f>8.032 * CHOOSE(CONTROL!$C$15, $D$11, 100%, $F$11)</f>
        <v>8.032</v>
      </c>
      <c r="J292" s="4">
        <f>7.9031 * CHOOSE(CONTROL!$C$15, $D$11, 100%, $F$11)</f>
        <v>7.9031000000000002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30.5152</v>
      </c>
      <c r="R292" s="9"/>
      <c r="S292" s="11"/>
    </row>
    <row r="293" spans="1:19" ht="15.75">
      <c r="A293" s="13">
        <v>50436</v>
      </c>
      <c r="B293" s="8">
        <f>8.518 * CHOOSE(CONTROL!$C$15, $D$11, 100%, $F$11)</f>
        <v>8.5180000000000007</v>
      </c>
      <c r="C293" s="8">
        <f>8.5231 * CHOOSE(CONTROL!$C$15, $D$11, 100%, $F$11)</f>
        <v>8.5230999999999995</v>
      </c>
      <c r="D293" s="8">
        <f>8.5011 * CHOOSE( CONTROL!$C$15, $D$11, 100%, $F$11)</f>
        <v>8.5010999999999992</v>
      </c>
      <c r="E293" s="12">
        <f>8.5086 * CHOOSE( CONTROL!$C$15, $D$11, 100%, $F$11)</f>
        <v>8.5085999999999995</v>
      </c>
      <c r="F293" s="4">
        <f>9.1629 * CHOOSE(CONTROL!$C$15, $D$11, 100%, $F$11)</f>
        <v>9.1629000000000005</v>
      </c>
      <c r="G293" s="8">
        <f>8.3578 * CHOOSE( CONTROL!$C$15, $D$11, 100%, $F$11)</f>
        <v>8.3577999999999992</v>
      </c>
      <c r="H293" s="4">
        <f>9.2397 * CHOOSE(CONTROL!$C$15, $D$11, 100%, $F$11)</f>
        <v>9.2396999999999991</v>
      </c>
      <c r="I293" s="8">
        <f>8.306 * CHOOSE(CONTROL!$C$15, $D$11, 100%, $F$11)</f>
        <v>8.3059999999999992</v>
      </c>
      <c r="J293" s="4">
        <f>8.2052 * CHOOSE(CONTROL!$C$15, $D$11, 100%, $F$11)</f>
        <v>8.2051999999999996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30.451899999999998</v>
      </c>
      <c r="R293" s="9"/>
      <c r="S293" s="11"/>
    </row>
    <row r="294" spans="1:19" ht="15.75">
      <c r="A294" s="13">
        <v>50464</v>
      </c>
      <c r="B294" s="8">
        <f>7.9693 * CHOOSE(CONTROL!$C$15, $D$11, 100%, $F$11)</f>
        <v>7.9692999999999996</v>
      </c>
      <c r="C294" s="8">
        <f>7.9744 * CHOOSE(CONTROL!$C$15, $D$11, 100%, $F$11)</f>
        <v>7.9744000000000002</v>
      </c>
      <c r="D294" s="8">
        <f>7.948 * CHOOSE( CONTROL!$C$15, $D$11, 100%, $F$11)</f>
        <v>7.9480000000000004</v>
      </c>
      <c r="E294" s="12">
        <f>7.9571 * CHOOSE( CONTROL!$C$15, $D$11, 100%, $F$11)</f>
        <v>7.9570999999999996</v>
      </c>
      <c r="F294" s="4">
        <f>8.6142 * CHOOSE(CONTROL!$C$15, $D$11, 100%, $F$11)</f>
        <v>8.6142000000000003</v>
      </c>
      <c r="G294" s="8">
        <f>7.8097 * CHOOSE( CONTROL!$C$15, $D$11, 100%, $F$11)</f>
        <v>7.8097000000000003</v>
      </c>
      <c r="H294" s="4">
        <f>8.7001 * CHOOSE(CONTROL!$C$15, $D$11, 100%, $F$11)</f>
        <v>8.7001000000000008</v>
      </c>
      <c r="I294" s="8">
        <f>7.7463 * CHOOSE(CONTROL!$C$15, $D$11, 100%, $F$11)</f>
        <v>7.7462999999999997</v>
      </c>
      <c r="J294" s="4">
        <f>7.6747 * CHOOSE(CONTROL!$C$15, $D$11, 100%, $F$11)</f>
        <v>7.6746999999999996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27.504999999999999</v>
      </c>
      <c r="R294" s="9"/>
      <c r="S294" s="11"/>
    </row>
    <row r="295" spans="1:19" ht="15.75">
      <c r="A295" s="13">
        <v>50495</v>
      </c>
      <c r="B295" s="8">
        <f>7.8003 * CHOOSE(CONTROL!$C$15, $D$11, 100%, $F$11)</f>
        <v>7.8003</v>
      </c>
      <c r="C295" s="8">
        <f>7.8054 * CHOOSE(CONTROL!$C$15, $D$11, 100%, $F$11)</f>
        <v>7.8053999999999997</v>
      </c>
      <c r="D295" s="8">
        <f>7.7794 * CHOOSE( CONTROL!$C$15, $D$11, 100%, $F$11)</f>
        <v>7.7793999999999999</v>
      </c>
      <c r="E295" s="12">
        <f>7.7884 * CHOOSE( CONTROL!$C$15, $D$11, 100%, $F$11)</f>
        <v>7.7884000000000002</v>
      </c>
      <c r="F295" s="4">
        <f>8.4452 * CHOOSE(CONTROL!$C$15, $D$11, 100%, $F$11)</f>
        <v>8.4451999999999998</v>
      </c>
      <c r="G295" s="8">
        <f>7.6438 * CHOOSE( CONTROL!$C$15, $D$11, 100%, $F$11)</f>
        <v>7.6437999999999997</v>
      </c>
      <c r="H295" s="4">
        <f>8.5339 * CHOOSE(CONTROL!$C$15, $D$11, 100%, $F$11)</f>
        <v>8.5338999999999992</v>
      </c>
      <c r="I295" s="8">
        <f>7.584 * CHOOSE(CONTROL!$C$15, $D$11, 100%, $F$11)</f>
        <v>7.5839999999999996</v>
      </c>
      <c r="J295" s="4">
        <f>7.5113 * CHOOSE(CONTROL!$C$15, $D$11, 100%, $F$11)</f>
        <v>7.5113000000000003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30.451899999999998</v>
      </c>
      <c r="R295" s="9"/>
      <c r="S295" s="11"/>
    </row>
    <row r="296" spans="1:19" ht="15.75">
      <c r="A296" s="13">
        <v>50525</v>
      </c>
      <c r="B296" s="8">
        <f>7.9191 * CHOOSE(CONTROL!$C$15, $D$11, 100%, $F$11)</f>
        <v>7.9191000000000003</v>
      </c>
      <c r="C296" s="8">
        <f>7.9237 * CHOOSE(CONTROL!$C$15, $D$11, 100%, $F$11)</f>
        <v>7.9237000000000002</v>
      </c>
      <c r="D296" s="8">
        <f>7.9308 * CHOOSE( CONTROL!$C$15, $D$11, 100%, $F$11)</f>
        <v>7.9307999999999996</v>
      </c>
      <c r="E296" s="12">
        <f>7.9279 * CHOOSE( CONTROL!$C$15, $D$11, 100%, $F$11)</f>
        <v>7.9279000000000002</v>
      </c>
      <c r="F296" s="4">
        <f>8.602 * CHOOSE(CONTROL!$C$15, $D$11, 100%, $F$11)</f>
        <v>8.6020000000000003</v>
      </c>
      <c r="G296" s="8">
        <f>7.7552 * CHOOSE( CONTROL!$C$15, $D$11, 100%, $F$11)</f>
        <v>7.7552000000000003</v>
      </c>
      <c r="H296" s="4">
        <f>8.6882 * CHOOSE(CONTROL!$C$15, $D$11, 100%, $F$11)</f>
        <v>8.6882000000000001</v>
      </c>
      <c r="I296" s="8">
        <f>7.7181 * CHOOSE(CONTROL!$C$15, $D$11, 100%, $F$11)</f>
        <v>7.7180999999999997</v>
      </c>
      <c r="J296" s="4">
        <f>7.6255 * CHOOSE(CONTROL!$C$15, $D$11, 100%, $F$11)</f>
        <v>7.6254999999999997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1.1791</v>
      </c>
      <c r="Q296" s="9">
        <v>29.4696</v>
      </c>
      <c r="R296" s="9"/>
      <c r="S296" s="11"/>
    </row>
    <row r="297" spans="1:19" ht="15.75">
      <c r="A297" s="13">
        <v>50556</v>
      </c>
      <c r="B297" s="8">
        <f>CHOOSE( CONTROL!$C$32, 8.1339, 8.1307) * CHOOSE(CONTROL!$C$15, $D$11, 100%, $F$11)</f>
        <v>8.1339000000000006</v>
      </c>
      <c r="C297" s="8">
        <f>CHOOSE( CONTROL!$C$32, 8.1419, 8.1387) * CHOOSE(CONTROL!$C$15, $D$11, 100%, $F$11)</f>
        <v>8.1418999999999997</v>
      </c>
      <c r="D297" s="8">
        <f>CHOOSE( CONTROL!$C$32, 8.1442, 8.141) * CHOOSE( CONTROL!$C$15, $D$11, 100%, $F$11)</f>
        <v>8.1441999999999997</v>
      </c>
      <c r="E297" s="12">
        <f>CHOOSE( CONTROL!$C$32, 8.1421, 8.1389) * CHOOSE( CONTROL!$C$15, $D$11, 100%, $F$11)</f>
        <v>8.1420999999999992</v>
      </c>
      <c r="F297" s="4">
        <f>CHOOSE( CONTROL!$C$32, 8.8154, 8.8122) * CHOOSE(CONTROL!$C$15, $D$11, 100%, $F$11)</f>
        <v>8.8154000000000003</v>
      </c>
      <c r="G297" s="8">
        <f>CHOOSE( CONTROL!$C$32, 7.9662, 7.9631) * CHOOSE( CONTROL!$C$15, $D$11, 100%, $F$11)</f>
        <v>7.9661999999999997</v>
      </c>
      <c r="H297" s="4">
        <f>CHOOSE( CONTROL!$C$32, 8.898, 8.8949) * CHOOSE(CONTROL!$C$15, $D$11, 100%, $F$11)</f>
        <v>8.8979999999999997</v>
      </c>
      <c r="I297" s="8">
        <f>CHOOSE( CONTROL!$C$32, 7.926, 7.9229) * CHOOSE(CONTROL!$C$15, $D$11, 100%, $F$11)</f>
        <v>7.9260000000000002</v>
      </c>
      <c r="J297" s="4">
        <f>CHOOSE( CONTROL!$C$32, 7.8318, 7.8287) * CHOOSE(CONTROL!$C$15, $D$11, 100%, $F$11)</f>
        <v>7.8318000000000003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1.2183999999999999</v>
      </c>
      <c r="Q297" s="9">
        <v>30.451899999999998</v>
      </c>
      <c r="R297" s="9"/>
      <c r="S297" s="11"/>
    </row>
    <row r="298" spans="1:19" ht="15.75">
      <c r="A298" s="13">
        <v>50586</v>
      </c>
      <c r="B298" s="8">
        <f>CHOOSE( CONTROL!$C$32, 8.0037, 8.0005) * CHOOSE(CONTROL!$C$15, $D$11, 100%, $F$11)</f>
        <v>8.0037000000000003</v>
      </c>
      <c r="C298" s="8">
        <f>CHOOSE( CONTROL!$C$32, 8.0117, 8.0085) * CHOOSE(CONTROL!$C$15, $D$11, 100%, $F$11)</f>
        <v>8.0116999999999994</v>
      </c>
      <c r="D298" s="8">
        <f>CHOOSE( CONTROL!$C$32, 8.0143, 8.0111) * CHOOSE( CONTROL!$C$15, $D$11, 100%, $F$11)</f>
        <v>8.0143000000000004</v>
      </c>
      <c r="E298" s="12">
        <f>CHOOSE( CONTROL!$C$32, 8.0121, 8.0089) * CHOOSE( CONTROL!$C$15, $D$11, 100%, $F$11)</f>
        <v>8.0121000000000002</v>
      </c>
      <c r="F298" s="4">
        <f>CHOOSE( CONTROL!$C$32, 8.6852, 8.682) * CHOOSE(CONTROL!$C$15, $D$11, 100%, $F$11)</f>
        <v>8.6852</v>
      </c>
      <c r="G298" s="8">
        <f>CHOOSE( CONTROL!$C$32, 7.8386, 7.8355) * CHOOSE( CONTROL!$C$15, $D$11, 100%, $F$11)</f>
        <v>7.8385999999999996</v>
      </c>
      <c r="H298" s="4">
        <f>CHOOSE( CONTROL!$C$32, 8.77, 8.7668) * CHOOSE(CONTROL!$C$15, $D$11, 100%, $F$11)</f>
        <v>8.77</v>
      </c>
      <c r="I298" s="8">
        <f>CHOOSE( CONTROL!$C$32, 7.8015, 7.7984) * CHOOSE(CONTROL!$C$15, $D$11, 100%, $F$11)</f>
        <v>7.8014999999999999</v>
      </c>
      <c r="J298" s="4">
        <f>CHOOSE( CONTROL!$C$32, 7.7059, 7.7028) * CHOOSE(CONTROL!$C$15, $D$11, 100%, $F$11)</f>
        <v>7.7058999999999997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1.1791</v>
      </c>
      <c r="Q298" s="9">
        <v>29.4696</v>
      </c>
      <c r="R298" s="9"/>
      <c r="S298" s="11"/>
    </row>
    <row r="299" spans="1:19" ht="15.75">
      <c r="A299" s="13">
        <v>50617</v>
      </c>
      <c r="B299" s="8">
        <f>CHOOSE( CONTROL!$C$32, 8.3466, 8.3434) * CHOOSE(CONTROL!$C$15, $D$11, 100%, $F$11)</f>
        <v>8.3466000000000005</v>
      </c>
      <c r="C299" s="8">
        <f>CHOOSE( CONTROL!$C$32, 8.3546, 8.3514) * CHOOSE(CONTROL!$C$15, $D$11, 100%, $F$11)</f>
        <v>8.3545999999999996</v>
      </c>
      <c r="D299" s="8">
        <f>CHOOSE( CONTROL!$C$32, 8.3575, 8.3543) * CHOOSE( CONTROL!$C$15, $D$11, 100%, $F$11)</f>
        <v>8.3574999999999999</v>
      </c>
      <c r="E299" s="12">
        <f>CHOOSE( CONTROL!$C$32, 8.3552, 8.352) * CHOOSE( CONTROL!$C$15, $D$11, 100%, $F$11)</f>
        <v>8.3552</v>
      </c>
      <c r="F299" s="4">
        <f>CHOOSE( CONTROL!$C$32, 9.0281, 9.0249) * CHOOSE(CONTROL!$C$15, $D$11, 100%, $F$11)</f>
        <v>9.0281000000000002</v>
      </c>
      <c r="G299" s="8">
        <f>CHOOSE( CONTROL!$C$32, 8.1763, 8.1731) * CHOOSE( CONTROL!$C$15, $D$11, 100%, $F$11)</f>
        <v>8.1762999999999995</v>
      </c>
      <c r="H299" s="4">
        <f>CHOOSE( CONTROL!$C$32, 9.1072, 9.104) * CHOOSE(CONTROL!$C$15, $D$11, 100%, $F$11)</f>
        <v>9.1072000000000006</v>
      </c>
      <c r="I299" s="8">
        <f>CHOOSE( CONTROL!$C$32, 8.1345, 8.1315) * CHOOSE(CONTROL!$C$15, $D$11, 100%, $F$11)</f>
        <v>8.1344999999999992</v>
      </c>
      <c r="J299" s="4">
        <f>CHOOSE( CONTROL!$C$32, 8.0374, 8.0343) * CHOOSE(CONTROL!$C$15, $D$11, 100%, $F$11)</f>
        <v>8.0373999999999999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30.451899999999998</v>
      </c>
      <c r="R299" s="9"/>
      <c r="S299" s="11"/>
    </row>
    <row r="300" spans="1:19" ht="15.75">
      <c r="A300" s="13">
        <v>50648</v>
      </c>
      <c r="B300" s="8">
        <f>CHOOSE( CONTROL!$C$32, 7.705, 7.7018) * CHOOSE(CONTROL!$C$15, $D$11, 100%, $F$11)</f>
        <v>7.7050000000000001</v>
      </c>
      <c r="C300" s="8">
        <f>CHOOSE( CONTROL!$C$32, 7.713, 7.7098) * CHOOSE(CONTROL!$C$15, $D$11, 100%, $F$11)</f>
        <v>7.7130000000000001</v>
      </c>
      <c r="D300" s="8">
        <f>CHOOSE( CONTROL!$C$32, 7.7161, 7.7129) * CHOOSE( CONTROL!$C$15, $D$11, 100%, $F$11)</f>
        <v>7.7161</v>
      </c>
      <c r="E300" s="12">
        <f>CHOOSE( CONTROL!$C$32, 7.7138, 7.7106) * CHOOSE( CONTROL!$C$15, $D$11, 100%, $F$11)</f>
        <v>7.7138</v>
      </c>
      <c r="F300" s="4">
        <f>CHOOSE( CONTROL!$C$32, 8.3865, 8.3833) * CHOOSE(CONTROL!$C$15, $D$11, 100%, $F$11)</f>
        <v>8.3864999999999998</v>
      </c>
      <c r="G300" s="8">
        <f>CHOOSE( CONTROL!$C$32, 7.5456, 7.5424) * CHOOSE( CONTROL!$C$15, $D$11, 100%, $F$11)</f>
        <v>7.5456000000000003</v>
      </c>
      <c r="H300" s="4">
        <f>CHOOSE( CONTROL!$C$32, 8.4762, 8.4731) * CHOOSE(CONTROL!$C$15, $D$11, 100%, $F$11)</f>
        <v>8.4762000000000004</v>
      </c>
      <c r="I300" s="8">
        <f>CHOOSE( CONTROL!$C$32, 7.5148, 7.5117) * CHOOSE(CONTROL!$C$15, $D$11, 100%, $F$11)</f>
        <v>7.5148000000000001</v>
      </c>
      <c r="J300" s="4">
        <f>CHOOSE( CONTROL!$C$32, 7.4172, 7.4141) * CHOOSE(CONTROL!$C$15, $D$11, 100%, $F$11)</f>
        <v>7.4172000000000002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1.2183999999999999</v>
      </c>
      <c r="Q300" s="9">
        <v>30.451899999999998</v>
      </c>
      <c r="R300" s="9"/>
      <c r="S300" s="11"/>
    </row>
    <row r="301" spans="1:19" ht="15.75">
      <c r="A301" s="13">
        <v>50678</v>
      </c>
      <c r="B301" s="8">
        <f>CHOOSE( CONTROL!$C$32, 7.5443, 7.5411) * CHOOSE(CONTROL!$C$15, $D$11, 100%, $F$11)</f>
        <v>7.5442999999999998</v>
      </c>
      <c r="C301" s="8">
        <f>CHOOSE( CONTROL!$C$32, 7.5524, 7.5492) * CHOOSE(CONTROL!$C$15, $D$11, 100%, $F$11)</f>
        <v>7.5523999999999996</v>
      </c>
      <c r="D301" s="8">
        <f>CHOOSE( CONTROL!$C$32, 7.5555, 7.5523) * CHOOSE( CONTROL!$C$15, $D$11, 100%, $F$11)</f>
        <v>7.5555000000000003</v>
      </c>
      <c r="E301" s="12">
        <f>CHOOSE( CONTROL!$C$32, 7.5531, 7.5499) * CHOOSE( CONTROL!$C$15, $D$11, 100%, $F$11)</f>
        <v>7.5530999999999997</v>
      </c>
      <c r="F301" s="4">
        <f>CHOOSE( CONTROL!$C$32, 8.2259, 8.2227) * CHOOSE(CONTROL!$C$15, $D$11, 100%, $F$11)</f>
        <v>8.2258999999999993</v>
      </c>
      <c r="G301" s="8">
        <f>CHOOSE( CONTROL!$C$32, 7.3876, 7.3845) * CHOOSE( CONTROL!$C$15, $D$11, 100%, $F$11)</f>
        <v>7.3875999999999999</v>
      </c>
      <c r="H301" s="4">
        <f>CHOOSE( CONTROL!$C$32, 8.3183, 8.3151) * CHOOSE(CONTROL!$C$15, $D$11, 100%, $F$11)</f>
        <v>8.3183000000000007</v>
      </c>
      <c r="I301" s="8">
        <f>CHOOSE( CONTROL!$C$32, 7.3596, 7.3565) * CHOOSE(CONTROL!$C$15, $D$11, 100%, $F$11)</f>
        <v>7.3596000000000004</v>
      </c>
      <c r="J301" s="4">
        <f>CHOOSE( CONTROL!$C$32, 7.2619, 7.2588) * CHOOSE(CONTROL!$C$15, $D$11, 100%, $F$11)</f>
        <v>7.2618999999999998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1.1791</v>
      </c>
      <c r="Q301" s="9">
        <v>29.4696</v>
      </c>
      <c r="R301" s="9"/>
      <c r="S301" s="11"/>
    </row>
    <row r="302" spans="1:19" ht="15.75">
      <c r="A302" s="13">
        <v>50709</v>
      </c>
      <c r="B302" s="8">
        <f>7.873 * CHOOSE(CONTROL!$C$15, $D$11, 100%, $F$11)</f>
        <v>7.8730000000000002</v>
      </c>
      <c r="C302" s="8">
        <f>7.8784 * CHOOSE(CONTROL!$C$15, $D$11, 100%, $F$11)</f>
        <v>7.8784000000000001</v>
      </c>
      <c r="D302" s="8">
        <f>7.8863 * CHOOSE( CONTROL!$C$15, $D$11, 100%, $F$11)</f>
        <v>7.8863000000000003</v>
      </c>
      <c r="E302" s="12">
        <f>7.8831 * CHOOSE( CONTROL!$C$15, $D$11, 100%, $F$11)</f>
        <v>7.8830999999999998</v>
      </c>
      <c r="F302" s="4">
        <f>8.5563 * CHOOSE(CONTROL!$C$15, $D$11, 100%, $F$11)</f>
        <v>8.5563000000000002</v>
      </c>
      <c r="G302" s="8">
        <f>7.7121 * CHOOSE( CONTROL!$C$15, $D$11, 100%, $F$11)</f>
        <v>7.7121000000000004</v>
      </c>
      <c r="H302" s="4">
        <f>8.6432 * CHOOSE(CONTROL!$C$15, $D$11, 100%, $F$11)</f>
        <v>8.6432000000000002</v>
      </c>
      <c r="I302" s="8">
        <f>7.6797 * CHOOSE(CONTROL!$C$15, $D$11, 100%, $F$11)</f>
        <v>7.6797000000000004</v>
      </c>
      <c r="J302" s="4">
        <f>7.5813 * CHOOSE(CONTROL!$C$15, $D$11, 100%, $F$11)</f>
        <v>7.5812999999999997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1.2183999999999999</v>
      </c>
      <c r="Q302" s="9">
        <v>30.451899999999998</v>
      </c>
      <c r="R302" s="9"/>
      <c r="S302" s="11"/>
    </row>
    <row r="303" spans="1:19" ht="15.75">
      <c r="A303" s="13">
        <v>50739</v>
      </c>
      <c r="B303" s="8">
        <f>8.4883 * CHOOSE(CONTROL!$C$15, $D$11, 100%, $F$11)</f>
        <v>8.4883000000000006</v>
      </c>
      <c r="C303" s="8">
        <f>8.4934 * CHOOSE(CONTROL!$C$15, $D$11, 100%, $F$11)</f>
        <v>8.4933999999999994</v>
      </c>
      <c r="D303" s="8">
        <f>8.4709 * CHOOSE( CONTROL!$C$15, $D$11, 100%, $F$11)</f>
        <v>8.4709000000000003</v>
      </c>
      <c r="E303" s="12">
        <f>8.4786 * CHOOSE( CONTROL!$C$15, $D$11, 100%, $F$11)</f>
        <v>8.4786000000000001</v>
      </c>
      <c r="F303" s="4">
        <f>9.1332 * CHOOSE(CONTROL!$C$15, $D$11, 100%, $F$11)</f>
        <v>9.1332000000000004</v>
      </c>
      <c r="G303" s="8">
        <f>8.3301 * CHOOSE( CONTROL!$C$15, $D$11, 100%, $F$11)</f>
        <v>8.3300999999999998</v>
      </c>
      <c r="H303" s="4">
        <f>9.2105 * CHOOSE(CONTROL!$C$15, $D$11, 100%, $F$11)</f>
        <v>9.2104999999999997</v>
      </c>
      <c r="I303" s="8">
        <f>8.3009 * CHOOSE(CONTROL!$C$15, $D$11, 100%, $F$11)</f>
        <v>8.3009000000000004</v>
      </c>
      <c r="J303" s="4">
        <f>8.1765 * CHOOSE(CONTROL!$C$15, $D$11, 100%, $F$11)</f>
        <v>8.1765000000000008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29.4696</v>
      </c>
      <c r="R303" s="9"/>
      <c r="S303" s="11"/>
    </row>
    <row r="304" spans="1:19" ht="15.75">
      <c r="A304" s="13">
        <v>50770</v>
      </c>
      <c r="B304" s="8">
        <f>8.4729 * CHOOSE(CONTROL!$C$15, $D$11, 100%, $F$11)</f>
        <v>8.4728999999999992</v>
      </c>
      <c r="C304" s="8">
        <f>8.478 * CHOOSE(CONTROL!$C$15, $D$11, 100%, $F$11)</f>
        <v>8.4779999999999998</v>
      </c>
      <c r="D304" s="8">
        <f>8.457 * CHOOSE( CONTROL!$C$15, $D$11, 100%, $F$11)</f>
        <v>8.4570000000000007</v>
      </c>
      <c r="E304" s="12">
        <f>8.4641 * CHOOSE( CONTROL!$C$15, $D$11, 100%, $F$11)</f>
        <v>8.4641000000000002</v>
      </c>
      <c r="F304" s="4">
        <f>9.1178 * CHOOSE(CONTROL!$C$15, $D$11, 100%, $F$11)</f>
        <v>9.1178000000000008</v>
      </c>
      <c r="G304" s="8">
        <f>8.3161 * CHOOSE( CONTROL!$C$15, $D$11, 100%, $F$11)</f>
        <v>8.3161000000000005</v>
      </c>
      <c r="H304" s="4">
        <f>9.1954 * CHOOSE(CONTROL!$C$15, $D$11, 100%, $F$11)</f>
        <v>9.1953999999999994</v>
      </c>
      <c r="I304" s="8">
        <f>8.2906 * CHOOSE(CONTROL!$C$15, $D$11, 100%, $F$11)</f>
        <v>8.2905999999999995</v>
      </c>
      <c r="J304" s="4">
        <f>8.1616 * CHOOSE(CONTROL!$C$15, $D$11, 100%, $F$11)</f>
        <v>8.1616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30.451899999999998</v>
      </c>
      <c r="R304" s="9"/>
      <c r="S304" s="11"/>
    </row>
    <row r="305" spans="1:19" ht="15.75">
      <c r="A305" s="13">
        <v>50801</v>
      </c>
      <c r="B305" s="8">
        <f>8.7956 * CHOOSE(CONTROL!$C$15, $D$11, 100%, $F$11)</f>
        <v>8.7956000000000003</v>
      </c>
      <c r="C305" s="8">
        <f>8.8007 * CHOOSE(CONTROL!$C$15, $D$11, 100%, $F$11)</f>
        <v>8.8007000000000009</v>
      </c>
      <c r="D305" s="8">
        <f>8.7787 * CHOOSE( CONTROL!$C$15, $D$11, 100%, $F$11)</f>
        <v>8.7787000000000006</v>
      </c>
      <c r="E305" s="12">
        <f>8.7862 * CHOOSE( CONTROL!$C$15, $D$11, 100%, $F$11)</f>
        <v>8.7861999999999991</v>
      </c>
      <c r="F305" s="4">
        <f>9.4405 * CHOOSE(CONTROL!$C$15, $D$11, 100%, $F$11)</f>
        <v>9.4405000000000001</v>
      </c>
      <c r="G305" s="8">
        <f>8.6308 * CHOOSE( CONTROL!$C$15, $D$11, 100%, $F$11)</f>
        <v>8.6308000000000007</v>
      </c>
      <c r="H305" s="4">
        <f>9.5127 * CHOOSE(CONTROL!$C$15, $D$11, 100%, $F$11)</f>
        <v>9.5127000000000006</v>
      </c>
      <c r="I305" s="8">
        <f>8.5745 * CHOOSE(CONTROL!$C$15, $D$11, 100%, $F$11)</f>
        <v>8.5745000000000005</v>
      </c>
      <c r="J305" s="4">
        <f>8.4735 * CHOOSE(CONTROL!$C$15, $D$11, 100%, $F$11)</f>
        <v>8.4734999999999996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30.386800000000001</v>
      </c>
      <c r="R305" s="9"/>
      <c r="S305" s="11"/>
    </row>
    <row r="306" spans="1:19" ht="15.75">
      <c r="A306" s="13">
        <v>50829</v>
      </c>
      <c r="B306" s="8">
        <f>8.2289 * CHOOSE(CONTROL!$C$15, $D$11, 100%, $F$11)</f>
        <v>8.2288999999999994</v>
      </c>
      <c r="C306" s="8">
        <f>8.234 * CHOOSE(CONTROL!$C$15, $D$11, 100%, $F$11)</f>
        <v>8.234</v>
      </c>
      <c r="D306" s="8">
        <f>8.2077 * CHOOSE( CONTROL!$C$15, $D$11, 100%, $F$11)</f>
        <v>8.2077000000000009</v>
      </c>
      <c r="E306" s="12">
        <f>8.2168 * CHOOSE( CONTROL!$C$15, $D$11, 100%, $F$11)</f>
        <v>8.2167999999999992</v>
      </c>
      <c r="F306" s="4">
        <f>8.8738 * CHOOSE(CONTROL!$C$15, $D$11, 100%, $F$11)</f>
        <v>8.8737999999999992</v>
      </c>
      <c r="G306" s="8">
        <f>8.0651 * CHOOSE( CONTROL!$C$15, $D$11, 100%, $F$11)</f>
        <v>8.0650999999999993</v>
      </c>
      <c r="H306" s="4">
        <f>8.9554 * CHOOSE(CONTROL!$C$15, $D$11, 100%, $F$11)</f>
        <v>8.9553999999999991</v>
      </c>
      <c r="I306" s="8">
        <f>7.9974 * CHOOSE(CONTROL!$C$15, $D$11, 100%, $F$11)</f>
        <v>7.9973999999999998</v>
      </c>
      <c r="J306" s="4">
        <f>7.9257 * CHOOSE(CONTROL!$C$15, $D$11, 100%, $F$11)</f>
        <v>7.9257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27.446200000000001</v>
      </c>
      <c r="R306" s="9"/>
      <c r="S306" s="11"/>
    </row>
    <row r="307" spans="1:19" ht="15.75">
      <c r="A307" s="13">
        <v>50860</v>
      </c>
      <c r="B307" s="8">
        <f>8.0544 * CHOOSE(CONTROL!$C$15, $D$11, 100%, $F$11)</f>
        <v>8.0543999999999993</v>
      </c>
      <c r="C307" s="8">
        <f>8.0595 * CHOOSE(CONTROL!$C$15, $D$11, 100%, $F$11)</f>
        <v>8.0594999999999999</v>
      </c>
      <c r="D307" s="8">
        <f>8.0335 * CHOOSE( CONTROL!$C$15, $D$11, 100%, $F$11)</f>
        <v>8.0335000000000001</v>
      </c>
      <c r="E307" s="12">
        <f>8.0425 * CHOOSE( CONTROL!$C$15, $D$11, 100%, $F$11)</f>
        <v>8.0425000000000004</v>
      </c>
      <c r="F307" s="4">
        <f>8.6993 * CHOOSE(CONTROL!$C$15, $D$11, 100%, $F$11)</f>
        <v>8.6992999999999991</v>
      </c>
      <c r="G307" s="8">
        <f>7.8937 * CHOOSE( CONTROL!$C$15, $D$11, 100%, $F$11)</f>
        <v>7.8936999999999999</v>
      </c>
      <c r="H307" s="4">
        <f>8.7838 * CHOOSE(CONTROL!$C$15, $D$11, 100%, $F$11)</f>
        <v>8.7837999999999994</v>
      </c>
      <c r="I307" s="8">
        <f>7.8298 * CHOOSE(CONTROL!$C$15, $D$11, 100%, $F$11)</f>
        <v>7.8297999999999996</v>
      </c>
      <c r="J307" s="4">
        <f>7.757 * CHOOSE(CONTROL!$C$15, $D$11, 100%, $F$11)</f>
        <v>7.7569999999999997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30.386800000000001</v>
      </c>
      <c r="R307" s="9"/>
      <c r="S307" s="11"/>
    </row>
    <row r="308" spans="1:19" ht="15.75">
      <c r="A308" s="13">
        <v>50890</v>
      </c>
      <c r="B308" s="8">
        <f>8.1771 * CHOOSE(CONTROL!$C$15, $D$11, 100%, $F$11)</f>
        <v>8.1770999999999994</v>
      </c>
      <c r="C308" s="8">
        <f>8.1817 * CHOOSE(CONTROL!$C$15, $D$11, 100%, $F$11)</f>
        <v>8.1816999999999993</v>
      </c>
      <c r="D308" s="8">
        <f>8.1888 * CHOOSE( CONTROL!$C$15, $D$11, 100%, $F$11)</f>
        <v>8.1888000000000005</v>
      </c>
      <c r="E308" s="12">
        <f>8.1859 * CHOOSE( CONTROL!$C$15, $D$11, 100%, $F$11)</f>
        <v>8.1859000000000002</v>
      </c>
      <c r="F308" s="4">
        <f>8.86 * CHOOSE(CONTROL!$C$15, $D$11, 100%, $F$11)</f>
        <v>8.86</v>
      </c>
      <c r="G308" s="8">
        <f>8.0089 * CHOOSE( CONTROL!$C$15, $D$11, 100%, $F$11)</f>
        <v>8.0089000000000006</v>
      </c>
      <c r="H308" s="4">
        <f>8.9419 * CHOOSE(CONTROL!$C$15, $D$11, 100%, $F$11)</f>
        <v>8.9419000000000004</v>
      </c>
      <c r="I308" s="8">
        <f>7.9676 * CHOOSE(CONTROL!$C$15, $D$11, 100%, $F$11)</f>
        <v>7.9676</v>
      </c>
      <c r="J308" s="4">
        <f>7.8749 * CHOOSE(CONTROL!$C$15, $D$11, 100%, $F$11)</f>
        <v>7.8749000000000002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1.1791</v>
      </c>
      <c r="Q308" s="9">
        <v>29.406600000000001</v>
      </c>
      <c r="R308" s="9"/>
      <c r="S308" s="11"/>
    </row>
    <row r="309" spans="1:19" ht="15.75">
      <c r="A309" s="13">
        <v>50921</v>
      </c>
      <c r="B309" s="8">
        <f>CHOOSE( CONTROL!$C$32, 8.3987, 8.3955) * CHOOSE(CONTROL!$C$15, $D$11, 100%, $F$11)</f>
        <v>8.3986999999999998</v>
      </c>
      <c r="C309" s="8">
        <f>CHOOSE( CONTROL!$C$32, 8.4067, 8.4035) * CHOOSE(CONTROL!$C$15, $D$11, 100%, $F$11)</f>
        <v>8.4067000000000007</v>
      </c>
      <c r="D309" s="8">
        <f>CHOOSE( CONTROL!$C$32, 8.4091, 8.4059) * CHOOSE( CONTROL!$C$15, $D$11, 100%, $F$11)</f>
        <v>8.4091000000000005</v>
      </c>
      <c r="E309" s="12">
        <f>CHOOSE( CONTROL!$C$32, 8.407, 8.4038) * CHOOSE( CONTROL!$C$15, $D$11, 100%, $F$11)</f>
        <v>8.407</v>
      </c>
      <c r="F309" s="4">
        <f>CHOOSE( CONTROL!$C$32, 9.0803, 9.0771) * CHOOSE(CONTROL!$C$15, $D$11, 100%, $F$11)</f>
        <v>9.0802999999999994</v>
      </c>
      <c r="G309" s="8">
        <f>CHOOSE( CONTROL!$C$32, 8.2267, 8.2235) * CHOOSE( CONTROL!$C$15, $D$11, 100%, $F$11)</f>
        <v>8.2266999999999992</v>
      </c>
      <c r="H309" s="4">
        <f>CHOOSE( CONTROL!$C$32, 9.1585, 9.1553) * CHOOSE(CONTROL!$C$15, $D$11, 100%, $F$11)</f>
        <v>9.1585000000000001</v>
      </c>
      <c r="I309" s="8">
        <f>CHOOSE( CONTROL!$C$32, 8.1822, 8.1791) * CHOOSE(CONTROL!$C$15, $D$11, 100%, $F$11)</f>
        <v>8.1821999999999999</v>
      </c>
      <c r="J309" s="4">
        <f>CHOOSE( CONTROL!$C$32, 8.0878, 8.0847) * CHOOSE(CONTROL!$C$15, $D$11, 100%, $F$11)</f>
        <v>8.0877999999999997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1.2183999999999999</v>
      </c>
      <c r="Q309" s="9">
        <v>30.386800000000001</v>
      </c>
      <c r="R309" s="9"/>
      <c r="S309" s="11"/>
    </row>
    <row r="310" spans="1:19" ht="15.75">
      <c r="A310" s="13">
        <v>50951</v>
      </c>
      <c r="B310" s="8">
        <f>CHOOSE( CONTROL!$C$32, 8.2643, 8.2611) * CHOOSE(CONTROL!$C$15, $D$11, 100%, $F$11)</f>
        <v>8.2643000000000004</v>
      </c>
      <c r="C310" s="8">
        <f>CHOOSE( CONTROL!$C$32, 8.2723, 8.2691) * CHOOSE(CONTROL!$C$15, $D$11, 100%, $F$11)</f>
        <v>8.2722999999999995</v>
      </c>
      <c r="D310" s="8">
        <f>CHOOSE( CONTROL!$C$32, 8.2749, 8.2717) * CHOOSE( CONTROL!$C$15, $D$11, 100%, $F$11)</f>
        <v>8.2749000000000006</v>
      </c>
      <c r="E310" s="12">
        <f>CHOOSE( CONTROL!$C$32, 8.2727, 8.2695) * CHOOSE( CONTROL!$C$15, $D$11, 100%, $F$11)</f>
        <v>8.2727000000000004</v>
      </c>
      <c r="F310" s="4">
        <f>CHOOSE( CONTROL!$C$32, 8.9458, 8.9426) * CHOOSE(CONTROL!$C$15, $D$11, 100%, $F$11)</f>
        <v>8.9458000000000002</v>
      </c>
      <c r="G310" s="8">
        <f>CHOOSE( CONTROL!$C$32, 8.0949, 8.0917) * CHOOSE( CONTROL!$C$15, $D$11, 100%, $F$11)</f>
        <v>8.0949000000000009</v>
      </c>
      <c r="H310" s="4">
        <f>CHOOSE( CONTROL!$C$32, 9.0262, 9.0231) * CHOOSE(CONTROL!$C$15, $D$11, 100%, $F$11)</f>
        <v>9.0261999999999993</v>
      </c>
      <c r="I310" s="8">
        <f>CHOOSE( CONTROL!$C$32, 8.0535, 8.0504) * CHOOSE(CONTROL!$C$15, $D$11, 100%, $F$11)</f>
        <v>8.0534999999999997</v>
      </c>
      <c r="J310" s="4">
        <f>CHOOSE( CONTROL!$C$32, 7.9578, 7.9547) * CHOOSE(CONTROL!$C$15, $D$11, 100%, $F$11)</f>
        <v>7.9577999999999998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1.1791</v>
      </c>
      <c r="Q310" s="9">
        <v>29.406600000000001</v>
      </c>
      <c r="R310" s="9"/>
      <c r="S310" s="11"/>
    </row>
    <row r="311" spans="1:19" ht="15.75">
      <c r="A311" s="13">
        <v>50982</v>
      </c>
      <c r="B311" s="8">
        <f>CHOOSE( CONTROL!$C$32, 8.6184, 8.6152) * CHOOSE(CONTROL!$C$15, $D$11, 100%, $F$11)</f>
        <v>8.6183999999999994</v>
      </c>
      <c r="C311" s="8">
        <f>CHOOSE( CONTROL!$C$32, 8.6264, 8.6232) * CHOOSE(CONTROL!$C$15, $D$11, 100%, $F$11)</f>
        <v>8.6264000000000003</v>
      </c>
      <c r="D311" s="8">
        <f>CHOOSE( CONTROL!$C$32, 8.6293, 8.6261) * CHOOSE( CONTROL!$C$15, $D$11, 100%, $F$11)</f>
        <v>8.6293000000000006</v>
      </c>
      <c r="E311" s="12">
        <f>CHOOSE( CONTROL!$C$32, 8.627, 8.6238) * CHOOSE( CONTROL!$C$15, $D$11, 100%, $F$11)</f>
        <v>8.6270000000000007</v>
      </c>
      <c r="F311" s="4">
        <f>CHOOSE( CONTROL!$C$32, 9.2999, 9.2967) * CHOOSE(CONTROL!$C$15, $D$11, 100%, $F$11)</f>
        <v>9.2998999999999992</v>
      </c>
      <c r="G311" s="8">
        <f>CHOOSE( CONTROL!$C$32, 8.4436, 8.4404) * CHOOSE( CONTROL!$C$15, $D$11, 100%, $F$11)</f>
        <v>8.4436</v>
      </c>
      <c r="H311" s="4">
        <f>CHOOSE( CONTROL!$C$32, 9.3745, 9.3713) * CHOOSE(CONTROL!$C$15, $D$11, 100%, $F$11)</f>
        <v>9.3744999999999994</v>
      </c>
      <c r="I311" s="8">
        <f>CHOOSE( CONTROL!$C$32, 8.3974, 8.3943) * CHOOSE(CONTROL!$C$15, $D$11, 100%, $F$11)</f>
        <v>8.3973999999999993</v>
      </c>
      <c r="J311" s="4">
        <f>CHOOSE( CONTROL!$C$32, 8.3001, 8.297) * CHOOSE(CONTROL!$C$15, $D$11, 100%, $F$11)</f>
        <v>8.3001000000000005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30.386800000000001</v>
      </c>
      <c r="R311" s="9"/>
      <c r="S311" s="11"/>
    </row>
    <row r="312" spans="1:19" ht="15.75">
      <c r="A312" s="13">
        <v>51013</v>
      </c>
      <c r="B312" s="8">
        <f>CHOOSE( CONTROL!$C$32, 7.9558, 7.9526) * CHOOSE(CONTROL!$C$15, $D$11, 100%, $F$11)</f>
        <v>7.9558</v>
      </c>
      <c r="C312" s="8">
        <f>CHOOSE( CONTROL!$C$32, 7.9638, 7.9606) * CHOOSE(CONTROL!$C$15, $D$11, 100%, $F$11)</f>
        <v>7.9638</v>
      </c>
      <c r="D312" s="8">
        <f>CHOOSE( CONTROL!$C$32, 7.9669, 7.9637) * CHOOSE( CONTROL!$C$15, $D$11, 100%, $F$11)</f>
        <v>7.9668999999999999</v>
      </c>
      <c r="E312" s="12">
        <f>CHOOSE( CONTROL!$C$32, 7.9646, 7.9614) * CHOOSE( CONTROL!$C$15, $D$11, 100%, $F$11)</f>
        <v>7.9645999999999999</v>
      </c>
      <c r="F312" s="4">
        <f>CHOOSE( CONTROL!$C$32, 8.6374, 8.6342) * CHOOSE(CONTROL!$C$15, $D$11, 100%, $F$11)</f>
        <v>8.6373999999999995</v>
      </c>
      <c r="G312" s="8">
        <f>CHOOSE( CONTROL!$C$32, 7.7922, 7.7891) * CHOOSE( CONTROL!$C$15, $D$11, 100%, $F$11)</f>
        <v>7.7922000000000002</v>
      </c>
      <c r="H312" s="4">
        <f>CHOOSE( CONTROL!$C$32, 8.7229, 8.7198) * CHOOSE(CONTROL!$C$15, $D$11, 100%, $F$11)</f>
        <v>8.7228999999999992</v>
      </c>
      <c r="I312" s="8">
        <f>CHOOSE( CONTROL!$C$32, 7.7574, 7.7543) * CHOOSE(CONTROL!$C$15, $D$11, 100%, $F$11)</f>
        <v>7.7573999999999996</v>
      </c>
      <c r="J312" s="4">
        <f>CHOOSE( CONTROL!$C$32, 7.6597, 7.6566) * CHOOSE(CONTROL!$C$15, $D$11, 100%, $F$11)</f>
        <v>7.6597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1.2183999999999999</v>
      </c>
      <c r="Q312" s="9">
        <v>30.386800000000001</v>
      </c>
      <c r="R312" s="9"/>
      <c r="S312" s="11"/>
    </row>
    <row r="313" spans="1:19" ht="15.75">
      <c r="A313" s="13">
        <v>51043</v>
      </c>
      <c r="B313" s="8">
        <f>CHOOSE( CONTROL!$C$32, 7.7899, 7.7867) * CHOOSE(CONTROL!$C$15, $D$11, 100%, $F$11)</f>
        <v>7.7899000000000003</v>
      </c>
      <c r="C313" s="8">
        <f>CHOOSE( CONTROL!$C$32, 7.7979, 7.7947) * CHOOSE(CONTROL!$C$15, $D$11, 100%, $F$11)</f>
        <v>7.7979000000000003</v>
      </c>
      <c r="D313" s="8">
        <f>CHOOSE( CONTROL!$C$32, 7.801, 7.7978) * CHOOSE( CONTROL!$C$15, $D$11, 100%, $F$11)</f>
        <v>7.8010000000000002</v>
      </c>
      <c r="E313" s="12">
        <f>CHOOSE( CONTROL!$C$32, 7.7987, 7.7955) * CHOOSE( CONTROL!$C$15, $D$11, 100%, $F$11)</f>
        <v>7.7987000000000002</v>
      </c>
      <c r="F313" s="4">
        <f>CHOOSE( CONTROL!$C$32, 8.4715, 8.4683) * CHOOSE(CONTROL!$C$15, $D$11, 100%, $F$11)</f>
        <v>8.4715000000000007</v>
      </c>
      <c r="G313" s="8">
        <f>CHOOSE( CONTROL!$C$32, 7.6291, 7.626) * CHOOSE( CONTROL!$C$15, $D$11, 100%, $F$11)</f>
        <v>7.6291000000000002</v>
      </c>
      <c r="H313" s="4">
        <f>CHOOSE( CONTROL!$C$32, 8.5598, 8.5566) * CHOOSE(CONTROL!$C$15, $D$11, 100%, $F$11)</f>
        <v>8.5597999999999992</v>
      </c>
      <c r="I313" s="8">
        <f>CHOOSE( CONTROL!$C$32, 7.5971, 7.594) * CHOOSE(CONTROL!$C$15, $D$11, 100%, $F$11)</f>
        <v>7.5971000000000002</v>
      </c>
      <c r="J313" s="4">
        <f>CHOOSE( CONTROL!$C$32, 7.4993, 7.4962) * CHOOSE(CONTROL!$C$15, $D$11, 100%, $F$11)</f>
        <v>7.4992999999999999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1.1791</v>
      </c>
      <c r="Q313" s="9">
        <v>29.406600000000001</v>
      </c>
      <c r="R313" s="9"/>
      <c r="S313" s="11"/>
    </row>
    <row r="314" spans="1:19" ht="15.75">
      <c r="A314" s="13">
        <v>51074</v>
      </c>
      <c r="B314" s="8">
        <f>8.1295 * CHOOSE(CONTROL!$C$15, $D$11, 100%, $F$11)</f>
        <v>8.1295000000000002</v>
      </c>
      <c r="C314" s="8">
        <f>8.1348 * CHOOSE(CONTROL!$C$15, $D$11, 100%, $F$11)</f>
        <v>8.1348000000000003</v>
      </c>
      <c r="D314" s="8">
        <f>8.1427 * CHOOSE( CONTROL!$C$15, $D$11, 100%, $F$11)</f>
        <v>8.1426999999999996</v>
      </c>
      <c r="E314" s="12">
        <f>8.1395 * CHOOSE( CONTROL!$C$15, $D$11, 100%, $F$11)</f>
        <v>8.1395</v>
      </c>
      <c r="F314" s="4">
        <f>8.8127 * CHOOSE(CONTROL!$C$15, $D$11, 100%, $F$11)</f>
        <v>8.8126999999999995</v>
      </c>
      <c r="G314" s="8">
        <f>7.9643 * CHOOSE( CONTROL!$C$15, $D$11, 100%, $F$11)</f>
        <v>7.9642999999999997</v>
      </c>
      <c r="H314" s="4">
        <f>8.8954 * CHOOSE(CONTROL!$C$15, $D$11, 100%, $F$11)</f>
        <v>8.8954000000000004</v>
      </c>
      <c r="I314" s="8">
        <f>7.9278 * CHOOSE(CONTROL!$C$15, $D$11, 100%, $F$11)</f>
        <v>7.9278000000000004</v>
      </c>
      <c r="J314" s="4">
        <f>7.8292 * CHOOSE(CONTROL!$C$15, $D$11, 100%, $F$11)</f>
        <v>7.8292000000000002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1.2183999999999999</v>
      </c>
      <c r="Q314" s="9">
        <v>30.386800000000001</v>
      </c>
      <c r="R314" s="9"/>
      <c r="S314" s="11"/>
    </row>
    <row r="315" spans="1:19" ht="15.75">
      <c r="A315" s="13">
        <v>51104</v>
      </c>
      <c r="B315" s="8">
        <f>8.7649 * CHOOSE(CONTROL!$C$15, $D$11, 100%, $F$11)</f>
        <v>8.7649000000000008</v>
      </c>
      <c r="C315" s="8">
        <f>8.77 * CHOOSE(CONTROL!$C$15, $D$11, 100%, $F$11)</f>
        <v>8.77</v>
      </c>
      <c r="D315" s="8">
        <f>8.7475 * CHOOSE( CONTROL!$C$15, $D$11, 100%, $F$11)</f>
        <v>8.7475000000000005</v>
      </c>
      <c r="E315" s="12">
        <f>8.7552 * CHOOSE( CONTROL!$C$15, $D$11, 100%, $F$11)</f>
        <v>8.7552000000000003</v>
      </c>
      <c r="F315" s="4">
        <f>9.4098 * CHOOSE(CONTROL!$C$15, $D$11, 100%, $F$11)</f>
        <v>9.4098000000000006</v>
      </c>
      <c r="G315" s="8">
        <f>8.6022 * CHOOSE( CONTROL!$C$15, $D$11, 100%, $F$11)</f>
        <v>8.6021999999999998</v>
      </c>
      <c r="H315" s="4">
        <f>9.4825 * CHOOSE(CONTROL!$C$15, $D$11, 100%, $F$11)</f>
        <v>9.4824999999999999</v>
      </c>
      <c r="I315" s="8">
        <f>8.5684 * CHOOSE(CONTROL!$C$15, $D$11, 100%, $F$11)</f>
        <v>8.5684000000000005</v>
      </c>
      <c r="J315" s="4">
        <f>8.4439 * CHOOSE(CONTROL!$C$15, $D$11, 100%, $F$11)</f>
        <v>8.4438999999999993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29.406600000000001</v>
      </c>
      <c r="R315" s="9"/>
      <c r="S315" s="11"/>
    </row>
    <row r="316" spans="1:19" ht="15.75">
      <c r="A316" s="13">
        <v>51135</v>
      </c>
      <c r="B316" s="8">
        <f>8.749 * CHOOSE(CONTROL!$C$15, $D$11, 100%, $F$11)</f>
        <v>8.7490000000000006</v>
      </c>
      <c r="C316" s="8">
        <f>8.7541 * CHOOSE(CONTROL!$C$15, $D$11, 100%, $F$11)</f>
        <v>8.7540999999999993</v>
      </c>
      <c r="D316" s="8">
        <f>8.7331 * CHOOSE( CONTROL!$C$15, $D$11, 100%, $F$11)</f>
        <v>8.7331000000000003</v>
      </c>
      <c r="E316" s="12">
        <f>8.7402 * CHOOSE( CONTROL!$C$15, $D$11, 100%, $F$11)</f>
        <v>8.7401999999999997</v>
      </c>
      <c r="F316" s="4">
        <f>9.3939 * CHOOSE(CONTROL!$C$15, $D$11, 100%, $F$11)</f>
        <v>9.3939000000000004</v>
      </c>
      <c r="G316" s="8">
        <f>8.5876 * CHOOSE( CONTROL!$C$15, $D$11, 100%, $F$11)</f>
        <v>8.5876000000000001</v>
      </c>
      <c r="H316" s="4">
        <f>9.4669 * CHOOSE(CONTROL!$C$15, $D$11, 100%, $F$11)</f>
        <v>9.4669000000000008</v>
      </c>
      <c r="I316" s="8">
        <f>8.5576 * CHOOSE(CONTROL!$C$15, $D$11, 100%, $F$11)</f>
        <v>8.5576000000000008</v>
      </c>
      <c r="J316" s="4">
        <f>8.4285 * CHOOSE(CONTROL!$C$15, $D$11, 100%, $F$11)</f>
        <v>8.4284999999999997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30.386800000000001</v>
      </c>
      <c r="R316" s="9"/>
      <c r="S316" s="11"/>
    </row>
    <row r="317" spans="1:19" ht="15.75">
      <c r="A317" s="13">
        <v>51166</v>
      </c>
      <c r="B317" s="8">
        <f>9.0822 * CHOOSE(CONTROL!$C$15, $D$11, 100%, $F$11)</f>
        <v>9.0822000000000003</v>
      </c>
      <c r="C317" s="8">
        <f>9.0874 * CHOOSE(CONTROL!$C$15, $D$11, 100%, $F$11)</f>
        <v>9.0874000000000006</v>
      </c>
      <c r="D317" s="8">
        <f>9.0654 * CHOOSE( CONTROL!$C$15, $D$11, 100%, $F$11)</f>
        <v>9.0654000000000003</v>
      </c>
      <c r="E317" s="12">
        <f>9.0729 * CHOOSE( CONTROL!$C$15, $D$11, 100%, $F$11)</f>
        <v>9.0729000000000006</v>
      </c>
      <c r="F317" s="4">
        <f>9.7271 * CHOOSE(CONTROL!$C$15, $D$11, 100%, $F$11)</f>
        <v>9.7271000000000001</v>
      </c>
      <c r="G317" s="8">
        <f>8.9127 * CHOOSE( CONTROL!$C$15, $D$11, 100%, $F$11)</f>
        <v>8.9126999999999992</v>
      </c>
      <c r="H317" s="4">
        <f>9.7946 * CHOOSE(CONTROL!$C$15, $D$11, 100%, $F$11)</f>
        <v>9.7946000000000009</v>
      </c>
      <c r="I317" s="8">
        <f>8.8517 * CHOOSE(CONTROL!$C$15, $D$11, 100%, $F$11)</f>
        <v>8.8516999999999992</v>
      </c>
      <c r="J317" s="4">
        <f>8.7506 * CHOOSE(CONTROL!$C$15, $D$11, 100%, $F$11)</f>
        <v>8.7506000000000004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30.3217</v>
      </c>
      <c r="R317" s="9"/>
      <c r="S317" s="11"/>
    </row>
    <row r="318" spans="1:19" ht="15.75">
      <c r="A318" s="13">
        <v>51194</v>
      </c>
      <c r="B318" s="8">
        <f>8.497 * CHOOSE(CONTROL!$C$15, $D$11, 100%, $F$11)</f>
        <v>8.4969999999999999</v>
      </c>
      <c r="C318" s="8">
        <f>8.5022 * CHOOSE(CONTROL!$C$15, $D$11, 100%, $F$11)</f>
        <v>8.5022000000000002</v>
      </c>
      <c r="D318" s="8">
        <f>8.4758 * CHOOSE( CONTROL!$C$15, $D$11, 100%, $F$11)</f>
        <v>8.4757999999999996</v>
      </c>
      <c r="E318" s="12">
        <f>8.4849 * CHOOSE( CONTROL!$C$15, $D$11, 100%, $F$11)</f>
        <v>8.4848999999999997</v>
      </c>
      <c r="F318" s="4">
        <f>9.1419 * CHOOSE(CONTROL!$C$15, $D$11, 100%, $F$11)</f>
        <v>9.1418999999999997</v>
      </c>
      <c r="G318" s="8">
        <f>8.3288 * CHOOSE( CONTROL!$C$15, $D$11, 100%, $F$11)</f>
        <v>8.3287999999999993</v>
      </c>
      <c r="H318" s="4">
        <f>9.2191 * CHOOSE(CONTROL!$C$15, $D$11, 100%, $F$11)</f>
        <v>9.2190999999999992</v>
      </c>
      <c r="I318" s="8">
        <f>8.2567 * CHOOSE(CONTROL!$C$15, $D$11, 100%, $F$11)</f>
        <v>8.2567000000000004</v>
      </c>
      <c r="J318" s="4">
        <f>8.1849 * CHOOSE(CONTROL!$C$15, $D$11, 100%, $F$11)</f>
        <v>8.1849000000000007</v>
      </c>
      <c r="K318" s="4"/>
      <c r="L318" s="9">
        <v>27.415299999999998</v>
      </c>
      <c r="M318" s="9">
        <v>11.285299999999999</v>
      </c>
      <c r="N318" s="9">
        <v>4.6254999999999997</v>
      </c>
      <c r="O318" s="9">
        <v>0.34989999999999999</v>
      </c>
      <c r="P318" s="9">
        <v>1.2093</v>
      </c>
      <c r="Q318" s="9">
        <v>28.365500000000001</v>
      </c>
      <c r="R318" s="9"/>
      <c r="S318" s="11"/>
    </row>
    <row r="319" spans="1:19" ht="15.75">
      <c r="A319" s="13">
        <v>51226</v>
      </c>
      <c r="B319" s="8">
        <f>8.3168 * CHOOSE(CONTROL!$C$15, $D$11, 100%, $F$11)</f>
        <v>8.3168000000000006</v>
      </c>
      <c r="C319" s="8">
        <f>8.3219 * CHOOSE(CONTROL!$C$15, $D$11, 100%, $F$11)</f>
        <v>8.3218999999999994</v>
      </c>
      <c r="D319" s="8">
        <f>8.2959 * CHOOSE( CONTROL!$C$15, $D$11, 100%, $F$11)</f>
        <v>8.2958999999999996</v>
      </c>
      <c r="E319" s="12">
        <f>8.3049 * CHOOSE( CONTROL!$C$15, $D$11, 100%, $F$11)</f>
        <v>8.3048999999999999</v>
      </c>
      <c r="F319" s="4">
        <f>8.9617 * CHOOSE(CONTROL!$C$15, $D$11, 100%, $F$11)</f>
        <v>8.9617000000000004</v>
      </c>
      <c r="G319" s="8">
        <f>8.1518 * CHOOSE( CONTROL!$C$15, $D$11, 100%, $F$11)</f>
        <v>8.1517999999999997</v>
      </c>
      <c r="H319" s="4">
        <f>9.0419 * CHOOSE(CONTROL!$C$15, $D$11, 100%, $F$11)</f>
        <v>9.0419</v>
      </c>
      <c r="I319" s="8">
        <f>8.0836 * CHOOSE(CONTROL!$C$15, $D$11, 100%, $F$11)</f>
        <v>8.0836000000000006</v>
      </c>
      <c r="J319" s="4">
        <f>8.0107 * CHOOSE(CONTROL!$C$15, $D$11, 100%, $F$11)</f>
        <v>8.0106999999999999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30.3217</v>
      </c>
      <c r="R319" s="9"/>
      <c r="S319" s="11"/>
    </row>
    <row r="320" spans="1:19" ht="15.75">
      <c r="A320" s="13">
        <v>51256</v>
      </c>
      <c r="B320" s="8">
        <f>8.4435 * CHOOSE(CONTROL!$C$15, $D$11, 100%, $F$11)</f>
        <v>8.4435000000000002</v>
      </c>
      <c r="C320" s="8">
        <f>8.4481 * CHOOSE(CONTROL!$C$15, $D$11, 100%, $F$11)</f>
        <v>8.4481000000000002</v>
      </c>
      <c r="D320" s="8">
        <f>8.4552 * CHOOSE( CONTROL!$C$15, $D$11, 100%, $F$11)</f>
        <v>8.4551999999999996</v>
      </c>
      <c r="E320" s="12">
        <f>8.4523 * CHOOSE( CONTROL!$C$15, $D$11, 100%, $F$11)</f>
        <v>8.4522999999999993</v>
      </c>
      <c r="F320" s="4">
        <f>9.1264 * CHOOSE(CONTROL!$C$15, $D$11, 100%, $F$11)</f>
        <v>9.1264000000000003</v>
      </c>
      <c r="G320" s="8">
        <f>8.2709 * CHOOSE( CONTROL!$C$15, $D$11, 100%, $F$11)</f>
        <v>8.2708999999999993</v>
      </c>
      <c r="H320" s="4">
        <f>9.2039 * CHOOSE(CONTROL!$C$15, $D$11, 100%, $F$11)</f>
        <v>9.2039000000000009</v>
      </c>
      <c r="I320" s="8">
        <f>8.2252 * CHOOSE(CONTROL!$C$15, $D$11, 100%, $F$11)</f>
        <v>8.2251999999999992</v>
      </c>
      <c r="J320" s="4">
        <f>8.1324 * CHOOSE(CONTROL!$C$15, $D$11, 100%, $F$11)</f>
        <v>8.1324000000000005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1.1791</v>
      </c>
      <c r="Q320" s="9">
        <v>29.343599999999999</v>
      </c>
      <c r="R320" s="9"/>
      <c r="S320" s="11"/>
    </row>
    <row r="321" spans="1:19" ht="15.75">
      <c r="A321" s="13">
        <v>51287</v>
      </c>
      <c r="B321" s="8">
        <f>CHOOSE( CONTROL!$C$32, 8.6722, 8.669) * CHOOSE(CONTROL!$C$15, $D$11, 100%, $F$11)</f>
        <v>8.6722000000000001</v>
      </c>
      <c r="C321" s="8">
        <f>CHOOSE( CONTROL!$C$32, 8.6803, 8.6771) * CHOOSE(CONTROL!$C$15, $D$11, 100%, $F$11)</f>
        <v>8.6803000000000008</v>
      </c>
      <c r="D321" s="8">
        <f>CHOOSE( CONTROL!$C$32, 8.6826, 8.6794) * CHOOSE( CONTROL!$C$15, $D$11, 100%, $F$11)</f>
        <v>8.6826000000000008</v>
      </c>
      <c r="E321" s="12">
        <f>CHOOSE( CONTROL!$C$32, 8.6805, 8.6773) * CHOOSE( CONTROL!$C$15, $D$11, 100%, $F$11)</f>
        <v>8.6805000000000003</v>
      </c>
      <c r="F321" s="4">
        <f>CHOOSE( CONTROL!$C$32, 9.3538, 9.3506) * CHOOSE(CONTROL!$C$15, $D$11, 100%, $F$11)</f>
        <v>9.3537999999999997</v>
      </c>
      <c r="G321" s="8">
        <f>CHOOSE( CONTROL!$C$32, 8.4957, 8.4925) * CHOOSE( CONTROL!$C$15, $D$11, 100%, $F$11)</f>
        <v>8.4956999999999994</v>
      </c>
      <c r="H321" s="4">
        <f>CHOOSE( CONTROL!$C$32, 9.4274, 9.4243) * CHOOSE(CONTROL!$C$15, $D$11, 100%, $F$11)</f>
        <v>9.4274000000000004</v>
      </c>
      <c r="I321" s="8">
        <f>CHOOSE( CONTROL!$C$32, 8.4467, 8.4436) * CHOOSE(CONTROL!$C$15, $D$11, 100%, $F$11)</f>
        <v>8.4466999999999999</v>
      </c>
      <c r="J321" s="4">
        <f>CHOOSE( CONTROL!$C$32, 8.3522, 8.3491) * CHOOSE(CONTROL!$C$15, $D$11, 100%, $F$11)</f>
        <v>8.3521999999999998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1.2183999999999999</v>
      </c>
      <c r="Q321" s="9">
        <v>30.3217</v>
      </c>
      <c r="R321" s="9"/>
      <c r="S321" s="11"/>
    </row>
    <row r="322" spans="1:19" ht="15.75">
      <c r="A322" s="13">
        <v>51317</v>
      </c>
      <c r="B322" s="8">
        <f>CHOOSE( CONTROL!$C$32, 8.5334, 8.5302) * CHOOSE(CONTROL!$C$15, $D$11, 100%, $F$11)</f>
        <v>8.5334000000000003</v>
      </c>
      <c r="C322" s="8">
        <f>CHOOSE( CONTROL!$C$32, 8.5414, 8.5382) * CHOOSE(CONTROL!$C$15, $D$11, 100%, $F$11)</f>
        <v>8.5413999999999994</v>
      </c>
      <c r="D322" s="8">
        <f>CHOOSE( CONTROL!$C$32, 8.544, 8.5408) * CHOOSE( CONTROL!$C$15, $D$11, 100%, $F$11)</f>
        <v>8.5440000000000005</v>
      </c>
      <c r="E322" s="12">
        <f>CHOOSE( CONTROL!$C$32, 8.5418, 8.5386) * CHOOSE( CONTROL!$C$15, $D$11, 100%, $F$11)</f>
        <v>8.5418000000000003</v>
      </c>
      <c r="F322" s="4">
        <f>CHOOSE( CONTROL!$C$32, 9.2149, 9.2117) * CHOOSE(CONTROL!$C$15, $D$11, 100%, $F$11)</f>
        <v>9.2149000000000001</v>
      </c>
      <c r="G322" s="8">
        <f>CHOOSE( CONTROL!$C$32, 8.3595, 8.3564) * CHOOSE( CONTROL!$C$15, $D$11, 100%, $F$11)</f>
        <v>8.3595000000000006</v>
      </c>
      <c r="H322" s="4">
        <f>CHOOSE( CONTROL!$C$32, 9.2909, 9.2877) * CHOOSE(CONTROL!$C$15, $D$11, 100%, $F$11)</f>
        <v>9.2909000000000006</v>
      </c>
      <c r="I322" s="8">
        <f>CHOOSE( CONTROL!$C$32, 8.3138, 8.3107) * CHOOSE(CONTROL!$C$15, $D$11, 100%, $F$11)</f>
        <v>8.3138000000000005</v>
      </c>
      <c r="J322" s="4">
        <f>CHOOSE( CONTROL!$C$32, 8.218, 8.2149) * CHOOSE(CONTROL!$C$15, $D$11, 100%, $F$11)</f>
        <v>8.218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1.1791</v>
      </c>
      <c r="Q322" s="9">
        <v>29.343599999999999</v>
      </c>
      <c r="R322" s="9"/>
      <c r="S322" s="11"/>
    </row>
    <row r="323" spans="1:19" ht="15.75">
      <c r="A323" s="13">
        <v>51348</v>
      </c>
      <c r="B323" s="8">
        <f>CHOOSE( CONTROL!$C$32, 8.899, 8.8958) * CHOOSE(CONTROL!$C$15, $D$11, 100%, $F$11)</f>
        <v>8.8989999999999991</v>
      </c>
      <c r="C323" s="8">
        <f>CHOOSE( CONTROL!$C$32, 8.9071, 8.9039) * CHOOSE(CONTROL!$C$15, $D$11, 100%, $F$11)</f>
        <v>8.9070999999999998</v>
      </c>
      <c r="D323" s="8">
        <f>CHOOSE( CONTROL!$C$32, 8.91, 8.9068) * CHOOSE( CONTROL!$C$15, $D$11, 100%, $F$11)</f>
        <v>8.91</v>
      </c>
      <c r="E323" s="12">
        <f>CHOOSE( CONTROL!$C$32, 8.9077, 8.9045) * CHOOSE( CONTROL!$C$15, $D$11, 100%, $F$11)</f>
        <v>8.9077000000000002</v>
      </c>
      <c r="F323" s="4">
        <f>CHOOSE( CONTROL!$C$32, 9.5806, 9.5774) * CHOOSE(CONTROL!$C$15, $D$11, 100%, $F$11)</f>
        <v>9.5806000000000004</v>
      </c>
      <c r="G323" s="8">
        <f>CHOOSE( CONTROL!$C$32, 8.7196, 8.7164) * CHOOSE( CONTROL!$C$15, $D$11, 100%, $F$11)</f>
        <v>8.7195999999999998</v>
      </c>
      <c r="H323" s="4">
        <f>CHOOSE( CONTROL!$C$32, 9.6505, 9.6473) * CHOOSE(CONTROL!$C$15, $D$11, 100%, $F$11)</f>
        <v>9.6504999999999992</v>
      </c>
      <c r="I323" s="8">
        <f>CHOOSE( CONTROL!$C$32, 8.6689, 8.6658) * CHOOSE(CONTROL!$C$15, $D$11, 100%, $F$11)</f>
        <v>8.6689000000000007</v>
      </c>
      <c r="J323" s="4">
        <f>CHOOSE( CONTROL!$C$32, 8.5715, 8.5684) * CHOOSE(CONTROL!$C$15, $D$11, 100%, $F$11)</f>
        <v>8.5715000000000003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30.3217</v>
      </c>
      <c r="R323" s="9"/>
      <c r="S323" s="11"/>
    </row>
    <row r="324" spans="1:19" ht="15.75">
      <c r="A324" s="13">
        <v>51379</v>
      </c>
      <c r="B324" s="8">
        <f>CHOOSE( CONTROL!$C$32, 8.2148, 8.2116) * CHOOSE(CONTROL!$C$15, $D$11, 100%, $F$11)</f>
        <v>8.2148000000000003</v>
      </c>
      <c r="C324" s="8">
        <f>CHOOSE( CONTROL!$C$32, 8.2229, 8.2197) * CHOOSE(CONTROL!$C$15, $D$11, 100%, $F$11)</f>
        <v>8.2228999999999992</v>
      </c>
      <c r="D324" s="8">
        <f>CHOOSE( CONTROL!$C$32, 8.2259, 8.2227) * CHOOSE( CONTROL!$C$15, $D$11, 100%, $F$11)</f>
        <v>8.2258999999999993</v>
      </c>
      <c r="E324" s="12">
        <f>CHOOSE( CONTROL!$C$32, 8.2236, 8.2204) * CHOOSE( CONTROL!$C$15, $D$11, 100%, $F$11)</f>
        <v>8.2235999999999994</v>
      </c>
      <c r="F324" s="4">
        <f>CHOOSE( CONTROL!$C$32, 8.8964, 8.8932) * CHOOSE(CONTROL!$C$15, $D$11, 100%, $F$11)</f>
        <v>8.8963999999999999</v>
      </c>
      <c r="G324" s="8">
        <f>CHOOSE( CONTROL!$C$32, 8.047, 8.0438) * CHOOSE( CONTROL!$C$15, $D$11, 100%, $F$11)</f>
        <v>8.0470000000000006</v>
      </c>
      <c r="H324" s="4">
        <f>CHOOSE( CONTROL!$C$32, 8.9776, 8.9745) * CHOOSE(CONTROL!$C$15, $D$11, 100%, $F$11)</f>
        <v>8.9776000000000007</v>
      </c>
      <c r="I324" s="8">
        <f>CHOOSE( CONTROL!$C$32, 8.0079, 8.0048) * CHOOSE(CONTROL!$C$15, $D$11, 100%, $F$11)</f>
        <v>8.0078999999999994</v>
      </c>
      <c r="J324" s="4">
        <f>CHOOSE( CONTROL!$C$32, 7.9101, 7.907) * CHOOSE(CONTROL!$C$15, $D$11, 100%, $F$11)</f>
        <v>7.9100999999999999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1.2183999999999999</v>
      </c>
      <c r="Q324" s="9">
        <v>30.3217</v>
      </c>
      <c r="R324" s="9"/>
      <c r="S324" s="11"/>
    </row>
    <row r="325" spans="1:19" ht="15.75">
      <c r="A325" s="13">
        <v>51409</v>
      </c>
      <c r="B325" s="8">
        <f>CHOOSE( CONTROL!$C$32, 8.0435, 8.0403) * CHOOSE(CONTROL!$C$15, $D$11, 100%, $F$11)</f>
        <v>8.0434999999999999</v>
      </c>
      <c r="C325" s="8">
        <f>CHOOSE( CONTROL!$C$32, 8.0515, 8.0483) * CHOOSE(CONTROL!$C$15, $D$11, 100%, $F$11)</f>
        <v>8.0515000000000008</v>
      </c>
      <c r="D325" s="8">
        <f>CHOOSE( CONTROL!$C$32, 8.0546, 8.0514) * CHOOSE( CONTROL!$C$15, $D$11, 100%, $F$11)</f>
        <v>8.0546000000000006</v>
      </c>
      <c r="E325" s="12">
        <f>CHOOSE( CONTROL!$C$32, 8.0523, 8.0491) * CHOOSE( CONTROL!$C$15, $D$11, 100%, $F$11)</f>
        <v>8.0523000000000007</v>
      </c>
      <c r="F325" s="4">
        <f>CHOOSE( CONTROL!$C$32, 8.7251, 8.7219) * CHOOSE(CONTROL!$C$15, $D$11, 100%, $F$11)</f>
        <v>8.7250999999999994</v>
      </c>
      <c r="G325" s="8">
        <f>CHOOSE( CONTROL!$C$32, 7.8785, 7.8754) * CHOOSE( CONTROL!$C$15, $D$11, 100%, $F$11)</f>
        <v>7.8784999999999998</v>
      </c>
      <c r="H325" s="4">
        <f>CHOOSE( CONTROL!$C$32, 8.8091, 8.806) * CHOOSE(CONTROL!$C$15, $D$11, 100%, $F$11)</f>
        <v>8.8091000000000008</v>
      </c>
      <c r="I325" s="8">
        <f>CHOOSE( CONTROL!$C$32, 7.8424, 7.8393) * CHOOSE(CONTROL!$C$15, $D$11, 100%, $F$11)</f>
        <v>7.8423999999999996</v>
      </c>
      <c r="J325" s="4">
        <f>CHOOSE( CONTROL!$C$32, 7.7444, 7.7413) * CHOOSE(CONTROL!$C$15, $D$11, 100%, $F$11)</f>
        <v>7.7443999999999997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1.1791</v>
      </c>
      <c r="Q325" s="9">
        <v>29.343599999999999</v>
      </c>
      <c r="R325" s="9"/>
      <c r="S325" s="11"/>
    </row>
    <row r="326" spans="1:19" ht="15.75">
      <c r="A326" s="13">
        <v>51440</v>
      </c>
      <c r="B326" s="8">
        <f>8.3943 * CHOOSE(CONTROL!$C$15, $D$11, 100%, $F$11)</f>
        <v>8.3942999999999994</v>
      </c>
      <c r="C326" s="8">
        <f>8.3997 * CHOOSE(CONTROL!$C$15, $D$11, 100%, $F$11)</f>
        <v>8.3996999999999993</v>
      </c>
      <c r="D326" s="8">
        <f>8.4076 * CHOOSE( CONTROL!$C$15, $D$11, 100%, $F$11)</f>
        <v>8.4076000000000004</v>
      </c>
      <c r="E326" s="12">
        <f>8.4044 * CHOOSE( CONTROL!$C$15, $D$11, 100%, $F$11)</f>
        <v>8.4044000000000008</v>
      </c>
      <c r="F326" s="4">
        <f>9.0776 * CHOOSE(CONTROL!$C$15, $D$11, 100%, $F$11)</f>
        <v>9.0776000000000003</v>
      </c>
      <c r="G326" s="8">
        <f>8.2248 * CHOOSE( CONTROL!$C$15, $D$11, 100%, $F$11)</f>
        <v>8.2248000000000001</v>
      </c>
      <c r="H326" s="4">
        <f>9.1558 * CHOOSE(CONTROL!$C$15, $D$11, 100%, $F$11)</f>
        <v>9.1557999999999993</v>
      </c>
      <c r="I326" s="8">
        <f>8.184 * CHOOSE(CONTROL!$C$15, $D$11, 100%, $F$11)</f>
        <v>8.1839999999999993</v>
      </c>
      <c r="J326" s="4">
        <f>8.0852 * CHOOSE(CONTROL!$C$15, $D$11, 100%, $F$11)</f>
        <v>8.0852000000000004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1.2183999999999999</v>
      </c>
      <c r="Q326" s="9">
        <v>30.3217</v>
      </c>
      <c r="R326" s="9"/>
      <c r="S326" s="11"/>
    </row>
    <row r="327" spans="1:19" ht="15.75">
      <c r="A327" s="13">
        <v>51470</v>
      </c>
      <c r="B327" s="8">
        <f>9.0506 * CHOOSE(CONTROL!$C$15, $D$11, 100%, $F$11)</f>
        <v>9.0505999999999993</v>
      </c>
      <c r="C327" s="8">
        <f>9.0557 * CHOOSE(CONTROL!$C$15, $D$11, 100%, $F$11)</f>
        <v>9.0556999999999999</v>
      </c>
      <c r="D327" s="8">
        <f>9.0332 * CHOOSE( CONTROL!$C$15, $D$11, 100%, $F$11)</f>
        <v>9.0332000000000008</v>
      </c>
      <c r="E327" s="12">
        <f>9.0409 * CHOOSE( CONTROL!$C$15, $D$11, 100%, $F$11)</f>
        <v>9.0409000000000006</v>
      </c>
      <c r="F327" s="4">
        <f>9.6954 * CHOOSE(CONTROL!$C$15, $D$11, 100%, $F$11)</f>
        <v>9.6953999999999994</v>
      </c>
      <c r="G327" s="8">
        <f>8.8831 * CHOOSE( CONTROL!$C$15, $D$11, 100%, $F$11)</f>
        <v>8.8831000000000007</v>
      </c>
      <c r="H327" s="4">
        <f>9.7634 * CHOOSE(CONTROL!$C$15, $D$11, 100%, $F$11)</f>
        <v>9.7634000000000007</v>
      </c>
      <c r="I327" s="8">
        <f>8.8447 * CHOOSE(CONTROL!$C$15, $D$11, 100%, $F$11)</f>
        <v>8.8446999999999996</v>
      </c>
      <c r="J327" s="4">
        <f>8.72 * CHOOSE(CONTROL!$C$15, $D$11, 100%, $F$11)</f>
        <v>8.7200000000000006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29.343599999999999</v>
      </c>
      <c r="R327" s="9"/>
      <c r="S327" s="11"/>
    </row>
    <row r="328" spans="1:19" ht="15.75">
      <c r="A328" s="13">
        <v>51501</v>
      </c>
      <c r="B328" s="8">
        <f>9.0342 * CHOOSE(CONTROL!$C$15, $D$11, 100%, $F$11)</f>
        <v>9.0342000000000002</v>
      </c>
      <c r="C328" s="8">
        <f>9.0393 * CHOOSE(CONTROL!$C$15, $D$11, 100%, $F$11)</f>
        <v>9.0393000000000008</v>
      </c>
      <c r="D328" s="8">
        <f>9.0182 * CHOOSE( CONTROL!$C$15, $D$11, 100%, $F$11)</f>
        <v>9.0182000000000002</v>
      </c>
      <c r="E328" s="12">
        <f>9.0254 * CHOOSE( CONTROL!$C$15, $D$11, 100%, $F$11)</f>
        <v>9.0253999999999994</v>
      </c>
      <c r="F328" s="4">
        <f>9.679 * CHOOSE(CONTROL!$C$15, $D$11, 100%, $F$11)</f>
        <v>9.6790000000000003</v>
      </c>
      <c r="G328" s="8">
        <f>8.868 * CHOOSE( CONTROL!$C$15, $D$11, 100%, $F$11)</f>
        <v>8.8680000000000003</v>
      </c>
      <c r="H328" s="4">
        <f>9.7473 * CHOOSE(CONTROL!$C$15, $D$11, 100%, $F$11)</f>
        <v>9.7472999999999992</v>
      </c>
      <c r="I328" s="8">
        <f>8.8334 * CHOOSE(CONTROL!$C$15, $D$11, 100%, $F$11)</f>
        <v>8.8333999999999993</v>
      </c>
      <c r="J328" s="4">
        <f>8.7041 * CHOOSE(CONTROL!$C$15, $D$11, 100%, $F$11)</f>
        <v>8.7041000000000004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30.3217</v>
      </c>
      <c r="R328" s="9"/>
      <c r="S328" s="11"/>
    </row>
    <row r="329" spans="1:19" ht="15.75">
      <c r="A329" s="13">
        <v>51532</v>
      </c>
      <c r="B329" s="8">
        <f>9.3783 * CHOOSE(CONTROL!$C$15, $D$11, 100%, $F$11)</f>
        <v>9.3782999999999994</v>
      </c>
      <c r="C329" s="8">
        <f>9.3834 * CHOOSE(CONTROL!$C$15, $D$11, 100%, $F$11)</f>
        <v>9.3834</v>
      </c>
      <c r="D329" s="8">
        <f>9.3614 * CHOOSE( CONTROL!$C$15, $D$11, 100%, $F$11)</f>
        <v>9.3613999999999997</v>
      </c>
      <c r="E329" s="12">
        <f>9.3689 * CHOOSE( CONTROL!$C$15, $D$11, 100%, $F$11)</f>
        <v>9.3689</v>
      </c>
      <c r="F329" s="4">
        <f>10.0232 * CHOOSE(CONTROL!$C$15, $D$11, 100%, $F$11)</f>
        <v>10.023199999999999</v>
      </c>
      <c r="G329" s="8">
        <f>9.2039 * CHOOSE( CONTROL!$C$15, $D$11, 100%, $F$11)</f>
        <v>9.2039000000000009</v>
      </c>
      <c r="H329" s="4">
        <f>10.0857 * CHOOSE(CONTROL!$C$15, $D$11, 100%, $F$11)</f>
        <v>10.085699999999999</v>
      </c>
      <c r="I329" s="8">
        <f>9.138 * CHOOSE(CONTROL!$C$15, $D$11, 100%, $F$11)</f>
        <v>9.1379999999999999</v>
      </c>
      <c r="J329" s="4">
        <f>9.0368 * CHOOSE(CONTROL!$C$15, $D$11, 100%, $F$11)</f>
        <v>9.0367999999999995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30.258500000000002</v>
      </c>
      <c r="R329" s="9"/>
      <c r="S329" s="11"/>
    </row>
    <row r="330" spans="1:19" ht="15.75">
      <c r="A330" s="13">
        <v>51560</v>
      </c>
      <c r="B330" s="8">
        <f>8.7739 * CHOOSE(CONTROL!$C$15, $D$11, 100%, $F$11)</f>
        <v>8.7738999999999994</v>
      </c>
      <c r="C330" s="8">
        <f>8.7791 * CHOOSE(CONTROL!$C$15, $D$11, 100%, $F$11)</f>
        <v>8.7790999999999997</v>
      </c>
      <c r="D330" s="8">
        <f>8.7527 * CHOOSE( CONTROL!$C$15, $D$11, 100%, $F$11)</f>
        <v>8.7527000000000008</v>
      </c>
      <c r="E330" s="12">
        <f>8.7618 * CHOOSE( CONTROL!$C$15, $D$11, 100%, $F$11)</f>
        <v>8.7617999999999991</v>
      </c>
      <c r="F330" s="4">
        <f>9.4188 * CHOOSE(CONTROL!$C$15, $D$11, 100%, $F$11)</f>
        <v>9.4187999999999992</v>
      </c>
      <c r="G330" s="8">
        <f>8.6011 * CHOOSE( CONTROL!$C$15, $D$11, 100%, $F$11)</f>
        <v>8.6011000000000006</v>
      </c>
      <c r="H330" s="4">
        <f>9.4914 * CHOOSE(CONTROL!$C$15, $D$11, 100%, $F$11)</f>
        <v>9.4914000000000005</v>
      </c>
      <c r="I330" s="8">
        <f>8.5245 * CHOOSE(CONTROL!$C$15, $D$11, 100%, $F$11)</f>
        <v>8.5244999999999997</v>
      </c>
      <c r="J330" s="4">
        <f>8.4526 * CHOOSE(CONTROL!$C$15, $D$11, 100%, $F$11)</f>
        <v>8.4526000000000003</v>
      </c>
      <c r="K330" s="4"/>
      <c r="L330" s="9">
        <v>26.469899999999999</v>
      </c>
      <c r="M330" s="9">
        <v>10.8962</v>
      </c>
      <c r="N330" s="9">
        <v>4.4660000000000002</v>
      </c>
      <c r="O330" s="9">
        <v>0.33789999999999998</v>
      </c>
      <c r="P330" s="9">
        <v>1.1676</v>
      </c>
      <c r="Q330" s="9">
        <v>27.330200000000001</v>
      </c>
      <c r="R330" s="9"/>
      <c r="S330" s="11"/>
    </row>
    <row r="331" spans="1:19" ht="15.75">
      <c r="A331" s="13">
        <v>51591</v>
      </c>
      <c r="B331" s="8">
        <f>8.5878 * CHOOSE(CONTROL!$C$15, $D$11, 100%, $F$11)</f>
        <v>8.5877999999999997</v>
      </c>
      <c r="C331" s="8">
        <f>8.5929 * CHOOSE(CONTROL!$C$15, $D$11, 100%, $F$11)</f>
        <v>8.5929000000000002</v>
      </c>
      <c r="D331" s="8">
        <f>8.5669 * CHOOSE( CONTROL!$C$15, $D$11, 100%, $F$11)</f>
        <v>8.5669000000000004</v>
      </c>
      <c r="E331" s="12">
        <f>8.5759 * CHOOSE( CONTROL!$C$15, $D$11, 100%, $F$11)</f>
        <v>8.5759000000000007</v>
      </c>
      <c r="F331" s="4">
        <f>9.2327 * CHOOSE(CONTROL!$C$15, $D$11, 100%, $F$11)</f>
        <v>9.2326999999999995</v>
      </c>
      <c r="G331" s="8">
        <f>8.4183 * CHOOSE( CONTROL!$C$15, $D$11, 100%, $F$11)</f>
        <v>8.4183000000000003</v>
      </c>
      <c r="H331" s="4">
        <f>9.3084 * CHOOSE(CONTROL!$C$15, $D$11, 100%, $F$11)</f>
        <v>9.3084000000000007</v>
      </c>
      <c r="I331" s="8">
        <f>8.3457 * CHOOSE(CONTROL!$C$15, $D$11, 100%, $F$11)</f>
        <v>8.3457000000000008</v>
      </c>
      <c r="J331" s="4">
        <f>8.2727 * CHOOSE(CONTROL!$C$15, $D$11, 100%, $F$11)</f>
        <v>8.2727000000000004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30.258500000000002</v>
      </c>
      <c r="R331" s="9"/>
      <c r="S331" s="11"/>
    </row>
    <row r="332" spans="1:19" ht="15.75">
      <c r="A332" s="13">
        <v>51621</v>
      </c>
      <c r="B332" s="8">
        <f>8.7186 * CHOOSE(CONTROL!$C$15, $D$11, 100%, $F$11)</f>
        <v>8.7186000000000003</v>
      </c>
      <c r="C332" s="8">
        <f>8.7232 * CHOOSE(CONTROL!$C$15, $D$11, 100%, $F$11)</f>
        <v>8.7232000000000003</v>
      </c>
      <c r="D332" s="8">
        <f>8.7303 * CHOOSE( CONTROL!$C$15, $D$11, 100%, $F$11)</f>
        <v>8.7302999999999997</v>
      </c>
      <c r="E332" s="12">
        <f>8.7274 * CHOOSE( CONTROL!$C$15, $D$11, 100%, $F$11)</f>
        <v>8.7273999999999994</v>
      </c>
      <c r="F332" s="4">
        <f>9.4015 * CHOOSE(CONTROL!$C$15, $D$11, 100%, $F$11)</f>
        <v>9.4015000000000004</v>
      </c>
      <c r="G332" s="8">
        <f>8.5415 * CHOOSE( CONTROL!$C$15, $D$11, 100%, $F$11)</f>
        <v>8.5414999999999992</v>
      </c>
      <c r="H332" s="4">
        <f>9.4744 * CHOOSE(CONTROL!$C$15, $D$11, 100%, $F$11)</f>
        <v>9.4743999999999993</v>
      </c>
      <c r="I332" s="8">
        <f>8.4913 * CHOOSE(CONTROL!$C$15, $D$11, 100%, $F$11)</f>
        <v>8.4913000000000007</v>
      </c>
      <c r="J332" s="4">
        <f>8.3984 * CHOOSE(CONTROL!$C$15, $D$11, 100%, $F$11)</f>
        <v>8.3984000000000005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1.1791</v>
      </c>
      <c r="Q332" s="9">
        <v>29.282399999999999</v>
      </c>
      <c r="R332" s="9"/>
      <c r="S332" s="11"/>
    </row>
    <row r="333" spans="1:19" ht="15.75">
      <c r="A333" s="13">
        <v>51652</v>
      </c>
      <c r="B333" s="8">
        <f>CHOOSE( CONTROL!$C$32, 8.9547, 8.9515) * CHOOSE(CONTROL!$C$15, $D$11, 100%, $F$11)</f>
        <v>8.9547000000000008</v>
      </c>
      <c r="C333" s="8">
        <f>CHOOSE( CONTROL!$C$32, 8.9627, 8.9595) * CHOOSE(CONTROL!$C$15, $D$11, 100%, $F$11)</f>
        <v>8.9626999999999999</v>
      </c>
      <c r="D333" s="8">
        <f>CHOOSE( CONTROL!$C$32, 8.965, 8.9618) * CHOOSE( CONTROL!$C$15, $D$11, 100%, $F$11)</f>
        <v>8.9649999999999999</v>
      </c>
      <c r="E333" s="12">
        <f>CHOOSE( CONTROL!$C$32, 8.9629, 8.9597) * CHOOSE( CONTROL!$C$15, $D$11, 100%, $F$11)</f>
        <v>8.9628999999999994</v>
      </c>
      <c r="F333" s="4">
        <f>CHOOSE( CONTROL!$C$32, 9.6362, 9.633) * CHOOSE(CONTROL!$C$15, $D$11, 100%, $F$11)</f>
        <v>9.6362000000000005</v>
      </c>
      <c r="G333" s="8">
        <f>CHOOSE( CONTROL!$C$32, 8.7734, 8.7703) * CHOOSE( CONTROL!$C$15, $D$11, 100%, $F$11)</f>
        <v>8.7734000000000005</v>
      </c>
      <c r="H333" s="4">
        <f>CHOOSE( CONTROL!$C$32, 9.7052, 9.7021) * CHOOSE(CONTROL!$C$15, $D$11, 100%, $F$11)</f>
        <v>9.7051999999999996</v>
      </c>
      <c r="I333" s="8">
        <f>CHOOSE( CONTROL!$C$32, 8.7199, 8.7168) * CHOOSE(CONTROL!$C$15, $D$11, 100%, $F$11)</f>
        <v>8.7199000000000009</v>
      </c>
      <c r="J333" s="4">
        <f>CHOOSE( CONTROL!$C$32, 8.6253, 8.6222) * CHOOSE(CONTROL!$C$15, $D$11, 100%, $F$11)</f>
        <v>8.6252999999999993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1.2183999999999999</v>
      </c>
      <c r="Q333" s="9">
        <v>30.258500000000002</v>
      </c>
      <c r="R333" s="9"/>
      <c r="S333" s="11"/>
    </row>
    <row r="334" spans="1:19" ht="15.75">
      <c r="A334" s="13">
        <v>51682</v>
      </c>
      <c r="B334" s="8">
        <f>CHOOSE( CONTROL!$C$32, 8.8113, 8.8081) * CHOOSE(CONTROL!$C$15, $D$11, 100%, $F$11)</f>
        <v>8.8112999999999992</v>
      </c>
      <c r="C334" s="8">
        <f>CHOOSE( CONTROL!$C$32, 8.8193, 8.8161) * CHOOSE(CONTROL!$C$15, $D$11, 100%, $F$11)</f>
        <v>8.8193000000000001</v>
      </c>
      <c r="D334" s="8">
        <f>CHOOSE( CONTROL!$C$32, 8.8219, 8.8187) * CHOOSE( CONTROL!$C$15, $D$11, 100%, $F$11)</f>
        <v>8.8218999999999994</v>
      </c>
      <c r="E334" s="12">
        <f>CHOOSE( CONTROL!$C$32, 8.8197, 8.8165) * CHOOSE( CONTROL!$C$15, $D$11, 100%, $F$11)</f>
        <v>8.8196999999999992</v>
      </c>
      <c r="F334" s="4">
        <f>CHOOSE( CONTROL!$C$32, 9.4928, 9.4896) * CHOOSE(CONTROL!$C$15, $D$11, 100%, $F$11)</f>
        <v>9.4928000000000008</v>
      </c>
      <c r="G334" s="8">
        <f>CHOOSE( CONTROL!$C$32, 8.6328, 8.6297) * CHOOSE( CONTROL!$C$15, $D$11, 100%, $F$11)</f>
        <v>8.6327999999999996</v>
      </c>
      <c r="H334" s="4">
        <f>CHOOSE( CONTROL!$C$32, 9.5642, 9.561) * CHOOSE(CONTROL!$C$15, $D$11, 100%, $F$11)</f>
        <v>9.5641999999999996</v>
      </c>
      <c r="I334" s="8">
        <f>CHOOSE( CONTROL!$C$32, 8.5826, 8.5795) * CHOOSE(CONTROL!$C$15, $D$11, 100%, $F$11)</f>
        <v>8.5825999999999993</v>
      </c>
      <c r="J334" s="4">
        <f>CHOOSE( CONTROL!$C$32, 8.4866, 8.4835) * CHOOSE(CONTROL!$C$15, $D$11, 100%, $F$11)</f>
        <v>8.4865999999999993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1.1791</v>
      </c>
      <c r="Q334" s="9">
        <v>29.282399999999999</v>
      </c>
      <c r="R334" s="9"/>
      <c r="S334" s="11"/>
    </row>
    <row r="335" spans="1:19" ht="15.75">
      <c r="A335" s="13">
        <v>51713</v>
      </c>
      <c r="B335" s="8">
        <f>CHOOSE( CONTROL!$C$32, 9.1889, 9.1857) * CHOOSE(CONTROL!$C$15, $D$11, 100%, $F$11)</f>
        <v>9.1889000000000003</v>
      </c>
      <c r="C335" s="8">
        <f>CHOOSE( CONTROL!$C$32, 9.1969, 9.1937) * CHOOSE(CONTROL!$C$15, $D$11, 100%, $F$11)</f>
        <v>9.1968999999999994</v>
      </c>
      <c r="D335" s="8">
        <f>CHOOSE( CONTROL!$C$32, 9.1999, 9.1967) * CHOOSE( CONTROL!$C$15, $D$11, 100%, $F$11)</f>
        <v>9.1998999999999995</v>
      </c>
      <c r="E335" s="12">
        <f>CHOOSE( CONTROL!$C$32, 9.1976, 9.1944) * CHOOSE( CONTROL!$C$15, $D$11, 100%, $F$11)</f>
        <v>9.1975999999999996</v>
      </c>
      <c r="F335" s="4">
        <f>CHOOSE( CONTROL!$C$32, 9.8705, 9.8673) * CHOOSE(CONTROL!$C$15, $D$11, 100%, $F$11)</f>
        <v>9.8704999999999998</v>
      </c>
      <c r="G335" s="8">
        <f>CHOOSE( CONTROL!$C$32, 9.0047, 9.0015) * CHOOSE( CONTROL!$C$15, $D$11, 100%, $F$11)</f>
        <v>9.0046999999999997</v>
      </c>
      <c r="H335" s="4">
        <f>CHOOSE( CONTROL!$C$32, 9.9356, 9.9324) * CHOOSE(CONTROL!$C$15, $D$11, 100%, $F$11)</f>
        <v>9.9356000000000009</v>
      </c>
      <c r="I335" s="8">
        <f>CHOOSE( CONTROL!$C$32, 8.9493, 8.9462) * CHOOSE(CONTROL!$C$15, $D$11, 100%, $F$11)</f>
        <v>8.9492999999999991</v>
      </c>
      <c r="J335" s="4">
        <f>CHOOSE( CONTROL!$C$32, 8.8517, 8.8486) * CHOOSE(CONTROL!$C$15, $D$11, 100%, $F$11)</f>
        <v>8.8516999999999992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30.258500000000002</v>
      </c>
      <c r="R335" s="9"/>
      <c r="S335" s="11"/>
    </row>
    <row r="336" spans="1:19" ht="15.75">
      <c r="A336" s="13">
        <v>51744</v>
      </c>
      <c r="B336" s="8">
        <f>CHOOSE( CONTROL!$C$32, 8.4823, 8.4791) * CHOOSE(CONTROL!$C$15, $D$11, 100%, $F$11)</f>
        <v>8.4823000000000004</v>
      </c>
      <c r="C336" s="8">
        <f>CHOOSE( CONTROL!$C$32, 8.4904, 8.4872) * CHOOSE(CONTROL!$C$15, $D$11, 100%, $F$11)</f>
        <v>8.4903999999999993</v>
      </c>
      <c r="D336" s="8">
        <f>CHOOSE( CONTROL!$C$32, 8.4934, 8.4902) * CHOOSE( CONTROL!$C$15, $D$11, 100%, $F$11)</f>
        <v>8.4933999999999994</v>
      </c>
      <c r="E336" s="12">
        <f>CHOOSE( CONTROL!$C$32, 8.4911, 8.4879) * CHOOSE( CONTROL!$C$15, $D$11, 100%, $F$11)</f>
        <v>8.4910999999999994</v>
      </c>
      <c r="F336" s="4">
        <f>CHOOSE( CONTROL!$C$32, 9.1639, 9.1607) * CHOOSE(CONTROL!$C$15, $D$11, 100%, $F$11)</f>
        <v>9.1638999999999999</v>
      </c>
      <c r="G336" s="8">
        <f>CHOOSE( CONTROL!$C$32, 8.31, 8.3069) * CHOOSE( CONTROL!$C$15, $D$11, 100%, $F$11)</f>
        <v>8.31</v>
      </c>
      <c r="H336" s="4">
        <f>CHOOSE( CONTROL!$C$32, 9.2407, 9.2376) * CHOOSE(CONTROL!$C$15, $D$11, 100%, $F$11)</f>
        <v>9.2407000000000004</v>
      </c>
      <c r="I336" s="8">
        <f>CHOOSE( CONTROL!$C$32, 8.2667, 8.2636) * CHOOSE(CONTROL!$C$15, $D$11, 100%, $F$11)</f>
        <v>8.2667000000000002</v>
      </c>
      <c r="J336" s="4">
        <f>CHOOSE( CONTROL!$C$32, 8.1686, 8.1656) * CHOOSE(CONTROL!$C$15, $D$11, 100%, $F$11)</f>
        <v>8.1685999999999996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1.2183999999999999</v>
      </c>
      <c r="Q336" s="9">
        <v>30.258500000000002</v>
      </c>
      <c r="R336" s="9"/>
      <c r="S336" s="11"/>
    </row>
    <row r="337" spans="1:19" ht="15.75">
      <c r="A337" s="13">
        <v>51774</v>
      </c>
      <c r="B337" s="8">
        <f>CHOOSE( CONTROL!$C$32, 8.3054, 8.3022) * CHOOSE(CONTROL!$C$15, $D$11, 100%, $F$11)</f>
        <v>8.3054000000000006</v>
      </c>
      <c r="C337" s="8">
        <f>CHOOSE( CONTROL!$C$32, 8.3134, 8.3102) * CHOOSE(CONTROL!$C$15, $D$11, 100%, $F$11)</f>
        <v>8.3133999999999997</v>
      </c>
      <c r="D337" s="8">
        <f>CHOOSE( CONTROL!$C$32, 8.3165, 8.3133) * CHOOSE( CONTROL!$C$15, $D$11, 100%, $F$11)</f>
        <v>8.3164999999999996</v>
      </c>
      <c r="E337" s="12">
        <f>CHOOSE( CONTROL!$C$32, 8.3142, 8.311) * CHOOSE( CONTROL!$C$15, $D$11, 100%, $F$11)</f>
        <v>8.3141999999999996</v>
      </c>
      <c r="F337" s="4">
        <f>CHOOSE( CONTROL!$C$32, 8.987, 8.9838) * CHOOSE(CONTROL!$C$15, $D$11, 100%, $F$11)</f>
        <v>8.9870000000000001</v>
      </c>
      <c r="G337" s="8">
        <f>CHOOSE( CONTROL!$C$32, 8.1361, 8.1329) * CHOOSE( CONTROL!$C$15, $D$11, 100%, $F$11)</f>
        <v>8.1361000000000008</v>
      </c>
      <c r="H337" s="4">
        <f>CHOOSE( CONTROL!$C$32, 9.0667, 9.0635) * CHOOSE(CONTROL!$C$15, $D$11, 100%, $F$11)</f>
        <v>9.0667000000000009</v>
      </c>
      <c r="I337" s="8">
        <f>CHOOSE( CONTROL!$C$32, 8.0957, 8.0926) * CHOOSE(CONTROL!$C$15, $D$11, 100%, $F$11)</f>
        <v>8.0957000000000008</v>
      </c>
      <c r="J337" s="4">
        <f>CHOOSE( CONTROL!$C$32, 7.9976, 7.9945) * CHOOSE(CONTROL!$C$15, $D$11, 100%, $F$11)</f>
        <v>7.9976000000000003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1.1791</v>
      </c>
      <c r="Q337" s="9">
        <v>29.282399999999999</v>
      </c>
      <c r="R337" s="9"/>
      <c r="S337" s="11"/>
    </row>
    <row r="338" spans="1:19" ht="15.75">
      <c r="A338" s="13">
        <v>51805</v>
      </c>
      <c r="B338" s="8">
        <f>8.6679 * CHOOSE(CONTROL!$C$15, $D$11, 100%, $F$11)</f>
        <v>8.6678999999999995</v>
      </c>
      <c r="C338" s="8">
        <f>8.6732 * CHOOSE(CONTROL!$C$15, $D$11, 100%, $F$11)</f>
        <v>8.6731999999999996</v>
      </c>
      <c r="D338" s="8">
        <f>8.6811 * CHOOSE( CONTROL!$C$15, $D$11, 100%, $F$11)</f>
        <v>8.6811000000000007</v>
      </c>
      <c r="E338" s="12">
        <f>8.6779 * CHOOSE( CONTROL!$C$15, $D$11, 100%, $F$11)</f>
        <v>8.6778999999999993</v>
      </c>
      <c r="F338" s="4">
        <f>9.3511 * CHOOSE(CONTROL!$C$15, $D$11, 100%, $F$11)</f>
        <v>9.3511000000000006</v>
      </c>
      <c r="G338" s="8">
        <f>8.4938 * CHOOSE( CONTROL!$C$15, $D$11, 100%, $F$11)</f>
        <v>8.4938000000000002</v>
      </c>
      <c r="H338" s="4">
        <f>9.4248 * CHOOSE(CONTROL!$C$15, $D$11, 100%, $F$11)</f>
        <v>9.4247999999999994</v>
      </c>
      <c r="I338" s="8">
        <f>8.4485 * CHOOSE(CONTROL!$C$15, $D$11, 100%, $F$11)</f>
        <v>8.4484999999999992</v>
      </c>
      <c r="J338" s="4">
        <f>8.3497 * CHOOSE(CONTROL!$C$15, $D$11, 100%, $F$11)</f>
        <v>8.3497000000000003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1.2183999999999999</v>
      </c>
      <c r="Q338" s="9">
        <v>30.258500000000002</v>
      </c>
      <c r="R338" s="9"/>
      <c r="S338" s="11"/>
    </row>
    <row r="339" spans="1:19" ht="15.75">
      <c r="A339" s="13">
        <v>51835</v>
      </c>
      <c r="B339" s="8">
        <f>9.3456 * CHOOSE(CONTROL!$C$15, $D$11, 100%, $F$11)</f>
        <v>9.3455999999999992</v>
      </c>
      <c r="C339" s="8">
        <f>9.3507 * CHOOSE(CONTROL!$C$15, $D$11, 100%, $F$11)</f>
        <v>9.3506999999999998</v>
      </c>
      <c r="D339" s="8">
        <f>9.3282 * CHOOSE( CONTROL!$C$15, $D$11, 100%, $F$11)</f>
        <v>9.3282000000000007</v>
      </c>
      <c r="E339" s="12">
        <f>9.3359 * CHOOSE( CONTROL!$C$15, $D$11, 100%, $F$11)</f>
        <v>9.3359000000000005</v>
      </c>
      <c r="F339" s="4">
        <f>9.9904 * CHOOSE(CONTROL!$C$15, $D$11, 100%, $F$11)</f>
        <v>9.9903999999999993</v>
      </c>
      <c r="G339" s="8">
        <f>9.1732 * CHOOSE( CONTROL!$C$15, $D$11, 100%, $F$11)</f>
        <v>9.1731999999999996</v>
      </c>
      <c r="H339" s="4">
        <f>10.0535 * CHOOSE(CONTROL!$C$15, $D$11, 100%, $F$11)</f>
        <v>10.0535</v>
      </c>
      <c r="I339" s="8">
        <f>9.13 * CHOOSE(CONTROL!$C$15, $D$11, 100%, $F$11)</f>
        <v>9.1300000000000008</v>
      </c>
      <c r="J339" s="4">
        <f>9.0052 * CHOOSE(CONTROL!$C$15, $D$11, 100%, $F$11)</f>
        <v>9.0052000000000003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29.282399999999999</v>
      </c>
      <c r="R339" s="9"/>
      <c r="S339" s="11"/>
    </row>
    <row r="340" spans="1:19" ht="15.75">
      <c r="A340" s="13">
        <v>51866</v>
      </c>
      <c r="B340" s="8">
        <f>9.3286 * CHOOSE(CONTROL!$C$15, $D$11, 100%, $F$11)</f>
        <v>9.3285999999999998</v>
      </c>
      <c r="C340" s="8">
        <f>9.3337 * CHOOSE(CONTROL!$C$15, $D$11, 100%, $F$11)</f>
        <v>9.3337000000000003</v>
      </c>
      <c r="D340" s="8">
        <f>9.3127 * CHOOSE( CONTROL!$C$15, $D$11, 100%, $F$11)</f>
        <v>9.3126999999999995</v>
      </c>
      <c r="E340" s="12">
        <f>9.3198 * CHOOSE( CONTROL!$C$15, $D$11, 100%, $F$11)</f>
        <v>9.3198000000000008</v>
      </c>
      <c r="F340" s="4">
        <f>9.9735 * CHOOSE(CONTROL!$C$15, $D$11, 100%, $F$11)</f>
        <v>9.9734999999999996</v>
      </c>
      <c r="G340" s="8">
        <f>9.1576 * CHOOSE( CONTROL!$C$15, $D$11, 100%, $F$11)</f>
        <v>9.1576000000000004</v>
      </c>
      <c r="H340" s="4">
        <f>10.0369 * CHOOSE(CONTROL!$C$15, $D$11, 100%, $F$11)</f>
        <v>10.036899999999999</v>
      </c>
      <c r="I340" s="8">
        <f>9.1182 * CHOOSE(CONTROL!$C$15, $D$11, 100%, $F$11)</f>
        <v>9.1181999999999999</v>
      </c>
      <c r="J340" s="4">
        <f>8.9888 * CHOOSE(CONTROL!$C$15, $D$11, 100%, $F$11)</f>
        <v>8.9887999999999995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30.258500000000002</v>
      </c>
      <c r="R340" s="9"/>
      <c r="S340" s="11"/>
    </row>
    <row r="341" spans="1:19" ht="15.75">
      <c r="A341" s="13">
        <v>51897</v>
      </c>
      <c r="B341" s="8">
        <f>9.684 * CHOOSE(CONTROL!$C$15, $D$11, 100%, $F$11)</f>
        <v>9.6839999999999993</v>
      </c>
      <c r="C341" s="8">
        <f>9.6891 * CHOOSE(CONTROL!$C$15, $D$11, 100%, $F$11)</f>
        <v>9.6890999999999998</v>
      </c>
      <c r="D341" s="8">
        <f>9.6671 * CHOOSE( CONTROL!$C$15, $D$11, 100%, $F$11)</f>
        <v>9.6670999999999996</v>
      </c>
      <c r="E341" s="12">
        <f>9.6746 * CHOOSE( CONTROL!$C$15, $D$11, 100%, $F$11)</f>
        <v>9.6745999999999999</v>
      </c>
      <c r="F341" s="4">
        <f>10.3289 * CHOOSE(CONTROL!$C$15, $D$11, 100%, $F$11)</f>
        <v>10.328900000000001</v>
      </c>
      <c r="G341" s="8">
        <f>9.5045 * CHOOSE( CONTROL!$C$15, $D$11, 100%, $F$11)</f>
        <v>9.5045000000000002</v>
      </c>
      <c r="H341" s="4">
        <f>10.3864 * CHOOSE(CONTROL!$C$15, $D$11, 100%, $F$11)</f>
        <v>10.3864</v>
      </c>
      <c r="I341" s="8">
        <f>9.4337 * CHOOSE(CONTROL!$C$15, $D$11, 100%, $F$11)</f>
        <v>9.4337</v>
      </c>
      <c r="J341" s="4">
        <f>9.3323 * CHOOSE(CONTROL!$C$15, $D$11, 100%, $F$11)</f>
        <v>9.3323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20.593900000000001</v>
      </c>
      <c r="R341" s="9"/>
      <c r="S341" s="11"/>
    </row>
    <row r="342" spans="1:19" ht="15.75">
      <c r="A342" s="13">
        <v>51925</v>
      </c>
      <c r="B342" s="8">
        <f>9.0599 * CHOOSE(CONTROL!$C$15, $D$11, 100%, $F$11)</f>
        <v>9.0599000000000007</v>
      </c>
      <c r="C342" s="8">
        <f>9.065 * CHOOSE(CONTROL!$C$15, $D$11, 100%, $F$11)</f>
        <v>9.0649999999999995</v>
      </c>
      <c r="D342" s="8">
        <f>9.0386 * CHOOSE( CONTROL!$C$15, $D$11, 100%, $F$11)</f>
        <v>9.0386000000000006</v>
      </c>
      <c r="E342" s="12">
        <f>9.0477 * CHOOSE( CONTROL!$C$15, $D$11, 100%, $F$11)</f>
        <v>9.0477000000000007</v>
      </c>
      <c r="F342" s="4">
        <f>9.7048 * CHOOSE(CONTROL!$C$15, $D$11, 100%, $F$11)</f>
        <v>9.7048000000000005</v>
      </c>
      <c r="G342" s="8">
        <f>8.8823 * CHOOSE( CONTROL!$C$15, $D$11, 100%, $F$11)</f>
        <v>8.8823000000000008</v>
      </c>
      <c r="H342" s="4">
        <f>9.7726 * CHOOSE(CONTROL!$C$15, $D$11, 100%, $F$11)</f>
        <v>9.7726000000000006</v>
      </c>
      <c r="I342" s="8">
        <f>8.8011 * CHOOSE(CONTROL!$C$15, $D$11, 100%, $F$11)</f>
        <v>8.8010999999999999</v>
      </c>
      <c r="J342" s="4">
        <f>8.729 * CHOOSE(CONTROL!$C$15, $D$11, 100%, $F$11)</f>
        <v>8.7289999999999992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18.600999999999999</v>
      </c>
      <c r="R342" s="9"/>
      <c r="S342" s="11"/>
    </row>
    <row r="343" spans="1:19" ht="15.75">
      <c r="A343" s="13">
        <v>51956</v>
      </c>
      <c r="B343" s="8">
        <f>8.8677 * CHOOSE(CONTROL!$C$15, $D$11, 100%, $F$11)</f>
        <v>8.8676999999999992</v>
      </c>
      <c r="C343" s="8">
        <f>8.8728 * CHOOSE(CONTROL!$C$15, $D$11, 100%, $F$11)</f>
        <v>8.8727999999999998</v>
      </c>
      <c r="D343" s="8">
        <f>8.8468 * CHOOSE( CONTROL!$C$15, $D$11, 100%, $F$11)</f>
        <v>8.8468</v>
      </c>
      <c r="E343" s="12">
        <f>8.8558 * CHOOSE( CONTROL!$C$15, $D$11, 100%, $F$11)</f>
        <v>8.8558000000000003</v>
      </c>
      <c r="F343" s="4">
        <f>9.5126 * CHOOSE(CONTROL!$C$15, $D$11, 100%, $F$11)</f>
        <v>9.5126000000000008</v>
      </c>
      <c r="G343" s="8">
        <f>8.6935 * CHOOSE( CONTROL!$C$15, $D$11, 100%, $F$11)</f>
        <v>8.6935000000000002</v>
      </c>
      <c r="H343" s="4">
        <f>9.5836 * CHOOSE(CONTROL!$C$15, $D$11, 100%, $F$11)</f>
        <v>9.5836000000000006</v>
      </c>
      <c r="I343" s="8">
        <f>8.6164 * CHOOSE(CONTROL!$C$15, $D$11, 100%, $F$11)</f>
        <v>8.6164000000000005</v>
      </c>
      <c r="J343" s="4">
        <f>8.5432 * CHOOSE(CONTROL!$C$15, $D$11, 100%, $F$11)</f>
        <v>8.5432000000000006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20.593900000000001</v>
      </c>
      <c r="R343" s="9"/>
      <c r="S343" s="11"/>
    </row>
    <row r="344" spans="1:19" ht="15.75">
      <c r="A344" s="13">
        <v>51986</v>
      </c>
      <c r="B344" s="8">
        <f>9.0028 * CHOOSE(CONTROL!$C$15, $D$11, 100%, $F$11)</f>
        <v>9.0028000000000006</v>
      </c>
      <c r="C344" s="8">
        <f>9.0073 * CHOOSE(CONTROL!$C$15, $D$11, 100%, $F$11)</f>
        <v>9.0073000000000008</v>
      </c>
      <c r="D344" s="8">
        <f>9.0145 * CHOOSE( CONTROL!$C$15, $D$11, 100%, $F$11)</f>
        <v>9.0145</v>
      </c>
      <c r="E344" s="12">
        <f>9.0116 * CHOOSE( CONTROL!$C$15, $D$11, 100%, $F$11)</f>
        <v>9.0115999999999996</v>
      </c>
      <c r="F344" s="4">
        <f>9.6857 * CHOOSE(CONTROL!$C$15, $D$11, 100%, $F$11)</f>
        <v>9.6857000000000006</v>
      </c>
      <c r="G344" s="8">
        <f>8.8209 * CHOOSE( CONTROL!$C$15, $D$11, 100%, $F$11)</f>
        <v>8.8209</v>
      </c>
      <c r="H344" s="4">
        <f>9.7538 * CHOOSE(CONTROL!$C$15, $D$11, 100%, $F$11)</f>
        <v>9.7538</v>
      </c>
      <c r="I344" s="8">
        <f>8.7661 * CHOOSE(CONTROL!$C$15, $D$11, 100%, $F$11)</f>
        <v>8.7660999999999998</v>
      </c>
      <c r="J344" s="4">
        <f>8.6731 * CHOOSE(CONTROL!$C$15, $D$11, 100%, $F$11)</f>
        <v>8.6730999999999998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1.1791</v>
      </c>
      <c r="Q344" s="9">
        <v>19.929600000000001</v>
      </c>
      <c r="R344" s="9"/>
      <c r="S344" s="11"/>
    </row>
    <row r="345" spans="1:19" ht="15.75">
      <c r="A345" s="13">
        <v>52017</v>
      </c>
      <c r="B345" s="8">
        <f>CHOOSE( CONTROL!$C$32, 9.2464, 9.2432) * CHOOSE(CONTROL!$C$15, $D$11, 100%, $F$11)</f>
        <v>9.2463999999999995</v>
      </c>
      <c r="C345" s="8">
        <f>CHOOSE( CONTROL!$C$32, 9.2544, 9.2512) * CHOOSE(CONTROL!$C$15, $D$11, 100%, $F$11)</f>
        <v>9.2544000000000004</v>
      </c>
      <c r="D345" s="8">
        <f>CHOOSE( CONTROL!$C$32, 9.2567, 9.2535) * CHOOSE( CONTROL!$C$15, $D$11, 100%, $F$11)</f>
        <v>9.2567000000000004</v>
      </c>
      <c r="E345" s="12">
        <f>CHOOSE( CONTROL!$C$32, 9.2546, 9.2514) * CHOOSE( CONTROL!$C$15, $D$11, 100%, $F$11)</f>
        <v>9.2545999999999999</v>
      </c>
      <c r="F345" s="4">
        <f>CHOOSE( CONTROL!$C$32, 9.9279, 9.9247) * CHOOSE(CONTROL!$C$15, $D$11, 100%, $F$11)</f>
        <v>9.9278999999999993</v>
      </c>
      <c r="G345" s="8">
        <f>CHOOSE( CONTROL!$C$32, 9.0603, 9.0571) * CHOOSE( CONTROL!$C$15, $D$11, 100%, $F$11)</f>
        <v>9.0602999999999998</v>
      </c>
      <c r="H345" s="4">
        <f>CHOOSE( CONTROL!$C$32, 9.9921, 9.9889) * CHOOSE(CONTROL!$C$15, $D$11, 100%, $F$11)</f>
        <v>9.9921000000000006</v>
      </c>
      <c r="I345" s="8">
        <f>CHOOSE( CONTROL!$C$32, 9.002, 8.9989) * CHOOSE(CONTROL!$C$15, $D$11, 100%, $F$11)</f>
        <v>9.0020000000000007</v>
      </c>
      <c r="J345" s="4">
        <f>CHOOSE( CONTROL!$C$32, 8.9072, 8.9042) * CHOOSE(CONTROL!$C$15, $D$11, 100%, $F$11)</f>
        <v>8.9071999999999996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1.2183999999999999</v>
      </c>
      <c r="Q345" s="9">
        <v>20.593900000000001</v>
      </c>
      <c r="R345" s="9"/>
      <c r="S345" s="11"/>
    </row>
    <row r="346" spans="1:19" ht="15.75">
      <c r="A346" s="13">
        <v>52047</v>
      </c>
      <c r="B346" s="8">
        <f>CHOOSE( CONTROL!$C$32, 9.0983, 9.0951) * CHOOSE(CONTROL!$C$15, $D$11, 100%, $F$11)</f>
        <v>9.0983000000000001</v>
      </c>
      <c r="C346" s="8">
        <f>CHOOSE( CONTROL!$C$32, 9.1063, 9.1031) * CHOOSE(CONTROL!$C$15, $D$11, 100%, $F$11)</f>
        <v>9.1062999999999992</v>
      </c>
      <c r="D346" s="8">
        <f>CHOOSE( CONTROL!$C$32, 9.1089, 9.1057) * CHOOSE( CONTROL!$C$15, $D$11, 100%, $F$11)</f>
        <v>9.1089000000000002</v>
      </c>
      <c r="E346" s="12">
        <f>CHOOSE( CONTROL!$C$32, 9.1067, 9.1035) * CHOOSE( CONTROL!$C$15, $D$11, 100%, $F$11)</f>
        <v>9.1067</v>
      </c>
      <c r="F346" s="4">
        <f>CHOOSE( CONTROL!$C$32, 9.7798, 9.7766) * CHOOSE(CONTROL!$C$15, $D$11, 100%, $F$11)</f>
        <v>9.7797999999999998</v>
      </c>
      <c r="G346" s="8">
        <f>CHOOSE( CONTROL!$C$32, 8.9151, 8.9119) * CHOOSE( CONTROL!$C$15, $D$11, 100%, $F$11)</f>
        <v>8.9151000000000007</v>
      </c>
      <c r="H346" s="4">
        <f>CHOOSE( CONTROL!$C$32, 9.8464, 9.8433) * CHOOSE(CONTROL!$C$15, $D$11, 100%, $F$11)</f>
        <v>9.8463999999999992</v>
      </c>
      <c r="I346" s="8">
        <f>CHOOSE( CONTROL!$C$32, 8.8602, 8.8571) * CHOOSE(CONTROL!$C$15, $D$11, 100%, $F$11)</f>
        <v>8.8602000000000007</v>
      </c>
      <c r="J346" s="4">
        <f>CHOOSE( CONTROL!$C$32, 8.7641, 8.761) * CHOOSE(CONTROL!$C$15, $D$11, 100%, $F$11)</f>
        <v>8.7640999999999991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1.1791</v>
      </c>
      <c r="Q346" s="9">
        <v>19.929600000000001</v>
      </c>
      <c r="R346" s="9"/>
      <c r="S346" s="11"/>
    </row>
    <row r="347" spans="1:19" ht="15.75">
      <c r="A347" s="13">
        <v>52078</v>
      </c>
      <c r="B347" s="8">
        <f>CHOOSE( CONTROL!$C$32, 9.4883, 9.4851) * CHOOSE(CONTROL!$C$15, $D$11, 100%, $F$11)</f>
        <v>9.4883000000000006</v>
      </c>
      <c r="C347" s="8">
        <f>CHOOSE( CONTROL!$C$32, 9.4963, 9.4931) * CHOOSE(CONTROL!$C$15, $D$11, 100%, $F$11)</f>
        <v>9.4962999999999997</v>
      </c>
      <c r="D347" s="8">
        <f>CHOOSE( CONTROL!$C$32, 9.4992, 9.496) * CHOOSE( CONTROL!$C$15, $D$11, 100%, $F$11)</f>
        <v>9.4992000000000001</v>
      </c>
      <c r="E347" s="12">
        <f>CHOOSE( CONTROL!$C$32, 9.4969, 9.4937) * CHOOSE( CONTROL!$C$15, $D$11, 100%, $F$11)</f>
        <v>9.4969000000000001</v>
      </c>
      <c r="F347" s="4">
        <f>CHOOSE( CONTROL!$C$32, 10.1698, 10.1666) * CHOOSE(CONTROL!$C$15, $D$11, 100%, $F$11)</f>
        <v>10.1698</v>
      </c>
      <c r="G347" s="8">
        <f>CHOOSE( CONTROL!$C$32, 9.299, 9.2959) * CHOOSE( CONTROL!$C$15, $D$11, 100%, $F$11)</f>
        <v>9.2989999999999995</v>
      </c>
      <c r="H347" s="4">
        <f>CHOOSE( CONTROL!$C$32, 10.2299, 10.2268) * CHOOSE(CONTROL!$C$15, $D$11, 100%, $F$11)</f>
        <v>10.229900000000001</v>
      </c>
      <c r="I347" s="8">
        <f>CHOOSE( CONTROL!$C$32, 9.2388, 9.2357) * CHOOSE(CONTROL!$C$15, $D$11, 100%, $F$11)</f>
        <v>9.2387999999999995</v>
      </c>
      <c r="J347" s="4">
        <f>CHOOSE( CONTROL!$C$32, 9.1411, 9.138) * CHOOSE(CONTROL!$C$15, $D$11, 100%, $F$11)</f>
        <v>9.1410999999999998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20.593900000000001</v>
      </c>
      <c r="R347" s="9"/>
      <c r="S347" s="11"/>
    </row>
    <row r="348" spans="1:19" ht="15.75">
      <c r="A348" s="13">
        <v>52109</v>
      </c>
      <c r="B348" s="8">
        <f>CHOOSE( CONTROL!$C$32, 8.7586, 8.7554) * CHOOSE(CONTROL!$C$15, $D$11, 100%, $F$11)</f>
        <v>8.7585999999999995</v>
      </c>
      <c r="C348" s="8">
        <f>CHOOSE( CONTROL!$C$32, 8.7666, 8.7634) * CHOOSE(CONTROL!$C$15, $D$11, 100%, $F$11)</f>
        <v>8.7666000000000004</v>
      </c>
      <c r="D348" s="8">
        <f>CHOOSE( CONTROL!$C$32, 8.7697, 8.7665) * CHOOSE( CONTROL!$C$15, $D$11, 100%, $F$11)</f>
        <v>8.7697000000000003</v>
      </c>
      <c r="E348" s="12">
        <f>CHOOSE( CONTROL!$C$32, 8.7674, 8.7642) * CHOOSE( CONTROL!$C$15, $D$11, 100%, $F$11)</f>
        <v>8.7674000000000003</v>
      </c>
      <c r="F348" s="4">
        <f>CHOOSE( CONTROL!$C$32, 9.4401, 9.4369) * CHOOSE(CONTROL!$C$15, $D$11, 100%, $F$11)</f>
        <v>9.4400999999999993</v>
      </c>
      <c r="G348" s="8">
        <f>CHOOSE( CONTROL!$C$32, 8.5817, 8.5786) * CHOOSE( CONTROL!$C$15, $D$11, 100%, $F$11)</f>
        <v>8.5816999999999997</v>
      </c>
      <c r="H348" s="4">
        <f>CHOOSE( CONTROL!$C$32, 9.5124, 9.5092) * CHOOSE(CONTROL!$C$15, $D$11, 100%, $F$11)</f>
        <v>9.5123999999999995</v>
      </c>
      <c r="I348" s="8">
        <f>CHOOSE( CONTROL!$C$32, 8.5338, 8.5307) * CHOOSE(CONTROL!$C$15, $D$11, 100%, $F$11)</f>
        <v>8.5337999999999994</v>
      </c>
      <c r="J348" s="4">
        <f>CHOOSE( CONTROL!$C$32, 8.4357, 8.4326) * CHOOSE(CONTROL!$C$15, $D$11, 100%, $F$11)</f>
        <v>8.4357000000000006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1.2183999999999999</v>
      </c>
      <c r="Q348" s="9">
        <v>20.593900000000001</v>
      </c>
      <c r="R348" s="9"/>
      <c r="S348" s="11"/>
    </row>
    <row r="349" spans="1:19" ht="15.75">
      <c r="A349" s="13">
        <v>52139</v>
      </c>
      <c r="B349" s="8">
        <f>CHOOSE( CONTROL!$C$32, 8.5759, 8.5727) * CHOOSE(CONTROL!$C$15, $D$11, 100%, $F$11)</f>
        <v>8.5759000000000007</v>
      </c>
      <c r="C349" s="8">
        <f>CHOOSE( CONTROL!$C$32, 8.5839, 8.5807) * CHOOSE(CONTROL!$C$15, $D$11, 100%, $F$11)</f>
        <v>8.5838999999999999</v>
      </c>
      <c r="D349" s="8">
        <f>CHOOSE( CONTROL!$C$32, 8.587, 8.5838) * CHOOSE( CONTROL!$C$15, $D$11, 100%, $F$11)</f>
        <v>8.5869999999999997</v>
      </c>
      <c r="E349" s="12">
        <f>CHOOSE( CONTROL!$C$32, 8.5847, 8.5815) * CHOOSE( CONTROL!$C$15, $D$11, 100%, $F$11)</f>
        <v>8.5846999999999998</v>
      </c>
      <c r="F349" s="4">
        <f>CHOOSE( CONTROL!$C$32, 9.2574, 9.2542) * CHOOSE(CONTROL!$C$15, $D$11, 100%, $F$11)</f>
        <v>9.2574000000000005</v>
      </c>
      <c r="G349" s="8">
        <f>CHOOSE( CONTROL!$C$32, 8.4021, 8.3989) * CHOOSE( CONTROL!$C$15, $D$11, 100%, $F$11)</f>
        <v>8.4021000000000008</v>
      </c>
      <c r="H349" s="4">
        <f>CHOOSE( CONTROL!$C$32, 9.3327, 9.3295) * CHOOSE(CONTROL!$C$15, $D$11, 100%, $F$11)</f>
        <v>9.3327000000000009</v>
      </c>
      <c r="I349" s="8">
        <f>CHOOSE( CONTROL!$C$32, 8.3573, 8.3542) * CHOOSE(CONTROL!$C$15, $D$11, 100%, $F$11)</f>
        <v>8.3573000000000004</v>
      </c>
      <c r="J349" s="4">
        <f>CHOOSE( CONTROL!$C$32, 8.2591, 8.256) * CHOOSE(CONTROL!$C$15, $D$11, 100%, $F$11)</f>
        <v>8.2591000000000001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1.1791</v>
      </c>
      <c r="Q349" s="9">
        <v>19.929600000000001</v>
      </c>
      <c r="R349" s="9"/>
      <c r="S349" s="11"/>
    </row>
    <row r="350" spans="1:19" ht="15.75">
      <c r="A350" s="13">
        <v>52170</v>
      </c>
      <c r="B350" s="8">
        <f>8.9503 * CHOOSE(CONTROL!$C$15, $D$11, 100%, $F$11)</f>
        <v>8.9503000000000004</v>
      </c>
      <c r="C350" s="8">
        <f>8.9557 * CHOOSE(CONTROL!$C$15, $D$11, 100%, $F$11)</f>
        <v>8.9557000000000002</v>
      </c>
      <c r="D350" s="8">
        <f>8.9636 * CHOOSE( CONTROL!$C$15, $D$11, 100%, $F$11)</f>
        <v>8.9635999999999996</v>
      </c>
      <c r="E350" s="12">
        <f>8.9604 * CHOOSE( CONTROL!$C$15, $D$11, 100%, $F$11)</f>
        <v>8.9603999999999999</v>
      </c>
      <c r="F350" s="4">
        <f>9.6336 * CHOOSE(CONTROL!$C$15, $D$11, 100%, $F$11)</f>
        <v>9.6335999999999995</v>
      </c>
      <c r="G350" s="8">
        <f>8.7715 * CHOOSE( CONTROL!$C$15, $D$11, 100%, $F$11)</f>
        <v>8.7714999999999996</v>
      </c>
      <c r="H350" s="4">
        <f>9.7026 * CHOOSE(CONTROL!$C$15, $D$11, 100%, $F$11)</f>
        <v>9.7026000000000003</v>
      </c>
      <c r="I350" s="8">
        <f>8.7217 * CHOOSE(CONTROL!$C$15, $D$11, 100%, $F$11)</f>
        <v>8.7217000000000002</v>
      </c>
      <c r="J350" s="4">
        <f>8.6227 * CHOOSE(CONTROL!$C$15, $D$11, 100%, $F$11)</f>
        <v>8.6227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1.2183999999999999</v>
      </c>
      <c r="Q350" s="9">
        <v>20.593900000000001</v>
      </c>
      <c r="R350" s="9"/>
      <c r="S350" s="11"/>
    </row>
    <row r="351" spans="1:19" ht="15.75">
      <c r="A351" s="13">
        <v>52200</v>
      </c>
      <c r="B351" s="8">
        <f>9.6502 * CHOOSE(CONTROL!$C$15, $D$11, 100%, $F$11)</f>
        <v>9.6501999999999999</v>
      </c>
      <c r="C351" s="8">
        <f>9.6553 * CHOOSE(CONTROL!$C$15, $D$11, 100%, $F$11)</f>
        <v>9.6553000000000004</v>
      </c>
      <c r="D351" s="8">
        <f>9.6328 * CHOOSE( CONTROL!$C$15, $D$11, 100%, $F$11)</f>
        <v>9.6327999999999996</v>
      </c>
      <c r="E351" s="12">
        <f>9.6405 * CHOOSE( CONTROL!$C$15, $D$11, 100%, $F$11)</f>
        <v>9.6404999999999994</v>
      </c>
      <c r="F351" s="4">
        <f>10.2951 * CHOOSE(CONTROL!$C$15, $D$11, 100%, $F$11)</f>
        <v>10.2951</v>
      </c>
      <c r="G351" s="8">
        <f>9.4728 * CHOOSE( CONTROL!$C$15, $D$11, 100%, $F$11)</f>
        <v>9.4727999999999994</v>
      </c>
      <c r="H351" s="4">
        <f>10.3531 * CHOOSE(CONTROL!$C$15, $D$11, 100%, $F$11)</f>
        <v>10.3531</v>
      </c>
      <c r="I351" s="8">
        <f>9.4246 * CHOOSE(CONTROL!$C$15, $D$11, 100%, $F$11)</f>
        <v>9.4245999999999999</v>
      </c>
      <c r="J351" s="4">
        <f>9.2997 * CHOOSE(CONTROL!$C$15, $D$11, 100%, $F$11)</f>
        <v>9.2996999999999996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19.929600000000001</v>
      </c>
      <c r="R351" s="9"/>
      <c r="S351" s="11"/>
    </row>
    <row r="352" spans="1:19" ht="15.75">
      <c r="A352" s="13">
        <v>52231</v>
      </c>
      <c r="B352" s="8">
        <f>9.6327 * CHOOSE(CONTROL!$C$15, $D$11, 100%, $F$11)</f>
        <v>9.6326999999999998</v>
      </c>
      <c r="C352" s="8">
        <f>9.6378 * CHOOSE(CONTROL!$C$15, $D$11, 100%, $F$11)</f>
        <v>9.6378000000000004</v>
      </c>
      <c r="D352" s="8">
        <f>9.6168 * CHOOSE( CONTROL!$C$15, $D$11, 100%, $F$11)</f>
        <v>9.6167999999999996</v>
      </c>
      <c r="E352" s="12">
        <f>9.6239 * CHOOSE( CONTROL!$C$15, $D$11, 100%, $F$11)</f>
        <v>9.6239000000000008</v>
      </c>
      <c r="F352" s="4">
        <f>10.2776 * CHOOSE(CONTROL!$C$15, $D$11, 100%, $F$11)</f>
        <v>10.2776</v>
      </c>
      <c r="G352" s="8">
        <f>9.4566 * CHOOSE( CONTROL!$C$15, $D$11, 100%, $F$11)</f>
        <v>9.4565999999999999</v>
      </c>
      <c r="H352" s="4">
        <f>10.3359 * CHOOSE(CONTROL!$C$15, $D$11, 100%, $F$11)</f>
        <v>10.335900000000001</v>
      </c>
      <c r="I352" s="8">
        <f>9.4123 * CHOOSE(CONTROL!$C$15, $D$11, 100%, $F$11)</f>
        <v>9.4123000000000001</v>
      </c>
      <c r="J352" s="4">
        <f>9.2828 * CHOOSE(CONTROL!$C$15, $D$11, 100%, $F$11)</f>
        <v>9.2827999999999999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20.593900000000001</v>
      </c>
      <c r="R352" s="9"/>
      <c r="S352" s="11"/>
    </row>
    <row r="353" spans="1:19" ht="15.75">
      <c r="A353" s="13">
        <v>52262</v>
      </c>
      <c r="B353" s="8">
        <f>9.9997 * CHOOSE(CONTROL!$C$15, $D$11, 100%, $F$11)</f>
        <v>9.9997000000000007</v>
      </c>
      <c r="C353" s="8">
        <f>10.0048 * CHOOSE(CONTROL!$C$15, $D$11, 100%, $F$11)</f>
        <v>10.004799999999999</v>
      </c>
      <c r="D353" s="8">
        <f>9.9828 * CHOOSE( CONTROL!$C$15, $D$11, 100%, $F$11)</f>
        <v>9.9827999999999992</v>
      </c>
      <c r="E353" s="12">
        <f>9.9903 * CHOOSE( CONTROL!$C$15, $D$11, 100%, $F$11)</f>
        <v>9.9902999999999995</v>
      </c>
      <c r="F353" s="4">
        <f>10.6446 * CHOOSE(CONTROL!$C$15, $D$11, 100%, $F$11)</f>
        <v>10.644600000000001</v>
      </c>
      <c r="G353" s="8">
        <f>9.815 * CHOOSE( CONTROL!$C$15, $D$11, 100%, $F$11)</f>
        <v>9.8149999999999995</v>
      </c>
      <c r="H353" s="4">
        <f>10.6969 * CHOOSE(CONTROL!$C$15, $D$11, 100%, $F$11)</f>
        <v>10.696899999999999</v>
      </c>
      <c r="I353" s="8">
        <f>9.7391 * CHOOSE(CONTROL!$C$15, $D$11, 100%, $F$11)</f>
        <v>9.7391000000000005</v>
      </c>
      <c r="J353" s="4">
        <f>9.6375 * CHOOSE(CONTROL!$C$15, $D$11, 100%, $F$11)</f>
        <v>9.6374999999999993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20.5288</v>
      </c>
      <c r="R353" s="9"/>
      <c r="S353" s="11"/>
    </row>
    <row r="354" spans="1:19" ht="15.75">
      <c r="A354" s="13">
        <v>52290</v>
      </c>
      <c r="B354" s="8">
        <f>9.3552 * CHOOSE(CONTROL!$C$15, $D$11, 100%, $F$11)</f>
        <v>9.3552</v>
      </c>
      <c r="C354" s="8">
        <f>9.3603 * CHOOSE(CONTROL!$C$15, $D$11, 100%, $F$11)</f>
        <v>9.3603000000000005</v>
      </c>
      <c r="D354" s="8">
        <f>9.3339 * CHOOSE( CONTROL!$C$15, $D$11, 100%, $F$11)</f>
        <v>9.3338999999999999</v>
      </c>
      <c r="E354" s="12">
        <f>9.343 * CHOOSE( CONTROL!$C$15, $D$11, 100%, $F$11)</f>
        <v>9.343</v>
      </c>
      <c r="F354" s="4">
        <f>10.0001 * CHOOSE(CONTROL!$C$15, $D$11, 100%, $F$11)</f>
        <v>10.0001</v>
      </c>
      <c r="G354" s="8">
        <f>9.1727 * CHOOSE( CONTROL!$C$15, $D$11, 100%, $F$11)</f>
        <v>9.1727000000000007</v>
      </c>
      <c r="H354" s="4">
        <f>10.063 * CHOOSE(CONTROL!$C$15, $D$11, 100%, $F$11)</f>
        <v>10.063000000000001</v>
      </c>
      <c r="I354" s="8">
        <f>9.0867 * CHOOSE(CONTROL!$C$15, $D$11, 100%, $F$11)</f>
        <v>9.0867000000000004</v>
      </c>
      <c r="J354" s="4">
        <f>9.0145 * CHOOSE(CONTROL!$C$15, $D$11, 100%, $F$11)</f>
        <v>9.0145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18.542200000000001</v>
      </c>
      <c r="R354" s="9"/>
      <c r="S354" s="11"/>
    </row>
    <row r="355" spans="1:19" ht="15.75">
      <c r="A355" s="13">
        <v>52321</v>
      </c>
      <c r="B355" s="8">
        <f>9.1567 * CHOOSE(CONTROL!$C$15, $D$11, 100%, $F$11)</f>
        <v>9.1567000000000007</v>
      </c>
      <c r="C355" s="8">
        <f>9.1618 * CHOOSE(CONTROL!$C$15, $D$11, 100%, $F$11)</f>
        <v>9.1617999999999995</v>
      </c>
      <c r="D355" s="8">
        <f>9.1358 * CHOOSE( CONTROL!$C$15, $D$11, 100%, $F$11)</f>
        <v>9.1357999999999997</v>
      </c>
      <c r="E355" s="12">
        <f>9.1448 * CHOOSE( CONTROL!$C$15, $D$11, 100%, $F$11)</f>
        <v>9.1448</v>
      </c>
      <c r="F355" s="4">
        <f>9.8016 * CHOOSE(CONTROL!$C$15, $D$11, 100%, $F$11)</f>
        <v>9.8016000000000005</v>
      </c>
      <c r="G355" s="8">
        <f>8.9777 * CHOOSE( CONTROL!$C$15, $D$11, 100%, $F$11)</f>
        <v>8.9777000000000005</v>
      </c>
      <c r="H355" s="4">
        <f>9.8678 * CHOOSE(CONTROL!$C$15, $D$11, 100%, $F$11)</f>
        <v>9.8678000000000008</v>
      </c>
      <c r="I355" s="8">
        <f>8.8959 * CHOOSE(CONTROL!$C$15, $D$11, 100%, $F$11)</f>
        <v>8.8958999999999993</v>
      </c>
      <c r="J355" s="4">
        <f>8.8226 * CHOOSE(CONTROL!$C$15, $D$11, 100%, $F$11)</f>
        <v>8.8225999999999996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20.5288</v>
      </c>
      <c r="R355" s="9"/>
      <c r="S355" s="11"/>
    </row>
    <row r="356" spans="1:19" ht="15.75">
      <c r="A356" s="13">
        <v>52351</v>
      </c>
      <c r="B356" s="8">
        <f>9.2962 * CHOOSE(CONTROL!$C$15, $D$11, 100%, $F$11)</f>
        <v>9.2962000000000007</v>
      </c>
      <c r="C356" s="8">
        <f>9.3007 * CHOOSE(CONTROL!$C$15, $D$11, 100%, $F$11)</f>
        <v>9.3007000000000009</v>
      </c>
      <c r="D356" s="8">
        <f>9.3079 * CHOOSE( CONTROL!$C$15, $D$11, 100%, $F$11)</f>
        <v>9.3079000000000001</v>
      </c>
      <c r="E356" s="12">
        <f>9.305 * CHOOSE( CONTROL!$C$15, $D$11, 100%, $F$11)</f>
        <v>9.3049999999999997</v>
      </c>
      <c r="F356" s="4">
        <f>9.9791 * CHOOSE(CONTROL!$C$15, $D$11, 100%, $F$11)</f>
        <v>9.9791000000000007</v>
      </c>
      <c r="G356" s="8">
        <f>9.1094 * CHOOSE( CONTROL!$C$15, $D$11, 100%, $F$11)</f>
        <v>9.1094000000000008</v>
      </c>
      <c r="H356" s="4">
        <f>10.0424 * CHOOSE(CONTROL!$C$15, $D$11, 100%, $F$11)</f>
        <v>10.042400000000001</v>
      </c>
      <c r="I356" s="8">
        <f>9.0499 * CHOOSE(CONTROL!$C$15, $D$11, 100%, $F$11)</f>
        <v>9.0498999999999992</v>
      </c>
      <c r="J356" s="4">
        <f>8.9567 * CHOOSE(CONTROL!$C$15, $D$11, 100%, $F$11)</f>
        <v>8.9566999999999997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1.1791</v>
      </c>
      <c r="Q356" s="9">
        <v>19.866599999999998</v>
      </c>
      <c r="R356" s="9"/>
      <c r="S356" s="11"/>
    </row>
    <row r="357" spans="1:19" ht="15.75">
      <c r="A357" s="13">
        <v>52382</v>
      </c>
      <c r="B357" s="8">
        <f>CHOOSE( CONTROL!$C$32, 9.5476, 9.5444) * CHOOSE(CONTROL!$C$15, $D$11, 100%, $F$11)</f>
        <v>9.5475999999999992</v>
      </c>
      <c r="C357" s="8">
        <f>CHOOSE( CONTROL!$C$32, 9.5556, 9.5524) * CHOOSE(CONTROL!$C$15, $D$11, 100%, $F$11)</f>
        <v>9.5556000000000001</v>
      </c>
      <c r="D357" s="8">
        <f>CHOOSE( CONTROL!$C$32, 9.558, 9.5548) * CHOOSE( CONTROL!$C$15, $D$11, 100%, $F$11)</f>
        <v>9.5579999999999998</v>
      </c>
      <c r="E357" s="12">
        <f>CHOOSE( CONTROL!$C$32, 9.5559, 9.5527) * CHOOSE( CONTROL!$C$15, $D$11, 100%, $F$11)</f>
        <v>9.5558999999999994</v>
      </c>
      <c r="F357" s="4">
        <f>CHOOSE( CONTROL!$C$32, 10.2292, 10.226) * CHOOSE(CONTROL!$C$15, $D$11, 100%, $F$11)</f>
        <v>10.229200000000001</v>
      </c>
      <c r="G357" s="8">
        <f>CHOOSE( CONTROL!$C$32, 9.3565, 9.3534) * CHOOSE( CONTROL!$C$15, $D$11, 100%, $F$11)</f>
        <v>9.3565000000000005</v>
      </c>
      <c r="H357" s="4">
        <f>CHOOSE( CONTROL!$C$32, 10.2883, 10.2852) * CHOOSE(CONTROL!$C$15, $D$11, 100%, $F$11)</f>
        <v>10.2883</v>
      </c>
      <c r="I357" s="8">
        <f>CHOOSE( CONTROL!$C$32, 9.2933, 9.2902) * CHOOSE(CONTROL!$C$15, $D$11, 100%, $F$11)</f>
        <v>9.2933000000000003</v>
      </c>
      <c r="J357" s="4">
        <f>CHOOSE( CONTROL!$C$32, 9.1984, 9.1953) * CHOOSE(CONTROL!$C$15, $D$11, 100%, $F$11)</f>
        <v>9.1983999999999995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1.2183999999999999</v>
      </c>
      <c r="Q357" s="9">
        <v>20.5288</v>
      </c>
      <c r="R357" s="9"/>
      <c r="S357" s="11"/>
    </row>
    <row r="358" spans="1:19" ht="15.75">
      <c r="A358" s="13">
        <v>52412</v>
      </c>
      <c r="B358" s="8">
        <f>CHOOSE( CONTROL!$C$32, 9.3947, 9.3915) * CHOOSE(CONTROL!$C$15, $D$11, 100%, $F$11)</f>
        <v>9.3947000000000003</v>
      </c>
      <c r="C358" s="8">
        <f>CHOOSE( CONTROL!$C$32, 9.4027, 9.3995) * CHOOSE(CONTROL!$C$15, $D$11, 100%, $F$11)</f>
        <v>9.4026999999999994</v>
      </c>
      <c r="D358" s="8">
        <f>CHOOSE( CONTROL!$C$32, 9.4053, 9.4021) * CHOOSE( CONTROL!$C$15, $D$11, 100%, $F$11)</f>
        <v>9.4053000000000004</v>
      </c>
      <c r="E358" s="12">
        <f>CHOOSE( CONTROL!$C$32, 9.4031, 9.3999) * CHOOSE( CONTROL!$C$15, $D$11, 100%, $F$11)</f>
        <v>9.4031000000000002</v>
      </c>
      <c r="F358" s="4">
        <f>CHOOSE( CONTROL!$C$32, 10.0762, 10.073) * CHOOSE(CONTROL!$C$15, $D$11, 100%, $F$11)</f>
        <v>10.0762</v>
      </c>
      <c r="G358" s="8">
        <f>CHOOSE( CONTROL!$C$32, 9.2066, 9.2034) * CHOOSE( CONTROL!$C$15, $D$11, 100%, $F$11)</f>
        <v>9.2065999999999999</v>
      </c>
      <c r="H358" s="4">
        <f>CHOOSE( CONTROL!$C$32, 10.1379, 10.1348) * CHOOSE(CONTROL!$C$15, $D$11, 100%, $F$11)</f>
        <v>10.1379</v>
      </c>
      <c r="I358" s="8">
        <f>CHOOSE( CONTROL!$C$32, 9.1468, 9.1437) * CHOOSE(CONTROL!$C$15, $D$11, 100%, $F$11)</f>
        <v>9.1468000000000007</v>
      </c>
      <c r="J358" s="4">
        <f>CHOOSE( CONTROL!$C$32, 9.0506, 9.0475) * CHOOSE(CONTROL!$C$15, $D$11, 100%, $F$11)</f>
        <v>9.0505999999999993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1.1791</v>
      </c>
      <c r="Q358" s="9">
        <v>19.866599999999998</v>
      </c>
      <c r="R358" s="9"/>
      <c r="S358" s="11"/>
    </row>
    <row r="359" spans="1:19" ht="15.75">
      <c r="A359" s="13">
        <v>52443</v>
      </c>
      <c r="B359" s="8">
        <f>CHOOSE( CONTROL!$C$32, 9.7974, 9.7942) * CHOOSE(CONTROL!$C$15, $D$11, 100%, $F$11)</f>
        <v>9.7973999999999997</v>
      </c>
      <c r="C359" s="8">
        <f>CHOOSE( CONTROL!$C$32, 9.8054, 9.8022) * CHOOSE(CONTROL!$C$15, $D$11, 100%, $F$11)</f>
        <v>9.8054000000000006</v>
      </c>
      <c r="D359" s="8">
        <f>CHOOSE( CONTROL!$C$32, 9.8083, 9.8051) * CHOOSE( CONTROL!$C$15, $D$11, 100%, $F$11)</f>
        <v>9.8082999999999991</v>
      </c>
      <c r="E359" s="12">
        <f>CHOOSE( CONTROL!$C$32, 9.806, 9.8028) * CHOOSE( CONTROL!$C$15, $D$11, 100%, $F$11)</f>
        <v>9.8059999999999992</v>
      </c>
      <c r="F359" s="4">
        <f>CHOOSE( CONTROL!$C$32, 10.479, 10.4758) * CHOOSE(CONTROL!$C$15, $D$11, 100%, $F$11)</f>
        <v>10.478999999999999</v>
      </c>
      <c r="G359" s="8">
        <f>CHOOSE( CONTROL!$C$32, 9.6031, 9.5999) * CHOOSE( CONTROL!$C$15, $D$11, 100%, $F$11)</f>
        <v>9.6030999999999995</v>
      </c>
      <c r="H359" s="4">
        <f>CHOOSE( CONTROL!$C$32, 10.534, 10.5308) * CHOOSE(CONTROL!$C$15, $D$11, 100%, $F$11)</f>
        <v>10.534000000000001</v>
      </c>
      <c r="I359" s="8">
        <f>CHOOSE( CONTROL!$C$32, 9.5378, 9.5347) * CHOOSE(CONTROL!$C$15, $D$11, 100%, $F$11)</f>
        <v>9.5378000000000007</v>
      </c>
      <c r="J359" s="4">
        <f>CHOOSE( CONTROL!$C$32, 9.4399, 9.4368) * CHOOSE(CONTROL!$C$15, $D$11, 100%, $F$11)</f>
        <v>9.4398999999999997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20.5288</v>
      </c>
      <c r="R359" s="9"/>
      <c r="S359" s="11"/>
    </row>
    <row r="360" spans="1:19" ht="15.75">
      <c r="A360" s="13">
        <v>52474</v>
      </c>
      <c r="B360" s="8">
        <f>CHOOSE( CONTROL!$C$32, 9.0439, 9.0407) * CHOOSE(CONTROL!$C$15, $D$11, 100%, $F$11)</f>
        <v>9.0439000000000007</v>
      </c>
      <c r="C360" s="8">
        <f>CHOOSE( CONTROL!$C$32, 9.0519, 9.0487) * CHOOSE(CONTROL!$C$15, $D$11, 100%, $F$11)</f>
        <v>9.0518999999999998</v>
      </c>
      <c r="D360" s="8">
        <f>CHOOSE( CONTROL!$C$32, 9.055, 9.0518) * CHOOSE( CONTROL!$C$15, $D$11, 100%, $F$11)</f>
        <v>9.0549999999999997</v>
      </c>
      <c r="E360" s="12">
        <f>CHOOSE( CONTROL!$C$32, 9.0527, 9.0495) * CHOOSE( CONTROL!$C$15, $D$11, 100%, $F$11)</f>
        <v>9.0526999999999997</v>
      </c>
      <c r="F360" s="4">
        <f>CHOOSE( CONTROL!$C$32, 9.7254, 9.7222) * CHOOSE(CONTROL!$C$15, $D$11, 100%, $F$11)</f>
        <v>9.7254000000000005</v>
      </c>
      <c r="G360" s="8">
        <f>CHOOSE( CONTROL!$C$32, 8.8622, 8.8591) * CHOOSE( CONTROL!$C$15, $D$11, 100%, $F$11)</f>
        <v>8.8621999999999996</v>
      </c>
      <c r="H360" s="4">
        <f>CHOOSE( CONTROL!$C$32, 9.7929, 9.7898) * CHOOSE(CONTROL!$C$15, $D$11, 100%, $F$11)</f>
        <v>9.7928999999999995</v>
      </c>
      <c r="I360" s="8">
        <f>CHOOSE( CONTROL!$C$32, 8.8098, 8.8067) * CHOOSE(CONTROL!$C$15, $D$11, 100%, $F$11)</f>
        <v>8.8097999999999992</v>
      </c>
      <c r="J360" s="4">
        <f>CHOOSE( CONTROL!$C$32, 8.7115, 8.7084) * CHOOSE(CONTROL!$C$15, $D$11, 100%, $F$11)</f>
        <v>8.7114999999999991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1.2183999999999999</v>
      </c>
      <c r="Q360" s="9">
        <v>20.5288</v>
      </c>
      <c r="R360" s="9"/>
      <c r="S360" s="11"/>
    </row>
    <row r="361" spans="1:19" ht="15.75">
      <c r="A361" s="13">
        <v>52504</v>
      </c>
      <c r="B361" s="8">
        <f>CHOOSE( CONTROL!$C$32, 8.8552, 8.852) * CHOOSE(CONTROL!$C$15, $D$11, 100%, $F$11)</f>
        <v>8.8552</v>
      </c>
      <c r="C361" s="8">
        <f>CHOOSE( CONTROL!$C$32, 8.8632, 8.86) * CHOOSE(CONTROL!$C$15, $D$11, 100%, $F$11)</f>
        <v>8.8632000000000009</v>
      </c>
      <c r="D361" s="8">
        <f>CHOOSE( CONTROL!$C$32, 8.8663, 8.8631) * CHOOSE( CONTROL!$C$15, $D$11, 100%, $F$11)</f>
        <v>8.8663000000000007</v>
      </c>
      <c r="E361" s="12">
        <f>CHOOSE( CONTROL!$C$32, 8.864, 8.8608) * CHOOSE( CONTROL!$C$15, $D$11, 100%, $F$11)</f>
        <v>8.8640000000000008</v>
      </c>
      <c r="F361" s="4">
        <f>CHOOSE( CONTROL!$C$32, 9.5367, 9.5335) * CHOOSE(CONTROL!$C$15, $D$11, 100%, $F$11)</f>
        <v>9.5366999999999997</v>
      </c>
      <c r="G361" s="8">
        <f>CHOOSE( CONTROL!$C$32, 8.6767, 8.6736) * CHOOSE( CONTROL!$C$15, $D$11, 100%, $F$11)</f>
        <v>8.6767000000000003</v>
      </c>
      <c r="H361" s="4">
        <f>CHOOSE( CONTROL!$C$32, 9.6073, 9.6042) * CHOOSE(CONTROL!$C$15, $D$11, 100%, $F$11)</f>
        <v>9.6073000000000004</v>
      </c>
      <c r="I361" s="8">
        <f>CHOOSE( CONTROL!$C$32, 8.6274, 8.6243) * CHOOSE(CONTROL!$C$15, $D$11, 100%, $F$11)</f>
        <v>8.6273999999999997</v>
      </c>
      <c r="J361" s="4">
        <f>CHOOSE( CONTROL!$C$32, 8.5291, 8.526) * CHOOSE(CONTROL!$C$15, $D$11, 100%, $F$11)</f>
        <v>8.5290999999999997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1.1791</v>
      </c>
      <c r="Q361" s="9">
        <v>19.866599999999998</v>
      </c>
      <c r="R361" s="9"/>
      <c r="S361" s="11"/>
    </row>
    <row r="362" spans="1:19" ht="15.75">
      <c r="A362" s="13">
        <v>52535</v>
      </c>
      <c r="B362" s="8">
        <f>9.242 * CHOOSE(CONTROL!$C$15, $D$11, 100%, $F$11)</f>
        <v>9.2420000000000009</v>
      </c>
      <c r="C362" s="8">
        <f>9.2474 * CHOOSE(CONTROL!$C$15, $D$11, 100%, $F$11)</f>
        <v>9.2474000000000007</v>
      </c>
      <c r="D362" s="8">
        <f>9.2553 * CHOOSE( CONTROL!$C$15, $D$11, 100%, $F$11)</f>
        <v>9.2553000000000001</v>
      </c>
      <c r="E362" s="12">
        <f>9.2521 * CHOOSE( CONTROL!$C$15, $D$11, 100%, $F$11)</f>
        <v>9.2521000000000004</v>
      </c>
      <c r="F362" s="4">
        <f>9.9253 * CHOOSE(CONTROL!$C$15, $D$11, 100%, $F$11)</f>
        <v>9.9253</v>
      </c>
      <c r="G362" s="8">
        <f>9.0584 * CHOOSE( CONTROL!$C$15, $D$11, 100%, $F$11)</f>
        <v>9.0584000000000007</v>
      </c>
      <c r="H362" s="4">
        <f>9.9895 * CHOOSE(CONTROL!$C$15, $D$11, 100%, $F$11)</f>
        <v>9.9894999999999996</v>
      </c>
      <c r="I362" s="8">
        <f>9.0038 * CHOOSE(CONTROL!$C$15, $D$11, 100%, $F$11)</f>
        <v>9.0038</v>
      </c>
      <c r="J362" s="4">
        <f>8.9047 * CHOOSE(CONTROL!$C$15, $D$11, 100%, $F$11)</f>
        <v>8.9047000000000001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1.2183999999999999</v>
      </c>
      <c r="Q362" s="9">
        <v>20.5288</v>
      </c>
      <c r="R362" s="9"/>
      <c r="S362" s="11"/>
    </row>
    <row r="363" spans="1:19" ht="15.75">
      <c r="A363" s="13">
        <v>52565</v>
      </c>
      <c r="B363" s="8">
        <f>9.9648 * CHOOSE(CONTROL!$C$15, $D$11, 100%, $F$11)</f>
        <v>9.9648000000000003</v>
      </c>
      <c r="C363" s="8">
        <f>9.9699 * CHOOSE(CONTROL!$C$15, $D$11, 100%, $F$11)</f>
        <v>9.9699000000000009</v>
      </c>
      <c r="D363" s="8">
        <f>9.9475 * CHOOSE( CONTROL!$C$15, $D$11, 100%, $F$11)</f>
        <v>9.9474999999999998</v>
      </c>
      <c r="E363" s="12">
        <f>9.9551 * CHOOSE( CONTROL!$C$15, $D$11, 100%, $F$11)</f>
        <v>9.9550999999999998</v>
      </c>
      <c r="F363" s="4">
        <f>10.6097 * CHOOSE(CONTROL!$C$15, $D$11, 100%, $F$11)</f>
        <v>10.6097</v>
      </c>
      <c r="G363" s="8">
        <f>9.7822 * CHOOSE( CONTROL!$C$15, $D$11, 100%, $F$11)</f>
        <v>9.7821999999999996</v>
      </c>
      <c r="H363" s="4">
        <f>10.6625 * CHOOSE(CONTROL!$C$15, $D$11, 100%, $F$11)</f>
        <v>10.6625</v>
      </c>
      <c r="I363" s="8">
        <f>9.7289 * CHOOSE(CONTROL!$C$15, $D$11, 100%, $F$11)</f>
        <v>9.7288999999999994</v>
      </c>
      <c r="J363" s="4">
        <f>9.6038 * CHOOSE(CONTROL!$C$15, $D$11, 100%, $F$11)</f>
        <v>9.6037999999999997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19.866599999999998</v>
      </c>
      <c r="R363" s="9"/>
      <c r="S363" s="11"/>
    </row>
    <row r="364" spans="1:19" ht="15.75">
      <c r="A364" s="13">
        <v>52596</v>
      </c>
      <c r="B364" s="8">
        <f>9.9467 * CHOOSE(CONTROL!$C$15, $D$11, 100%, $F$11)</f>
        <v>9.9466999999999999</v>
      </c>
      <c r="C364" s="8">
        <f>9.9519 * CHOOSE(CONTROL!$C$15, $D$11, 100%, $F$11)</f>
        <v>9.9519000000000002</v>
      </c>
      <c r="D364" s="8">
        <f>9.9308 * CHOOSE( CONTROL!$C$15, $D$11, 100%, $F$11)</f>
        <v>9.9307999999999996</v>
      </c>
      <c r="E364" s="12">
        <f>9.938 * CHOOSE( CONTROL!$C$15, $D$11, 100%, $F$11)</f>
        <v>9.9380000000000006</v>
      </c>
      <c r="F364" s="4">
        <f>10.5916 * CHOOSE(CONTROL!$C$15, $D$11, 100%, $F$11)</f>
        <v>10.5916</v>
      </c>
      <c r="G364" s="8">
        <f>9.7655 * CHOOSE( CONTROL!$C$15, $D$11, 100%, $F$11)</f>
        <v>9.7654999999999994</v>
      </c>
      <c r="H364" s="4">
        <f>10.6448 * CHOOSE(CONTROL!$C$15, $D$11, 100%, $F$11)</f>
        <v>10.6448</v>
      </c>
      <c r="I364" s="8">
        <f>9.7161 * CHOOSE(CONTROL!$C$15, $D$11, 100%, $F$11)</f>
        <v>9.7161000000000008</v>
      </c>
      <c r="J364" s="4">
        <f>9.5863 * CHOOSE(CONTROL!$C$15, $D$11, 100%, $F$11)</f>
        <v>9.5862999999999996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20.5288</v>
      </c>
      <c r="R364" s="9"/>
      <c r="S364" s="11"/>
    </row>
    <row r="365" spans="1:19" ht="15.75">
      <c r="A365" s="13">
        <v>52627</v>
      </c>
      <c r="B365" s="8">
        <f>10.3258 * CHOOSE(CONTROL!$C$15, $D$11, 100%, $F$11)</f>
        <v>10.325799999999999</v>
      </c>
      <c r="C365" s="8">
        <f>10.3309 * CHOOSE(CONTROL!$C$15, $D$11, 100%, $F$11)</f>
        <v>10.3309</v>
      </c>
      <c r="D365" s="8">
        <f>10.3089 * CHOOSE( CONTROL!$C$15, $D$11, 100%, $F$11)</f>
        <v>10.3089</v>
      </c>
      <c r="E365" s="12">
        <f>10.3164 * CHOOSE( CONTROL!$C$15, $D$11, 100%, $F$11)</f>
        <v>10.3164</v>
      </c>
      <c r="F365" s="4">
        <f>10.9706 * CHOOSE(CONTROL!$C$15, $D$11, 100%, $F$11)</f>
        <v>10.970599999999999</v>
      </c>
      <c r="G365" s="8">
        <f>10.1356 * CHOOSE( CONTROL!$C$15, $D$11, 100%, $F$11)</f>
        <v>10.1356</v>
      </c>
      <c r="H365" s="4">
        <f>11.0175 * CHOOSE(CONTROL!$C$15, $D$11, 100%, $F$11)</f>
        <v>11.0175</v>
      </c>
      <c r="I365" s="8">
        <f>10.0544 * CHOOSE(CONTROL!$C$15, $D$11, 100%, $F$11)</f>
        <v>10.054399999999999</v>
      </c>
      <c r="J365" s="4">
        <f>9.9527 * CHOOSE(CONTROL!$C$15, $D$11, 100%, $F$11)</f>
        <v>9.9527000000000001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20.4619</v>
      </c>
      <c r="R365" s="9"/>
      <c r="S365" s="11"/>
    </row>
    <row r="366" spans="1:19" ht="15.75">
      <c r="A366" s="13">
        <v>52655</v>
      </c>
      <c r="B366" s="8">
        <f>9.6602 * CHOOSE(CONTROL!$C$15, $D$11, 100%, $F$11)</f>
        <v>9.6601999999999997</v>
      </c>
      <c r="C366" s="8">
        <f>9.6653 * CHOOSE(CONTROL!$C$15, $D$11, 100%, $F$11)</f>
        <v>9.6653000000000002</v>
      </c>
      <c r="D366" s="8">
        <f>9.6389 * CHOOSE( CONTROL!$C$15, $D$11, 100%, $F$11)</f>
        <v>9.6388999999999996</v>
      </c>
      <c r="E366" s="12">
        <f>9.648 * CHOOSE( CONTROL!$C$15, $D$11, 100%, $F$11)</f>
        <v>9.6479999999999997</v>
      </c>
      <c r="F366" s="4">
        <f>10.305 * CHOOSE(CONTROL!$C$15, $D$11, 100%, $F$11)</f>
        <v>10.305</v>
      </c>
      <c r="G366" s="8">
        <f>9.4726 * CHOOSE( CONTROL!$C$15, $D$11, 100%, $F$11)</f>
        <v>9.4725999999999999</v>
      </c>
      <c r="H366" s="4">
        <f>10.3629 * CHOOSE(CONTROL!$C$15, $D$11, 100%, $F$11)</f>
        <v>10.3629</v>
      </c>
      <c r="I366" s="8">
        <f>9.3817 * CHOOSE(CONTROL!$C$15, $D$11, 100%, $F$11)</f>
        <v>9.3817000000000004</v>
      </c>
      <c r="J366" s="4">
        <f>9.3093 * CHOOSE(CONTROL!$C$15, $D$11, 100%, $F$11)</f>
        <v>9.3093000000000004</v>
      </c>
      <c r="K366" s="4"/>
      <c r="L366" s="9">
        <v>27.415299999999998</v>
      </c>
      <c r="M366" s="9">
        <v>11.285299999999999</v>
      </c>
      <c r="N366" s="9">
        <v>4.6254999999999997</v>
      </c>
      <c r="O366" s="9">
        <v>0.34989999999999999</v>
      </c>
      <c r="P366" s="9">
        <v>1.2093</v>
      </c>
      <c r="Q366" s="9">
        <v>19.1417</v>
      </c>
      <c r="R366" s="9"/>
      <c r="S366" s="11"/>
    </row>
    <row r="367" spans="1:19" ht="15.75">
      <c r="A367" s="13">
        <v>52687</v>
      </c>
      <c r="B367" s="8">
        <f>9.4552 * CHOOSE(CONTROL!$C$15, $D$11, 100%, $F$11)</f>
        <v>9.4551999999999996</v>
      </c>
      <c r="C367" s="8">
        <f>9.4603 * CHOOSE(CONTROL!$C$15, $D$11, 100%, $F$11)</f>
        <v>9.4603000000000002</v>
      </c>
      <c r="D367" s="8">
        <f>9.4343 * CHOOSE( CONTROL!$C$15, $D$11, 100%, $F$11)</f>
        <v>9.4343000000000004</v>
      </c>
      <c r="E367" s="12">
        <f>9.4433 * CHOOSE( CONTROL!$C$15, $D$11, 100%, $F$11)</f>
        <v>9.4433000000000007</v>
      </c>
      <c r="F367" s="4">
        <f>10.1 * CHOOSE(CONTROL!$C$15, $D$11, 100%, $F$11)</f>
        <v>10.1</v>
      </c>
      <c r="G367" s="8">
        <f>9.2713 * CHOOSE( CONTROL!$C$15, $D$11, 100%, $F$11)</f>
        <v>9.2713000000000001</v>
      </c>
      <c r="H367" s="4">
        <f>10.1613 * CHOOSE(CONTROL!$C$15, $D$11, 100%, $F$11)</f>
        <v>10.161300000000001</v>
      </c>
      <c r="I367" s="8">
        <f>9.1846 * CHOOSE(CONTROL!$C$15, $D$11, 100%, $F$11)</f>
        <v>9.1845999999999997</v>
      </c>
      <c r="J367" s="4">
        <f>9.1111 * CHOOSE(CONTROL!$C$15, $D$11, 100%, $F$11)</f>
        <v>9.1111000000000004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20.4619</v>
      </c>
      <c r="R367" s="9"/>
      <c r="S367" s="11"/>
    </row>
    <row r="368" spans="1:19" ht="15.75">
      <c r="A368" s="13">
        <v>52717</v>
      </c>
      <c r="B368" s="8">
        <f>9.5992 * CHOOSE(CONTROL!$C$15, $D$11, 100%, $F$11)</f>
        <v>9.5991999999999997</v>
      </c>
      <c r="C368" s="8">
        <f>9.6037 * CHOOSE(CONTROL!$C$15, $D$11, 100%, $F$11)</f>
        <v>9.6036999999999999</v>
      </c>
      <c r="D368" s="8">
        <f>9.6109 * CHOOSE( CONTROL!$C$15, $D$11, 100%, $F$11)</f>
        <v>9.6109000000000009</v>
      </c>
      <c r="E368" s="12">
        <f>9.608 * CHOOSE( CONTROL!$C$15, $D$11, 100%, $F$11)</f>
        <v>9.6080000000000005</v>
      </c>
      <c r="F368" s="4">
        <f>10.2821 * CHOOSE(CONTROL!$C$15, $D$11, 100%, $F$11)</f>
        <v>10.2821</v>
      </c>
      <c r="G368" s="8">
        <f>9.4074 * CHOOSE( CONTROL!$C$15, $D$11, 100%, $F$11)</f>
        <v>9.4074000000000009</v>
      </c>
      <c r="H368" s="4">
        <f>10.3404 * CHOOSE(CONTROL!$C$15, $D$11, 100%, $F$11)</f>
        <v>10.340400000000001</v>
      </c>
      <c r="I368" s="8">
        <f>9.343 * CHOOSE(CONTROL!$C$15, $D$11, 100%, $F$11)</f>
        <v>9.343</v>
      </c>
      <c r="J368" s="4">
        <f>9.2496 * CHOOSE(CONTROL!$C$15, $D$11, 100%, $F$11)</f>
        <v>9.2495999999999992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1.1791</v>
      </c>
      <c r="Q368" s="9">
        <v>19.8018</v>
      </c>
      <c r="R368" s="9"/>
      <c r="S368" s="11"/>
    </row>
    <row r="369" spans="1:19" ht="15.75">
      <c r="A369" s="13">
        <v>52748</v>
      </c>
      <c r="B369" s="8">
        <f>CHOOSE( CONTROL!$C$32, 9.8587, 9.8555) * CHOOSE(CONTROL!$C$15, $D$11, 100%, $F$11)</f>
        <v>9.8587000000000007</v>
      </c>
      <c r="C369" s="8">
        <f>CHOOSE( CONTROL!$C$32, 9.8667, 9.8635) * CHOOSE(CONTROL!$C$15, $D$11, 100%, $F$11)</f>
        <v>9.8666999999999998</v>
      </c>
      <c r="D369" s="8">
        <f>CHOOSE( CONTROL!$C$32, 9.869, 9.8658) * CHOOSE( CONTROL!$C$15, $D$11, 100%, $F$11)</f>
        <v>9.8689999999999998</v>
      </c>
      <c r="E369" s="12">
        <f>CHOOSE( CONTROL!$C$32, 9.8669, 9.8637) * CHOOSE( CONTROL!$C$15, $D$11, 100%, $F$11)</f>
        <v>9.8668999999999993</v>
      </c>
      <c r="F369" s="4">
        <f>CHOOSE( CONTROL!$C$32, 10.5402, 10.537) * CHOOSE(CONTROL!$C$15, $D$11, 100%, $F$11)</f>
        <v>10.5402</v>
      </c>
      <c r="G369" s="8">
        <f>CHOOSE( CONTROL!$C$32, 9.6624, 9.6593) * CHOOSE( CONTROL!$C$15, $D$11, 100%, $F$11)</f>
        <v>9.6623999999999999</v>
      </c>
      <c r="H369" s="4">
        <f>CHOOSE( CONTROL!$C$32, 10.5942, 10.5911) * CHOOSE(CONTROL!$C$15, $D$11, 100%, $F$11)</f>
        <v>10.594200000000001</v>
      </c>
      <c r="I369" s="8">
        <f>CHOOSE( CONTROL!$C$32, 9.5942, 9.5911) * CHOOSE(CONTROL!$C$15, $D$11, 100%, $F$11)</f>
        <v>9.5942000000000007</v>
      </c>
      <c r="J369" s="4">
        <f>CHOOSE( CONTROL!$C$32, 9.4992, 9.4961) * CHOOSE(CONTROL!$C$15, $D$11, 100%, $F$11)</f>
        <v>9.4992000000000001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1.2183999999999999</v>
      </c>
      <c r="Q369" s="9">
        <v>20.4619</v>
      </c>
      <c r="R369" s="9"/>
      <c r="S369" s="11"/>
    </row>
    <row r="370" spans="1:19" ht="15.75">
      <c r="A370" s="13">
        <v>52778</v>
      </c>
      <c r="B370" s="8">
        <f>CHOOSE( CONTROL!$C$32, 9.7008, 9.6976) * CHOOSE(CONTROL!$C$15, $D$11, 100%, $F$11)</f>
        <v>9.7007999999999992</v>
      </c>
      <c r="C370" s="8">
        <f>CHOOSE( CONTROL!$C$32, 9.7088, 9.7056) * CHOOSE(CONTROL!$C$15, $D$11, 100%, $F$11)</f>
        <v>9.7088000000000001</v>
      </c>
      <c r="D370" s="8">
        <f>CHOOSE( CONTROL!$C$32, 9.7114, 9.7082) * CHOOSE( CONTROL!$C$15, $D$11, 100%, $F$11)</f>
        <v>9.7113999999999994</v>
      </c>
      <c r="E370" s="12">
        <f>CHOOSE( CONTROL!$C$32, 9.7092, 9.706) * CHOOSE( CONTROL!$C$15, $D$11, 100%, $F$11)</f>
        <v>9.7091999999999992</v>
      </c>
      <c r="F370" s="4">
        <f>CHOOSE( CONTROL!$C$32, 10.3823, 10.3791) * CHOOSE(CONTROL!$C$15, $D$11, 100%, $F$11)</f>
        <v>10.382300000000001</v>
      </c>
      <c r="G370" s="8">
        <f>CHOOSE( CONTROL!$C$32, 9.5076, 9.5044) * CHOOSE( CONTROL!$C$15, $D$11, 100%, $F$11)</f>
        <v>9.5076000000000001</v>
      </c>
      <c r="H370" s="4">
        <f>CHOOSE( CONTROL!$C$32, 10.4389, 10.4358) * CHOOSE(CONTROL!$C$15, $D$11, 100%, $F$11)</f>
        <v>10.4389</v>
      </c>
      <c r="I370" s="8">
        <f>CHOOSE( CONTROL!$C$32, 9.4429, 9.4398) * CHOOSE(CONTROL!$C$15, $D$11, 100%, $F$11)</f>
        <v>9.4428999999999998</v>
      </c>
      <c r="J370" s="4">
        <f>CHOOSE( CONTROL!$C$32, 9.3465, 9.3434) * CHOOSE(CONTROL!$C$15, $D$11, 100%, $F$11)</f>
        <v>9.3465000000000007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1.1791</v>
      </c>
      <c r="Q370" s="9">
        <v>19.8018</v>
      </c>
      <c r="R370" s="9"/>
      <c r="S370" s="11"/>
    </row>
    <row r="371" spans="1:19" ht="15.75">
      <c r="A371" s="13">
        <v>52809</v>
      </c>
      <c r="B371" s="8">
        <f>CHOOSE( CONTROL!$C$32, 10.1167, 10.1135) * CHOOSE(CONTROL!$C$15, $D$11, 100%, $F$11)</f>
        <v>10.1167</v>
      </c>
      <c r="C371" s="8">
        <f>CHOOSE( CONTROL!$C$32, 10.1247, 10.1215) * CHOOSE(CONTROL!$C$15, $D$11, 100%, $F$11)</f>
        <v>10.124700000000001</v>
      </c>
      <c r="D371" s="8">
        <f>CHOOSE( CONTROL!$C$32, 10.1276, 10.1244) * CHOOSE( CONTROL!$C$15, $D$11, 100%, $F$11)</f>
        <v>10.127599999999999</v>
      </c>
      <c r="E371" s="12">
        <f>CHOOSE( CONTROL!$C$32, 10.1253, 10.1221) * CHOOSE( CONTROL!$C$15, $D$11, 100%, $F$11)</f>
        <v>10.125299999999999</v>
      </c>
      <c r="F371" s="4">
        <f>CHOOSE( CONTROL!$C$32, 10.7982, 10.795) * CHOOSE(CONTROL!$C$15, $D$11, 100%, $F$11)</f>
        <v>10.7982</v>
      </c>
      <c r="G371" s="8">
        <f>CHOOSE( CONTROL!$C$32, 9.917, 9.9139) * CHOOSE( CONTROL!$C$15, $D$11, 100%, $F$11)</f>
        <v>9.9169999999999998</v>
      </c>
      <c r="H371" s="4">
        <f>CHOOSE( CONTROL!$C$32, 10.8479, 10.8448) * CHOOSE(CONTROL!$C$15, $D$11, 100%, $F$11)</f>
        <v>10.847899999999999</v>
      </c>
      <c r="I371" s="8">
        <f>CHOOSE( CONTROL!$C$32, 9.8466, 9.8435) * CHOOSE(CONTROL!$C$15, $D$11, 100%, $F$11)</f>
        <v>9.8466000000000005</v>
      </c>
      <c r="J371" s="4">
        <f>CHOOSE( CONTROL!$C$32, 9.7485, 9.7454) * CHOOSE(CONTROL!$C$15, $D$11, 100%, $F$11)</f>
        <v>9.7484999999999999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20.4619</v>
      </c>
      <c r="R371" s="9"/>
      <c r="S371" s="11"/>
    </row>
    <row r="372" spans="1:19" ht="15.75">
      <c r="A372" s="13">
        <v>52840</v>
      </c>
      <c r="B372" s="8">
        <f>CHOOSE( CONTROL!$C$32, 9.3385, 9.3353) * CHOOSE(CONTROL!$C$15, $D$11, 100%, $F$11)</f>
        <v>9.3384999999999998</v>
      </c>
      <c r="C372" s="8">
        <f>CHOOSE( CONTROL!$C$32, 9.3465, 9.3433) * CHOOSE(CONTROL!$C$15, $D$11, 100%, $F$11)</f>
        <v>9.3465000000000007</v>
      </c>
      <c r="D372" s="8">
        <f>CHOOSE( CONTROL!$C$32, 9.3496, 9.3464) * CHOOSE( CONTROL!$C$15, $D$11, 100%, $F$11)</f>
        <v>9.3496000000000006</v>
      </c>
      <c r="E372" s="12">
        <f>CHOOSE( CONTROL!$C$32, 9.3473, 9.3441) * CHOOSE( CONTROL!$C$15, $D$11, 100%, $F$11)</f>
        <v>9.3473000000000006</v>
      </c>
      <c r="F372" s="4">
        <f>CHOOSE( CONTROL!$C$32, 10.02, 10.0168) * CHOOSE(CONTROL!$C$15, $D$11, 100%, $F$11)</f>
        <v>10.02</v>
      </c>
      <c r="G372" s="8">
        <f>CHOOSE( CONTROL!$C$32, 9.152, 9.1488) * CHOOSE( CONTROL!$C$15, $D$11, 100%, $F$11)</f>
        <v>9.1519999999999992</v>
      </c>
      <c r="H372" s="4">
        <f>CHOOSE( CONTROL!$C$32, 10.0826, 10.0795) * CHOOSE(CONTROL!$C$15, $D$11, 100%, $F$11)</f>
        <v>10.082599999999999</v>
      </c>
      <c r="I372" s="8">
        <f>CHOOSE( CONTROL!$C$32, 9.0947, 9.0916) * CHOOSE(CONTROL!$C$15, $D$11, 100%, $F$11)</f>
        <v>9.0946999999999996</v>
      </c>
      <c r="J372" s="4">
        <f>CHOOSE( CONTROL!$C$32, 8.9963, 8.9932) * CHOOSE(CONTROL!$C$15, $D$11, 100%, $F$11)</f>
        <v>8.9962999999999997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1.2183999999999999</v>
      </c>
      <c r="Q372" s="9">
        <v>20.4619</v>
      </c>
      <c r="R372" s="9"/>
      <c r="S372" s="11"/>
    </row>
    <row r="373" spans="1:19" ht="15.75">
      <c r="A373" s="13">
        <v>52870</v>
      </c>
      <c r="B373" s="8">
        <f>CHOOSE( CONTROL!$C$32, 9.1436, 9.1404) * CHOOSE(CONTROL!$C$15, $D$11, 100%, $F$11)</f>
        <v>9.1435999999999993</v>
      </c>
      <c r="C373" s="8">
        <f>CHOOSE( CONTROL!$C$32, 9.1516, 9.1484) * CHOOSE(CONTROL!$C$15, $D$11, 100%, $F$11)</f>
        <v>9.1516000000000002</v>
      </c>
      <c r="D373" s="8">
        <f>CHOOSE( CONTROL!$C$32, 9.1547, 9.1515) * CHOOSE( CONTROL!$C$15, $D$11, 100%, $F$11)</f>
        <v>9.1547000000000001</v>
      </c>
      <c r="E373" s="12">
        <f>CHOOSE( CONTROL!$C$32, 9.1524, 9.1492) * CHOOSE( CONTROL!$C$15, $D$11, 100%, $F$11)</f>
        <v>9.1524000000000001</v>
      </c>
      <c r="F373" s="4">
        <f>CHOOSE( CONTROL!$C$32, 9.8251, 9.8219) * CHOOSE(CONTROL!$C$15, $D$11, 100%, $F$11)</f>
        <v>9.8251000000000008</v>
      </c>
      <c r="G373" s="8">
        <f>CHOOSE( CONTROL!$C$32, 8.9604, 8.9572) * CHOOSE( CONTROL!$C$15, $D$11, 100%, $F$11)</f>
        <v>8.9603999999999999</v>
      </c>
      <c r="H373" s="4">
        <f>CHOOSE( CONTROL!$C$32, 9.891, 9.8878) * CHOOSE(CONTROL!$C$15, $D$11, 100%, $F$11)</f>
        <v>9.891</v>
      </c>
      <c r="I373" s="8">
        <f>CHOOSE( CONTROL!$C$32, 8.9064, 8.9033) * CHOOSE(CONTROL!$C$15, $D$11, 100%, $F$11)</f>
        <v>8.9063999999999997</v>
      </c>
      <c r="J373" s="4">
        <f>CHOOSE( CONTROL!$C$32, 8.8079, 8.8048) * CHOOSE(CONTROL!$C$15, $D$11, 100%, $F$11)</f>
        <v>8.8079000000000001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1.1791</v>
      </c>
      <c r="Q373" s="9">
        <v>19.8018</v>
      </c>
      <c r="R373" s="9"/>
      <c r="S373" s="11"/>
    </row>
    <row r="374" spans="1:19" ht="15.75">
      <c r="A374" s="13">
        <v>52901</v>
      </c>
      <c r="B374" s="8">
        <f>9.5433 * CHOOSE(CONTROL!$C$15, $D$11, 100%, $F$11)</f>
        <v>9.5433000000000003</v>
      </c>
      <c r="C374" s="8">
        <f>9.5487 * CHOOSE(CONTROL!$C$15, $D$11, 100%, $F$11)</f>
        <v>9.5487000000000002</v>
      </c>
      <c r="D374" s="8">
        <f>9.5565 * CHOOSE( CONTROL!$C$15, $D$11, 100%, $F$11)</f>
        <v>9.5564999999999998</v>
      </c>
      <c r="E374" s="12">
        <f>9.5534 * CHOOSE( CONTROL!$C$15, $D$11, 100%, $F$11)</f>
        <v>9.5533999999999999</v>
      </c>
      <c r="F374" s="4">
        <f>10.2266 * CHOOSE(CONTROL!$C$15, $D$11, 100%, $F$11)</f>
        <v>10.226599999999999</v>
      </c>
      <c r="G374" s="8">
        <f>9.3547 * CHOOSE( CONTROL!$C$15, $D$11, 100%, $F$11)</f>
        <v>9.3546999999999993</v>
      </c>
      <c r="H374" s="4">
        <f>10.2857 * CHOOSE(CONTROL!$C$15, $D$11, 100%, $F$11)</f>
        <v>10.2857</v>
      </c>
      <c r="I374" s="8">
        <f>9.2952 * CHOOSE(CONTROL!$C$15, $D$11, 100%, $F$11)</f>
        <v>9.2951999999999995</v>
      </c>
      <c r="J374" s="4">
        <f>9.1959 * CHOOSE(CONTROL!$C$15, $D$11, 100%, $F$11)</f>
        <v>9.1959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1.2183999999999999</v>
      </c>
      <c r="Q374" s="9">
        <v>20.4619</v>
      </c>
      <c r="R374" s="9"/>
      <c r="S374" s="11"/>
    </row>
    <row r="375" spans="1:19" ht="15.75">
      <c r="A375" s="13">
        <v>52931</v>
      </c>
      <c r="B375" s="8">
        <f>10.2897 * CHOOSE(CONTROL!$C$15, $D$11, 100%, $F$11)</f>
        <v>10.2897</v>
      </c>
      <c r="C375" s="8">
        <f>10.2948 * CHOOSE(CONTROL!$C$15, $D$11, 100%, $F$11)</f>
        <v>10.2948</v>
      </c>
      <c r="D375" s="8">
        <f>10.2724 * CHOOSE( CONTROL!$C$15, $D$11, 100%, $F$11)</f>
        <v>10.272399999999999</v>
      </c>
      <c r="E375" s="12">
        <f>10.28 * CHOOSE( CONTROL!$C$15, $D$11, 100%, $F$11)</f>
        <v>10.28</v>
      </c>
      <c r="F375" s="4">
        <f>10.9346 * CHOOSE(CONTROL!$C$15, $D$11, 100%, $F$11)</f>
        <v>10.9346</v>
      </c>
      <c r="G375" s="8">
        <f>10.1017 * CHOOSE( CONTROL!$C$15, $D$11, 100%, $F$11)</f>
        <v>10.101699999999999</v>
      </c>
      <c r="H375" s="4">
        <f>10.982 * CHOOSE(CONTROL!$C$15, $D$11, 100%, $F$11)</f>
        <v>10.981999999999999</v>
      </c>
      <c r="I375" s="8">
        <f>10.0432 * CHOOSE(CONTROL!$C$15, $D$11, 100%, $F$11)</f>
        <v>10.043200000000001</v>
      </c>
      <c r="J375" s="4">
        <f>9.9179 * CHOOSE(CONTROL!$C$15, $D$11, 100%, $F$11)</f>
        <v>9.9178999999999995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19.8018</v>
      </c>
      <c r="R375" s="9"/>
      <c r="S375" s="11"/>
    </row>
    <row r="376" spans="1:19" ht="15.75">
      <c r="A376" s="13">
        <v>52962</v>
      </c>
      <c r="B376" s="8">
        <f>10.2711 * CHOOSE(CONTROL!$C$15, $D$11, 100%, $F$11)</f>
        <v>10.271100000000001</v>
      </c>
      <c r="C376" s="8">
        <f>10.2762 * CHOOSE(CONTROL!$C$15, $D$11, 100%, $F$11)</f>
        <v>10.276199999999999</v>
      </c>
      <c r="D376" s="8">
        <f>10.2551 * CHOOSE( CONTROL!$C$15, $D$11, 100%, $F$11)</f>
        <v>10.255100000000001</v>
      </c>
      <c r="E376" s="12">
        <f>10.2623 * CHOOSE( CONTROL!$C$15, $D$11, 100%, $F$11)</f>
        <v>10.2623</v>
      </c>
      <c r="F376" s="4">
        <f>10.9159 * CHOOSE(CONTROL!$C$15, $D$11, 100%, $F$11)</f>
        <v>10.915900000000001</v>
      </c>
      <c r="G376" s="8">
        <f>10.0844 * CHOOSE( CONTROL!$C$15, $D$11, 100%, $F$11)</f>
        <v>10.0844</v>
      </c>
      <c r="H376" s="4">
        <f>10.9637 * CHOOSE(CONTROL!$C$15, $D$11, 100%, $F$11)</f>
        <v>10.963699999999999</v>
      </c>
      <c r="I376" s="8">
        <f>10.0297 * CHOOSE(CONTROL!$C$15, $D$11, 100%, $F$11)</f>
        <v>10.0297</v>
      </c>
      <c r="J376" s="4">
        <f>9.8999 * CHOOSE(CONTROL!$C$15, $D$11, 100%, $F$11)</f>
        <v>9.8999000000000006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20.4619</v>
      </c>
      <c r="R376" s="9"/>
      <c r="S376" s="11"/>
    </row>
    <row r="377" spans="1:19" ht="15.75">
      <c r="A377" s="13">
        <v>52993</v>
      </c>
      <c r="B377" s="8">
        <f>10.6625 * CHOOSE(CONTROL!$C$15, $D$11, 100%, $F$11)</f>
        <v>10.6625</v>
      </c>
      <c r="C377" s="8">
        <f>10.6676 * CHOOSE(CONTROL!$C$15, $D$11, 100%, $F$11)</f>
        <v>10.6676</v>
      </c>
      <c r="D377" s="8">
        <f>10.6456 * CHOOSE( CONTROL!$C$15, $D$11, 100%, $F$11)</f>
        <v>10.6456</v>
      </c>
      <c r="E377" s="12">
        <f>10.6531 * CHOOSE( CONTROL!$C$15, $D$11, 100%, $F$11)</f>
        <v>10.6531</v>
      </c>
      <c r="F377" s="4">
        <f>11.3073 * CHOOSE(CONTROL!$C$15, $D$11, 100%, $F$11)</f>
        <v>11.3073</v>
      </c>
      <c r="G377" s="8">
        <f>10.4667 * CHOOSE( CONTROL!$C$15, $D$11, 100%, $F$11)</f>
        <v>10.466699999999999</v>
      </c>
      <c r="H377" s="4">
        <f>11.3486 * CHOOSE(CONTROL!$C$15, $D$11, 100%, $F$11)</f>
        <v>11.348599999999999</v>
      </c>
      <c r="I377" s="8">
        <f>10.3801 * CHOOSE(CONTROL!$C$15, $D$11, 100%, $F$11)</f>
        <v>10.380100000000001</v>
      </c>
      <c r="J377" s="4">
        <f>10.2782 * CHOOSE(CONTROL!$C$15, $D$11, 100%, $F$11)</f>
        <v>10.2782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20.396799999999999</v>
      </c>
      <c r="R377" s="9"/>
      <c r="S377" s="11"/>
    </row>
    <row r="378" spans="1:19" ht="15.75">
      <c r="A378" s="13">
        <v>53021</v>
      </c>
      <c r="B378" s="8">
        <f>9.9751 * CHOOSE(CONTROL!$C$15, $D$11, 100%, $F$11)</f>
        <v>9.9750999999999994</v>
      </c>
      <c r="C378" s="8">
        <f>9.9802 * CHOOSE(CONTROL!$C$15, $D$11, 100%, $F$11)</f>
        <v>9.9802</v>
      </c>
      <c r="D378" s="8">
        <f>9.9538 * CHOOSE( CONTROL!$C$15, $D$11, 100%, $F$11)</f>
        <v>9.9537999999999993</v>
      </c>
      <c r="E378" s="12">
        <f>9.9629 * CHOOSE( CONTROL!$C$15, $D$11, 100%, $F$11)</f>
        <v>9.9628999999999994</v>
      </c>
      <c r="F378" s="4">
        <f>10.62 * CHOOSE(CONTROL!$C$15, $D$11, 100%, $F$11)</f>
        <v>10.62</v>
      </c>
      <c r="G378" s="8">
        <f>9.7823 * CHOOSE( CONTROL!$C$15, $D$11, 100%, $F$11)</f>
        <v>9.7822999999999993</v>
      </c>
      <c r="H378" s="4">
        <f>10.6726 * CHOOSE(CONTROL!$C$15, $D$11, 100%, $F$11)</f>
        <v>10.672599999999999</v>
      </c>
      <c r="I378" s="8">
        <f>9.6863 * CHOOSE(CONTROL!$C$15, $D$11, 100%, $F$11)</f>
        <v>9.6862999999999992</v>
      </c>
      <c r="J378" s="4">
        <f>9.6138 * CHOOSE(CONTROL!$C$15, $D$11, 100%, $F$11)</f>
        <v>9.6137999999999995</v>
      </c>
      <c r="K378" s="4"/>
      <c r="L378" s="9">
        <v>26.469899999999999</v>
      </c>
      <c r="M378" s="9">
        <v>10.8962</v>
      </c>
      <c r="N378" s="9">
        <v>4.4660000000000002</v>
      </c>
      <c r="O378" s="9">
        <v>0.33789999999999998</v>
      </c>
      <c r="P378" s="9">
        <v>1.1676</v>
      </c>
      <c r="Q378" s="9">
        <v>18.422899999999998</v>
      </c>
      <c r="R378" s="9"/>
      <c r="S378" s="11"/>
    </row>
    <row r="379" spans="1:19" ht="15.75">
      <c r="A379" s="13">
        <v>53052</v>
      </c>
      <c r="B379" s="8">
        <f>9.7634 * CHOOSE(CONTROL!$C$15, $D$11, 100%, $F$11)</f>
        <v>9.7634000000000007</v>
      </c>
      <c r="C379" s="8">
        <f>9.7685 * CHOOSE(CONTROL!$C$15, $D$11, 100%, $F$11)</f>
        <v>9.7684999999999995</v>
      </c>
      <c r="D379" s="8">
        <f>9.7425 * CHOOSE( CONTROL!$C$15, $D$11, 100%, $F$11)</f>
        <v>9.7424999999999997</v>
      </c>
      <c r="E379" s="12">
        <f>9.7515 * CHOOSE( CONTROL!$C$15, $D$11, 100%, $F$11)</f>
        <v>9.7515000000000001</v>
      </c>
      <c r="F379" s="4">
        <f>10.4083 * CHOOSE(CONTROL!$C$15, $D$11, 100%, $F$11)</f>
        <v>10.408300000000001</v>
      </c>
      <c r="G379" s="8">
        <f>9.5744 * CHOOSE( CONTROL!$C$15, $D$11, 100%, $F$11)</f>
        <v>9.5744000000000007</v>
      </c>
      <c r="H379" s="4">
        <f>10.4645 * CHOOSE(CONTROL!$C$15, $D$11, 100%, $F$11)</f>
        <v>10.464499999999999</v>
      </c>
      <c r="I379" s="8">
        <f>9.4827 * CHOOSE(CONTROL!$C$15, $D$11, 100%, $F$11)</f>
        <v>9.4826999999999995</v>
      </c>
      <c r="J379" s="4">
        <f>9.4091 * CHOOSE(CONTROL!$C$15, $D$11, 100%, $F$11)</f>
        <v>9.4091000000000005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20.396799999999999</v>
      </c>
      <c r="R379" s="9"/>
      <c r="S379" s="11"/>
    </row>
    <row r="380" spans="1:19" ht="15.75">
      <c r="A380" s="13">
        <v>53082</v>
      </c>
      <c r="B380" s="8">
        <f>9.9121 * CHOOSE(CONTROL!$C$15, $D$11, 100%, $F$11)</f>
        <v>9.9121000000000006</v>
      </c>
      <c r="C380" s="8">
        <f>9.9166 * CHOOSE(CONTROL!$C$15, $D$11, 100%, $F$11)</f>
        <v>9.9166000000000007</v>
      </c>
      <c r="D380" s="8">
        <f>9.9238 * CHOOSE( CONTROL!$C$15, $D$11, 100%, $F$11)</f>
        <v>9.9238</v>
      </c>
      <c r="E380" s="12">
        <f>9.9209 * CHOOSE( CONTROL!$C$15, $D$11, 100%, $F$11)</f>
        <v>9.9208999999999996</v>
      </c>
      <c r="F380" s="4">
        <f>10.595 * CHOOSE(CONTROL!$C$15, $D$11, 100%, $F$11)</f>
        <v>10.595000000000001</v>
      </c>
      <c r="G380" s="8">
        <f>9.7151 * CHOOSE( CONTROL!$C$15, $D$11, 100%, $F$11)</f>
        <v>9.7150999999999996</v>
      </c>
      <c r="H380" s="4">
        <f>10.6481 * CHOOSE(CONTROL!$C$15, $D$11, 100%, $F$11)</f>
        <v>10.648099999999999</v>
      </c>
      <c r="I380" s="8">
        <f>9.6456 * CHOOSE(CONTROL!$C$15, $D$11, 100%, $F$11)</f>
        <v>9.6456</v>
      </c>
      <c r="J380" s="4">
        <f>9.5521 * CHOOSE(CONTROL!$C$15, $D$11, 100%, $F$11)</f>
        <v>9.5520999999999994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1.1791</v>
      </c>
      <c r="Q380" s="9">
        <v>19.738800000000001</v>
      </c>
      <c r="R380" s="9"/>
      <c r="S380" s="11"/>
    </row>
    <row r="381" spans="1:19" ht="15.75">
      <c r="A381" s="13">
        <v>53113</v>
      </c>
      <c r="B381" s="8">
        <f>CHOOSE( CONTROL!$C$32, 10.1799, 10.1767) * CHOOSE(CONTROL!$C$15, $D$11, 100%, $F$11)</f>
        <v>10.1799</v>
      </c>
      <c r="C381" s="8">
        <f>CHOOSE( CONTROL!$C$32, 10.188, 10.1848) * CHOOSE(CONTROL!$C$15, $D$11, 100%, $F$11)</f>
        <v>10.188000000000001</v>
      </c>
      <c r="D381" s="8">
        <f>CHOOSE( CONTROL!$C$32, 10.1903, 10.1871) * CHOOSE( CONTROL!$C$15, $D$11, 100%, $F$11)</f>
        <v>10.190300000000001</v>
      </c>
      <c r="E381" s="12">
        <f>CHOOSE( CONTROL!$C$32, 10.1882, 10.185) * CHOOSE( CONTROL!$C$15, $D$11, 100%, $F$11)</f>
        <v>10.1882</v>
      </c>
      <c r="F381" s="4">
        <f>CHOOSE( CONTROL!$C$32, 10.8615, 10.8583) * CHOOSE(CONTROL!$C$15, $D$11, 100%, $F$11)</f>
        <v>10.861499999999999</v>
      </c>
      <c r="G381" s="8">
        <f>CHOOSE( CONTROL!$C$32, 9.9784, 9.9752) * CHOOSE( CONTROL!$C$15, $D$11, 100%, $F$11)</f>
        <v>9.9784000000000006</v>
      </c>
      <c r="H381" s="4">
        <f>CHOOSE( CONTROL!$C$32, 10.9102, 10.907) * CHOOSE(CONTROL!$C$15, $D$11, 100%, $F$11)</f>
        <v>10.9102</v>
      </c>
      <c r="I381" s="8">
        <f>CHOOSE( CONTROL!$C$32, 9.9049, 9.9018) * CHOOSE(CONTROL!$C$15, $D$11, 100%, $F$11)</f>
        <v>9.9048999999999996</v>
      </c>
      <c r="J381" s="4">
        <f>CHOOSE( CONTROL!$C$32, 9.8097, 9.8066) * CHOOSE(CONTROL!$C$15, $D$11, 100%, $F$11)</f>
        <v>9.8096999999999994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1.2183999999999999</v>
      </c>
      <c r="Q381" s="9">
        <v>20.396799999999999</v>
      </c>
      <c r="R381" s="9"/>
      <c r="S381" s="11"/>
    </row>
    <row r="382" spans="1:19" ht="15.75">
      <c r="A382" s="13">
        <v>53143</v>
      </c>
      <c r="B382" s="8">
        <f>CHOOSE( CONTROL!$C$32, 10.0168, 10.0136) * CHOOSE(CONTROL!$C$15, $D$11, 100%, $F$11)</f>
        <v>10.0168</v>
      </c>
      <c r="C382" s="8">
        <f>CHOOSE( CONTROL!$C$32, 10.0249, 10.0217) * CHOOSE(CONTROL!$C$15, $D$11, 100%, $F$11)</f>
        <v>10.024900000000001</v>
      </c>
      <c r="D382" s="8">
        <f>CHOOSE( CONTROL!$C$32, 10.0275, 10.0243) * CHOOSE( CONTROL!$C$15, $D$11, 100%, $F$11)</f>
        <v>10.0275</v>
      </c>
      <c r="E382" s="12">
        <f>CHOOSE( CONTROL!$C$32, 10.0253, 10.0221) * CHOOSE( CONTROL!$C$15, $D$11, 100%, $F$11)</f>
        <v>10.0253</v>
      </c>
      <c r="F382" s="4">
        <f>CHOOSE( CONTROL!$C$32, 10.6984, 10.6952) * CHOOSE(CONTROL!$C$15, $D$11, 100%, $F$11)</f>
        <v>10.698399999999999</v>
      </c>
      <c r="G382" s="8">
        <f>CHOOSE( CONTROL!$C$32, 9.8184, 9.8153) * CHOOSE( CONTROL!$C$15, $D$11, 100%, $F$11)</f>
        <v>9.8184000000000005</v>
      </c>
      <c r="H382" s="4">
        <f>CHOOSE( CONTROL!$C$32, 10.7498, 10.7466) * CHOOSE(CONTROL!$C$15, $D$11, 100%, $F$11)</f>
        <v>10.7498</v>
      </c>
      <c r="I382" s="8">
        <f>CHOOSE( CONTROL!$C$32, 9.7486, 9.7455) * CHOOSE(CONTROL!$C$15, $D$11, 100%, $F$11)</f>
        <v>9.7485999999999997</v>
      </c>
      <c r="J382" s="4">
        <f>CHOOSE( CONTROL!$C$32, 9.6521, 9.649) * CHOOSE(CONTROL!$C$15, $D$11, 100%, $F$11)</f>
        <v>9.6521000000000008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1.1791</v>
      </c>
      <c r="Q382" s="9">
        <v>19.738800000000001</v>
      </c>
      <c r="R382" s="9"/>
      <c r="S382" s="11"/>
    </row>
    <row r="383" spans="1:19" ht="15.75">
      <c r="A383" s="13">
        <v>53174</v>
      </c>
      <c r="B383" s="8">
        <f>CHOOSE( CONTROL!$C$32, 10.4463, 10.4431) * CHOOSE(CONTROL!$C$15, $D$11, 100%, $F$11)</f>
        <v>10.446300000000001</v>
      </c>
      <c r="C383" s="8">
        <f>CHOOSE( CONTROL!$C$32, 10.4544, 10.4512) * CHOOSE(CONTROL!$C$15, $D$11, 100%, $F$11)</f>
        <v>10.4544</v>
      </c>
      <c r="D383" s="8">
        <f>CHOOSE( CONTROL!$C$32, 10.4573, 10.4541) * CHOOSE( CONTROL!$C$15, $D$11, 100%, $F$11)</f>
        <v>10.4573</v>
      </c>
      <c r="E383" s="12">
        <f>CHOOSE( CONTROL!$C$32, 10.455, 10.4518) * CHOOSE( CONTROL!$C$15, $D$11, 100%, $F$11)</f>
        <v>10.455</v>
      </c>
      <c r="F383" s="4">
        <f>CHOOSE( CONTROL!$C$32, 11.1279, 11.1247) * CHOOSE(CONTROL!$C$15, $D$11, 100%, $F$11)</f>
        <v>11.1279</v>
      </c>
      <c r="G383" s="8">
        <f>CHOOSE( CONTROL!$C$32, 10.2412, 10.2381) * CHOOSE( CONTROL!$C$15, $D$11, 100%, $F$11)</f>
        <v>10.241199999999999</v>
      </c>
      <c r="H383" s="4">
        <f>CHOOSE( CONTROL!$C$32, 11.1721, 11.169) * CHOOSE(CONTROL!$C$15, $D$11, 100%, $F$11)</f>
        <v>11.1721</v>
      </c>
      <c r="I383" s="8">
        <f>CHOOSE( CONTROL!$C$32, 10.1654, 10.1623) * CHOOSE(CONTROL!$C$15, $D$11, 100%, $F$11)</f>
        <v>10.1654</v>
      </c>
      <c r="J383" s="4">
        <f>CHOOSE( CONTROL!$C$32, 10.0673, 10.0642) * CHOOSE(CONTROL!$C$15, $D$11, 100%, $F$11)</f>
        <v>10.067299999999999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20.396799999999999</v>
      </c>
      <c r="R383" s="9"/>
      <c r="S383" s="11"/>
    </row>
    <row r="384" spans="1:19" ht="15.75">
      <c r="A384" s="13">
        <v>53205</v>
      </c>
      <c r="B384" s="8">
        <f>CHOOSE( CONTROL!$C$32, 9.6427, 9.6395) * CHOOSE(CONTROL!$C$15, $D$11, 100%, $F$11)</f>
        <v>9.6426999999999996</v>
      </c>
      <c r="C384" s="8">
        <f>CHOOSE( CONTROL!$C$32, 9.6507, 9.6475) * CHOOSE(CONTROL!$C$15, $D$11, 100%, $F$11)</f>
        <v>9.6507000000000005</v>
      </c>
      <c r="D384" s="8">
        <f>CHOOSE( CONTROL!$C$32, 9.6538, 9.6506) * CHOOSE( CONTROL!$C$15, $D$11, 100%, $F$11)</f>
        <v>9.6538000000000004</v>
      </c>
      <c r="E384" s="12">
        <f>CHOOSE( CONTROL!$C$32, 9.6515, 9.6483) * CHOOSE( CONTROL!$C$15, $D$11, 100%, $F$11)</f>
        <v>9.6515000000000004</v>
      </c>
      <c r="F384" s="4">
        <f>CHOOSE( CONTROL!$C$32, 10.3243, 10.3211) * CHOOSE(CONTROL!$C$15, $D$11, 100%, $F$11)</f>
        <v>10.324299999999999</v>
      </c>
      <c r="G384" s="8">
        <f>CHOOSE( CONTROL!$C$32, 9.4512, 9.448) * CHOOSE( CONTROL!$C$15, $D$11, 100%, $F$11)</f>
        <v>9.4512</v>
      </c>
      <c r="H384" s="4">
        <f>CHOOSE( CONTROL!$C$32, 10.3818, 10.3787) * CHOOSE(CONTROL!$C$15, $D$11, 100%, $F$11)</f>
        <v>10.3818</v>
      </c>
      <c r="I384" s="8">
        <f>CHOOSE( CONTROL!$C$32, 9.3889, 9.3859) * CHOOSE(CONTROL!$C$15, $D$11, 100%, $F$11)</f>
        <v>9.3888999999999996</v>
      </c>
      <c r="J384" s="4">
        <f>CHOOSE( CONTROL!$C$32, 9.2904, 9.2873) * CHOOSE(CONTROL!$C$15, $D$11, 100%, $F$11)</f>
        <v>9.2904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1.2183999999999999</v>
      </c>
      <c r="Q384" s="9">
        <v>20.396799999999999</v>
      </c>
      <c r="R384" s="9"/>
      <c r="S384" s="11"/>
    </row>
    <row r="385" spans="1:19" ht="15.75">
      <c r="A385" s="13">
        <v>53235</v>
      </c>
      <c r="B385" s="8">
        <f>CHOOSE( CONTROL!$C$32, 9.4415, 9.4383) * CHOOSE(CONTROL!$C$15, $D$11, 100%, $F$11)</f>
        <v>9.4414999999999996</v>
      </c>
      <c r="C385" s="8">
        <f>CHOOSE( CONTROL!$C$32, 9.4495, 9.4463) * CHOOSE(CONTROL!$C$15, $D$11, 100%, $F$11)</f>
        <v>9.4495000000000005</v>
      </c>
      <c r="D385" s="8">
        <f>CHOOSE( CONTROL!$C$32, 9.4526, 9.4494) * CHOOSE( CONTROL!$C$15, $D$11, 100%, $F$11)</f>
        <v>9.4526000000000003</v>
      </c>
      <c r="E385" s="12">
        <f>CHOOSE( CONTROL!$C$32, 9.4503, 9.4471) * CHOOSE( CONTROL!$C$15, $D$11, 100%, $F$11)</f>
        <v>9.4503000000000004</v>
      </c>
      <c r="F385" s="4">
        <f>CHOOSE( CONTROL!$C$32, 10.123, 10.1198) * CHOOSE(CONTROL!$C$15, $D$11, 100%, $F$11)</f>
        <v>10.122999999999999</v>
      </c>
      <c r="G385" s="8">
        <f>CHOOSE( CONTROL!$C$32, 9.2533, 9.2502) * CHOOSE( CONTROL!$C$15, $D$11, 100%, $F$11)</f>
        <v>9.2532999999999994</v>
      </c>
      <c r="H385" s="4">
        <f>CHOOSE( CONTROL!$C$32, 10.1839, 10.1808) * CHOOSE(CONTROL!$C$15, $D$11, 100%, $F$11)</f>
        <v>10.1839</v>
      </c>
      <c r="I385" s="8">
        <f>CHOOSE( CONTROL!$C$32, 9.1945, 9.1914) * CHOOSE(CONTROL!$C$15, $D$11, 100%, $F$11)</f>
        <v>9.1944999999999997</v>
      </c>
      <c r="J385" s="4">
        <f>CHOOSE( CONTROL!$C$32, 9.0958, 9.0927) * CHOOSE(CONTROL!$C$15, $D$11, 100%, $F$11)</f>
        <v>9.0958000000000006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1.1791</v>
      </c>
      <c r="Q385" s="9">
        <v>19.738800000000001</v>
      </c>
      <c r="R385" s="9"/>
      <c r="S385" s="11"/>
    </row>
    <row r="386" spans="1:19" ht="15.75">
      <c r="A386" s="13">
        <v>53266</v>
      </c>
      <c r="B386" s="8">
        <f>9.8544 * CHOOSE(CONTROL!$C$15, $D$11, 100%, $F$11)</f>
        <v>9.8544</v>
      </c>
      <c r="C386" s="8">
        <f>9.8598 * CHOOSE(CONTROL!$C$15, $D$11, 100%, $F$11)</f>
        <v>9.8597999999999999</v>
      </c>
      <c r="D386" s="8">
        <f>9.8676 * CHOOSE( CONTROL!$C$15, $D$11, 100%, $F$11)</f>
        <v>9.8675999999999995</v>
      </c>
      <c r="E386" s="12">
        <f>9.8645 * CHOOSE( CONTROL!$C$15, $D$11, 100%, $F$11)</f>
        <v>9.8644999999999996</v>
      </c>
      <c r="F386" s="4">
        <f>10.5377 * CHOOSE(CONTROL!$C$15, $D$11, 100%, $F$11)</f>
        <v>10.537699999999999</v>
      </c>
      <c r="G386" s="8">
        <f>9.6606 * CHOOSE( CONTROL!$C$15, $D$11, 100%, $F$11)</f>
        <v>9.6606000000000005</v>
      </c>
      <c r="H386" s="4">
        <f>10.5917 * CHOOSE(CONTROL!$C$15, $D$11, 100%, $F$11)</f>
        <v>10.591699999999999</v>
      </c>
      <c r="I386" s="8">
        <f>9.5961 * CHOOSE(CONTROL!$C$15, $D$11, 100%, $F$11)</f>
        <v>9.5960999999999999</v>
      </c>
      <c r="J386" s="4">
        <f>9.4967 * CHOOSE(CONTROL!$C$15, $D$11, 100%, $F$11)</f>
        <v>9.4967000000000006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1.2183999999999999</v>
      </c>
      <c r="Q386" s="9">
        <v>20.396799999999999</v>
      </c>
      <c r="R386" s="9"/>
      <c r="S386" s="11"/>
    </row>
    <row r="387" spans="1:19" ht="15.75">
      <c r="A387" s="13">
        <v>53296</v>
      </c>
      <c r="B387" s="8">
        <f>10.6252 * CHOOSE(CONTROL!$C$15, $D$11, 100%, $F$11)</f>
        <v>10.6252</v>
      </c>
      <c r="C387" s="8">
        <f>10.6304 * CHOOSE(CONTROL!$C$15, $D$11, 100%, $F$11)</f>
        <v>10.6304</v>
      </c>
      <c r="D387" s="8">
        <f>10.6079 * CHOOSE( CONTROL!$C$15, $D$11, 100%, $F$11)</f>
        <v>10.607900000000001</v>
      </c>
      <c r="E387" s="12">
        <f>10.6156 * CHOOSE( CONTROL!$C$15, $D$11, 100%, $F$11)</f>
        <v>10.615600000000001</v>
      </c>
      <c r="F387" s="4">
        <f>11.2701 * CHOOSE(CONTROL!$C$15, $D$11, 100%, $F$11)</f>
        <v>11.270099999999999</v>
      </c>
      <c r="G387" s="8">
        <f>10.4317 * CHOOSE( CONTROL!$C$15, $D$11, 100%, $F$11)</f>
        <v>10.431699999999999</v>
      </c>
      <c r="H387" s="4">
        <f>11.312 * CHOOSE(CONTROL!$C$15, $D$11, 100%, $F$11)</f>
        <v>11.311999999999999</v>
      </c>
      <c r="I387" s="8">
        <f>10.3677 * CHOOSE(CONTROL!$C$15, $D$11, 100%, $F$11)</f>
        <v>10.367699999999999</v>
      </c>
      <c r="J387" s="4">
        <f>10.2422 * CHOOSE(CONTROL!$C$15, $D$11, 100%, $F$11)</f>
        <v>10.2422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19.738800000000001</v>
      </c>
      <c r="R387" s="9"/>
      <c r="S387" s="11"/>
    </row>
    <row r="388" spans="1:19" ht="15.75">
      <c r="A388" s="13">
        <v>53327</v>
      </c>
      <c r="B388" s="8">
        <f>10.606 * CHOOSE(CONTROL!$C$15, $D$11, 100%, $F$11)</f>
        <v>10.606</v>
      </c>
      <c r="C388" s="8">
        <f>10.6111 * CHOOSE(CONTROL!$C$15, $D$11, 100%, $F$11)</f>
        <v>10.6111</v>
      </c>
      <c r="D388" s="8">
        <f>10.59 * CHOOSE( CONTROL!$C$15, $D$11, 100%, $F$11)</f>
        <v>10.59</v>
      </c>
      <c r="E388" s="12">
        <f>10.5972 * CHOOSE( CONTROL!$C$15, $D$11, 100%, $F$11)</f>
        <v>10.597200000000001</v>
      </c>
      <c r="F388" s="4">
        <f>11.2509 * CHOOSE(CONTROL!$C$15, $D$11, 100%, $F$11)</f>
        <v>11.2509</v>
      </c>
      <c r="G388" s="8">
        <f>10.4138 * CHOOSE( CONTROL!$C$15, $D$11, 100%, $F$11)</f>
        <v>10.4138</v>
      </c>
      <c r="H388" s="4">
        <f>11.2931 * CHOOSE(CONTROL!$C$15, $D$11, 100%, $F$11)</f>
        <v>11.293100000000001</v>
      </c>
      <c r="I388" s="8">
        <f>10.3537 * CHOOSE(CONTROL!$C$15, $D$11, 100%, $F$11)</f>
        <v>10.3537</v>
      </c>
      <c r="J388" s="4">
        <f>10.2236 * CHOOSE(CONTROL!$C$15, $D$11, 100%, $F$11)</f>
        <v>10.223599999999999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20.396799999999999</v>
      </c>
      <c r="R388" s="9"/>
      <c r="S388" s="11"/>
    </row>
    <row r="389" spans="1:19" ht="15.75">
      <c r="A389" s="13">
        <v>53358</v>
      </c>
      <c r="B389" s="8">
        <f>11.0102 * CHOOSE(CONTROL!$C$15, $D$11, 100%, $F$11)</f>
        <v>11.010199999999999</v>
      </c>
      <c r="C389" s="8">
        <f>11.0153 * CHOOSE(CONTROL!$C$15, $D$11, 100%, $F$11)</f>
        <v>11.0153</v>
      </c>
      <c r="D389" s="8">
        <f>10.9933 * CHOOSE( CONTROL!$C$15, $D$11, 100%, $F$11)</f>
        <v>10.9933</v>
      </c>
      <c r="E389" s="12">
        <f>11.0008 * CHOOSE( CONTROL!$C$15, $D$11, 100%, $F$11)</f>
        <v>11.0008</v>
      </c>
      <c r="F389" s="4">
        <f>11.6551 * CHOOSE(CONTROL!$C$15, $D$11, 100%, $F$11)</f>
        <v>11.655099999999999</v>
      </c>
      <c r="G389" s="8">
        <f>10.8087 * CHOOSE( CONTROL!$C$15, $D$11, 100%, $F$11)</f>
        <v>10.8087</v>
      </c>
      <c r="H389" s="4">
        <f>11.6906 * CHOOSE(CONTROL!$C$15, $D$11, 100%, $F$11)</f>
        <v>11.6906</v>
      </c>
      <c r="I389" s="8">
        <f>10.7164 * CHOOSE(CONTROL!$C$15, $D$11, 100%, $F$11)</f>
        <v>10.7164</v>
      </c>
      <c r="J389" s="4">
        <f>10.6144 * CHOOSE(CONTROL!$C$15, $D$11, 100%, $F$11)</f>
        <v>10.6144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20.331700000000001</v>
      </c>
      <c r="R389" s="9"/>
      <c r="S389" s="11"/>
    </row>
    <row r="390" spans="1:19" ht="15.75">
      <c r="A390" s="13">
        <v>53386</v>
      </c>
      <c r="B390" s="8">
        <f>10.3003 * CHOOSE(CONTROL!$C$15, $D$11, 100%, $F$11)</f>
        <v>10.3003</v>
      </c>
      <c r="C390" s="8">
        <f>10.3054 * CHOOSE(CONTROL!$C$15, $D$11, 100%, $F$11)</f>
        <v>10.305400000000001</v>
      </c>
      <c r="D390" s="8">
        <f>10.2791 * CHOOSE( CONTROL!$C$15, $D$11, 100%, $F$11)</f>
        <v>10.2791</v>
      </c>
      <c r="E390" s="12">
        <f>10.2882 * CHOOSE( CONTROL!$C$15, $D$11, 100%, $F$11)</f>
        <v>10.2882</v>
      </c>
      <c r="F390" s="4">
        <f>10.9452 * CHOOSE(CONTROL!$C$15, $D$11, 100%, $F$11)</f>
        <v>10.9452</v>
      </c>
      <c r="G390" s="8">
        <f>10.1021 * CHOOSE( CONTROL!$C$15, $D$11, 100%, $F$11)</f>
        <v>10.1021</v>
      </c>
      <c r="H390" s="4">
        <f>10.9925 * CHOOSE(CONTROL!$C$15, $D$11, 100%, $F$11)</f>
        <v>10.9925</v>
      </c>
      <c r="I390" s="8">
        <f>10.0008 * CHOOSE(CONTROL!$C$15, $D$11, 100%, $F$11)</f>
        <v>10.0008</v>
      </c>
      <c r="J390" s="4">
        <f>9.9282 * CHOOSE(CONTROL!$C$15, $D$11, 100%, $F$11)</f>
        <v>9.9282000000000004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18.364100000000001</v>
      </c>
      <c r="R390" s="9"/>
      <c r="S390" s="11"/>
    </row>
    <row r="391" spans="1:19" ht="15.75">
      <c r="A391" s="13">
        <v>53417</v>
      </c>
      <c r="B391" s="8">
        <f>10.0817 * CHOOSE(CONTROL!$C$15, $D$11, 100%, $F$11)</f>
        <v>10.0817</v>
      </c>
      <c r="C391" s="8">
        <f>10.0868 * CHOOSE(CONTROL!$C$15, $D$11, 100%, $F$11)</f>
        <v>10.0868</v>
      </c>
      <c r="D391" s="8">
        <f>10.0608 * CHOOSE( CONTROL!$C$15, $D$11, 100%, $F$11)</f>
        <v>10.0608</v>
      </c>
      <c r="E391" s="12">
        <f>10.0698 * CHOOSE( CONTROL!$C$15, $D$11, 100%, $F$11)</f>
        <v>10.069800000000001</v>
      </c>
      <c r="F391" s="4">
        <f>10.7266 * CHOOSE(CONTROL!$C$15, $D$11, 100%, $F$11)</f>
        <v>10.726599999999999</v>
      </c>
      <c r="G391" s="8">
        <f>9.8874 * CHOOSE( CONTROL!$C$15, $D$11, 100%, $F$11)</f>
        <v>9.8873999999999995</v>
      </c>
      <c r="H391" s="4">
        <f>10.7775 * CHOOSE(CONTROL!$C$15, $D$11, 100%, $F$11)</f>
        <v>10.7775</v>
      </c>
      <c r="I391" s="8">
        <f>9.7906 * CHOOSE(CONTROL!$C$15, $D$11, 100%, $F$11)</f>
        <v>9.7905999999999995</v>
      </c>
      <c r="J391" s="4">
        <f>9.7168 * CHOOSE(CONTROL!$C$15, $D$11, 100%, $F$11)</f>
        <v>9.7167999999999992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20.331700000000001</v>
      </c>
      <c r="R391" s="9"/>
      <c r="S391" s="11"/>
    </row>
    <row r="392" spans="1:19" ht="15.75">
      <c r="A392" s="13">
        <v>53447</v>
      </c>
      <c r="B392" s="8">
        <f>10.2352 * CHOOSE(CONTROL!$C$15, $D$11, 100%, $F$11)</f>
        <v>10.235200000000001</v>
      </c>
      <c r="C392" s="8">
        <f>10.2398 * CHOOSE(CONTROL!$C$15, $D$11, 100%, $F$11)</f>
        <v>10.239800000000001</v>
      </c>
      <c r="D392" s="8">
        <f>10.2469 * CHOOSE( CONTROL!$C$15, $D$11, 100%, $F$11)</f>
        <v>10.2469</v>
      </c>
      <c r="E392" s="12">
        <f>10.244 * CHOOSE( CONTROL!$C$15, $D$11, 100%, $F$11)</f>
        <v>10.244</v>
      </c>
      <c r="F392" s="4">
        <f>10.9182 * CHOOSE(CONTROL!$C$15, $D$11, 100%, $F$11)</f>
        <v>10.918200000000001</v>
      </c>
      <c r="G392" s="8">
        <f>10.0329 * CHOOSE( CONTROL!$C$15, $D$11, 100%, $F$11)</f>
        <v>10.0329</v>
      </c>
      <c r="H392" s="4">
        <f>10.9659 * CHOOSE(CONTROL!$C$15, $D$11, 100%, $F$11)</f>
        <v>10.9659</v>
      </c>
      <c r="I392" s="8">
        <f>9.9582 * CHOOSE(CONTROL!$C$15, $D$11, 100%, $F$11)</f>
        <v>9.9581999999999997</v>
      </c>
      <c r="J392" s="4">
        <f>9.8645 * CHOOSE(CONTROL!$C$15, $D$11, 100%, $F$11)</f>
        <v>9.8644999999999996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1.1791</v>
      </c>
      <c r="Q392" s="9">
        <v>19.675799999999999</v>
      </c>
      <c r="R392" s="9"/>
      <c r="S392" s="11"/>
    </row>
    <row r="393" spans="1:19" ht="15.75">
      <c r="A393" s="13">
        <v>53478</v>
      </c>
      <c r="B393" s="8">
        <f>CHOOSE( CONTROL!$C$32, 10.5117, 10.5085) * CHOOSE(CONTROL!$C$15, $D$11, 100%, $F$11)</f>
        <v>10.511699999999999</v>
      </c>
      <c r="C393" s="8">
        <f>CHOOSE( CONTROL!$C$32, 10.5197, 10.5165) * CHOOSE(CONTROL!$C$15, $D$11, 100%, $F$11)</f>
        <v>10.5197</v>
      </c>
      <c r="D393" s="8">
        <f>CHOOSE( CONTROL!$C$32, 10.522, 10.5189) * CHOOSE( CONTROL!$C$15, $D$11, 100%, $F$11)</f>
        <v>10.522</v>
      </c>
      <c r="E393" s="12">
        <f>CHOOSE( CONTROL!$C$32, 10.5199, 10.5168) * CHOOSE( CONTROL!$C$15, $D$11, 100%, $F$11)</f>
        <v>10.5199</v>
      </c>
      <c r="F393" s="4">
        <f>CHOOSE( CONTROL!$C$32, 11.1933, 11.1901) * CHOOSE(CONTROL!$C$15, $D$11, 100%, $F$11)</f>
        <v>11.193300000000001</v>
      </c>
      <c r="G393" s="8">
        <f>CHOOSE( CONTROL!$C$32, 10.3046, 10.3015) * CHOOSE( CONTROL!$C$15, $D$11, 100%, $F$11)</f>
        <v>10.304600000000001</v>
      </c>
      <c r="H393" s="4">
        <f>CHOOSE( CONTROL!$C$32, 11.2364, 11.2333) * CHOOSE(CONTROL!$C$15, $D$11, 100%, $F$11)</f>
        <v>11.2364</v>
      </c>
      <c r="I393" s="8">
        <f>CHOOSE( CONTROL!$C$32, 10.2258, 10.2227) * CHOOSE(CONTROL!$C$15, $D$11, 100%, $F$11)</f>
        <v>10.2258</v>
      </c>
      <c r="J393" s="4">
        <f>CHOOSE( CONTROL!$C$32, 10.1304, 10.1273) * CHOOSE(CONTROL!$C$15, $D$11, 100%, $F$11)</f>
        <v>10.1304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1.2183999999999999</v>
      </c>
      <c r="Q393" s="9">
        <v>20.331700000000001</v>
      </c>
      <c r="R393" s="9"/>
      <c r="S393" s="11"/>
    </row>
    <row r="394" spans="1:19" ht="15.75">
      <c r="A394" s="13">
        <v>53508</v>
      </c>
      <c r="B394" s="8">
        <f>CHOOSE( CONTROL!$C$32, 10.3433, 10.3401) * CHOOSE(CONTROL!$C$15, $D$11, 100%, $F$11)</f>
        <v>10.343299999999999</v>
      </c>
      <c r="C394" s="8">
        <f>CHOOSE( CONTROL!$C$32, 10.3513, 10.3481) * CHOOSE(CONTROL!$C$15, $D$11, 100%, $F$11)</f>
        <v>10.3513</v>
      </c>
      <c r="D394" s="8">
        <f>CHOOSE( CONTROL!$C$32, 10.3539, 10.3507) * CHOOSE( CONTROL!$C$15, $D$11, 100%, $F$11)</f>
        <v>10.353899999999999</v>
      </c>
      <c r="E394" s="12">
        <f>CHOOSE( CONTROL!$C$32, 10.3517, 10.3485) * CHOOSE( CONTROL!$C$15, $D$11, 100%, $F$11)</f>
        <v>10.351699999999999</v>
      </c>
      <c r="F394" s="4">
        <f>CHOOSE( CONTROL!$C$32, 11.0248, 11.0216) * CHOOSE(CONTROL!$C$15, $D$11, 100%, $F$11)</f>
        <v>11.024800000000001</v>
      </c>
      <c r="G394" s="8">
        <f>CHOOSE( CONTROL!$C$32, 10.1394, 10.1363) * CHOOSE( CONTROL!$C$15, $D$11, 100%, $F$11)</f>
        <v>10.1394</v>
      </c>
      <c r="H394" s="4">
        <f>CHOOSE( CONTROL!$C$32, 11.0708, 11.0676) * CHOOSE(CONTROL!$C$15, $D$11, 100%, $F$11)</f>
        <v>11.0708</v>
      </c>
      <c r="I394" s="8">
        <f>CHOOSE( CONTROL!$C$32, 10.0643, 10.0612) * CHOOSE(CONTROL!$C$15, $D$11, 100%, $F$11)</f>
        <v>10.064299999999999</v>
      </c>
      <c r="J394" s="4">
        <f>CHOOSE( CONTROL!$C$32, 9.9676, 9.9645) * CHOOSE(CONTROL!$C$15, $D$11, 100%, $F$11)</f>
        <v>9.9675999999999991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1.1791</v>
      </c>
      <c r="Q394" s="9">
        <v>19.675799999999999</v>
      </c>
      <c r="R394" s="9"/>
      <c r="S394" s="11"/>
    </row>
    <row r="395" spans="1:19" ht="15.75">
      <c r="A395" s="13">
        <v>53539</v>
      </c>
      <c r="B395" s="8">
        <f>CHOOSE( CONTROL!$C$32, 10.7868, 10.7836) * CHOOSE(CONTROL!$C$15, $D$11, 100%, $F$11)</f>
        <v>10.786799999999999</v>
      </c>
      <c r="C395" s="8">
        <f>CHOOSE( CONTROL!$C$32, 10.7948, 10.7916) * CHOOSE(CONTROL!$C$15, $D$11, 100%, $F$11)</f>
        <v>10.7948</v>
      </c>
      <c r="D395" s="8">
        <f>CHOOSE( CONTROL!$C$32, 10.7978, 10.7946) * CHOOSE( CONTROL!$C$15, $D$11, 100%, $F$11)</f>
        <v>10.797800000000001</v>
      </c>
      <c r="E395" s="12">
        <f>CHOOSE( CONTROL!$C$32, 10.7955, 10.7923) * CHOOSE( CONTROL!$C$15, $D$11, 100%, $F$11)</f>
        <v>10.795500000000001</v>
      </c>
      <c r="F395" s="4">
        <f>CHOOSE( CONTROL!$C$32, 11.4684, 11.4652) * CHOOSE(CONTROL!$C$15, $D$11, 100%, $F$11)</f>
        <v>11.468400000000001</v>
      </c>
      <c r="G395" s="8">
        <f>CHOOSE( CONTROL!$C$32, 10.5761, 10.5729) * CHOOSE( CONTROL!$C$15, $D$11, 100%, $F$11)</f>
        <v>10.5761</v>
      </c>
      <c r="H395" s="4">
        <f>CHOOSE( CONTROL!$C$32, 11.507, 11.5038) * CHOOSE(CONTROL!$C$15, $D$11, 100%, $F$11)</f>
        <v>11.507</v>
      </c>
      <c r="I395" s="8">
        <f>CHOOSE( CONTROL!$C$32, 10.4947, 10.4916) * CHOOSE(CONTROL!$C$15, $D$11, 100%, $F$11)</f>
        <v>10.4947</v>
      </c>
      <c r="J395" s="4">
        <f>CHOOSE( CONTROL!$C$32, 10.3964, 10.3933) * CHOOSE(CONTROL!$C$15, $D$11, 100%, $F$11)</f>
        <v>10.3964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20.331700000000001</v>
      </c>
      <c r="R395" s="9"/>
      <c r="S395" s="11"/>
    </row>
    <row r="396" spans="1:19" ht="15.75">
      <c r="A396" s="13">
        <v>53570</v>
      </c>
      <c r="B396" s="8">
        <f>CHOOSE( CONTROL!$C$32, 9.9569, 9.9537) * CHOOSE(CONTROL!$C$15, $D$11, 100%, $F$11)</f>
        <v>9.9568999999999992</v>
      </c>
      <c r="C396" s="8">
        <f>CHOOSE( CONTROL!$C$32, 9.9649, 9.9617) * CHOOSE(CONTROL!$C$15, $D$11, 100%, $F$11)</f>
        <v>9.9649000000000001</v>
      </c>
      <c r="D396" s="8">
        <f>CHOOSE( CONTROL!$C$32, 9.968, 9.9648) * CHOOSE( CONTROL!$C$15, $D$11, 100%, $F$11)</f>
        <v>9.968</v>
      </c>
      <c r="E396" s="12">
        <f>CHOOSE( CONTROL!$C$32, 9.9657, 9.9625) * CHOOSE( CONTROL!$C$15, $D$11, 100%, $F$11)</f>
        <v>9.9657</v>
      </c>
      <c r="F396" s="4">
        <f>CHOOSE( CONTROL!$C$32, 10.6384, 10.6352) * CHOOSE(CONTROL!$C$15, $D$11, 100%, $F$11)</f>
        <v>10.638400000000001</v>
      </c>
      <c r="G396" s="8">
        <f>CHOOSE( CONTROL!$C$32, 9.7601, 9.757) * CHOOSE( CONTROL!$C$15, $D$11, 100%, $F$11)</f>
        <v>9.7600999999999996</v>
      </c>
      <c r="H396" s="4">
        <f>CHOOSE( CONTROL!$C$32, 10.6908, 10.6877) * CHOOSE(CONTROL!$C$15, $D$11, 100%, $F$11)</f>
        <v>10.690799999999999</v>
      </c>
      <c r="I396" s="8">
        <f>CHOOSE( CONTROL!$C$32, 9.6928, 9.6897) * CHOOSE(CONTROL!$C$15, $D$11, 100%, $F$11)</f>
        <v>9.6928000000000001</v>
      </c>
      <c r="J396" s="4">
        <f>CHOOSE( CONTROL!$C$32, 9.5941, 9.591) * CHOOSE(CONTROL!$C$15, $D$11, 100%, $F$11)</f>
        <v>9.5940999999999992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1.2183999999999999</v>
      </c>
      <c r="Q396" s="9">
        <v>20.331700000000001</v>
      </c>
      <c r="R396" s="9"/>
      <c r="S396" s="11"/>
    </row>
    <row r="397" spans="1:19" ht="15.75">
      <c r="A397" s="13">
        <v>53600</v>
      </c>
      <c r="B397" s="8">
        <f>CHOOSE( CONTROL!$C$32, 9.7491, 9.7459) * CHOOSE(CONTROL!$C$15, $D$11, 100%, $F$11)</f>
        <v>9.7491000000000003</v>
      </c>
      <c r="C397" s="8">
        <f>CHOOSE( CONTROL!$C$32, 9.7571, 9.7539) * CHOOSE(CONTROL!$C$15, $D$11, 100%, $F$11)</f>
        <v>9.7570999999999994</v>
      </c>
      <c r="D397" s="8">
        <f>CHOOSE( CONTROL!$C$32, 9.7602, 9.757) * CHOOSE( CONTROL!$C$15, $D$11, 100%, $F$11)</f>
        <v>9.7601999999999993</v>
      </c>
      <c r="E397" s="12">
        <f>CHOOSE( CONTROL!$C$32, 9.7579, 9.7547) * CHOOSE( CONTROL!$C$15, $D$11, 100%, $F$11)</f>
        <v>9.7578999999999994</v>
      </c>
      <c r="F397" s="4">
        <f>CHOOSE( CONTROL!$C$32, 10.4306, 10.4274) * CHOOSE(CONTROL!$C$15, $D$11, 100%, $F$11)</f>
        <v>10.4306</v>
      </c>
      <c r="G397" s="8">
        <f>CHOOSE( CONTROL!$C$32, 9.5558, 9.5527) * CHOOSE( CONTROL!$C$15, $D$11, 100%, $F$11)</f>
        <v>9.5557999999999996</v>
      </c>
      <c r="H397" s="4">
        <f>CHOOSE( CONTROL!$C$32, 10.4864, 10.4833) * CHOOSE(CONTROL!$C$15, $D$11, 100%, $F$11)</f>
        <v>10.4864</v>
      </c>
      <c r="I397" s="8">
        <f>CHOOSE( CONTROL!$C$32, 9.492, 9.4889) * CHOOSE(CONTROL!$C$15, $D$11, 100%, $F$11)</f>
        <v>9.4920000000000009</v>
      </c>
      <c r="J397" s="4">
        <f>CHOOSE( CONTROL!$C$32, 9.3932, 9.3901) * CHOOSE(CONTROL!$C$15, $D$11, 100%, $F$11)</f>
        <v>9.3932000000000002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1.1791</v>
      </c>
      <c r="Q397" s="9">
        <v>19.675799999999999</v>
      </c>
      <c r="R397" s="9"/>
      <c r="S397" s="11"/>
    </row>
    <row r="398" spans="1:19" ht="15.75">
      <c r="A398" s="13">
        <v>53631</v>
      </c>
      <c r="B398" s="8">
        <f>10.1757 * CHOOSE(CONTROL!$C$15, $D$11, 100%, $F$11)</f>
        <v>10.175700000000001</v>
      </c>
      <c r="C398" s="8">
        <f>10.181 * CHOOSE(CONTROL!$C$15, $D$11, 100%, $F$11)</f>
        <v>10.180999999999999</v>
      </c>
      <c r="D398" s="8">
        <f>10.1889 * CHOOSE( CONTROL!$C$15, $D$11, 100%, $F$11)</f>
        <v>10.1889</v>
      </c>
      <c r="E398" s="12">
        <f>10.1857 * CHOOSE( CONTROL!$C$15, $D$11, 100%, $F$11)</f>
        <v>10.185700000000001</v>
      </c>
      <c r="F398" s="4">
        <f>10.8589 * CHOOSE(CONTROL!$C$15, $D$11, 100%, $F$11)</f>
        <v>10.8589</v>
      </c>
      <c r="G398" s="8">
        <f>9.9766 * CHOOSE( CONTROL!$C$15, $D$11, 100%, $F$11)</f>
        <v>9.9765999999999995</v>
      </c>
      <c r="H398" s="4">
        <f>10.9076 * CHOOSE(CONTROL!$C$15, $D$11, 100%, $F$11)</f>
        <v>10.9076</v>
      </c>
      <c r="I398" s="8">
        <f>9.9068 * CHOOSE(CONTROL!$C$15, $D$11, 100%, $F$11)</f>
        <v>9.9068000000000005</v>
      </c>
      <c r="J398" s="4">
        <f>9.8072 * CHOOSE(CONTROL!$C$15, $D$11, 100%, $F$11)</f>
        <v>9.8071999999999999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1.2183999999999999</v>
      </c>
      <c r="Q398" s="9">
        <v>20.331700000000001</v>
      </c>
      <c r="R398" s="9"/>
      <c r="S398" s="11"/>
    </row>
    <row r="399" spans="1:19" ht="15.75">
      <c r="A399" s="13">
        <v>53661</v>
      </c>
      <c r="B399" s="8">
        <f>10.9717 * CHOOSE(CONTROL!$C$15, $D$11, 100%, $F$11)</f>
        <v>10.9717</v>
      </c>
      <c r="C399" s="8">
        <f>10.9769 * CHOOSE(CONTROL!$C$15, $D$11, 100%, $F$11)</f>
        <v>10.976900000000001</v>
      </c>
      <c r="D399" s="8">
        <f>10.9544 * CHOOSE( CONTROL!$C$15, $D$11, 100%, $F$11)</f>
        <v>10.9544</v>
      </c>
      <c r="E399" s="12">
        <f>10.9621 * CHOOSE( CONTROL!$C$15, $D$11, 100%, $F$11)</f>
        <v>10.9621</v>
      </c>
      <c r="F399" s="4">
        <f>11.6166 * CHOOSE(CONTROL!$C$15, $D$11, 100%, $F$11)</f>
        <v>11.6166</v>
      </c>
      <c r="G399" s="8">
        <f>10.7724 * CHOOSE( CONTROL!$C$15, $D$11, 100%, $F$11)</f>
        <v>10.772399999999999</v>
      </c>
      <c r="H399" s="4">
        <f>11.6528 * CHOOSE(CONTROL!$C$15, $D$11, 100%, $F$11)</f>
        <v>11.652799999999999</v>
      </c>
      <c r="I399" s="8">
        <f>10.7028 * CHOOSE(CONTROL!$C$15, $D$11, 100%, $F$11)</f>
        <v>10.7028</v>
      </c>
      <c r="J399" s="4">
        <f>10.5772 * CHOOSE(CONTROL!$C$15, $D$11, 100%, $F$11)</f>
        <v>10.577199999999999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19.675799999999999</v>
      </c>
      <c r="R399" s="9"/>
      <c r="S399" s="11"/>
    </row>
    <row r="400" spans="1:19" ht="15.75">
      <c r="A400" s="13">
        <v>53692</v>
      </c>
      <c r="B400" s="8">
        <f>10.9518 * CHOOSE(CONTROL!$C$15, $D$11, 100%, $F$11)</f>
        <v>10.9518</v>
      </c>
      <c r="C400" s="8">
        <f>10.957 * CHOOSE(CONTROL!$C$15, $D$11, 100%, $F$11)</f>
        <v>10.957000000000001</v>
      </c>
      <c r="D400" s="8">
        <f>10.9359 * CHOOSE( CONTROL!$C$15, $D$11, 100%, $F$11)</f>
        <v>10.9359</v>
      </c>
      <c r="E400" s="12">
        <f>10.9431 * CHOOSE( CONTROL!$C$15, $D$11, 100%, $F$11)</f>
        <v>10.943099999999999</v>
      </c>
      <c r="F400" s="4">
        <f>11.5967 * CHOOSE(CONTROL!$C$15, $D$11, 100%, $F$11)</f>
        <v>11.5967</v>
      </c>
      <c r="G400" s="8">
        <f>10.7539 * CHOOSE( CONTROL!$C$15, $D$11, 100%, $F$11)</f>
        <v>10.7539</v>
      </c>
      <c r="H400" s="4">
        <f>11.6332 * CHOOSE(CONTROL!$C$15, $D$11, 100%, $F$11)</f>
        <v>11.6332</v>
      </c>
      <c r="I400" s="8">
        <f>10.6882 * CHOOSE(CONTROL!$C$15, $D$11, 100%, $F$11)</f>
        <v>10.6882</v>
      </c>
      <c r="J400" s="4">
        <f>10.558 * CHOOSE(CONTROL!$C$15, $D$11, 100%, $F$11)</f>
        <v>10.558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20.331700000000001</v>
      </c>
      <c r="R400" s="9"/>
      <c r="S400" s="11"/>
    </row>
    <row r="401" spans="1:19" ht="15.75">
      <c r="A401" s="13">
        <v>53723</v>
      </c>
      <c r="B401" s="8">
        <f>11.3693 * CHOOSE(CONTROL!$C$15, $D$11, 100%, $F$11)</f>
        <v>11.369300000000001</v>
      </c>
      <c r="C401" s="8">
        <f>11.3744 * CHOOSE(CONTROL!$C$15, $D$11, 100%, $F$11)</f>
        <v>11.3744</v>
      </c>
      <c r="D401" s="8">
        <f>11.3524 * CHOOSE( CONTROL!$C$15, $D$11, 100%, $F$11)</f>
        <v>11.352399999999999</v>
      </c>
      <c r="E401" s="12">
        <f>11.3599 * CHOOSE( CONTROL!$C$15, $D$11, 100%, $F$11)</f>
        <v>11.3599</v>
      </c>
      <c r="F401" s="4">
        <f>12.0141 * CHOOSE(CONTROL!$C$15, $D$11, 100%, $F$11)</f>
        <v>12.014099999999999</v>
      </c>
      <c r="G401" s="8">
        <f>11.1618 * CHOOSE( CONTROL!$C$15, $D$11, 100%, $F$11)</f>
        <v>11.161799999999999</v>
      </c>
      <c r="H401" s="4">
        <f>12.0437 * CHOOSE(CONTROL!$C$15, $D$11, 100%, $F$11)</f>
        <v>12.043699999999999</v>
      </c>
      <c r="I401" s="8">
        <f>11.0637 * CHOOSE(CONTROL!$C$15, $D$11, 100%, $F$11)</f>
        <v>11.063700000000001</v>
      </c>
      <c r="J401" s="4">
        <f>10.9615 * CHOOSE(CONTROL!$C$15, $D$11, 100%, $F$11)</f>
        <v>10.961499999999999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20.2666</v>
      </c>
      <c r="R401" s="9"/>
      <c r="S401" s="11"/>
    </row>
    <row r="402" spans="1:19" ht="15.75">
      <c r="A402" s="13">
        <v>53751</v>
      </c>
      <c r="B402" s="8">
        <f>10.6362 * CHOOSE(CONTROL!$C$15, $D$11, 100%, $F$11)</f>
        <v>10.636200000000001</v>
      </c>
      <c r="C402" s="8">
        <f>10.6413 * CHOOSE(CONTROL!$C$15, $D$11, 100%, $F$11)</f>
        <v>10.641299999999999</v>
      </c>
      <c r="D402" s="8">
        <f>10.6149 * CHOOSE( CONTROL!$C$15, $D$11, 100%, $F$11)</f>
        <v>10.6149</v>
      </c>
      <c r="E402" s="12">
        <f>10.624 * CHOOSE( CONTROL!$C$15, $D$11, 100%, $F$11)</f>
        <v>10.624000000000001</v>
      </c>
      <c r="F402" s="4">
        <f>11.2811 * CHOOSE(CONTROL!$C$15, $D$11, 100%, $F$11)</f>
        <v>11.2811</v>
      </c>
      <c r="G402" s="8">
        <f>10.4324 * CHOOSE( CONTROL!$C$15, $D$11, 100%, $F$11)</f>
        <v>10.432399999999999</v>
      </c>
      <c r="H402" s="4">
        <f>11.3228 * CHOOSE(CONTROL!$C$15, $D$11, 100%, $F$11)</f>
        <v>11.322800000000001</v>
      </c>
      <c r="I402" s="8">
        <f>10.3257 * CHOOSE(CONTROL!$C$15, $D$11, 100%, $F$11)</f>
        <v>10.325699999999999</v>
      </c>
      <c r="J402" s="4">
        <f>10.2528 * CHOOSE(CONTROL!$C$15, $D$11, 100%, $F$11)</f>
        <v>10.252800000000001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18.305299999999999</v>
      </c>
      <c r="R402" s="9"/>
      <c r="S402" s="11"/>
    </row>
    <row r="403" spans="1:19" ht="15.75">
      <c r="A403" s="13">
        <v>53782</v>
      </c>
      <c r="B403" s="8">
        <f>10.4104 * CHOOSE(CONTROL!$C$15, $D$11, 100%, $F$11)</f>
        <v>10.410399999999999</v>
      </c>
      <c r="C403" s="8">
        <f>10.4155 * CHOOSE(CONTROL!$C$15, $D$11, 100%, $F$11)</f>
        <v>10.4155</v>
      </c>
      <c r="D403" s="8">
        <f>10.3895 * CHOOSE( CONTROL!$C$15, $D$11, 100%, $F$11)</f>
        <v>10.3895</v>
      </c>
      <c r="E403" s="12">
        <f>10.3985 * CHOOSE( CONTROL!$C$15, $D$11, 100%, $F$11)</f>
        <v>10.3985</v>
      </c>
      <c r="F403" s="4">
        <f>11.0553 * CHOOSE(CONTROL!$C$15, $D$11, 100%, $F$11)</f>
        <v>11.055300000000001</v>
      </c>
      <c r="G403" s="8">
        <f>10.2107 * CHOOSE( CONTROL!$C$15, $D$11, 100%, $F$11)</f>
        <v>10.210699999999999</v>
      </c>
      <c r="H403" s="4">
        <f>11.1008 * CHOOSE(CONTROL!$C$15, $D$11, 100%, $F$11)</f>
        <v>11.1008</v>
      </c>
      <c r="I403" s="8">
        <f>10.1085 * CHOOSE(CONTROL!$C$15, $D$11, 100%, $F$11)</f>
        <v>10.108499999999999</v>
      </c>
      <c r="J403" s="4">
        <f>10.0346 * CHOOSE(CONTROL!$C$15, $D$11, 100%, $F$11)</f>
        <v>10.034599999999999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20.2666</v>
      </c>
      <c r="R403" s="9"/>
      <c r="S403" s="11"/>
    </row>
    <row r="404" spans="1:19" ht="15.75">
      <c r="A404" s="13">
        <v>53812</v>
      </c>
      <c r="B404" s="8">
        <f>10.569 * CHOOSE(CONTROL!$C$15, $D$11, 100%, $F$11)</f>
        <v>10.569000000000001</v>
      </c>
      <c r="C404" s="8">
        <f>10.5735 * CHOOSE(CONTROL!$C$15, $D$11, 100%, $F$11)</f>
        <v>10.573499999999999</v>
      </c>
      <c r="D404" s="8">
        <f>10.5807 * CHOOSE( CONTROL!$C$15, $D$11, 100%, $F$11)</f>
        <v>10.5807</v>
      </c>
      <c r="E404" s="12">
        <f>10.5778 * CHOOSE( CONTROL!$C$15, $D$11, 100%, $F$11)</f>
        <v>10.5778</v>
      </c>
      <c r="F404" s="4">
        <f>11.2519 * CHOOSE(CONTROL!$C$15, $D$11, 100%, $F$11)</f>
        <v>11.251899999999999</v>
      </c>
      <c r="G404" s="8">
        <f>10.3611 * CHOOSE( CONTROL!$C$15, $D$11, 100%, $F$11)</f>
        <v>10.3611</v>
      </c>
      <c r="H404" s="4">
        <f>11.2941 * CHOOSE(CONTROL!$C$15, $D$11, 100%, $F$11)</f>
        <v>11.2941</v>
      </c>
      <c r="I404" s="8">
        <f>10.2809 * CHOOSE(CONTROL!$C$15, $D$11, 100%, $F$11)</f>
        <v>10.280900000000001</v>
      </c>
      <c r="J404" s="4">
        <f>10.1871 * CHOOSE(CONTROL!$C$15, $D$11, 100%, $F$11)</f>
        <v>10.187099999999999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1.1791</v>
      </c>
      <c r="Q404" s="9">
        <v>19.6128</v>
      </c>
      <c r="R404" s="9"/>
      <c r="S404" s="11"/>
    </row>
    <row r="405" spans="1:19" ht="15.75">
      <c r="A405" s="13">
        <v>53843</v>
      </c>
      <c r="B405" s="8">
        <f>CHOOSE( CONTROL!$C$32, 10.8543, 10.8511) * CHOOSE(CONTROL!$C$15, $D$11, 100%, $F$11)</f>
        <v>10.8543</v>
      </c>
      <c r="C405" s="8">
        <f>CHOOSE( CONTROL!$C$32, 10.8623, 10.8591) * CHOOSE(CONTROL!$C$15, $D$11, 100%, $F$11)</f>
        <v>10.862299999999999</v>
      </c>
      <c r="D405" s="8">
        <f>CHOOSE( CONTROL!$C$32, 10.8647, 10.8615) * CHOOSE( CONTROL!$C$15, $D$11, 100%, $F$11)</f>
        <v>10.864699999999999</v>
      </c>
      <c r="E405" s="12">
        <f>CHOOSE( CONTROL!$C$32, 10.8626, 10.8594) * CHOOSE( CONTROL!$C$15, $D$11, 100%, $F$11)</f>
        <v>10.8626</v>
      </c>
      <c r="F405" s="4">
        <f>CHOOSE( CONTROL!$C$32, 11.5359, 11.5327) * CHOOSE(CONTROL!$C$15, $D$11, 100%, $F$11)</f>
        <v>11.5359</v>
      </c>
      <c r="G405" s="8">
        <f>CHOOSE( CONTROL!$C$32, 10.6415, 10.6384) * CHOOSE( CONTROL!$C$15, $D$11, 100%, $F$11)</f>
        <v>10.641500000000001</v>
      </c>
      <c r="H405" s="4">
        <f>CHOOSE( CONTROL!$C$32, 11.5733, 11.5702) * CHOOSE(CONTROL!$C$15, $D$11, 100%, $F$11)</f>
        <v>11.5733</v>
      </c>
      <c r="I405" s="8">
        <f>CHOOSE( CONTROL!$C$32, 10.5572, 10.5541) * CHOOSE(CONTROL!$C$15, $D$11, 100%, $F$11)</f>
        <v>10.5572</v>
      </c>
      <c r="J405" s="4">
        <f>CHOOSE( CONTROL!$C$32, 10.4616, 10.4585) * CHOOSE(CONTROL!$C$15, $D$11, 100%, $F$11)</f>
        <v>10.461600000000001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1.2183999999999999</v>
      </c>
      <c r="Q405" s="9">
        <v>20.2666</v>
      </c>
      <c r="R405" s="9"/>
      <c r="S405" s="11"/>
    </row>
    <row r="406" spans="1:19" ht="15.75">
      <c r="A406" s="13">
        <v>53873</v>
      </c>
      <c r="B406" s="8">
        <f>CHOOSE( CONTROL!$C$32, 10.6804, 10.6772) * CHOOSE(CONTROL!$C$15, $D$11, 100%, $F$11)</f>
        <v>10.680400000000001</v>
      </c>
      <c r="C406" s="8">
        <f>CHOOSE( CONTROL!$C$32, 10.6884, 10.6852) * CHOOSE(CONTROL!$C$15, $D$11, 100%, $F$11)</f>
        <v>10.6884</v>
      </c>
      <c r="D406" s="8">
        <f>CHOOSE( CONTROL!$C$32, 10.691, 10.6878) * CHOOSE( CONTROL!$C$15, $D$11, 100%, $F$11)</f>
        <v>10.691000000000001</v>
      </c>
      <c r="E406" s="12">
        <f>CHOOSE( CONTROL!$C$32, 10.6888, 10.6856) * CHOOSE( CONTROL!$C$15, $D$11, 100%, $F$11)</f>
        <v>10.688800000000001</v>
      </c>
      <c r="F406" s="4">
        <f>CHOOSE( CONTROL!$C$32, 11.3619, 11.3587) * CHOOSE(CONTROL!$C$15, $D$11, 100%, $F$11)</f>
        <v>11.3619</v>
      </c>
      <c r="G406" s="8">
        <f>CHOOSE( CONTROL!$C$32, 10.4709, 10.4678) * CHOOSE( CONTROL!$C$15, $D$11, 100%, $F$11)</f>
        <v>10.4709</v>
      </c>
      <c r="H406" s="4">
        <f>CHOOSE( CONTROL!$C$32, 11.4023, 11.3991) * CHOOSE(CONTROL!$C$15, $D$11, 100%, $F$11)</f>
        <v>11.4023</v>
      </c>
      <c r="I406" s="8">
        <f>CHOOSE( CONTROL!$C$32, 10.3903, 10.3873) * CHOOSE(CONTROL!$C$15, $D$11, 100%, $F$11)</f>
        <v>10.3903</v>
      </c>
      <c r="J406" s="4">
        <f>CHOOSE( CONTROL!$C$32, 10.2935, 10.2904) * CHOOSE(CONTROL!$C$15, $D$11, 100%, $F$11)</f>
        <v>10.2935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1.1791</v>
      </c>
      <c r="Q406" s="9">
        <v>19.6128</v>
      </c>
      <c r="R406" s="9"/>
      <c r="S406" s="11"/>
    </row>
    <row r="407" spans="1:19" ht="15.75">
      <c r="A407" s="13">
        <v>53904</v>
      </c>
      <c r="B407" s="8">
        <f>CHOOSE( CONTROL!$C$32, 11.1384, 11.1352) * CHOOSE(CONTROL!$C$15, $D$11, 100%, $F$11)</f>
        <v>11.138400000000001</v>
      </c>
      <c r="C407" s="8">
        <f>CHOOSE( CONTROL!$C$32, 11.1464, 11.1432) * CHOOSE(CONTROL!$C$15, $D$11, 100%, $F$11)</f>
        <v>11.1464</v>
      </c>
      <c r="D407" s="8">
        <f>CHOOSE( CONTROL!$C$32, 11.1494, 11.1462) * CHOOSE( CONTROL!$C$15, $D$11, 100%, $F$11)</f>
        <v>11.1494</v>
      </c>
      <c r="E407" s="12">
        <f>CHOOSE( CONTROL!$C$32, 11.1471, 11.1439) * CHOOSE( CONTROL!$C$15, $D$11, 100%, $F$11)</f>
        <v>11.1471</v>
      </c>
      <c r="F407" s="4">
        <f>CHOOSE( CONTROL!$C$32, 11.82, 11.8168) * CHOOSE(CONTROL!$C$15, $D$11, 100%, $F$11)</f>
        <v>11.82</v>
      </c>
      <c r="G407" s="8">
        <f>CHOOSE( CONTROL!$C$32, 10.9218, 10.9187) * CHOOSE( CONTROL!$C$15, $D$11, 100%, $F$11)</f>
        <v>10.921799999999999</v>
      </c>
      <c r="H407" s="4">
        <f>CHOOSE( CONTROL!$C$32, 11.8527, 11.8496) * CHOOSE(CONTROL!$C$15, $D$11, 100%, $F$11)</f>
        <v>11.8527</v>
      </c>
      <c r="I407" s="8">
        <f>CHOOSE( CONTROL!$C$32, 10.8348, 10.8317) * CHOOSE(CONTROL!$C$15, $D$11, 100%, $F$11)</f>
        <v>10.8348</v>
      </c>
      <c r="J407" s="4">
        <f>CHOOSE( CONTROL!$C$32, 10.7363, 10.7332) * CHOOSE(CONTROL!$C$15, $D$11, 100%, $F$11)</f>
        <v>10.7363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20.2666</v>
      </c>
      <c r="R407" s="9"/>
      <c r="S407" s="11"/>
    </row>
    <row r="408" spans="1:19" ht="15.75">
      <c r="A408" s="13">
        <v>53935</v>
      </c>
      <c r="B408" s="8">
        <f>CHOOSE( CONTROL!$C$32, 10.2814, 10.2782) * CHOOSE(CONTROL!$C$15, $D$11, 100%, $F$11)</f>
        <v>10.2814</v>
      </c>
      <c r="C408" s="8">
        <f>CHOOSE( CONTROL!$C$32, 10.2894, 10.2862) * CHOOSE(CONTROL!$C$15, $D$11, 100%, $F$11)</f>
        <v>10.289400000000001</v>
      </c>
      <c r="D408" s="8">
        <f>CHOOSE( CONTROL!$C$32, 10.2925, 10.2893) * CHOOSE( CONTROL!$C$15, $D$11, 100%, $F$11)</f>
        <v>10.2925</v>
      </c>
      <c r="E408" s="12">
        <f>CHOOSE( CONTROL!$C$32, 10.2902, 10.287) * CHOOSE( CONTROL!$C$15, $D$11, 100%, $F$11)</f>
        <v>10.2902</v>
      </c>
      <c r="F408" s="4">
        <f>CHOOSE( CONTROL!$C$32, 10.9629, 10.9597) * CHOOSE(CONTROL!$C$15, $D$11, 100%, $F$11)</f>
        <v>10.962899999999999</v>
      </c>
      <c r="G408" s="8">
        <f>CHOOSE( CONTROL!$C$32, 10.0792, 10.0761) * CHOOSE( CONTROL!$C$15, $D$11, 100%, $F$11)</f>
        <v>10.0792</v>
      </c>
      <c r="H408" s="4">
        <f>CHOOSE( CONTROL!$C$32, 11.0099, 11.0067) * CHOOSE(CONTROL!$C$15, $D$11, 100%, $F$11)</f>
        <v>11.0099</v>
      </c>
      <c r="I408" s="8">
        <f>CHOOSE( CONTROL!$C$32, 10.0066, 10.0036) * CHOOSE(CONTROL!$C$15, $D$11, 100%, $F$11)</f>
        <v>10.006600000000001</v>
      </c>
      <c r="J408" s="4">
        <f>CHOOSE( CONTROL!$C$32, 9.9078, 9.9047) * CHOOSE(CONTROL!$C$15, $D$11, 100%, $F$11)</f>
        <v>9.9077999999999999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1.2183999999999999</v>
      </c>
      <c r="Q408" s="9">
        <v>20.2666</v>
      </c>
      <c r="R408" s="9"/>
      <c r="S408" s="11"/>
    </row>
    <row r="409" spans="1:19" ht="15.75">
      <c r="A409" s="13">
        <v>53965</v>
      </c>
      <c r="B409" s="8">
        <f>CHOOSE( CONTROL!$C$32, 10.0667, 10.0635) * CHOOSE(CONTROL!$C$15, $D$11, 100%, $F$11)</f>
        <v>10.066700000000001</v>
      </c>
      <c r="C409" s="8">
        <f>CHOOSE( CONTROL!$C$32, 10.0748, 10.0716) * CHOOSE(CONTROL!$C$15, $D$11, 100%, $F$11)</f>
        <v>10.0748</v>
      </c>
      <c r="D409" s="8">
        <f>CHOOSE( CONTROL!$C$32, 10.0779, 10.0747) * CHOOSE( CONTROL!$C$15, $D$11, 100%, $F$11)</f>
        <v>10.0779</v>
      </c>
      <c r="E409" s="12">
        <f>CHOOSE( CONTROL!$C$32, 10.0755, 10.0723) * CHOOSE( CONTROL!$C$15, $D$11, 100%, $F$11)</f>
        <v>10.0755</v>
      </c>
      <c r="F409" s="4">
        <f>CHOOSE( CONTROL!$C$32, 10.7483, 10.7451) * CHOOSE(CONTROL!$C$15, $D$11, 100%, $F$11)</f>
        <v>10.7483</v>
      </c>
      <c r="G409" s="8">
        <f>CHOOSE( CONTROL!$C$32, 9.8682, 9.8651) * CHOOSE( CONTROL!$C$15, $D$11, 100%, $F$11)</f>
        <v>9.8681999999999999</v>
      </c>
      <c r="H409" s="4">
        <f>CHOOSE( CONTROL!$C$32, 10.7988, 10.7957) * CHOOSE(CONTROL!$C$15, $D$11, 100%, $F$11)</f>
        <v>10.7988</v>
      </c>
      <c r="I409" s="8">
        <f>CHOOSE( CONTROL!$C$32, 9.7992, 9.7961) * CHOOSE(CONTROL!$C$15, $D$11, 100%, $F$11)</f>
        <v>9.7992000000000008</v>
      </c>
      <c r="J409" s="4">
        <f>CHOOSE( CONTROL!$C$32, 9.7003, 9.6972) * CHOOSE(CONTROL!$C$15, $D$11, 100%, $F$11)</f>
        <v>9.7003000000000004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1.1791</v>
      </c>
      <c r="Q409" s="9">
        <v>19.6128</v>
      </c>
      <c r="R409" s="9"/>
      <c r="S409" s="11"/>
    </row>
    <row r="410" spans="1:19" ht="15.75">
      <c r="A410" s="13">
        <v>53996</v>
      </c>
      <c r="B410" s="8">
        <f>10.5074 * CHOOSE(CONTROL!$C$15, $D$11, 100%, $F$11)</f>
        <v>10.507400000000001</v>
      </c>
      <c r="C410" s="8">
        <f>10.5128 * CHOOSE(CONTROL!$C$15, $D$11, 100%, $F$11)</f>
        <v>10.5128</v>
      </c>
      <c r="D410" s="8">
        <f>10.5207 * CHOOSE( CONTROL!$C$15, $D$11, 100%, $F$11)</f>
        <v>10.5207</v>
      </c>
      <c r="E410" s="12">
        <f>10.5175 * CHOOSE( CONTROL!$C$15, $D$11, 100%, $F$11)</f>
        <v>10.5175</v>
      </c>
      <c r="F410" s="4">
        <f>11.1907 * CHOOSE(CONTROL!$C$15, $D$11, 100%, $F$11)</f>
        <v>11.1907</v>
      </c>
      <c r="G410" s="8">
        <f>10.3028 * CHOOSE( CONTROL!$C$15, $D$11, 100%, $F$11)</f>
        <v>10.3028</v>
      </c>
      <c r="H410" s="4">
        <f>11.2339 * CHOOSE(CONTROL!$C$15, $D$11, 100%, $F$11)</f>
        <v>11.2339</v>
      </c>
      <c r="I410" s="8">
        <f>10.2277 * CHOOSE(CONTROL!$C$15, $D$11, 100%, $F$11)</f>
        <v>10.2277</v>
      </c>
      <c r="J410" s="4">
        <f>10.128 * CHOOSE(CONTROL!$C$15, $D$11, 100%, $F$11)</f>
        <v>10.128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1.2183999999999999</v>
      </c>
      <c r="Q410" s="9">
        <v>20.2666</v>
      </c>
      <c r="R410" s="9"/>
      <c r="S410" s="11"/>
    </row>
    <row r="411" spans="1:19" ht="15.75">
      <c r="A411" s="13">
        <v>54026</v>
      </c>
      <c r="B411" s="8">
        <f>11.3296 * CHOOSE(CONTROL!$C$15, $D$11, 100%, $F$11)</f>
        <v>11.329599999999999</v>
      </c>
      <c r="C411" s="8">
        <f>11.3347 * CHOOSE(CONTROL!$C$15, $D$11, 100%, $F$11)</f>
        <v>11.3347</v>
      </c>
      <c r="D411" s="8">
        <f>11.3122 * CHOOSE( CONTROL!$C$15, $D$11, 100%, $F$11)</f>
        <v>11.312200000000001</v>
      </c>
      <c r="E411" s="12">
        <f>11.3199 * CHOOSE( CONTROL!$C$15, $D$11, 100%, $F$11)</f>
        <v>11.319900000000001</v>
      </c>
      <c r="F411" s="4">
        <f>11.9745 * CHOOSE(CONTROL!$C$15, $D$11, 100%, $F$11)</f>
        <v>11.974500000000001</v>
      </c>
      <c r="G411" s="8">
        <f>11.1243 * CHOOSE( CONTROL!$C$15, $D$11, 100%, $F$11)</f>
        <v>11.1243</v>
      </c>
      <c r="H411" s="4">
        <f>12.0047 * CHOOSE(CONTROL!$C$15, $D$11, 100%, $F$11)</f>
        <v>12.0047</v>
      </c>
      <c r="I411" s="8">
        <f>11.0489 * CHOOSE(CONTROL!$C$15, $D$11, 100%, $F$11)</f>
        <v>11.0489</v>
      </c>
      <c r="J411" s="4">
        <f>10.9231 * CHOOSE(CONTROL!$C$15, $D$11, 100%, $F$11)</f>
        <v>10.9231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19.6128</v>
      </c>
      <c r="R411" s="9"/>
      <c r="S411" s="11"/>
    </row>
    <row r="412" spans="1:19" ht="15.75">
      <c r="A412" s="13">
        <v>54057</v>
      </c>
      <c r="B412" s="8">
        <f>11.309 * CHOOSE(CONTROL!$C$15, $D$11, 100%, $F$11)</f>
        <v>11.308999999999999</v>
      </c>
      <c r="C412" s="8">
        <f>11.3141 * CHOOSE(CONTROL!$C$15, $D$11, 100%, $F$11)</f>
        <v>11.3141</v>
      </c>
      <c r="D412" s="8">
        <f>11.2931 * CHOOSE( CONTROL!$C$15, $D$11, 100%, $F$11)</f>
        <v>11.293100000000001</v>
      </c>
      <c r="E412" s="12">
        <f>11.3002 * CHOOSE( CONTROL!$C$15, $D$11, 100%, $F$11)</f>
        <v>11.3002</v>
      </c>
      <c r="F412" s="4">
        <f>11.9539 * CHOOSE(CONTROL!$C$15, $D$11, 100%, $F$11)</f>
        <v>11.953900000000001</v>
      </c>
      <c r="G412" s="8">
        <f>11.1052 * CHOOSE( CONTROL!$C$15, $D$11, 100%, $F$11)</f>
        <v>11.1052</v>
      </c>
      <c r="H412" s="4">
        <f>11.9844 * CHOOSE(CONTROL!$C$15, $D$11, 100%, $F$11)</f>
        <v>11.984400000000001</v>
      </c>
      <c r="I412" s="8">
        <f>11.0336 * CHOOSE(CONTROL!$C$15, $D$11, 100%, $F$11)</f>
        <v>11.0336</v>
      </c>
      <c r="J412" s="4">
        <f>10.9033 * CHOOSE(CONTROL!$C$15, $D$11, 100%, $F$11)</f>
        <v>10.9033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20.2666</v>
      </c>
      <c r="R412" s="9"/>
      <c r="S412" s="11"/>
    </row>
    <row r="413" spans="1:19" ht="15.75">
      <c r="A413" s="13">
        <v>54088</v>
      </c>
      <c r="B413" s="8">
        <f>11.7401 * CHOOSE(CONTROL!$C$15, $D$11, 100%, $F$11)</f>
        <v>11.7401</v>
      </c>
      <c r="C413" s="8">
        <f>11.7452 * CHOOSE(CONTROL!$C$15, $D$11, 100%, $F$11)</f>
        <v>11.745200000000001</v>
      </c>
      <c r="D413" s="8">
        <f>11.7232 * CHOOSE( CONTROL!$C$15, $D$11, 100%, $F$11)</f>
        <v>11.7232</v>
      </c>
      <c r="E413" s="12">
        <f>11.7307 * CHOOSE( CONTROL!$C$15, $D$11, 100%, $F$11)</f>
        <v>11.730700000000001</v>
      </c>
      <c r="F413" s="4">
        <f>12.385 * CHOOSE(CONTROL!$C$15, $D$11, 100%, $F$11)</f>
        <v>12.385</v>
      </c>
      <c r="G413" s="8">
        <f>11.5265 * CHOOSE( CONTROL!$C$15, $D$11, 100%, $F$11)</f>
        <v>11.5265</v>
      </c>
      <c r="H413" s="4">
        <f>12.4084 * CHOOSE(CONTROL!$C$15, $D$11, 100%, $F$11)</f>
        <v>12.4084</v>
      </c>
      <c r="I413" s="8">
        <f>11.4223 * CHOOSE(CONTROL!$C$15, $D$11, 100%, $F$11)</f>
        <v>11.4223</v>
      </c>
      <c r="J413" s="4">
        <f>11.32 * CHOOSE(CONTROL!$C$15, $D$11, 100%, $F$11)</f>
        <v>11.32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20.201499999999999</v>
      </c>
      <c r="R413" s="9"/>
      <c r="S413" s="11"/>
    </row>
    <row r="414" spans="1:19" ht="15.75">
      <c r="A414" s="13">
        <v>54116</v>
      </c>
      <c r="B414" s="8">
        <f>10.9831 * CHOOSE(CONTROL!$C$15, $D$11, 100%, $F$11)</f>
        <v>10.9831</v>
      </c>
      <c r="C414" s="8">
        <f>10.9882 * CHOOSE(CONTROL!$C$15, $D$11, 100%, $F$11)</f>
        <v>10.988200000000001</v>
      </c>
      <c r="D414" s="8">
        <f>10.9618 * CHOOSE( CONTROL!$C$15, $D$11, 100%, $F$11)</f>
        <v>10.9618</v>
      </c>
      <c r="E414" s="12">
        <f>10.9709 * CHOOSE( CONTROL!$C$15, $D$11, 100%, $F$11)</f>
        <v>10.9709</v>
      </c>
      <c r="F414" s="4">
        <f>11.6279 * CHOOSE(CONTROL!$C$15, $D$11, 100%, $F$11)</f>
        <v>11.6279</v>
      </c>
      <c r="G414" s="8">
        <f>10.7736 * CHOOSE( CONTROL!$C$15, $D$11, 100%, $F$11)</f>
        <v>10.7736</v>
      </c>
      <c r="H414" s="4">
        <f>11.6639 * CHOOSE(CONTROL!$C$15, $D$11, 100%, $F$11)</f>
        <v>11.6639</v>
      </c>
      <c r="I414" s="8">
        <f>10.6611 * CHOOSE(CONTROL!$C$15, $D$11, 100%, $F$11)</f>
        <v>10.661099999999999</v>
      </c>
      <c r="J414" s="4">
        <f>10.5882 * CHOOSE(CONTROL!$C$15, $D$11, 100%, $F$11)</f>
        <v>10.588200000000001</v>
      </c>
      <c r="K414" s="4"/>
      <c r="L414" s="9">
        <v>27.415299999999998</v>
      </c>
      <c r="M414" s="9">
        <v>11.285299999999999</v>
      </c>
      <c r="N414" s="9">
        <v>4.6254999999999997</v>
      </c>
      <c r="O414" s="9">
        <v>0.34989999999999999</v>
      </c>
      <c r="P414" s="9">
        <v>1.2093</v>
      </c>
      <c r="Q414" s="9">
        <v>18.898099999999999</v>
      </c>
      <c r="R414" s="9"/>
      <c r="S414" s="11"/>
    </row>
    <row r="415" spans="1:19" ht="15.75">
      <c r="A415" s="13">
        <v>54148</v>
      </c>
      <c r="B415" s="8">
        <f>10.7499 * CHOOSE(CONTROL!$C$15, $D$11, 100%, $F$11)</f>
        <v>10.7499</v>
      </c>
      <c r="C415" s="8">
        <f>10.755 * CHOOSE(CONTROL!$C$15, $D$11, 100%, $F$11)</f>
        <v>10.755000000000001</v>
      </c>
      <c r="D415" s="8">
        <f>10.729 * CHOOSE( CONTROL!$C$15, $D$11, 100%, $F$11)</f>
        <v>10.728999999999999</v>
      </c>
      <c r="E415" s="12">
        <f>10.738 * CHOOSE( CONTROL!$C$15, $D$11, 100%, $F$11)</f>
        <v>10.738</v>
      </c>
      <c r="F415" s="4">
        <f>11.3948 * CHOOSE(CONTROL!$C$15, $D$11, 100%, $F$11)</f>
        <v>11.3948</v>
      </c>
      <c r="G415" s="8">
        <f>10.5445 * CHOOSE( CONTROL!$C$15, $D$11, 100%, $F$11)</f>
        <v>10.544499999999999</v>
      </c>
      <c r="H415" s="4">
        <f>11.4346 * CHOOSE(CONTROL!$C$15, $D$11, 100%, $F$11)</f>
        <v>11.4346</v>
      </c>
      <c r="I415" s="8">
        <f>10.4369 * CHOOSE(CONTROL!$C$15, $D$11, 100%, $F$11)</f>
        <v>10.4369</v>
      </c>
      <c r="J415" s="4">
        <f>10.3628 * CHOOSE(CONTROL!$C$15, $D$11, 100%, $F$11)</f>
        <v>10.3628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20.201499999999999</v>
      </c>
      <c r="R415" s="9"/>
      <c r="S415" s="11"/>
    </row>
    <row r="416" spans="1:19" ht="15.75">
      <c r="A416" s="13">
        <v>54178</v>
      </c>
      <c r="B416" s="8">
        <f>10.9136 * CHOOSE(CONTROL!$C$15, $D$11, 100%, $F$11)</f>
        <v>10.913600000000001</v>
      </c>
      <c r="C416" s="8">
        <f>10.9181 * CHOOSE(CONTROL!$C$15, $D$11, 100%, $F$11)</f>
        <v>10.918100000000001</v>
      </c>
      <c r="D416" s="8">
        <f>10.9253 * CHOOSE( CONTROL!$C$15, $D$11, 100%, $F$11)</f>
        <v>10.9253</v>
      </c>
      <c r="E416" s="12">
        <f>10.9224 * CHOOSE( CONTROL!$C$15, $D$11, 100%, $F$11)</f>
        <v>10.9224</v>
      </c>
      <c r="F416" s="4">
        <f>11.5965 * CHOOSE(CONTROL!$C$15, $D$11, 100%, $F$11)</f>
        <v>11.596500000000001</v>
      </c>
      <c r="G416" s="8">
        <f>10.7 * CHOOSE( CONTROL!$C$15, $D$11, 100%, $F$11)</f>
        <v>10.7</v>
      </c>
      <c r="H416" s="4">
        <f>11.633 * CHOOSE(CONTROL!$C$15, $D$11, 100%, $F$11)</f>
        <v>11.632999999999999</v>
      </c>
      <c r="I416" s="8">
        <f>10.6143 * CHOOSE(CONTROL!$C$15, $D$11, 100%, $F$11)</f>
        <v>10.6143</v>
      </c>
      <c r="J416" s="4">
        <f>10.5203 * CHOOSE(CONTROL!$C$15, $D$11, 100%, $F$11)</f>
        <v>10.520300000000001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1.1791</v>
      </c>
      <c r="Q416" s="9">
        <v>19.549800000000001</v>
      </c>
      <c r="R416" s="9"/>
      <c r="S416" s="11"/>
    </row>
    <row r="417" spans="1:19" ht="15.75">
      <c r="A417" s="13">
        <v>54209</v>
      </c>
      <c r="B417" s="8">
        <f>CHOOSE( CONTROL!$C$32, 11.2081, 11.2049) * CHOOSE(CONTROL!$C$15, $D$11, 100%, $F$11)</f>
        <v>11.2081</v>
      </c>
      <c r="C417" s="8">
        <f>CHOOSE( CONTROL!$C$32, 11.2161, 11.2129) * CHOOSE(CONTROL!$C$15, $D$11, 100%, $F$11)</f>
        <v>11.216100000000001</v>
      </c>
      <c r="D417" s="8">
        <f>CHOOSE( CONTROL!$C$32, 11.2185, 11.2153) * CHOOSE( CONTROL!$C$15, $D$11, 100%, $F$11)</f>
        <v>11.218500000000001</v>
      </c>
      <c r="E417" s="12">
        <f>CHOOSE( CONTROL!$C$32, 11.2164, 11.2132) * CHOOSE( CONTROL!$C$15, $D$11, 100%, $F$11)</f>
        <v>11.2164</v>
      </c>
      <c r="F417" s="4">
        <f>CHOOSE( CONTROL!$C$32, 11.8897, 11.8865) * CHOOSE(CONTROL!$C$15, $D$11, 100%, $F$11)</f>
        <v>11.889699999999999</v>
      </c>
      <c r="G417" s="8">
        <f>CHOOSE( CONTROL!$C$32, 10.9895, 10.9864) * CHOOSE( CONTROL!$C$15, $D$11, 100%, $F$11)</f>
        <v>10.9895</v>
      </c>
      <c r="H417" s="4">
        <f>CHOOSE( CONTROL!$C$32, 11.9213, 11.9181) * CHOOSE(CONTROL!$C$15, $D$11, 100%, $F$11)</f>
        <v>11.9213</v>
      </c>
      <c r="I417" s="8">
        <f>CHOOSE( CONTROL!$C$32, 10.8994, 10.8963) * CHOOSE(CONTROL!$C$15, $D$11, 100%, $F$11)</f>
        <v>10.8994</v>
      </c>
      <c r="J417" s="4">
        <f>CHOOSE( CONTROL!$C$32, 10.8037, 10.8006) * CHOOSE(CONTROL!$C$15, $D$11, 100%, $F$11)</f>
        <v>10.803699999999999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1.2183999999999999</v>
      </c>
      <c r="Q417" s="9">
        <v>20.201499999999999</v>
      </c>
      <c r="R417" s="9"/>
      <c r="S417" s="11"/>
    </row>
    <row r="418" spans="1:19" ht="15.75">
      <c r="A418" s="13">
        <v>54239</v>
      </c>
      <c r="B418" s="8">
        <f>CHOOSE( CONTROL!$C$32, 11.0285, 11.0253) * CHOOSE(CONTROL!$C$15, $D$11, 100%, $F$11)</f>
        <v>11.028499999999999</v>
      </c>
      <c r="C418" s="8">
        <f>CHOOSE( CONTROL!$C$32, 11.0365, 11.0333) * CHOOSE(CONTROL!$C$15, $D$11, 100%, $F$11)</f>
        <v>11.0365</v>
      </c>
      <c r="D418" s="8">
        <f>CHOOSE( CONTROL!$C$32, 11.0391, 11.0359) * CHOOSE( CONTROL!$C$15, $D$11, 100%, $F$11)</f>
        <v>11.039099999999999</v>
      </c>
      <c r="E418" s="12">
        <f>CHOOSE( CONTROL!$C$32, 11.0369, 11.0337) * CHOOSE( CONTROL!$C$15, $D$11, 100%, $F$11)</f>
        <v>11.036899999999999</v>
      </c>
      <c r="F418" s="4">
        <f>CHOOSE( CONTROL!$C$32, 11.7101, 11.7069) * CHOOSE(CONTROL!$C$15, $D$11, 100%, $F$11)</f>
        <v>11.710100000000001</v>
      </c>
      <c r="G418" s="8">
        <f>CHOOSE( CONTROL!$C$32, 10.8133, 10.8101) * CHOOSE( CONTROL!$C$15, $D$11, 100%, $F$11)</f>
        <v>10.8133</v>
      </c>
      <c r="H418" s="4">
        <f>CHOOSE( CONTROL!$C$32, 11.7446, 11.7415) * CHOOSE(CONTROL!$C$15, $D$11, 100%, $F$11)</f>
        <v>11.7446</v>
      </c>
      <c r="I418" s="8">
        <f>CHOOSE( CONTROL!$C$32, 10.727, 10.724) * CHOOSE(CONTROL!$C$15, $D$11, 100%, $F$11)</f>
        <v>10.727</v>
      </c>
      <c r="J418" s="4">
        <f>CHOOSE( CONTROL!$C$32, 10.63, 10.6269) * CHOOSE(CONTROL!$C$15, $D$11, 100%, $F$11)</f>
        <v>10.63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1.1791</v>
      </c>
      <c r="Q418" s="9">
        <v>19.549800000000001</v>
      </c>
      <c r="R418" s="9"/>
      <c r="S418" s="11"/>
    </row>
    <row r="419" spans="1:19" ht="15.75">
      <c r="A419" s="13">
        <v>54270</v>
      </c>
      <c r="B419" s="8">
        <f>CHOOSE( CONTROL!$C$32, 11.5015, 11.4983) * CHOOSE(CONTROL!$C$15, $D$11, 100%, $F$11)</f>
        <v>11.5015</v>
      </c>
      <c r="C419" s="8">
        <f>CHOOSE( CONTROL!$C$32, 11.5096, 11.5064) * CHOOSE(CONTROL!$C$15, $D$11, 100%, $F$11)</f>
        <v>11.509600000000001</v>
      </c>
      <c r="D419" s="8">
        <f>CHOOSE( CONTROL!$C$32, 11.5125, 11.5093) * CHOOSE( CONTROL!$C$15, $D$11, 100%, $F$11)</f>
        <v>11.512499999999999</v>
      </c>
      <c r="E419" s="12">
        <f>CHOOSE( CONTROL!$C$32, 11.5102, 11.507) * CHOOSE( CONTROL!$C$15, $D$11, 100%, $F$11)</f>
        <v>11.510199999999999</v>
      </c>
      <c r="F419" s="4">
        <f>CHOOSE( CONTROL!$C$32, 12.1831, 12.1799) * CHOOSE(CONTROL!$C$15, $D$11, 100%, $F$11)</f>
        <v>12.1831</v>
      </c>
      <c r="G419" s="8">
        <f>CHOOSE( CONTROL!$C$32, 11.2789, 11.2758) * CHOOSE( CONTROL!$C$15, $D$11, 100%, $F$11)</f>
        <v>11.2789</v>
      </c>
      <c r="H419" s="4">
        <f>CHOOSE( CONTROL!$C$32, 12.2098, 12.2067) * CHOOSE(CONTROL!$C$15, $D$11, 100%, $F$11)</f>
        <v>12.2098</v>
      </c>
      <c r="I419" s="8">
        <f>CHOOSE( CONTROL!$C$32, 11.186, 11.1829) * CHOOSE(CONTROL!$C$15, $D$11, 100%, $F$11)</f>
        <v>11.186</v>
      </c>
      <c r="J419" s="4">
        <f>CHOOSE( CONTROL!$C$32, 11.0873, 11.0842) * CHOOSE(CONTROL!$C$15, $D$11, 100%, $F$11)</f>
        <v>11.087300000000001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20.201499999999999</v>
      </c>
      <c r="R419" s="9"/>
      <c r="S419" s="11"/>
    </row>
    <row r="420" spans="1:19" ht="15.75">
      <c r="A420" s="13">
        <v>54301</v>
      </c>
      <c r="B420" s="8">
        <f>CHOOSE( CONTROL!$C$32, 10.6164, 10.6132) * CHOOSE(CONTROL!$C$15, $D$11, 100%, $F$11)</f>
        <v>10.616400000000001</v>
      </c>
      <c r="C420" s="8">
        <f>CHOOSE( CONTROL!$C$32, 10.6245, 10.6213) * CHOOSE(CONTROL!$C$15, $D$11, 100%, $F$11)</f>
        <v>10.624499999999999</v>
      </c>
      <c r="D420" s="8">
        <f>CHOOSE( CONTROL!$C$32, 10.6275, 10.6243) * CHOOSE( CONTROL!$C$15, $D$11, 100%, $F$11)</f>
        <v>10.6275</v>
      </c>
      <c r="E420" s="12">
        <f>CHOOSE( CONTROL!$C$32, 10.6252, 10.622) * CHOOSE( CONTROL!$C$15, $D$11, 100%, $F$11)</f>
        <v>10.6252</v>
      </c>
      <c r="F420" s="4">
        <f>CHOOSE( CONTROL!$C$32, 11.298, 11.2948) * CHOOSE(CONTROL!$C$15, $D$11, 100%, $F$11)</f>
        <v>11.298</v>
      </c>
      <c r="G420" s="8">
        <f>CHOOSE( CONTROL!$C$32, 10.4088, 10.4056) * CHOOSE( CONTROL!$C$15, $D$11, 100%, $F$11)</f>
        <v>10.408799999999999</v>
      </c>
      <c r="H420" s="4">
        <f>CHOOSE( CONTROL!$C$32, 11.3394, 11.3363) * CHOOSE(CONTROL!$C$15, $D$11, 100%, $F$11)</f>
        <v>11.339399999999999</v>
      </c>
      <c r="I420" s="8">
        <f>CHOOSE( CONTROL!$C$32, 10.3307, 10.3276) * CHOOSE(CONTROL!$C$15, $D$11, 100%, $F$11)</f>
        <v>10.3307</v>
      </c>
      <c r="J420" s="4">
        <f>CHOOSE( CONTROL!$C$32, 10.2317, 10.2286) * CHOOSE(CONTROL!$C$15, $D$11, 100%, $F$11)</f>
        <v>10.2317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1.2183999999999999</v>
      </c>
      <c r="Q420" s="9">
        <v>20.201499999999999</v>
      </c>
      <c r="R420" s="9"/>
      <c r="S420" s="11"/>
    </row>
    <row r="421" spans="1:19" ht="15.75">
      <c r="A421" s="13">
        <v>54331</v>
      </c>
      <c r="B421" s="8">
        <f>CHOOSE( CONTROL!$C$32, 10.3948, 10.3916) * CHOOSE(CONTROL!$C$15, $D$11, 100%, $F$11)</f>
        <v>10.3948</v>
      </c>
      <c r="C421" s="8">
        <f>CHOOSE( CONTROL!$C$32, 10.4028, 10.3996) * CHOOSE(CONTROL!$C$15, $D$11, 100%, $F$11)</f>
        <v>10.402799999999999</v>
      </c>
      <c r="D421" s="8">
        <f>CHOOSE( CONTROL!$C$32, 10.4059, 10.4027) * CHOOSE( CONTROL!$C$15, $D$11, 100%, $F$11)</f>
        <v>10.405900000000001</v>
      </c>
      <c r="E421" s="12">
        <f>CHOOSE( CONTROL!$C$32, 10.4036, 10.4004) * CHOOSE( CONTROL!$C$15, $D$11, 100%, $F$11)</f>
        <v>10.403600000000001</v>
      </c>
      <c r="F421" s="4">
        <f>CHOOSE( CONTROL!$C$32, 11.0764, 11.0732) * CHOOSE(CONTROL!$C$15, $D$11, 100%, $F$11)</f>
        <v>11.0764</v>
      </c>
      <c r="G421" s="8">
        <f>CHOOSE( CONTROL!$C$32, 10.1908, 10.1877) * CHOOSE( CONTROL!$C$15, $D$11, 100%, $F$11)</f>
        <v>10.190799999999999</v>
      </c>
      <c r="H421" s="4">
        <f>CHOOSE( CONTROL!$C$32, 11.1214, 11.1183) * CHOOSE(CONTROL!$C$15, $D$11, 100%, $F$11)</f>
        <v>11.1214</v>
      </c>
      <c r="I421" s="8">
        <f>CHOOSE( CONTROL!$C$32, 10.1165, 10.1134) * CHOOSE(CONTROL!$C$15, $D$11, 100%, $F$11)</f>
        <v>10.1165</v>
      </c>
      <c r="J421" s="4">
        <f>CHOOSE( CONTROL!$C$32, 10.0174, 10.0143) * CHOOSE(CONTROL!$C$15, $D$11, 100%, $F$11)</f>
        <v>10.0174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1.1791</v>
      </c>
      <c r="Q421" s="9">
        <v>19.549800000000001</v>
      </c>
      <c r="R421" s="9"/>
      <c r="S421" s="11"/>
    </row>
    <row r="422" spans="1:19" ht="15.75">
      <c r="A422" s="13">
        <v>54362</v>
      </c>
      <c r="B422" s="8">
        <f>10.8501 * CHOOSE(CONTROL!$C$15, $D$11, 100%, $F$11)</f>
        <v>10.850099999999999</v>
      </c>
      <c r="C422" s="8">
        <f>10.8554 * CHOOSE(CONTROL!$C$15, $D$11, 100%, $F$11)</f>
        <v>10.855399999999999</v>
      </c>
      <c r="D422" s="8">
        <f>10.8633 * CHOOSE( CONTROL!$C$15, $D$11, 100%, $F$11)</f>
        <v>10.863300000000001</v>
      </c>
      <c r="E422" s="12">
        <f>10.8601 * CHOOSE( CONTROL!$C$15, $D$11, 100%, $F$11)</f>
        <v>10.860099999999999</v>
      </c>
      <c r="F422" s="4">
        <f>11.5333 * CHOOSE(CONTROL!$C$15, $D$11, 100%, $F$11)</f>
        <v>11.533300000000001</v>
      </c>
      <c r="G422" s="8">
        <f>10.6398 * CHOOSE( CONTROL!$C$15, $D$11, 100%, $F$11)</f>
        <v>10.639799999999999</v>
      </c>
      <c r="H422" s="4">
        <f>11.5709 * CHOOSE(CONTROL!$C$15, $D$11, 100%, $F$11)</f>
        <v>11.5709</v>
      </c>
      <c r="I422" s="8">
        <f>10.5591 * CHOOSE(CONTROL!$C$15, $D$11, 100%, $F$11)</f>
        <v>10.559100000000001</v>
      </c>
      <c r="J422" s="4">
        <f>10.4592 * CHOOSE(CONTROL!$C$15, $D$11, 100%, $F$11)</f>
        <v>10.459199999999999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1.2183999999999999</v>
      </c>
      <c r="Q422" s="9">
        <v>20.201499999999999</v>
      </c>
      <c r="R422" s="9"/>
      <c r="S422" s="11"/>
    </row>
    <row r="423" spans="1:19" ht="15.75">
      <c r="A423" s="13">
        <v>54392</v>
      </c>
      <c r="B423" s="8">
        <f>11.6991 * CHOOSE(CONTROL!$C$15, $D$11, 100%, $F$11)</f>
        <v>11.6991</v>
      </c>
      <c r="C423" s="8">
        <f>11.7042 * CHOOSE(CONTROL!$C$15, $D$11, 100%, $F$11)</f>
        <v>11.7042</v>
      </c>
      <c r="D423" s="8">
        <f>11.6817 * CHOOSE( CONTROL!$C$15, $D$11, 100%, $F$11)</f>
        <v>11.681699999999999</v>
      </c>
      <c r="E423" s="12">
        <f>11.6894 * CHOOSE( CONTROL!$C$15, $D$11, 100%, $F$11)</f>
        <v>11.689399999999999</v>
      </c>
      <c r="F423" s="4">
        <f>12.344 * CHOOSE(CONTROL!$C$15, $D$11, 100%, $F$11)</f>
        <v>12.343999999999999</v>
      </c>
      <c r="G423" s="8">
        <f>11.4877 * CHOOSE( CONTROL!$C$15, $D$11, 100%, $F$11)</f>
        <v>11.4877</v>
      </c>
      <c r="H423" s="4">
        <f>12.3681 * CHOOSE(CONTROL!$C$15, $D$11, 100%, $F$11)</f>
        <v>12.3681</v>
      </c>
      <c r="I423" s="8">
        <f>11.4063 * CHOOSE(CONTROL!$C$15, $D$11, 100%, $F$11)</f>
        <v>11.4063</v>
      </c>
      <c r="J423" s="4">
        <f>11.2803 * CHOOSE(CONTROL!$C$15, $D$11, 100%, $F$11)</f>
        <v>11.2803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19.549800000000001</v>
      </c>
      <c r="R423" s="9"/>
      <c r="S423" s="11"/>
    </row>
    <row r="424" spans="1:19" ht="15.75">
      <c r="A424" s="13">
        <v>54423</v>
      </c>
      <c r="B424" s="8">
        <f>11.6779 * CHOOSE(CONTROL!$C$15, $D$11, 100%, $F$11)</f>
        <v>11.677899999999999</v>
      </c>
      <c r="C424" s="8">
        <f>11.683 * CHOOSE(CONTROL!$C$15, $D$11, 100%, $F$11)</f>
        <v>11.683</v>
      </c>
      <c r="D424" s="8">
        <f>11.6619 * CHOOSE( CONTROL!$C$15, $D$11, 100%, $F$11)</f>
        <v>11.661899999999999</v>
      </c>
      <c r="E424" s="12">
        <f>11.6691 * CHOOSE( CONTROL!$C$15, $D$11, 100%, $F$11)</f>
        <v>11.6691</v>
      </c>
      <c r="F424" s="4">
        <f>12.3228 * CHOOSE(CONTROL!$C$15, $D$11, 100%, $F$11)</f>
        <v>12.322800000000001</v>
      </c>
      <c r="G424" s="8">
        <f>11.4679 * CHOOSE( CONTROL!$C$15, $D$11, 100%, $F$11)</f>
        <v>11.4679</v>
      </c>
      <c r="H424" s="4">
        <f>12.3472 * CHOOSE(CONTROL!$C$15, $D$11, 100%, $F$11)</f>
        <v>12.347200000000001</v>
      </c>
      <c r="I424" s="8">
        <f>11.3904 * CHOOSE(CONTROL!$C$15, $D$11, 100%, $F$11)</f>
        <v>11.3904</v>
      </c>
      <c r="J424" s="4">
        <f>11.2598 * CHOOSE(CONTROL!$C$15, $D$11, 100%, $F$11)</f>
        <v>11.2598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20.201499999999999</v>
      </c>
      <c r="R424" s="9"/>
      <c r="S424" s="11"/>
    </row>
    <row r="425" spans="1:19" ht="15.75">
      <c r="A425" s="13">
        <v>54454</v>
      </c>
      <c r="B425" s="8">
        <f>12.123 * CHOOSE(CONTROL!$C$15, $D$11, 100%, $F$11)</f>
        <v>12.122999999999999</v>
      </c>
      <c r="C425" s="8">
        <f>12.1282 * CHOOSE(CONTROL!$C$15, $D$11, 100%, $F$11)</f>
        <v>12.1282</v>
      </c>
      <c r="D425" s="8">
        <f>12.1062 * CHOOSE( CONTROL!$C$15, $D$11, 100%, $F$11)</f>
        <v>12.106199999999999</v>
      </c>
      <c r="E425" s="12">
        <f>12.1137 * CHOOSE( CONTROL!$C$15, $D$11, 100%, $F$11)</f>
        <v>12.1137</v>
      </c>
      <c r="F425" s="4">
        <f>12.7679 * CHOOSE(CONTROL!$C$15, $D$11, 100%, $F$11)</f>
        <v>12.767899999999999</v>
      </c>
      <c r="G425" s="8">
        <f>11.9031 * CHOOSE( CONTROL!$C$15, $D$11, 100%, $F$11)</f>
        <v>11.9031</v>
      </c>
      <c r="H425" s="4">
        <f>12.785 * CHOOSE(CONTROL!$C$15, $D$11, 100%, $F$11)</f>
        <v>12.785</v>
      </c>
      <c r="I425" s="8">
        <f>11.7927 * CHOOSE(CONTROL!$C$15, $D$11, 100%, $F$11)</f>
        <v>11.7927</v>
      </c>
      <c r="J425" s="4">
        <f>11.6902 * CHOOSE(CONTROL!$C$15, $D$11, 100%, $F$11)</f>
        <v>11.690200000000001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20.136399999999998</v>
      </c>
      <c r="R425" s="9"/>
      <c r="S425" s="11"/>
    </row>
    <row r="426" spans="1:19" ht="15.75">
      <c r="A426" s="13">
        <v>54482</v>
      </c>
      <c r="B426" s="8">
        <f>11.3413 * CHOOSE(CONTROL!$C$15, $D$11, 100%, $F$11)</f>
        <v>11.3413</v>
      </c>
      <c r="C426" s="8">
        <f>11.3464 * CHOOSE(CONTROL!$C$15, $D$11, 100%, $F$11)</f>
        <v>11.346399999999999</v>
      </c>
      <c r="D426" s="8">
        <f>11.32 * CHOOSE( CONTROL!$C$15, $D$11, 100%, $F$11)</f>
        <v>11.32</v>
      </c>
      <c r="E426" s="12">
        <f>11.3291 * CHOOSE( CONTROL!$C$15, $D$11, 100%, $F$11)</f>
        <v>11.3291</v>
      </c>
      <c r="F426" s="4">
        <f>11.9861 * CHOOSE(CONTROL!$C$15, $D$11, 100%, $F$11)</f>
        <v>11.9861</v>
      </c>
      <c r="G426" s="8">
        <f>11.1258 * CHOOSE( CONTROL!$C$15, $D$11, 100%, $F$11)</f>
        <v>11.1258</v>
      </c>
      <c r="H426" s="4">
        <f>12.0162 * CHOOSE(CONTROL!$C$15, $D$11, 100%, $F$11)</f>
        <v>12.0162</v>
      </c>
      <c r="I426" s="8">
        <f>11.0076 * CHOOSE(CONTROL!$C$15, $D$11, 100%, $F$11)</f>
        <v>11.0076</v>
      </c>
      <c r="J426" s="4">
        <f>10.9344 * CHOOSE(CONTROL!$C$15, $D$11, 100%, $F$11)</f>
        <v>10.9344</v>
      </c>
      <c r="K426" s="4"/>
      <c r="L426" s="9">
        <v>26.469899999999999</v>
      </c>
      <c r="M426" s="9">
        <v>10.8962</v>
      </c>
      <c r="N426" s="9">
        <v>4.4660000000000002</v>
      </c>
      <c r="O426" s="9">
        <v>0.33789999999999998</v>
      </c>
      <c r="P426" s="9">
        <v>1.1676</v>
      </c>
      <c r="Q426" s="9">
        <v>18.1877</v>
      </c>
      <c r="R426" s="9"/>
      <c r="S426" s="11"/>
    </row>
    <row r="427" spans="1:19" ht="15.75">
      <c r="A427" s="13">
        <v>54513</v>
      </c>
      <c r="B427" s="8">
        <f>11.1005 * CHOOSE(CONTROL!$C$15, $D$11, 100%, $F$11)</f>
        <v>11.1005</v>
      </c>
      <c r="C427" s="8">
        <f>11.1056 * CHOOSE(CONTROL!$C$15, $D$11, 100%, $F$11)</f>
        <v>11.105600000000001</v>
      </c>
      <c r="D427" s="8">
        <f>11.0796 * CHOOSE( CONTROL!$C$15, $D$11, 100%, $F$11)</f>
        <v>11.079599999999999</v>
      </c>
      <c r="E427" s="12">
        <f>11.0886 * CHOOSE( CONTROL!$C$15, $D$11, 100%, $F$11)</f>
        <v>11.0886</v>
      </c>
      <c r="F427" s="4">
        <f>11.7454 * CHOOSE(CONTROL!$C$15, $D$11, 100%, $F$11)</f>
        <v>11.7454</v>
      </c>
      <c r="G427" s="8">
        <f>10.8893 * CHOOSE( CONTROL!$C$15, $D$11, 100%, $F$11)</f>
        <v>10.8893</v>
      </c>
      <c r="H427" s="4">
        <f>11.7794 * CHOOSE(CONTROL!$C$15, $D$11, 100%, $F$11)</f>
        <v>11.779400000000001</v>
      </c>
      <c r="I427" s="8">
        <f>10.7759 * CHOOSE(CONTROL!$C$15, $D$11, 100%, $F$11)</f>
        <v>10.7759</v>
      </c>
      <c r="J427" s="4">
        <f>10.7017 * CHOOSE(CONTROL!$C$15, $D$11, 100%, $F$11)</f>
        <v>10.701700000000001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20.136399999999998</v>
      </c>
      <c r="R427" s="9"/>
      <c r="S427" s="11"/>
    </row>
    <row r="428" spans="1:19" ht="15.75">
      <c r="A428" s="13">
        <v>54543</v>
      </c>
      <c r="B428" s="8">
        <f>11.2695 * CHOOSE(CONTROL!$C$15, $D$11, 100%, $F$11)</f>
        <v>11.269500000000001</v>
      </c>
      <c r="C428" s="8">
        <f>11.274 * CHOOSE(CONTROL!$C$15, $D$11, 100%, $F$11)</f>
        <v>11.273999999999999</v>
      </c>
      <c r="D428" s="8">
        <f>11.2812 * CHOOSE( CONTROL!$C$15, $D$11, 100%, $F$11)</f>
        <v>11.2812</v>
      </c>
      <c r="E428" s="12">
        <f>11.2783 * CHOOSE( CONTROL!$C$15, $D$11, 100%, $F$11)</f>
        <v>11.2783</v>
      </c>
      <c r="F428" s="4">
        <f>11.9524 * CHOOSE(CONTROL!$C$15, $D$11, 100%, $F$11)</f>
        <v>11.952400000000001</v>
      </c>
      <c r="G428" s="8">
        <f>11.05 * CHOOSE( CONTROL!$C$15, $D$11, 100%, $F$11)</f>
        <v>11.05</v>
      </c>
      <c r="H428" s="4">
        <f>11.983 * CHOOSE(CONTROL!$C$15, $D$11, 100%, $F$11)</f>
        <v>11.983000000000001</v>
      </c>
      <c r="I428" s="8">
        <f>10.9585 * CHOOSE(CONTROL!$C$15, $D$11, 100%, $F$11)</f>
        <v>10.958500000000001</v>
      </c>
      <c r="J428" s="4">
        <f>10.8643 * CHOOSE(CONTROL!$C$15, $D$11, 100%, $F$11)</f>
        <v>10.8643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1.1791</v>
      </c>
      <c r="Q428" s="9">
        <v>19.486799999999999</v>
      </c>
      <c r="R428" s="9"/>
      <c r="S428" s="11"/>
    </row>
    <row r="429" spans="1:19" ht="15.75">
      <c r="A429" s="13">
        <v>54574</v>
      </c>
      <c r="B429" s="8">
        <f>CHOOSE( CONTROL!$C$32, 11.5735, 11.5703) * CHOOSE(CONTROL!$C$15, $D$11, 100%, $F$11)</f>
        <v>11.573499999999999</v>
      </c>
      <c r="C429" s="8">
        <f>CHOOSE( CONTROL!$C$32, 11.5815, 11.5783) * CHOOSE(CONTROL!$C$15, $D$11, 100%, $F$11)</f>
        <v>11.5815</v>
      </c>
      <c r="D429" s="8">
        <f>CHOOSE( CONTROL!$C$32, 11.5839, 11.5807) * CHOOSE( CONTROL!$C$15, $D$11, 100%, $F$11)</f>
        <v>11.5839</v>
      </c>
      <c r="E429" s="12">
        <f>CHOOSE( CONTROL!$C$32, 11.5818, 11.5786) * CHOOSE( CONTROL!$C$15, $D$11, 100%, $F$11)</f>
        <v>11.581799999999999</v>
      </c>
      <c r="F429" s="4">
        <f>CHOOSE( CONTROL!$C$32, 12.2551, 12.2519) * CHOOSE(CONTROL!$C$15, $D$11, 100%, $F$11)</f>
        <v>12.255100000000001</v>
      </c>
      <c r="G429" s="8">
        <f>CHOOSE( CONTROL!$C$32, 11.3488, 11.3457) * CHOOSE( CONTROL!$C$15, $D$11, 100%, $F$11)</f>
        <v>11.348800000000001</v>
      </c>
      <c r="H429" s="4">
        <f>CHOOSE( CONTROL!$C$32, 12.2806, 12.2775) * CHOOSE(CONTROL!$C$15, $D$11, 100%, $F$11)</f>
        <v>12.2806</v>
      </c>
      <c r="I429" s="8">
        <f>CHOOSE( CONTROL!$C$32, 11.2528, 11.2497) * CHOOSE(CONTROL!$C$15, $D$11, 100%, $F$11)</f>
        <v>11.252800000000001</v>
      </c>
      <c r="J429" s="4">
        <f>CHOOSE( CONTROL!$C$32, 11.1569, 11.1538) * CHOOSE(CONTROL!$C$15, $D$11, 100%, $F$11)</f>
        <v>11.1569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1.2183999999999999</v>
      </c>
      <c r="Q429" s="9">
        <v>20.136399999999998</v>
      </c>
      <c r="R429" s="9"/>
      <c r="S429" s="11"/>
    </row>
    <row r="430" spans="1:19" ht="15.75">
      <c r="A430" s="13">
        <v>54604</v>
      </c>
      <c r="B430" s="8">
        <f>CHOOSE( CONTROL!$C$32, 11.388, 11.3848) * CHOOSE(CONTROL!$C$15, $D$11, 100%, $F$11)</f>
        <v>11.388</v>
      </c>
      <c r="C430" s="8">
        <f>CHOOSE( CONTROL!$C$32, 11.396, 11.3928) * CHOOSE(CONTROL!$C$15, $D$11, 100%, $F$11)</f>
        <v>11.396000000000001</v>
      </c>
      <c r="D430" s="8">
        <f>CHOOSE( CONTROL!$C$32, 11.3987, 11.3955) * CHOOSE( CONTROL!$C$15, $D$11, 100%, $F$11)</f>
        <v>11.3987</v>
      </c>
      <c r="E430" s="12">
        <f>CHOOSE( CONTROL!$C$32, 11.3965, 11.3933) * CHOOSE( CONTROL!$C$15, $D$11, 100%, $F$11)</f>
        <v>11.3965</v>
      </c>
      <c r="F430" s="4">
        <f>CHOOSE( CONTROL!$C$32, 12.0696, 12.0664) * CHOOSE(CONTROL!$C$15, $D$11, 100%, $F$11)</f>
        <v>12.069599999999999</v>
      </c>
      <c r="G430" s="8">
        <f>CHOOSE( CONTROL!$C$32, 11.1668, 11.1637) * CHOOSE( CONTROL!$C$15, $D$11, 100%, $F$11)</f>
        <v>11.1668</v>
      </c>
      <c r="H430" s="4">
        <f>CHOOSE( CONTROL!$C$32, 12.0982, 12.095) * CHOOSE(CONTROL!$C$15, $D$11, 100%, $F$11)</f>
        <v>12.0982</v>
      </c>
      <c r="I430" s="8">
        <f>CHOOSE( CONTROL!$C$32, 11.0748, 11.0717) * CHOOSE(CONTROL!$C$15, $D$11, 100%, $F$11)</f>
        <v>11.0748</v>
      </c>
      <c r="J430" s="4">
        <f>CHOOSE( CONTROL!$C$32, 10.9776, 10.9745) * CHOOSE(CONTROL!$C$15, $D$11, 100%, $F$11)</f>
        <v>10.977600000000001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1.1791</v>
      </c>
      <c r="Q430" s="9">
        <v>19.486799999999999</v>
      </c>
      <c r="R430" s="9"/>
      <c r="S430" s="11"/>
    </row>
    <row r="431" spans="1:19" ht="15.75">
      <c r="A431" s="13">
        <v>54635</v>
      </c>
      <c r="B431" s="8">
        <f>CHOOSE( CONTROL!$C$32, 11.8765, 11.8733) * CHOOSE(CONTROL!$C$15, $D$11, 100%, $F$11)</f>
        <v>11.8765</v>
      </c>
      <c r="C431" s="8">
        <f>CHOOSE( CONTROL!$C$32, 11.8845, 11.8813) * CHOOSE(CONTROL!$C$15, $D$11, 100%, $F$11)</f>
        <v>11.884499999999999</v>
      </c>
      <c r="D431" s="8">
        <f>CHOOSE( CONTROL!$C$32, 11.8875, 11.8843) * CHOOSE( CONTROL!$C$15, $D$11, 100%, $F$11)</f>
        <v>11.887499999999999</v>
      </c>
      <c r="E431" s="12">
        <f>CHOOSE( CONTROL!$C$32, 11.8852, 11.882) * CHOOSE( CONTROL!$C$15, $D$11, 100%, $F$11)</f>
        <v>11.885199999999999</v>
      </c>
      <c r="F431" s="4">
        <f>CHOOSE( CONTROL!$C$32, 12.5581, 12.5549) * CHOOSE(CONTROL!$C$15, $D$11, 100%, $F$11)</f>
        <v>12.5581</v>
      </c>
      <c r="G431" s="8">
        <f>CHOOSE( CONTROL!$C$32, 11.6477, 11.6445) * CHOOSE( CONTROL!$C$15, $D$11, 100%, $F$11)</f>
        <v>11.6477</v>
      </c>
      <c r="H431" s="4">
        <f>CHOOSE( CONTROL!$C$32, 12.5786, 12.5754) * CHOOSE(CONTROL!$C$15, $D$11, 100%, $F$11)</f>
        <v>12.5786</v>
      </c>
      <c r="I431" s="8">
        <f>CHOOSE( CONTROL!$C$32, 11.5487, 11.5456) * CHOOSE(CONTROL!$C$15, $D$11, 100%, $F$11)</f>
        <v>11.5487</v>
      </c>
      <c r="J431" s="4">
        <f>CHOOSE( CONTROL!$C$32, 11.4498, 11.4467) * CHOOSE(CONTROL!$C$15, $D$11, 100%, $F$11)</f>
        <v>11.4498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20.136399999999998</v>
      </c>
      <c r="R431" s="9"/>
      <c r="S431" s="11"/>
    </row>
    <row r="432" spans="1:19" ht="15.75">
      <c r="A432" s="13">
        <v>54666</v>
      </c>
      <c r="B432" s="8">
        <f>CHOOSE( CONTROL!$C$32, 10.9625, 10.9593) * CHOOSE(CONTROL!$C$15, $D$11, 100%, $F$11)</f>
        <v>10.9625</v>
      </c>
      <c r="C432" s="8">
        <f>CHOOSE( CONTROL!$C$32, 10.9705, 10.9673) * CHOOSE(CONTROL!$C$15, $D$11, 100%, $F$11)</f>
        <v>10.970499999999999</v>
      </c>
      <c r="D432" s="8">
        <f>CHOOSE( CONTROL!$C$32, 10.9736, 10.9704) * CHOOSE( CONTROL!$C$15, $D$11, 100%, $F$11)</f>
        <v>10.973599999999999</v>
      </c>
      <c r="E432" s="12">
        <f>CHOOSE( CONTROL!$C$32, 10.9713, 10.9681) * CHOOSE( CONTROL!$C$15, $D$11, 100%, $F$11)</f>
        <v>10.971299999999999</v>
      </c>
      <c r="F432" s="4">
        <f>CHOOSE( CONTROL!$C$32, 11.644, 11.6408) * CHOOSE(CONTROL!$C$15, $D$11, 100%, $F$11)</f>
        <v>11.644</v>
      </c>
      <c r="G432" s="8">
        <f>CHOOSE( CONTROL!$C$32, 10.749, 10.7459) * CHOOSE( CONTROL!$C$15, $D$11, 100%, $F$11)</f>
        <v>10.749000000000001</v>
      </c>
      <c r="H432" s="4">
        <f>CHOOSE( CONTROL!$C$32, 11.6797, 11.6766) * CHOOSE(CONTROL!$C$15, $D$11, 100%, $F$11)</f>
        <v>11.6797</v>
      </c>
      <c r="I432" s="8">
        <f>CHOOSE( CONTROL!$C$32, 10.6654, 10.6623) * CHOOSE(CONTROL!$C$15, $D$11, 100%, $F$11)</f>
        <v>10.6654</v>
      </c>
      <c r="J432" s="4">
        <f>CHOOSE( CONTROL!$C$32, 10.5662, 10.5631) * CHOOSE(CONTROL!$C$15, $D$11, 100%, $F$11)</f>
        <v>10.5662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1.2183999999999999</v>
      </c>
      <c r="Q432" s="9">
        <v>20.136399999999998</v>
      </c>
      <c r="R432" s="9"/>
      <c r="S432" s="11"/>
    </row>
    <row r="433" spans="1:19" ht="15.75">
      <c r="A433" s="13">
        <v>54696</v>
      </c>
      <c r="B433" s="8">
        <f>CHOOSE( CONTROL!$C$32, 10.7336, 10.7304) * CHOOSE(CONTROL!$C$15, $D$11, 100%, $F$11)</f>
        <v>10.733599999999999</v>
      </c>
      <c r="C433" s="8">
        <f>CHOOSE( CONTROL!$C$32, 10.7416, 10.7384) * CHOOSE(CONTROL!$C$15, $D$11, 100%, $F$11)</f>
        <v>10.7416</v>
      </c>
      <c r="D433" s="8">
        <f>CHOOSE( CONTROL!$C$32, 10.7447, 10.7415) * CHOOSE( CONTROL!$C$15, $D$11, 100%, $F$11)</f>
        <v>10.7447</v>
      </c>
      <c r="E433" s="12">
        <f>CHOOSE( CONTROL!$C$32, 10.7424, 10.7392) * CHOOSE( CONTROL!$C$15, $D$11, 100%, $F$11)</f>
        <v>10.7424</v>
      </c>
      <c r="F433" s="4">
        <f>CHOOSE( CONTROL!$C$32, 11.4151, 11.4119) * CHOOSE(CONTROL!$C$15, $D$11, 100%, $F$11)</f>
        <v>11.415100000000001</v>
      </c>
      <c r="G433" s="8">
        <f>CHOOSE( CONTROL!$C$32, 10.524, 10.5209) * CHOOSE( CONTROL!$C$15, $D$11, 100%, $F$11)</f>
        <v>10.523999999999999</v>
      </c>
      <c r="H433" s="4">
        <f>CHOOSE( CONTROL!$C$32, 11.4546, 11.4515) * CHOOSE(CONTROL!$C$15, $D$11, 100%, $F$11)</f>
        <v>11.454599999999999</v>
      </c>
      <c r="I433" s="8">
        <f>CHOOSE( CONTROL!$C$32, 10.4442, 10.4411) * CHOOSE(CONTROL!$C$15, $D$11, 100%, $F$11)</f>
        <v>10.4442</v>
      </c>
      <c r="J433" s="4">
        <f>CHOOSE( CONTROL!$C$32, 10.3449, 10.3418) * CHOOSE(CONTROL!$C$15, $D$11, 100%, $F$11)</f>
        <v>10.344900000000001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1.1791</v>
      </c>
      <c r="Q433" s="9">
        <v>19.486799999999999</v>
      </c>
      <c r="R433" s="9"/>
      <c r="S433" s="11"/>
    </row>
    <row r="434" spans="1:19" ht="15.75">
      <c r="A434" s="13">
        <v>54727</v>
      </c>
      <c r="B434" s="8">
        <f>11.2039 * CHOOSE(CONTROL!$C$15, $D$11, 100%, $F$11)</f>
        <v>11.203900000000001</v>
      </c>
      <c r="C434" s="8">
        <f>11.2093 * CHOOSE(CONTROL!$C$15, $D$11, 100%, $F$11)</f>
        <v>11.209300000000001</v>
      </c>
      <c r="D434" s="8">
        <f>11.2172 * CHOOSE( CONTROL!$C$15, $D$11, 100%, $F$11)</f>
        <v>11.2172</v>
      </c>
      <c r="E434" s="12">
        <f>11.214 * CHOOSE( CONTROL!$C$15, $D$11, 100%, $F$11)</f>
        <v>11.214</v>
      </c>
      <c r="F434" s="4">
        <f>11.8872 * CHOOSE(CONTROL!$C$15, $D$11, 100%, $F$11)</f>
        <v>11.8872</v>
      </c>
      <c r="G434" s="8">
        <f>10.9878 * CHOOSE( CONTROL!$C$15, $D$11, 100%, $F$11)</f>
        <v>10.9878</v>
      </c>
      <c r="H434" s="4">
        <f>11.9188 * CHOOSE(CONTROL!$C$15, $D$11, 100%, $F$11)</f>
        <v>11.918799999999999</v>
      </c>
      <c r="I434" s="8">
        <f>10.9013 * CHOOSE(CONTROL!$C$15, $D$11, 100%, $F$11)</f>
        <v>10.901300000000001</v>
      </c>
      <c r="J434" s="4">
        <f>10.8013 * CHOOSE(CONTROL!$C$15, $D$11, 100%, $F$11)</f>
        <v>10.801299999999999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1.2183999999999999</v>
      </c>
      <c r="Q434" s="9">
        <v>20.136399999999998</v>
      </c>
      <c r="R434" s="9"/>
      <c r="S434" s="11"/>
    </row>
    <row r="435" spans="1:19" ht="15.75">
      <c r="A435" s="13">
        <v>54757</v>
      </c>
      <c r="B435" s="8">
        <f>12.0807 * CHOOSE(CONTROL!$C$15, $D$11, 100%, $F$11)</f>
        <v>12.0807</v>
      </c>
      <c r="C435" s="8">
        <f>12.0858 * CHOOSE(CONTROL!$C$15, $D$11, 100%, $F$11)</f>
        <v>12.085800000000001</v>
      </c>
      <c r="D435" s="8">
        <f>12.0634 * CHOOSE( CONTROL!$C$15, $D$11, 100%, $F$11)</f>
        <v>12.0634</v>
      </c>
      <c r="E435" s="12">
        <f>12.071 * CHOOSE( CONTROL!$C$15, $D$11, 100%, $F$11)</f>
        <v>12.071</v>
      </c>
      <c r="F435" s="4">
        <f>12.7256 * CHOOSE(CONTROL!$C$15, $D$11, 100%, $F$11)</f>
        <v>12.7256</v>
      </c>
      <c r="G435" s="8">
        <f>11.863 * CHOOSE( CONTROL!$C$15, $D$11, 100%, $F$11)</f>
        <v>11.863</v>
      </c>
      <c r="H435" s="4">
        <f>12.7434 * CHOOSE(CONTROL!$C$15, $D$11, 100%, $F$11)</f>
        <v>12.743399999999999</v>
      </c>
      <c r="I435" s="8">
        <f>11.7754 * CHOOSE(CONTROL!$C$15, $D$11, 100%, $F$11)</f>
        <v>11.775399999999999</v>
      </c>
      <c r="J435" s="4">
        <f>11.6493 * CHOOSE(CONTROL!$C$15, $D$11, 100%, $F$11)</f>
        <v>11.6493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19.486799999999999</v>
      </c>
      <c r="R435" s="9"/>
      <c r="S435" s="11"/>
    </row>
    <row r="436" spans="1:19" ht="15.75">
      <c r="A436" s="13">
        <v>54788</v>
      </c>
      <c r="B436" s="8">
        <f>12.0588 * CHOOSE(CONTROL!$C$15, $D$11, 100%, $F$11)</f>
        <v>12.0588</v>
      </c>
      <c r="C436" s="8">
        <f>12.0639 * CHOOSE(CONTROL!$C$15, $D$11, 100%, $F$11)</f>
        <v>12.0639</v>
      </c>
      <c r="D436" s="8">
        <f>12.0429 * CHOOSE( CONTROL!$C$15, $D$11, 100%, $F$11)</f>
        <v>12.042899999999999</v>
      </c>
      <c r="E436" s="12">
        <f>12.05 * CHOOSE( CONTROL!$C$15, $D$11, 100%, $F$11)</f>
        <v>12.05</v>
      </c>
      <c r="F436" s="4">
        <f>12.7037 * CHOOSE(CONTROL!$C$15, $D$11, 100%, $F$11)</f>
        <v>12.7037</v>
      </c>
      <c r="G436" s="8">
        <f>11.8425 * CHOOSE( CONTROL!$C$15, $D$11, 100%, $F$11)</f>
        <v>11.842499999999999</v>
      </c>
      <c r="H436" s="4">
        <f>12.7218 * CHOOSE(CONTROL!$C$15, $D$11, 100%, $F$11)</f>
        <v>12.7218</v>
      </c>
      <c r="I436" s="8">
        <f>11.7588 * CHOOSE(CONTROL!$C$15, $D$11, 100%, $F$11)</f>
        <v>11.758800000000001</v>
      </c>
      <c r="J436" s="4">
        <f>11.6281 * CHOOSE(CONTROL!$C$15, $D$11, 100%, $F$11)</f>
        <v>11.6281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20.136399999999998</v>
      </c>
      <c r="R436" s="9"/>
      <c r="S436" s="11"/>
    </row>
    <row r="437" spans="1:19" ht="15.75">
      <c r="A437" s="13">
        <v>54819</v>
      </c>
      <c r="B437" s="8">
        <f>12.5185 * CHOOSE(CONTROL!$C$15, $D$11, 100%, $F$11)</f>
        <v>12.5185</v>
      </c>
      <c r="C437" s="8">
        <f>12.5236 * CHOOSE(CONTROL!$C$15, $D$11, 100%, $F$11)</f>
        <v>12.5236</v>
      </c>
      <c r="D437" s="8">
        <f>12.5016 * CHOOSE( CONTROL!$C$15, $D$11, 100%, $F$11)</f>
        <v>12.5016</v>
      </c>
      <c r="E437" s="12">
        <f>12.5091 * CHOOSE( CONTROL!$C$15, $D$11, 100%, $F$11)</f>
        <v>12.5091</v>
      </c>
      <c r="F437" s="4">
        <f>13.1634 * CHOOSE(CONTROL!$C$15, $D$11, 100%, $F$11)</f>
        <v>13.163399999999999</v>
      </c>
      <c r="G437" s="8">
        <f>12.292 * CHOOSE( CONTROL!$C$15, $D$11, 100%, $F$11)</f>
        <v>12.292</v>
      </c>
      <c r="H437" s="4">
        <f>13.1739 * CHOOSE(CONTROL!$C$15, $D$11, 100%, $F$11)</f>
        <v>13.1739</v>
      </c>
      <c r="I437" s="8">
        <f>12.1752 * CHOOSE(CONTROL!$C$15, $D$11, 100%, $F$11)</f>
        <v>12.1752</v>
      </c>
      <c r="J437" s="4">
        <f>12.0725 * CHOOSE(CONTROL!$C$15, $D$11, 100%, $F$11)</f>
        <v>12.0725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20.071300000000001</v>
      </c>
      <c r="R437" s="9"/>
      <c r="S437" s="11"/>
    </row>
    <row r="438" spans="1:19" ht="15.75">
      <c r="A438" s="13">
        <v>54847</v>
      </c>
      <c r="B438" s="8">
        <f>11.7112 * CHOOSE(CONTROL!$C$15, $D$11, 100%, $F$11)</f>
        <v>11.7112</v>
      </c>
      <c r="C438" s="8">
        <f>11.7163 * CHOOSE(CONTROL!$C$15, $D$11, 100%, $F$11)</f>
        <v>11.7163</v>
      </c>
      <c r="D438" s="8">
        <f>11.6899 * CHOOSE( CONTROL!$C$15, $D$11, 100%, $F$11)</f>
        <v>11.6899</v>
      </c>
      <c r="E438" s="12">
        <f>11.699 * CHOOSE( CONTROL!$C$15, $D$11, 100%, $F$11)</f>
        <v>11.699</v>
      </c>
      <c r="F438" s="4">
        <f>12.3561 * CHOOSE(CONTROL!$C$15, $D$11, 100%, $F$11)</f>
        <v>12.3561</v>
      </c>
      <c r="G438" s="8">
        <f>11.4896 * CHOOSE( CONTROL!$C$15, $D$11, 100%, $F$11)</f>
        <v>11.489599999999999</v>
      </c>
      <c r="H438" s="4">
        <f>12.3799 * CHOOSE(CONTROL!$C$15, $D$11, 100%, $F$11)</f>
        <v>12.379899999999999</v>
      </c>
      <c r="I438" s="8">
        <f>11.3654 * CHOOSE(CONTROL!$C$15, $D$11, 100%, $F$11)</f>
        <v>11.365399999999999</v>
      </c>
      <c r="J438" s="4">
        <f>11.292 * CHOOSE(CONTROL!$C$15, $D$11, 100%, $F$11)</f>
        <v>11.292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18.128900000000002</v>
      </c>
      <c r="R438" s="9"/>
      <c r="S438" s="11"/>
    </row>
    <row r="439" spans="1:19" ht="15.75">
      <c r="A439" s="13">
        <v>54878</v>
      </c>
      <c r="B439" s="8">
        <f>11.4625 * CHOOSE(CONTROL!$C$15, $D$11, 100%, $F$11)</f>
        <v>11.4625</v>
      </c>
      <c r="C439" s="8">
        <f>11.4676 * CHOOSE(CONTROL!$C$15, $D$11, 100%, $F$11)</f>
        <v>11.467599999999999</v>
      </c>
      <c r="D439" s="8">
        <f>11.4416 * CHOOSE( CONTROL!$C$15, $D$11, 100%, $F$11)</f>
        <v>11.441599999999999</v>
      </c>
      <c r="E439" s="12">
        <f>11.4506 * CHOOSE( CONTROL!$C$15, $D$11, 100%, $F$11)</f>
        <v>11.4506</v>
      </c>
      <c r="F439" s="4">
        <f>12.1074 * CHOOSE(CONTROL!$C$15, $D$11, 100%, $F$11)</f>
        <v>12.1074</v>
      </c>
      <c r="G439" s="8">
        <f>11.2453 * CHOOSE( CONTROL!$C$15, $D$11, 100%, $F$11)</f>
        <v>11.2453</v>
      </c>
      <c r="H439" s="4">
        <f>12.1354 * CHOOSE(CONTROL!$C$15, $D$11, 100%, $F$11)</f>
        <v>12.135400000000001</v>
      </c>
      <c r="I439" s="8">
        <f>11.1261 * CHOOSE(CONTROL!$C$15, $D$11, 100%, $F$11)</f>
        <v>11.126099999999999</v>
      </c>
      <c r="J439" s="4">
        <f>11.0516 * CHOOSE(CONTROL!$C$15, $D$11, 100%, $F$11)</f>
        <v>11.051600000000001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20.071300000000001</v>
      </c>
      <c r="R439" s="9"/>
      <c r="S439" s="11"/>
    </row>
    <row r="440" spans="1:19" ht="15.75">
      <c r="A440" s="13">
        <v>54908</v>
      </c>
      <c r="B440" s="8">
        <f>11.637 * CHOOSE(CONTROL!$C$15, $D$11, 100%, $F$11)</f>
        <v>11.637</v>
      </c>
      <c r="C440" s="8">
        <f>11.6416 * CHOOSE(CONTROL!$C$15, $D$11, 100%, $F$11)</f>
        <v>11.6416</v>
      </c>
      <c r="D440" s="8">
        <f>11.6487 * CHOOSE( CONTROL!$C$15, $D$11, 100%, $F$11)</f>
        <v>11.6487</v>
      </c>
      <c r="E440" s="12">
        <f>11.6458 * CHOOSE( CONTROL!$C$15, $D$11, 100%, $F$11)</f>
        <v>11.645799999999999</v>
      </c>
      <c r="F440" s="4">
        <f>12.32 * CHOOSE(CONTROL!$C$15, $D$11, 100%, $F$11)</f>
        <v>12.32</v>
      </c>
      <c r="G440" s="8">
        <f>11.4115 * CHOOSE( CONTROL!$C$15, $D$11, 100%, $F$11)</f>
        <v>11.4115</v>
      </c>
      <c r="H440" s="4">
        <f>12.3444 * CHOOSE(CONTROL!$C$15, $D$11, 100%, $F$11)</f>
        <v>12.3444</v>
      </c>
      <c r="I440" s="8">
        <f>11.314 * CHOOSE(CONTROL!$C$15, $D$11, 100%, $F$11)</f>
        <v>11.314</v>
      </c>
      <c r="J440" s="4">
        <f>11.2196 * CHOOSE(CONTROL!$C$15, $D$11, 100%, $F$11)</f>
        <v>11.2196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1.1791</v>
      </c>
      <c r="Q440" s="9">
        <v>19.4238</v>
      </c>
      <c r="R440" s="9"/>
      <c r="S440" s="11"/>
    </row>
    <row r="441" spans="1:19" ht="15.75">
      <c r="A441" s="13">
        <v>54939</v>
      </c>
      <c r="B441" s="8">
        <f>CHOOSE( CONTROL!$C$32, 11.9509, 11.9477) * CHOOSE(CONTROL!$C$15, $D$11, 100%, $F$11)</f>
        <v>11.950900000000001</v>
      </c>
      <c r="C441" s="8">
        <f>CHOOSE( CONTROL!$C$32, 11.9589, 11.9557) * CHOOSE(CONTROL!$C$15, $D$11, 100%, $F$11)</f>
        <v>11.9589</v>
      </c>
      <c r="D441" s="8">
        <f>CHOOSE( CONTROL!$C$32, 11.9612, 11.958) * CHOOSE( CONTROL!$C$15, $D$11, 100%, $F$11)</f>
        <v>11.9612</v>
      </c>
      <c r="E441" s="12">
        <f>CHOOSE( CONTROL!$C$32, 11.9591, 11.9559) * CHOOSE( CONTROL!$C$15, $D$11, 100%, $F$11)</f>
        <v>11.959099999999999</v>
      </c>
      <c r="F441" s="4">
        <f>CHOOSE( CONTROL!$C$32, 12.6324, 12.6292) * CHOOSE(CONTROL!$C$15, $D$11, 100%, $F$11)</f>
        <v>12.632400000000001</v>
      </c>
      <c r="G441" s="8">
        <f>CHOOSE( CONTROL!$C$32, 11.7199, 11.7168) * CHOOSE( CONTROL!$C$15, $D$11, 100%, $F$11)</f>
        <v>11.719900000000001</v>
      </c>
      <c r="H441" s="4">
        <f>CHOOSE( CONTROL!$C$32, 12.6517, 12.6486) * CHOOSE(CONTROL!$C$15, $D$11, 100%, $F$11)</f>
        <v>12.6517</v>
      </c>
      <c r="I441" s="8">
        <f>CHOOSE( CONTROL!$C$32, 11.6177, 11.6146) * CHOOSE(CONTROL!$C$15, $D$11, 100%, $F$11)</f>
        <v>11.617699999999999</v>
      </c>
      <c r="J441" s="4">
        <f>CHOOSE( CONTROL!$C$32, 11.5217, 11.5186) * CHOOSE(CONTROL!$C$15, $D$11, 100%, $F$11)</f>
        <v>11.521699999999999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1.2183999999999999</v>
      </c>
      <c r="Q441" s="9">
        <v>20.071300000000001</v>
      </c>
      <c r="R441" s="9"/>
      <c r="S441" s="11"/>
    </row>
    <row r="442" spans="1:19" ht="15.75">
      <c r="A442" s="13">
        <v>54969</v>
      </c>
      <c r="B442" s="8">
        <f>CHOOSE( CONTROL!$C$32, 11.7593, 11.7561) * CHOOSE(CONTROL!$C$15, $D$11, 100%, $F$11)</f>
        <v>11.7593</v>
      </c>
      <c r="C442" s="8">
        <f>CHOOSE( CONTROL!$C$32, 11.7673, 11.7641) * CHOOSE(CONTROL!$C$15, $D$11, 100%, $F$11)</f>
        <v>11.767300000000001</v>
      </c>
      <c r="D442" s="8">
        <f>CHOOSE( CONTROL!$C$32, 11.7699, 11.7667) * CHOOSE( CONTROL!$C$15, $D$11, 100%, $F$11)</f>
        <v>11.7699</v>
      </c>
      <c r="E442" s="12">
        <f>CHOOSE( CONTROL!$C$32, 11.7677, 11.7645) * CHOOSE( CONTROL!$C$15, $D$11, 100%, $F$11)</f>
        <v>11.7677</v>
      </c>
      <c r="F442" s="4">
        <f>CHOOSE( CONTROL!$C$32, 12.4408, 12.4376) * CHOOSE(CONTROL!$C$15, $D$11, 100%, $F$11)</f>
        <v>12.440799999999999</v>
      </c>
      <c r="G442" s="8">
        <f>CHOOSE( CONTROL!$C$32, 11.532, 11.5288) * CHOOSE( CONTROL!$C$15, $D$11, 100%, $F$11)</f>
        <v>11.532</v>
      </c>
      <c r="H442" s="4">
        <f>CHOOSE( CONTROL!$C$32, 12.4633, 12.4602) * CHOOSE(CONTROL!$C$15, $D$11, 100%, $F$11)</f>
        <v>12.4633</v>
      </c>
      <c r="I442" s="8">
        <f>CHOOSE( CONTROL!$C$32, 11.4338, 11.4308) * CHOOSE(CONTROL!$C$15, $D$11, 100%, $F$11)</f>
        <v>11.4338</v>
      </c>
      <c r="J442" s="4">
        <f>CHOOSE( CONTROL!$C$32, 11.3365, 11.3334) * CHOOSE(CONTROL!$C$15, $D$11, 100%, $F$11)</f>
        <v>11.336499999999999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1.1791</v>
      </c>
      <c r="Q442" s="9">
        <v>19.4238</v>
      </c>
      <c r="R442" s="9"/>
      <c r="S442" s="11"/>
    </row>
    <row r="443" spans="1:19" ht="15.75">
      <c r="A443" s="13">
        <v>55000</v>
      </c>
      <c r="B443" s="8">
        <f>CHOOSE( CONTROL!$C$32, 12.2638, 12.2606) * CHOOSE(CONTROL!$C$15, $D$11, 100%, $F$11)</f>
        <v>12.2638</v>
      </c>
      <c r="C443" s="8">
        <f>CHOOSE( CONTROL!$C$32, 12.2718, 12.2686) * CHOOSE(CONTROL!$C$15, $D$11, 100%, $F$11)</f>
        <v>12.271800000000001</v>
      </c>
      <c r="D443" s="8">
        <f>CHOOSE( CONTROL!$C$32, 12.2747, 12.2715) * CHOOSE( CONTROL!$C$15, $D$11, 100%, $F$11)</f>
        <v>12.274699999999999</v>
      </c>
      <c r="E443" s="12">
        <f>CHOOSE( CONTROL!$C$32, 12.2724, 12.2692) * CHOOSE( CONTROL!$C$15, $D$11, 100%, $F$11)</f>
        <v>12.272399999999999</v>
      </c>
      <c r="F443" s="4">
        <f>CHOOSE( CONTROL!$C$32, 12.9453, 12.9421) * CHOOSE(CONTROL!$C$15, $D$11, 100%, $F$11)</f>
        <v>12.9453</v>
      </c>
      <c r="G443" s="8">
        <f>CHOOSE( CONTROL!$C$32, 12.0285, 12.0254) * CHOOSE( CONTROL!$C$15, $D$11, 100%, $F$11)</f>
        <v>12.028499999999999</v>
      </c>
      <c r="H443" s="4">
        <f>CHOOSE( CONTROL!$C$32, 12.9594, 12.9563) * CHOOSE(CONTROL!$C$15, $D$11, 100%, $F$11)</f>
        <v>12.9594</v>
      </c>
      <c r="I443" s="8">
        <f>CHOOSE( CONTROL!$C$32, 11.9232, 11.9201) * CHOOSE(CONTROL!$C$15, $D$11, 100%, $F$11)</f>
        <v>11.9232</v>
      </c>
      <c r="J443" s="4">
        <f>CHOOSE( CONTROL!$C$32, 11.8241, 11.8211) * CHOOSE(CONTROL!$C$15, $D$11, 100%, $F$11)</f>
        <v>11.8241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20.071300000000001</v>
      </c>
      <c r="R443" s="9"/>
      <c r="S443" s="11"/>
    </row>
    <row r="444" spans="1:19" ht="15.75">
      <c r="A444" s="13">
        <v>55031</v>
      </c>
      <c r="B444" s="8">
        <f>CHOOSE( CONTROL!$C$32, 11.3198, 11.3166) * CHOOSE(CONTROL!$C$15, $D$11, 100%, $F$11)</f>
        <v>11.319800000000001</v>
      </c>
      <c r="C444" s="8">
        <f>CHOOSE( CONTROL!$C$32, 11.3278, 11.3246) * CHOOSE(CONTROL!$C$15, $D$11, 100%, $F$11)</f>
        <v>11.3278</v>
      </c>
      <c r="D444" s="8">
        <f>CHOOSE( CONTROL!$C$32, 11.3309, 11.3277) * CHOOSE( CONTROL!$C$15, $D$11, 100%, $F$11)</f>
        <v>11.3309</v>
      </c>
      <c r="E444" s="12">
        <f>CHOOSE( CONTROL!$C$32, 11.3286, 11.3254) * CHOOSE( CONTROL!$C$15, $D$11, 100%, $F$11)</f>
        <v>11.3286</v>
      </c>
      <c r="F444" s="4">
        <f>CHOOSE( CONTROL!$C$32, 12.0014, 11.9982) * CHOOSE(CONTROL!$C$15, $D$11, 100%, $F$11)</f>
        <v>12.0014</v>
      </c>
      <c r="G444" s="8">
        <f>CHOOSE( CONTROL!$C$32, 11.1005, 11.0973) * CHOOSE( CONTROL!$C$15, $D$11, 100%, $F$11)</f>
        <v>11.1005</v>
      </c>
      <c r="H444" s="4">
        <f>CHOOSE( CONTROL!$C$32, 12.0311, 12.028) * CHOOSE(CONTROL!$C$15, $D$11, 100%, $F$11)</f>
        <v>12.0311</v>
      </c>
      <c r="I444" s="8">
        <f>CHOOSE( CONTROL!$C$32, 11.011, 11.0079) * CHOOSE(CONTROL!$C$15, $D$11, 100%, $F$11)</f>
        <v>11.010999999999999</v>
      </c>
      <c r="J444" s="4">
        <f>CHOOSE( CONTROL!$C$32, 10.9116, 10.9086) * CHOOSE(CONTROL!$C$15, $D$11, 100%, $F$11)</f>
        <v>10.9116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1.2183999999999999</v>
      </c>
      <c r="Q444" s="9">
        <v>20.071300000000001</v>
      </c>
      <c r="R444" s="9"/>
      <c r="S444" s="11"/>
    </row>
    <row r="445" spans="1:19" ht="15.75">
      <c r="A445" s="13">
        <v>55061</v>
      </c>
      <c r="B445" s="8">
        <f>CHOOSE( CONTROL!$C$32, 11.0835, 11.0803) * CHOOSE(CONTROL!$C$15, $D$11, 100%, $F$11)</f>
        <v>11.083500000000001</v>
      </c>
      <c r="C445" s="8">
        <f>CHOOSE( CONTROL!$C$32, 11.0915, 11.0883) * CHOOSE(CONTROL!$C$15, $D$11, 100%, $F$11)</f>
        <v>11.0915</v>
      </c>
      <c r="D445" s="8">
        <f>CHOOSE( CONTROL!$C$32, 11.0946, 11.0914) * CHOOSE( CONTROL!$C$15, $D$11, 100%, $F$11)</f>
        <v>11.0946</v>
      </c>
      <c r="E445" s="12">
        <f>CHOOSE( CONTROL!$C$32, 11.0923, 11.0891) * CHOOSE( CONTROL!$C$15, $D$11, 100%, $F$11)</f>
        <v>11.0923</v>
      </c>
      <c r="F445" s="4">
        <f>CHOOSE( CONTROL!$C$32, 11.765, 11.7618) * CHOOSE(CONTROL!$C$15, $D$11, 100%, $F$11)</f>
        <v>11.765000000000001</v>
      </c>
      <c r="G445" s="8">
        <f>CHOOSE( CONTROL!$C$32, 10.8681, 10.8649) * CHOOSE( CONTROL!$C$15, $D$11, 100%, $F$11)</f>
        <v>10.8681</v>
      </c>
      <c r="H445" s="4">
        <f>CHOOSE( CONTROL!$C$32, 11.7987, 11.7955) * CHOOSE(CONTROL!$C$15, $D$11, 100%, $F$11)</f>
        <v>11.7987</v>
      </c>
      <c r="I445" s="8">
        <f>CHOOSE( CONTROL!$C$32, 10.7826, 10.7795) * CHOOSE(CONTROL!$C$15, $D$11, 100%, $F$11)</f>
        <v>10.7826</v>
      </c>
      <c r="J445" s="4">
        <f>CHOOSE( CONTROL!$C$32, 10.6831, 10.6801) * CHOOSE(CONTROL!$C$15, $D$11, 100%, $F$11)</f>
        <v>10.6831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1.1791</v>
      </c>
      <c r="Q445" s="9">
        <v>19.4238</v>
      </c>
      <c r="R445" s="9"/>
      <c r="S445" s="11"/>
    </row>
    <row r="446" spans="1:19" ht="15.75">
      <c r="A446" s="13">
        <v>55092</v>
      </c>
      <c r="B446" s="8">
        <f>11.5693 * CHOOSE(CONTROL!$C$15, $D$11, 100%, $F$11)</f>
        <v>11.5693</v>
      </c>
      <c r="C446" s="8">
        <f>11.5747 * CHOOSE(CONTROL!$C$15, $D$11, 100%, $F$11)</f>
        <v>11.5747</v>
      </c>
      <c r="D446" s="8">
        <f>11.5826 * CHOOSE( CONTROL!$C$15, $D$11, 100%, $F$11)</f>
        <v>11.582599999999999</v>
      </c>
      <c r="E446" s="12">
        <f>11.5794 * CHOOSE( CONTROL!$C$15, $D$11, 100%, $F$11)</f>
        <v>11.5794</v>
      </c>
      <c r="F446" s="4">
        <f>12.2526 * CHOOSE(CONTROL!$C$15, $D$11, 100%, $F$11)</f>
        <v>12.252599999999999</v>
      </c>
      <c r="G446" s="8">
        <f>11.3471 * CHOOSE( CONTROL!$C$15, $D$11, 100%, $F$11)</f>
        <v>11.347099999999999</v>
      </c>
      <c r="H446" s="4">
        <f>12.2782 * CHOOSE(CONTROL!$C$15, $D$11, 100%, $F$11)</f>
        <v>12.2782</v>
      </c>
      <c r="I446" s="8">
        <f>11.2548 * CHOOSE(CONTROL!$C$15, $D$11, 100%, $F$11)</f>
        <v>11.254799999999999</v>
      </c>
      <c r="J446" s="4">
        <f>11.1545 * CHOOSE(CONTROL!$C$15, $D$11, 100%, $F$11)</f>
        <v>11.154500000000001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1.2183999999999999</v>
      </c>
      <c r="Q446" s="9">
        <v>20.071300000000001</v>
      </c>
      <c r="R446" s="9"/>
      <c r="S446" s="11"/>
    </row>
    <row r="447" spans="1:19" ht="15.75">
      <c r="A447" s="13">
        <v>55122</v>
      </c>
      <c r="B447" s="8">
        <f>12.4748 * CHOOSE(CONTROL!$C$15, $D$11, 100%, $F$11)</f>
        <v>12.4748</v>
      </c>
      <c r="C447" s="8">
        <f>12.4799 * CHOOSE(CONTROL!$C$15, $D$11, 100%, $F$11)</f>
        <v>12.479900000000001</v>
      </c>
      <c r="D447" s="8">
        <f>12.4575 * CHOOSE( CONTROL!$C$15, $D$11, 100%, $F$11)</f>
        <v>12.4575</v>
      </c>
      <c r="E447" s="12">
        <f>12.4651 * CHOOSE( CONTROL!$C$15, $D$11, 100%, $F$11)</f>
        <v>12.4651</v>
      </c>
      <c r="F447" s="4">
        <f>13.1197 * CHOOSE(CONTROL!$C$15, $D$11, 100%, $F$11)</f>
        <v>13.1197</v>
      </c>
      <c r="G447" s="8">
        <f>12.2506 * CHOOSE( CONTROL!$C$15, $D$11, 100%, $F$11)</f>
        <v>12.2506</v>
      </c>
      <c r="H447" s="4">
        <f>13.1309 * CHOOSE(CONTROL!$C$15, $D$11, 100%, $F$11)</f>
        <v>13.1309</v>
      </c>
      <c r="I447" s="8">
        <f>12.1566 * CHOOSE(CONTROL!$C$15, $D$11, 100%, $F$11)</f>
        <v>12.156599999999999</v>
      </c>
      <c r="J447" s="4">
        <f>12.0302 * CHOOSE(CONTROL!$C$15, $D$11, 100%, $F$11)</f>
        <v>12.030200000000001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19.4238</v>
      </c>
      <c r="R447" s="9"/>
      <c r="S447" s="11"/>
    </row>
    <row r="448" spans="1:19" ht="15.75">
      <c r="A448" s="13">
        <v>55153</v>
      </c>
      <c r="B448" s="8">
        <f>12.4522 * CHOOSE(CONTROL!$C$15, $D$11, 100%, $F$11)</f>
        <v>12.452199999999999</v>
      </c>
      <c r="C448" s="8">
        <f>12.4573 * CHOOSE(CONTROL!$C$15, $D$11, 100%, $F$11)</f>
        <v>12.4573</v>
      </c>
      <c r="D448" s="8">
        <f>12.4363 * CHOOSE( CONTROL!$C$15, $D$11, 100%, $F$11)</f>
        <v>12.436299999999999</v>
      </c>
      <c r="E448" s="12">
        <f>12.4434 * CHOOSE( CONTROL!$C$15, $D$11, 100%, $F$11)</f>
        <v>12.4434</v>
      </c>
      <c r="F448" s="4">
        <f>13.0971 * CHOOSE(CONTROL!$C$15, $D$11, 100%, $F$11)</f>
        <v>13.097099999999999</v>
      </c>
      <c r="G448" s="8">
        <f>12.2294 * CHOOSE( CONTROL!$C$15, $D$11, 100%, $F$11)</f>
        <v>12.2294</v>
      </c>
      <c r="H448" s="4">
        <f>13.1087 * CHOOSE(CONTROL!$C$15, $D$11, 100%, $F$11)</f>
        <v>13.108700000000001</v>
      </c>
      <c r="I448" s="8">
        <f>12.1393 * CHOOSE(CONTROL!$C$15, $D$11, 100%, $F$11)</f>
        <v>12.1393</v>
      </c>
      <c r="J448" s="4">
        <f>12.0083 * CHOOSE(CONTROL!$C$15, $D$11, 100%, $F$11)</f>
        <v>12.0083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20.071300000000001</v>
      </c>
      <c r="R448" s="9"/>
      <c r="S448" s="11"/>
    </row>
    <row r="449" spans="1:19" ht="15.75">
      <c r="A449" s="13">
        <v>55184</v>
      </c>
      <c r="B449" s="8">
        <f>12.9269 * CHOOSE(CONTROL!$C$15, $D$11, 100%, $F$11)</f>
        <v>12.9269</v>
      </c>
      <c r="C449" s="8">
        <f>12.9321 * CHOOSE(CONTROL!$C$15, $D$11, 100%, $F$11)</f>
        <v>12.9321</v>
      </c>
      <c r="D449" s="8">
        <f>12.9101 * CHOOSE( CONTROL!$C$15, $D$11, 100%, $F$11)</f>
        <v>12.9101</v>
      </c>
      <c r="E449" s="12">
        <f>12.9176 * CHOOSE( CONTROL!$C$15, $D$11, 100%, $F$11)</f>
        <v>12.9176</v>
      </c>
      <c r="F449" s="4">
        <f>13.5718 * CHOOSE(CONTROL!$C$15, $D$11, 100%, $F$11)</f>
        <v>13.5718</v>
      </c>
      <c r="G449" s="8">
        <f>12.6937 * CHOOSE( CONTROL!$C$15, $D$11, 100%, $F$11)</f>
        <v>12.6937</v>
      </c>
      <c r="H449" s="4">
        <f>13.5755 * CHOOSE(CONTROL!$C$15, $D$11, 100%, $F$11)</f>
        <v>13.5755</v>
      </c>
      <c r="I449" s="8">
        <f>12.5702 * CHOOSE(CONTROL!$C$15, $D$11, 100%, $F$11)</f>
        <v>12.5702</v>
      </c>
      <c r="J449" s="4">
        <f>12.4673 * CHOOSE(CONTROL!$C$15, $D$11, 100%, $F$11)</f>
        <v>12.4673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20.007999999999999</v>
      </c>
      <c r="R449" s="9"/>
      <c r="S449" s="11"/>
    </row>
    <row r="450" spans="1:19" ht="15.75">
      <c r="A450" s="13">
        <v>55212</v>
      </c>
      <c r="B450" s="8">
        <f>12.0932 * CHOOSE(CONTROL!$C$15, $D$11, 100%, $F$11)</f>
        <v>12.0932</v>
      </c>
      <c r="C450" s="8">
        <f>12.0983 * CHOOSE(CONTROL!$C$15, $D$11, 100%, $F$11)</f>
        <v>12.0983</v>
      </c>
      <c r="D450" s="8">
        <f>12.0719 * CHOOSE( CONTROL!$C$15, $D$11, 100%, $F$11)</f>
        <v>12.071899999999999</v>
      </c>
      <c r="E450" s="12">
        <f>12.081 * CHOOSE( CONTROL!$C$15, $D$11, 100%, $F$11)</f>
        <v>12.081</v>
      </c>
      <c r="F450" s="4">
        <f>12.7381 * CHOOSE(CONTROL!$C$15, $D$11, 100%, $F$11)</f>
        <v>12.738099999999999</v>
      </c>
      <c r="G450" s="8">
        <f>11.8653 * CHOOSE( CONTROL!$C$15, $D$11, 100%, $F$11)</f>
        <v>11.8653</v>
      </c>
      <c r="H450" s="4">
        <f>12.7556 * CHOOSE(CONTROL!$C$15, $D$11, 100%, $F$11)</f>
        <v>12.755599999999999</v>
      </c>
      <c r="I450" s="8">
        <f>11.7348 * CHOOSE(CONTROL!$C$15, $D$11, 100%, $F$11)</f>
        <v>11.7348</v>
      </c>
      <c r="J450" s="4">
        <f>11.6613 * CHOOSE(CONTROL!$C$15, $D$11, 100%, $F$11)</f>
        <v>11.661300000000001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18.0718</v>
      </c>
      <c r="R450" s="9"/>
      <c r="S450" s="11"/>
    </row>
    <row r="451" spans="1:19" ht="15.75">
      <c r="A451" s="13">
        <v>55243</v>
      </c>
      <c r="B451" s="8">
        <f>11.8364 * CHOOSE(CONTROL!$C$15, $D$11, 100%, $F$11)</f>
        <v>11.836399999999999</v>
      </c>
      <c r="C451" s="8">
        <f>11.8415 * CHOOSE(CONTROL!$C$15, $D$11, 100%, $F$11)</f>
        <v>11.8415</v>
      </c>
      <c r="D451" s="8">
        <f>11.8155 * CHOOSE( CONTROL!$C$15, $D$11, 100%, $F$11)</f>
        <v>11.8155</v>
      </c>
      <c r="E451" s="12">
        <f>11.8245 * CHOOSE( CONTROL!$C$15, $D$11, 100%, $F$11)</f>
        <v>11.8245</v>
      </c>
      <c r="F451" s="4">
        <f>12.4813 * CHOOSE(CONTROL!$C$15, $D$11, 100%, $F$11)</f>
        <v>12.481299999999999</v>
      </c>
      <c r="G451" s="8">
        <f>11.613 * CHOOSE( CONTROL!$C$15, $D$11, 100%, $F$11)</f>
        <v>11.613</v>
      </c>
      <c r="H451" s="4">
        <f>12.5031 * CHOOSE(CONTROL!$C$15, $D$11, 100%, $F$11)</f>
        <v>12.5031</v>
      </c>
      <c r="I451" s="8">
        <f>11.4877 * CHOOSE(CONTROL!$C$15, $D$11, 100%, $F$11)</f>
        <v>11.4877</v>
      </c>
      <c r="J451" s="4">
        <f>11.4131 * CHOOSE(CONTROL!$C$15, $D$11, 100%, $F$11)</f>
        <v>11.4131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20.007999999999999</v>
      </c>
      <c r="R451" s="9"/>
      <c r="S451" s="11"/>
    </row>
    <row r="452" spans="1:19" ht="15.75">
      <c r="A452" s="13">
        <v>55273</v>
      </c>
      <c r="B452" s="8">
        <f>12.0166 * CHOOSE(CONTROL!$C$15, $D$11, 100%, $F$11)</f>
        <v>12.0166</v>
      </c>
      <c r="C452" s="8">
        <f>12.0211 * CHOOSE(CONTROL!$C$15, $D$11, 100%, $F$11)</f>
        <v>12.021100000000001</v>
      </c>
      <c r="D452" s="8">
        <f>12.0283 * CHOOSE( CONTROL!$C$15, $D$11, 100%, $F$11)</f>
        <v>12.0283</v>
      </c>
      <c r="E452" s="12">
        <f>12.0254 * CHOOSE( CONTROL!$C$15, $D$11, 100%, $F$11)</f>
        <v>12.025399999999999</v>
      </c>
      <c r="F452" s="4">
        <f>12.6995 * CHOOSE(CONTROL!$C$15, $D$11, 100%, $F$11)</f>
        <v>12.6995</v>
      </c>
      <c r="G452" s="8">
        <f>11.7848 * CHOOSE( CONTROL!$C$15, $D$11, 100%, $F$11)</f>
        <v>11.784800000000001</v>
      </c>
      <c r="H452" s="4">
        <f>12.7177 * CHOOSE(CONTROL!$C$15, $D$11, 100%, $F$11)</f>
        <v>12.717700000000001</v>
      </c>
      <c r="I452" s="8">
        <f>11.6811 * CHOOSE(CONTROL!$C$15, $D$11, 100%, $F$11)</f>
        <v>11.681100000000001</v>
      </c>
      <c r="J452" s="4">
        <f>11.5865 * CHOOSE(CONTROL!$C$15, $D$11, 100%, $F$11)</f>
        <v>11.586499999999999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1.1791</v>
      </c>
      <c r="Q452" s="9">
        <v>19.3626</v>
      </c>
      <c r="R452" s="9"/>
      <c r="S452" s="11"/>
    </row>
    <row r="453" spans="1:19" ht="15.75">
      <c r="A453" s="13">
        <v>55304</v>
      </c>
      <c r="B453" s="8">
        <f>CHOOSE( CONTROL!$C$32, 12.3405, 12.3373) * CHOOSE(CONTROL!$C$15, $D$11, 100%, $F$11)</f>
        <v>12.3405</v>
      </c>
      <c r="C453" s="8">
        <f>CHOOSE( CONTROL!$C$32, 12.3485, 12.3453) * CHOOSE(CONTROL!$C$15, $D$11, 100%, $F$11)</f>
        <v>12.3485</v>
      </c>
      <c r="D453" s="8">
        <f>CHOOSE( CONTROL!$C$32, 12.3509, 12.3477) * CHOOSE( CONTROL!$C$15, $D$11, 100%, $F$11)</f>
        <v>12.350899999999999</v>
      </c>
      <c r="E453" s="12">
        <f>CHOOSE( CONTROL!$C$32, 12.3488, 12.3456) * CHOOSE( CONTROL!$C$15, $D$11, 100%, $F$11)</f>
        <v>12.348800000000001</v>
      </c>
      <c r="F453" s="4">
        <f>CHOOSE( CONTROL!$C$32, 13.0221, 13.0189) * CHOOSE(CONTROL!$C$15, $D$11, 100%, $F$11)</f>
        <v>13.0221</v>
      </c>
      <c r="G453" s="8">
        <f>CHOOSE( CONTROL!$C$32, 12.1031, 12.1) * CHOOSE( CONTROL!$C$15, $D$11, 100%, $F$11)</f>
        <v>12.1031</v>
      </c>
      <c r="H453" s="4">
        <f>CHOOSE( CONTROL!$C$32, 13.0349, 13.0318) * CHOOSE(CONTROL!$C$15, $D$11, 100%, $F$11)</f>
        <v>13.0349</v>
      </c>
      <c r="I453" s="8">
        <f>CHOOSE( CONTROL!$C$32, 11.9946, 11.9915) * CHOOSE(CONTROL!$C$15, $D$11, 100%, $F$11)</f>
        <v>11.9946</v>
      </c>
      <c r="J453" s="4">
        <f>CHOOSE( CONTROL!$C$32, 11.8984, 11.8953) * CHOOSE(CONTROL!$C$15, $D$11, 100%, $F$11)</f>
        <v>11.898400000000001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1.2183999999999999</v>
      </c>
      <c r="Q453" s="9">
        <v>20.007999999999999</v>
      </c>
      <c r="R453" s="9"/>
      <c r="S453" s="11"/>
    </row>
    <row r="454" spans="1:19" ht="15.75">
      <c r="A454" s="13">
        <v>55334</v>
      </c>
      <c r="B454" s="8">
        <f>CHOOSE( CONTROL!$C$32, 12.1427, 12.1395) * CHOOSE(CONTROL!$C$15, $D$11, 100%, $F$11)</f>
        <v>12.1427</v>
      </c>
      <c r="C454" s="8">
        <f>CHOOSE( CONTROL!$C$32, 12.1507, 12.1475) * CHOOSE(CONTROL!$C$15, $D$11, 100%, $F$11)</f>
        <v>12.150700000000001</v>
      </c>
      <c r="D454" s="8">
        <f>CHOOSE( CONTROL!$C$32, 12.1533, 12.1501) * CHOOSE( CONTROL!$C$15, $D$11, 100%, $F$11)</f>
        <v>12.1533</v>
      </c>
      <c r="E454" s="12">
        <f>CHOOSE( CONTROL!$C$32, 12.1511, 12.1479) * CHOOSE( CONTROL!$C$15, $D$11, 100%, $F$11)</f>
        <v>12.1511</v>
      </c>
      <c r="F454" s="4">
        <f>CHOOSE( CONTROL!$C$32, 12.8242, 12.821) * CHOOSE(CONTROL!$C$15, $D$11, 100%, $F$11)</f>
        <v>12.824199999999999</v>
      </c>
      <c r="G454" s="8">
        <f>CHOOSE( CONTROL!$C$32, 11.909, 11.9059) * CHOOSE( CONTROL!$C$15, $D$11, 100%, $F$11)</f>
        <v>11.909000000000001</v>
      </c>
      <c r="H454" s="4">
        <f>CHOOSE( CONTROL!$C$32, 12.8404, 12.8372) * CHOOSE(CONTROL!$C$15, $D$11, 100%, $F$11)</f>
        <v>12.840400000000001</v>
      </c>
      <c r="I454" s="8">
        <f>CHOOSE( CONTROL!$C$32, 11.8047, 11.8016) * CHOOSE(CONTROL!$C$15, $D$11, 100%, $F$11)</f>
        <v>11.8047</v>
      </c>
      <c r="J454" s="4">
        <f>CHOOSE( CONTROL!$C$32, 11.7071, 11.704) * CHOOSE(CONTROL!$C$15, $D$11, 100%, $F$11)</f>
        <v>11.707100000000001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1.1791</v>
      </c>
      <c r="Q454" s="9">
        <v>19.3626</v>
      </c>
      <c r="R454" s="9"/>
      <c r="S454" s="11"/>
    </row>
    <row r="455" spans="1:19" ht="15.75">
      <c r="A455" s="13">
        <v>55365</v>
      </c>
      <c r="B455" s="8">
        <f>CHOOSE( CONTROL!$C$32, 12.6637, 12.6605) * CHOOSE(CONTROL!$C$15, $D$11, 100%, $F$11)</f>
        <v>12.6637</v>
      </c>
      <c r="C455" s="8">
        <f>CHOOSE( CONTROL!$C$32, 12.6717, 12.6685) * CHOOSE(CONTROL!$C$15, $D$11, 100%, $F$11)</f>
        <v>12.6717</v>
      </c>
      <c r="D455" s="8">
        <f>CHOOSE( CONTROL!$C$32, 12.6746, 12.6714) * CHOOSE( CONTROL!$C$15, $D$11, 100%, $F$11)</f>
        <v>12.6746</v>
      </c>
      <c r="E455" s="12">
        <f>CHOOSE( CONTROL!$C$32, 12.6723, 12.6691) * CHOOSE( CONTROL!$C$15, $D$11, 100%, $F$11)</f>
        <v>12.6723</v>
      </c>
      <c r="F455" s="4">
        <f>CHOOSE( CONTROL!$C$32, 13.3452, 13.342) * CHOOSE(CONTROL!$C$15, $D$11, 100%, $F$11)</f>
        <v>13.3452</v>
      </c>
      <c r="G455" s="8">
        <f>CHOOSE( CONTROL!$C$32, 12.4218, 12.4186) * CHOOSE( CONTROL!$C$15, $D$11, 100%, $F$11)</f>
        <v>12.421799999999999</v>
      </c>
      <c r="H455" s="4">
        <f>CHOOSE( CONTROL!$C$32, 13.3527, 13.3495) * CHOOSE(CONTROL!$C$15, $D$11, 100%, $F$11)</f>
        <v>13.3527</v>
      </c>
      <c r="I455" s="8">
        <f>CHOOSE( CONTROL!$C$32, 12.31, 12.3069) * CHOOSE(CONTROL!$C$15, $D$11, 100%, $F$11)</f>
        <v>12.31</v>
      </c>
      <c r="J455" s="4">
        <f>CHOOSE( CONTROL!$C$32, 12.2107, 12.2076) * CHOOSE(CONTROL!$C$15, $D$11, 100%, $F$11)</f>
        <v>12.210699999999999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20.007999999999999</v>
      </c>
      <c r="R455" s="9"/>
      <c r="S455" s="11"/>
    </row>
    <row r="456" spans="1:19" ht="15.75">
      <c r="A456" s="13">
        <v>55396</v>
      </c>
      <c r="B456" s="8">
        <f>CHOOSE( CONTROL!$C$32, 11.6889, 11.6857) * CHOOSE(CONTROL!$C$15, $D$11, 100%, $F$11)</f>
        <v>11.6889</v>
      </c>
      <c r="C456" s="8">
        <f>CHOOSE( CONTROL!$C$32, 11.6969, 11.6937) * CHOOSE(CONTROL!$C$15, $D$11, 100%, $F$11)</f>
        <v>11.696899999999999</v>
      </c>
      <c r="D456" s="8">
        <f>CHOOSE( CONTROL!$C$32, 11.7, 11.6968) * CHOOSE( CONTROL!$C$15, $D$11, 100%, $F$11)</f>
        <v>11.7</v>
      </c>
      <c r="E456" s="12">
        <f>CHOOSE( CONTROL!$C$32, 11.6977, 11.6945) * CHOOSE( CONTROL!$C$15, $D$11, 100%, $F$11)</f>
        <v>11.697699999999999</v>
      </c>
      <c r="F456" s="4">
        <f>CHOOSE( CONTROL!$C$32, 12.3704, 12.3672) * CHOOSE(CONTROL!$C$15, $D$11, 100%, $F$11)</f>
        <v>12.3704</v>
      </c>
      <c r="G456" s="8">
        <f>CHOOSE( CONTROL!$C$32, 11.4634, 11.4602) * CHOOSE( CONTROL!$C$15, $D$11, 100%, $F$11)</f>
        <v>11.4634</v>
      </c>
      <c r="H456" s="4">
        <f>CHOOSE( CONTROL!$C$32, 12.3941, 12.3909) * CHOOSE(CONTROL!$C$15, $D$11, 100%, $F$11)</f>
        <v>12.3941</v>
      </c>
      <c r="I456" s="8">
        <f>CHOOSE( CONTROL!$C$32, 11.368, 11.3649) * CHOOSE(CONTROL!$C$15, $D$11, 100%, $F$11)</f>
        <v>11.368</v>
      </c>
      <c r="J456" s="4">
        <f>CHOOSE( CONTROL!$C$32, 11.2684, 11.2653) * CHOOSE(CONTROL!$C$15, $D$11, 100%, $F$11)</f>
        <v>11.2684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1.2183999999999999</v>
      </c>
      <c r="Q456" s="9">
        <v>20.007999999999999</v>
      </c>
      <c r="R456" s="9"/>
      <c r="S456" s="11"/>
    </row>
    <row r="457" spans="1:19" ht="15.75">
      <c r="A457" s="13">
        <v>55426</v>
      </c>
      <c r="B457" s="8">
        <f>CHOOSE( CONTROL!$C$32, 11.4448, 11.4416) * CHOOSE(CONTROL!$C$15, $D$11, 100%, $F$11)</f>
        <v>11.444800000000001</v>
      </c>
      <c r="C457" s="8">
        <f>CHOOSE( CONTROL!$C$32, 11.4528, 11.4496) * CHOOSE(CONTROL!$C$15, $D$11, 100%, $F$11)</f>
        <v>11.4528</v>
      </c>
      <c r="D457" s="8">
        <f>CHOOSE( CONTROL!$C$32, 11.4559, 11.4527) * CHOOSE( CONTROL!$C$15, $D$11, 100%, $F$11)</f>
        <v>11.4559</v>
      </c>
      <c r="E457" s="12">
        <f>CHOOSE( CONTROL!$C$32, 11.4536, 11.4504) * CHOOSE( CONTROL!$C$15, $D$11, 100%, $F$11)</f>
        <v>11.4536</v>
      </c>
      <c r="F457" s="4">
        <f>CHOOSE( CONTROL!$C$32, 12.1263, 12.1231) * CHOOSE(CONTROL!$C$15, $D$11, 100%, $F$11)</f>
        <v>12.126300000000001</v>
      </c>
      <c r="G457" s="8">
        <f>CHOOSE( CONTROL!$C$32, 11.2234, 11.2202) * CHOOSE( CONTROL!$C$15, $D$11, 100%, $F$11)</f>
        <v>11.2234</v>
      </c>
      <c r="H457" s="4">
        <f>CHOOSE( CONTROL!$C$32, 12.154, 12.1509) * CHOOSE(CONTROL!$C$15, $D$11, 100%, $F$11)</f>
        <v>12.154</v>
      </c>
      <c r="I457" s="8">
        <f>CHOOSE( CONTROL!$C$32, 11.132, 11.1289) * CHOOSE(CONTROL!$C$15, $D$11, 100%, $F$11)</f>
        <v>11.132</v>
      </c>
      <c r="J457" s="4">
        <f>CHOOSE( CONTROL!$C$32, 11.0324, 11.0293) * CHOOSE(CONTROL!$C$15, $D$11, 100%, $F$11)</f>
        <v>11.032400000000001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1.1791</v>
      </c>
      <c r="Q457" s="9">
        <v>19.3626</v>
      </c>
      <c r="R457" s="9"/>
      <c r="S457" s="11"/>
    </row>
    <row r="458" spans="1:19" ht="15.75">
      <c r="A458" s="13">
        <v>55457</v>
      </c>
      <c r="B458" s="8">
        <f>11.9467 * CHOOSE(CONTROL!$C$15, $D$11, 100%, $F$11)</f>
        <v>11.9467</v>
      </c>
      <c r="C458" s="8">
        <f>11.9521 * CHOOSE(CONTROL!$C$15, $D$11, 100%, $F$11)</f>
        <v>11.9521</v>
      </c>
      <c r="D458" s="8">
        <f>11.9599 * CHOOSE( CONTROL!$C$15, $D$11, 100%, $F$11)</f>
        <v>11.959899999999999</v>
      </c>
      <c r="E458" s="12">
        <f>11.9568 * CHOOSE( CONTROL!$C$15, $D$11, 100%, $F$11)</f>
        <v>11.956799999999999</v>
      </c>
      <c r="F458" s="4">
        <f>12.63 * CHOOSE(CONTROL!$C$15, $D$11, 100%, $F$11)</f>
        <v>12.63</v>
      </c>
      <c r="G458" s="8">
        <f>11.7182 * CHOOSE( CONTROL!$C$15, $D$11, 100%, $F$11)</f>
        <v>11.7182</v>
      </c>
      <c r="H458" s="4">
        <f>12.6493 * CHOOSE(CONTROL!$C$15, $D$11, 100%, $F$11)</f>
        <v>12.6493</v>
      </c>
      <c r="I458" s="8">
        <f>11.6197 * CHOOSE(CONTROL!$C$15, $D$11, 100%, $F$11)</f>
        <v>11.6197</v>
      </c>
      <c r="J458" s="4">
        <f>11.5193 * CHOOSE(CONTROL!$C$15, $D$11, 100%, $F$11)</f>
        <v>11.519299999999999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1.2183999999999999</v>
      </c>
      <c r="Q458" s="9">
        <v>20.007999999999999</v>
      </c>
      <c r="R458" s="9"/>
      <c r="S458" s="11"/>
    </row>
    <row r="459" spans="1:19" ht="15.75">
      <c r="A459" s="13">
        <v>55487</v>
      </c>
      <c r="B459" s="8">
        <f>12.8818 * CHOOSE(CONTROL!$C$15, $D$11, 100%, $F$11)</f>
        <v>12.8818</v>
      </c>
      <c r="C459" s="8">
        <f>12.8869 * CHOOSE(CONTROL!$C$15, $D$11, 100%, $F$11)</f>
        <v>12.886900000000001</v>
      </c>
      <c r="D459" s="8">
        <f>12.8644 * CHOOSE( CONTROL!$C$15, $D$11, 100%, $F$11)</f>
        <v>12.8644</v>
      </c>
      <c r="E459" s="12">
        <f>12.8721 * CHOOSE( CONTROL!$C$15, $D$11, 100%, $F$11)</f>
        <v>12.8721</v>
      </c>
      <c r="F459" s="4">
        <f>13.5267 * CHOOSE(CONTROL!$C$15, $D$11, 100%, $F$11)</f>
        <v>13.5267</v>
      </c>
      <c r="G459" s="8">
        <f>12.6508 * CHOOSE( CONTROL!$C$15, $D$11, 100%, $F$11)</f>
        <v>12.6508</v>
      </c>
      <c r="H459" s="4">
        <f>13.5312 * CHOOSE(CONTROL!$C$15, $D$11, 100%, $F$11)</f>
        <v>13.5312</v>
      </c>
      <c r="I459" s="8">
        <f>12.5502 * CHOOSE(CONTROL!$C$15, $D$11, 100%, $F$11)</f>
        <v>12.5502</v>
      </c>
      <c r="J459" s="4">
        <f>12.4237 * CHOOSE(CONTROL!$C$15, $D$11, 100%, $F$11)</f>
        <v>12.4237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19.3626</v>
      </c>
      <c r="R459" s="9"/>
      <c r="S459" s="11"/>
    </row>
    <row r="460" spans="1:19" ht="15.75">
      <c r="A460" s="13">
        <v>55518</v>
      </c>
      <c r="B460" s="8">
        <f>12.8584 * CHOOSE(CONTROL!$C$15, $D$11, 100%, $F$11)</f>
        <v>12.8584</v>
      </c>
      <c r="C460" s="8">
        <f>12.8635 * CHOOSE(CONTROL!$C$15, $D$11, 100%, $F$11)</f>
        <v>12.8635</v>
      </c>
      <c r="D460" s="8">
        <f>12.8425 * CHOOSE( CONTROL!$C$15, $D$11, 100%, $F$11)</f>
        <v>12.842499999999999</v>
      </c>
      <c r="E460" s="12">
        <f>12.8496 * CHOOSE( CONTROL!$C$15, $D$11, 100%, $F$11)</f>
        <v>12.849600000000001</v>
      </c>
      <c r="F460" s="4">
        <f>13.5033 * CHOOSE(CONTROL!$C$15, $D$11, 100%, $F$11)</f>
        <v>13.503299999999999</v>
      </c>
      <c r="G460" s="8">
        <f>12.6289 * CHOOSE( CONTROL!$C$15, $D$11, 100%, $F$11)</f>
        <v>12.6289</v>
      </c>
      <c r="H460" s="4">
        <f>13.5082 * CHOOSE(CONTROL!$C$15, $D$11, 100%, $F$11)</f>
        <v>13.5082</v>
      </c>
      <c r="I460" s="8">
        <f>12.5322 * CHOOSE(CONTROL!$C$15, $D$11, 100%, $F$11)</f>
        <v>12.5322</v>
      </c>
      <c r="J460" s="4">
        <f>12.4011 * CHOOSE(CONTROL!$C$15, $D$11, 100%, $F$11)</f>
        <v>12.4011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20.007999999999999</v>
      </c>
      <c r="R460" s="9"/>
      <c r="S460" s="11"/>
    </row>
    <row r="461" spans="1:19" ht="15.75">
      <c r="A461" s="13">
        <v>55549</v>
      </c>
      <c r="B461" s="8">
        <f>13.3487 * CHOOSE(CONTROL!$C$15, $D$11, 100%, $F$11)</f>
        <v>13.348699999999999</v>
      </c>
      <c r="C461" s="8">
        <f>13.3538 * CHOOSE(CONTROL!$C$15, $D$11, 100%, $F$11)</f>
        <v>13.3538</v>
      </c>
      <c r="D461" s="8">
        <f>13.3318 * CHOOSE( CONTROL!$C$15, $D$11, 100%, $F$11)</f>
        <v>13.331799999999999</v>
      </c>
      <c r="E461" s="12">
        <f>13.3393 * CHOOSE( CONTROL!$C$15, $D$11, 100%, $F$11)</f>
        <v>13.3393</v>
      </c>
      <c r="F461" s="4">
        <f>13.9936 * CHOOSE(CONTROL!$C$15, $D$11, 100%, $F$11)</f>
        <v>13.993600000000001</v>
      </c>
      <c r="G461" s="8">
        <f>13.1085 * CHOOSE( CONTROL!$C$15, $D$11, 100%, $F$11)</f>
        <v>13.108499999999999</v>
      </c>
      <c r="H461" s="4">
        <f>13.9903 * CHOOSE(CONTROL!$C$15, $D$11, 100%, $F$11)</f>
        <v>13.9903</v>
      </c>
      <c r="I461" s="8">
        <f>12.9782 * CHOOSE(CONTROL!$C$15, $D$11, 100%, $F$11)</f>
        <v>12.978199999999999</v>
      </c>
      <c r="J461" s="4">
        <f>12.875 * CHOOSE(CONTROL!$C$15, $D$11, 100%, $F$11)</f>
        <v>12.875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19.942900000000002</v>
      </c>
      <c r="R461" s="9"/>
      <c r="S461" s="11"/>
    </row>
    <row r="462" spans="1:19" ht="15.75">
      <c r="A462" s="13">
        <v>55577</v>
      </c>
      <c r="B462" s="8">
        <f>12.4877 * CHOOSE(CONTROL!$C$15, $D$11, 100%, $F$11)</f>
        <v>12.4877</v>
      </c>
      <c r="C462" s="8">
        <f>12.4928 * CHOOSE(CONTROL!$C$15, $D$11, 100%, $F$11)</f>
        <v>12.492800000000001</v>
      </c>
      <c r="D462" s="8">
        <f>12.4664 * CHOOSE( CONTROL!$C$15, $D$11, 100%, $F$11)</f>
        <v>12.4664</v>
      </c>
      <c r="E462" s="12">
        <f>12.4755 * CHOOSE( CONTROL!$C$15, $D$11, 100%, $F$11)</f>
        <v>12.4755</v>
      </c>
      <c r="F462" s="4">
        <f>13.1326 * CHOOSE(CONTROL!$C$15, $D$11, 100%, $F$11)</f>
        <v>13.1326</v>
      </c>
      <c r="G462" s="8">
        <f>12.2532 * CHOOSE( CONTROL!$C$15, $D$11, 100%, $F$11)</f>
        <v>12.2532</v>
      </c>
      <c r="H462" s="4">
        <f>13.1436 * CHOOSE(CONTROL!$C$15, $D$11, 100%, $F$11)</f>
        <v>13.143599999999999</v>
      </c>
      <c r="I462" s="8">
        <f>12.1164 * CHOOSE(CONTROL!$C$15, $D$11, 100%, $F$11)</f>
        <v>12.116400000000001</v>
      </c>
      <c r="J462" s="4">
        <f>12.0427 * CHOOSE(CONTROL!$C$15, $D$11, 100%, $F$11)</f>
        <v>12.0427</v>
      </c>
      <c r="K462" s="4"/>
      <c r="L462" s="9">
        <v>27.415299999999998</v>
      </c>
      <c r="M462" s="9">
        <v>11.285299999999999</v>
      </c>
      <c r="N462" s="9">
        <v>4.6254999999999997</v>
      </c>
      <c r="O462" s="9">
        <v>0.34989999999999999</v>
      </c>
      <c r="P462" s="9">
        <v>1.2093</v>
      </c>
      <c r="Q462" s="9">
        <v>18.656300000000002</v>
      </c>
      <c r="R462" s="9"/>
      <c r="S462" s="11"/>
    </row>
    <row r="463" spans="1:19" ht="15.75">
      <c r="A463" s="13">
        <v>55609</v>
      </c>
      <c r="B463" s="8">
        <f>12.2225 * CHOOSE(CONTROL!$C$15, $D$11, 100%, $F$11)</f>
        <v>12.2225</v>
      </c>
      <c r="C463" s="8">
        <f>12.2276 * CHOOSE(CONTROL!$C$15, $D$11, 100%, $F$11)</f>
        <v>12.227600000000001</v>
      </c>
      <c r="D463" s="8">
        <f>12.2016 * CHOOSE( CONTROL!$C$15, $D$11, 100%, $F$11)</f>
        <v>12.201599999999999</v>
      </c>
      <c r="E463" s="12">
        <f>12.2106 * CHOOSE( CONTROL!$C$15, $D$11, 100%, $F$11)</f>
        <v>12.210599999999999</v>
      </c>
      <c r="F463" s="4">
        <f>12.8674 * CHOOSE(CONTROL!$C$15, $D$11, 100%, $F$11)</f>
        <v>12.8674</v>
      </c>
      <c r="G463" s="8">
        <f>11.9927 * CHOOSE( CONTROL!$C$15, $D$11, 100%, $F$11)</f>
        <v>11.992699999999999</v>
      </c>
      <c r="H463" s="4">
        <f>12.8828 * CHOOSE(CONTROL!$C$15, $D$11, 100%, $F$11)</f>
        <v>12.8828</v>
      </c>
      <c r="I463" s="8">
        <f>11.8611 * CHOOSE(CONTROL!$C$15, $D$11, 100%, $F$11)</f>
        <v>11.8611</v>
      </c>
      <c r="J463" s="4">
        <f>11.7863 * CHOOSE(CONTROL!$C$15, $D$11, 100%, $F$11)</f>
        <v>11.786300000000001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19.942900000000002</v>
      </c>
      <c r="R463" s="9"/>
      <c r="S463" s="11"/>
    </row>
    <row r="464" spans="1:19" ht="15.75">
      <c r="A464" s="13">
        <v>55639</v>
      </c>
      <c r="B464" s="8">
        <f>12.4086 * CHOOSE(CONTROL!$C$15, $D$11, 100%, $F$11)</f>
        <v>12.4086</v>
      </c>
      <c r="C464" s="8">
        <f>12.4131 * CHOOSE(CONTROL!$C$15, $D$11, 100%, $F$11)</f>
        <v>12.4131</v>
      </c>
      <c r="D464" s="8">
        <f>12.4203 * CHOOSE( CONTROL!$C$15, $D$11, 100%, $F$11)</f>
        <v>12.420299999999999</v>
      </c>
      <c r="E464" s="12">
        <f>12.4174 * CHOOSE( CONTROL!$C$15, $D$11, 100%, $F$11)</f>
        <v>12.417400000000001</v>
      </c>
      <c r="F464" s="4">
        <f>13.0915 * CHOOSE(CONTROL!$C$15, $D$11, 100%, $F$11)</f>
        <v>13.0915</v>
      </c>
      <c r="G464" s="8">
        <f>12.1702 * CHOOSE( CONTROL!$C$15, $D$11, 100%, $F$11)</f>
        <v>12.170199999999999</v>
      </c>
      <c r="H464" s="4">
        <f>13.1032 * CHOOSE(CONTROL!$C$15, $D$11, 100%, $F$11)</f>
        <v>13.103199999999999</v>
      </c>
      <c r="I464" s="8">
        <f>12.0602 * CHOOSE(CONTROL!$C$15, $D$11, 100%, $F$11)</f>
        <v>12.0602</v>
      </c>
      <c r="J464" s="4">
        <f>11.9655 * CHOOSE(CONTROL!$C$15, $D$11, 100%, $F$11)</f>
        <v>11.9655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1.1791</v>
      </c>
      <c r="Q464" s="9">
        <v>19.299600000000002</v>
      </c>
      <c r="R464" s="9"/>
      <c r="S464" s="11"/>
    </row>
    <row r="465" spans="1:19" ht="15.75">
      <c r="A465" s="13">
        <v>55670</v>
      </c>
      <c r="B465" s="8">
        <f>CHOOSE( CONTROL!$C$32, 12.743, 12.7398) * CHOOSE(CONTROL!$C$15, $D$11, 100%, $F$11)</f>
        <v>12.743</v>
      </c>
      <c r="C465" s="8">
        <f>CHOOSE( CONTROL!$C$32, 12.751, 12.7478) * CHOOSE(CONTROL!$C$15, $D$11, 100%, $F$11)</f>
        <v>12.750999999999999</v>
      </c>
      <c r="D465" s="8">
        <f>CHOOSE( CONTROL!$C$32, 12.7533, 12.7501) * CHOOSE( CONTROL!$C$15, $D$11, 100%, $F$11)</f>
        <v>12.753299999999999</v>
      </c>
      <c r="E465" s="12">
        <f>CHOOSE( CONTROL!$C$32, 12.7512, 12.748) * CHOOSE( CONTROL!$C$15, $D$11, 100%, $F$11)</f>
        <v>12.751200000000001</v>
      </c>
      <c r="F465" s="4">
        <f>CHOOSE( CONTROL!$C$32, 13.4245, 13.4213) * CHOOSE(CONTROL!$C$15, $D$11, 100%, $F$11)</f>
        <v>13.4245</v>
      </c>
      <c r="G465" s="8">
        <f>CHOOSE( CONTROL!$C$32, 12.4989, 12.4957) * CHOOSE( CONTROL!$C$15, $D$11, 100%, $F$11)</f>
        <v>12.498900000000001</v>
      </c>
      <c r="H465" s="4">
        <f>CHOOSE( CONTROL!$C$32, 13.4307, 13.4275) * CHOOSE(CONTROL!$C$15, $D$11, 100%, $F$11)</f>
        <v>13.4307</v>
      </c>
      <c r="I465" s="8">
        <f>CHOOSE( CONTROL!$C$32, 12.3838, 12.3807) * CHOOSE(CONTROL!$C$15, $D$11, 100%, $F$11)</f>
        <v>12.383800000000001</v>
      </c>
      <c r="J465" s="4">
        <f>CHOOSE( CONTROL!$C$32, 12.2874, 12.2843) * CHOOSE(CONTROL!$C$15, $D$11, 100%, $F$11)</f>
        <v>12.2874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1.2183999999999999</v>
      </c>
      <c r="Q465" s="9">
        <v>19.942900000000002</v>
      </c>
      <c r="R465" s="9"/>
      <c r="S465" s="11"/>
    </row>
    <row r="466" spans="1:19" ht="15.75">
      <c r="A466" s="13">
        <v>55700</v>
      </c>
      <c r="B466" s="8">
        <f>CHOOSE( CONTROL!$C$32, 12.5386, 12.5354) * CHOOSE(CONTROL!$C$15, $D$11, 100%, $F$11)</f>
        <v>12.538600000000001</v>
      </c>
      <c r="C466" s="8">
        <f>CHOOSE( CONTROL!$C$32, 12.5467, 12.5435) * CHOOSE(CONTROL!$C$15, $D$11, 100%, $F$11)</f>
        <v>12.5467</v>
      </c>
      <c r="D466" s="8">
        <f>CHOOSE( CONTROL!$C$32, 12.5493, 12.5461) * CHOOSE( CONTROL!$C$15, $D$11, 100%, $F$11)</f>
        <v>12.549300000000001</v>
      </c>
      <c r="E466" s="12">
        <f>CHOOSE( CONTROL!$C$32, 12.5471, 12.5439) * CHOOSE( CONTROL!$C$15, $D$11, 100%, $F$11)</f>
        <v>12.5471</v>
      </c>
      <c r="F466" s="4">
        <f>CHOOSE( CONTROL!$C$32, 13.2202, 13.217) * CHOOSE(CONTROL!$C$15, $D$11, 100%, $F$11)</f>
        <v>13.2202</v>
      </c>
      <c r="G466" s="8">
        <f>CHOOSE( CONTROL!$C$32, 12.2984, 12.2952) * CHOOSE( CONTROL!$C$15, $D$11, 100%, $F$11)</f>
        <v>12.298400000000001</v>
      </c>
      <c r="H466" s="4">
        <f>CHOOSE( CONTROL!$C$32, 13.2297, 13.2266) * CHOOSE(CONTROL!$C$15, $D$11, 100%, $F$11)</f>
        <v>13.229699999999999</v>
      </c>
      <c r="I466" s="8">
        <f>CHOOSE( CONTROL!$C$32, 12.1876, 12.1845) * CHOOSE(CONTROL!$C$15, $D$11, 100%, $F$11)</f>
        <v>12.1876</v>
      </c>
      <c r="J466" s="4">
        <f>CHOOSE( CONTROL!$C$32, 12.0899, 12.0868) * CHOOSE(CONTROL!$C$15, $D$11, 100%, $F$11)</f>
        <v>12.0899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1.1791</v>
      </c>
      <c r="Q466" s="9">
        <v>19.299600000000002</v>
      </c>
      <c r="R466" s="9"/>
      <c r="S466" s="11"/>
    </row>
    <row r="467" spans="1:19" ht="15.75">
      <c r="A467" s="13">
        <v>55731</v>
      </c>
      <c r="B467" s="8">
        <f>CHOOSE( CONTROL!$C$32, 13.0767, 13.0735) * CHOOSE(CONTROL!$C$15, $D$11, 100%, $F$11)</f>
        <v>13.076700000000001</v>
      </c>
      <c r="C467" s="8">
        <f>CHOOSE( CONTROL!$C$32, 13.0847, 13.0815) * CHOOSE(CONTROL!$C$15, $D$11, 100%, $F$11)</f>
        <v>13.0847</v>
      </c>
      <c r="D467" s="8">
        <f>CHOOSE( CONTROL!$C$32, 13.0876, 13.0844) * CHOOSE( CONTROL!$C$15, $D$11, 100%, $F$11)</f>
        <v>13.0876</v>
      </c>
      <c r="E467" s="12">
        <f>CHOOSE( CONTROL!$C$32, 13.0853, 13.0821) * CHOOSE( CONTROL!$C$15, $D$11, 100%, $F$11)</f>
        <v>13.0853</v>
      </c>
      <c r="F467" s="4">
        <f>CHOOSE( CONTROL!$C$32, 13.7582, 13.755) * CHOOSE(CONTROL!$C$15, $D$11, 100%, $F$11)</f>
        <v>13.7582</v>
      </c>
      <c r="G467" s="8">
        <f>CHOOSE( CONTROL!$C$32, 12.8279, 12.8248) * CHOOSE( CONTROL!$C$15, $D$11, 100%, $F$11)</f>
        <v>12.8279</v>
      </c>
      <c r="H467" s="4">
        <f>CHOOSE( CONTROL!$C$32, 13.7588, 13.7557) * CHOOSE(CONTROL!$C$15, $D$11, 100%, $F$11)</f>
        <v>13.758800000000001</v>
      </c>
      <c r="I467" s="8">
        <f>CHOOSE( CONTROL!$C$32, 12.7094, 12.7063) * CHOOSE(CONTROL!$C$15, $D$11, 100%, $F$11)</f>
        <v>12.7094</v>
      </c>
      <c r="J467" s="4">
        <f>CHOOSE( CONTROL!$C$32, 12.61, 12.6069) * CHOOSE(CONTROL!$C$15, $D$11, 100%, $F$11)</f>
        <v>12.61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19.942900000000002</v>
      </c>
      <c r="R467" s="9"/>
      <c r="S467" s="11"/>
    </row>
    <row r="468" spans="1:19" ht="15.75">
      <c r="A468" s="13">
        <v>55762</v>
      </c>
      <c r="B468" s="8">
        <f>CHOOSE( CONTROL!$C$32, 12.07, 12.0668) * CHOOSE(CONTROL!$C$15, $D$11, 100%, $F$11)</f>
        <v>12.07</v>
      </c>
      <c r="C468" s="8">
        <f>CHOOSE( CONTROL!$C$32, 12.078, 12.0748) * CHOOSE(CONTROL!$C$15, $D$11, 100%, $F$11)</f>
        <v>12.077999999999999</v>
      </c>
      <c r="D468" s="8">
        <f>CHOOSE( CONTROL!$C$32, 12.0811, 12.0779) * CHOOSE( CONTROL!$C$15, $D$11, 100%, $F$11)</f>
        <v>12.081099999999999</v>
      </c>
      <c r="E468" s="12">
        <f>CHOOSE( CONTROL!$C$32, 12.0788, 12.0756) * CHOOSE( CONTROL!$C$15, $D$11, 100%, $F$11)</f>
        <v>12.078799999999999</v>
      </c>
      <c r="F468" s="4">
        <f>CHOOSE( CONTROL!$C$32, 12.7515, 12.7483) * CHOOSE(CONTROL!$C$15, $D$11, 100%, $F$11)</f>
        <v>12.7515</v>
      </c>
      <c r="G468" s="8">
        <f>CHOOSE( CONTROL!$C$32, 11.8382, 11.835) * CHOOSE( CONTROL!$C$15, $D$11, 100%, $F$11)</f>
        <v>11.838200000000001</v>
      </c>
      <c r="H468" s="4">
        <f>CHOOSE( CONTROL!$C$32, 12.7688, 12.7657) * CHOOSE(CONTROL!$C$15, $D$11, 100%, $F$11)</f>
        <v>12.768800000000001</v>
      </c>
      <c r="I468" s="8">
        <f>CHOOSE( CONTROL!$C$32, 11.7366, 11.7335) * CHOOSE(CONTROL!$C$15, $D$11, 100%, $F$11)</f>
        <v>11.736599999999999</v>
      </c>
      <c r="J468" s="4">
        <f>CHOOSE( CONTROL!$C$32, 11.6368, 11.6337) * CHOOSE(CONTROL!$C$15, $D$11, 100%, $F$11)</f>
        <v>11.636799999999999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1.2183999999999999</v>
      </c>
      <c r="Q468" s="9">
        <v>19.942900000000002</v>
      </c>
      <c r="R468" s="9"/>
      <c r="S468" s="11"/>
    </row>
    <row r="469" spans="1:19" ht="15.75">
      <c r="A469" s="13">
        <v>55792</v>
      </c>
      <c r="B469" s="8">
        <f>CHOOSE( CONTROL!$C$32, 11.8179, 11.8147) * CHOOSE(CONTROL!$C$15, $D$11, 100%, $F$11)</f>
        <v>11.8179</v>
      </c>
      <c r="C469" s="8">
        <f>CHOOSE( CONTROL!$C$32, 11.8259, 11.8227) * CHOOSE(CONTROL!$C$15, $D$11, 100%, $F$11)</f>
        <v>11.825900000000001</v>
      </c>
      <c r="D469" s="8">
        <f>CHOOSE( CONTROL!$C$32, 11.829, 11.8258) * CHOOSE( CONTROL!$C$15, $D$11, 100%, $F$11)</f>
        <v>11.829000000000001</v>
      </c>
      <c r="E469" s="12">
        <f>CHOOSE( CONTROL!$C$32, 11.8267, 11.8235) * CHOOSE( CONTROL!$C$15, $D$11, 100%, $F$11)</f>
        <v>11.826700000000001</v>
      </c>
      <c r="F469" s="4">
        <f>CHOOSE( CONTROL!$C$32, 12.4994, 12.4962) * CHOOSE(CONTROL!$C$15, $D$11, 100%, $F$11)</f>
        <v>12.4994</v>
      </c>
      <c r="G469" s="8">
        <f>CHOOSE( CONTROL!$C$32, 11.5903, 11.5872) * CHOOSE( CONTROL!$C$15, $D$11, 100%, $F$11)</f>
        <v>11.590299999999999</v>
      </c>
      <c r="H469" s="4">
        <f>CHOOSE( CONTROL!$C$32, 12.5209, 12.5178) * CHOOSE(CONTROL!$C$15, $D$11, 100%, $F$11)</f>
        <v>12.520899999999999</v>
      </c>
      <c r="I469" s="8">
        <f>CHOOSE( CONTROL!$C$32, 11.4929, 11.4898) * CHOOSE(CONTROL!$C$15, $D$11, 100%, $F$11)</f>
        <v>11.492900000000001</v>
      </c>
      <c r="J469" s="4">
        <f>CHOOSE( CONTROL!$C$32, 11.3931, 11.39) * CHOOSE(CONTROL!$C$15, $D$11, 100%, $F$11)</f>
        <v>11.3931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1.1791</v>
      </c>
      <c r="Q469" s="9">
        <v>19.299600000000002</v>
      </c>
      <c r="R469" s="9"/>
      <c r="S469" s="11"/>
    </row>
    <row r="470" spans="1:19" ht="15.75">
      <c r="A470" s="13">
        <v>55823</v>
      </c>
      <c r="B470" s="8">
        <f>12.3364 * CHOOSE(CONTROL!$C$15, $D$11, 100%, $F$11)</f>
        <v>12.336399999999999</v>
      </c>
      <c r="C470" s="8">
        <f>12.3418 * CHOOSE(CONTROL!$C$15, $D$11, 100%, $F$11)</f>
        <v>12.341799999999999</v>
      </c>
      <c r="D470" s="8">
        <f>12.3496 * CHOOSE( CONTROL!$C$15, $D$11, 100%, $F$11)</f>
        <v>12.349600000000001</v>
      </c>
      <c r="E470" s="12">
        <f>12.3465 * CHOOSE( CONTROL!$C$15, $D$11, 100%, $F$11)</f>
        <v>12.346500000000001</v>
      </c>
      <c r="F470" s="4">
        <f>13.0197 * CHOOSE(CONTROL!$C$15, $D$11, 100%, $F$11)</f>
        <v>13.0197</v>
      </c>
      <c r="G470" s="8">
        <f>12.1014 * CHOOSE( CONTROL!$C$15, $D$11, 100%, $F$11)</f>
        <v>12.1014</v>
      </c>
      <c r="H470" s="4">
        <f>13.0325 * CHOOSE(CONTROL!$C$15, $D$11, 100%, $F$11)</f>
        <v>13.032500000000001</v>
      </c>
      <c r="I470" s="8">
        <f>11.9966 * CHOOSE(CONTROL!$C$15, $D$11, 100%, $F$11)</f>
        <v>11.996600000000001</v>
      </c>
      <c r="J470" s="4">
        <f>11.896 * CHOOSE(CONTROL!$C$15, $D$11, 100%, $F$11)</f>
        <v>11.896000000000001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1.2183999999999999</v>
      </c>
      <c r="Q470" s="9">
        <v>19.942900000000002</v>
      </c>
      <c r="R470" s="9"/>
      <c r="S470" s="11"/>
    </row>
    <row r="471" spans="1:19" ht="15.75">
      <c r="A471" s="13">
        <v>55853</v>
      </c>
      <c r="B471" s="8">
        <f>13.3021 * CHOOSE(CONTROL!$C$15, $D$11, 100%, $F$11)</f>
        <v>13.302099999999999</v>
      </c>
      <c r="C471" s="8">
        <f>13.3072 * CHOOSE(CONTROL!$C$15, $D$11, 100%, $F$11)</f>
        <v>13.3072</v>
      </c>
      <c r="D471" s="8">
        <f>13.2847 * CHOOSE( CONTROL!$C$15, $D$11, 100%, $F$11)</f>
        <v>13.284700000000001</v>
      </c>
      <c r="E471" s="12">
        <f>13.2924 * CHOOSE( CONTROL!$C$15, $D$11, 100%, $F$11)</f>
        <v>13.292400000000001</v>
      </c>
      <c r="F471" s="4">
        <f>13.947 * CHOOSE(CONTROL!$C$15, $D$11, 100%, $F$11)</f>
        <v>13.946999999999999</v>
      </c>
      <c r="G471" s="8">
        <f>13.0641 * CHOOSE( CONTROL!$C$15, $D$11, 100%, $F$11)</f>
        <v>13.0641</v>
      </c>
      <c r="H471" s="4">
        <f>13.9445 * CHOOSE(CONTROL!$C$15, $D$11, 100%, $F$11)</f>
        <v>13.9445</v>
      </c>
      <c r="I471" s="8">
        <f>12.9567 * CHOOSE(CONTROL!$C$15, $D$11, 100%, $F$11)</f>
        <v>12.9567</v>
      </c>
      <c r="J471" s="4">
        <f>12.83 * CHOOSE(CONTROL!$C$15, $D$11, 100%, $F$11)</f>
        <v>12.83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19.299600000000002</v>
      </c>
      <c r="R471" s="9"/>
      <c r="S471" s="11"/>
    </row>
    <row r="472" spans="1:19" ht="15.75">
      <c r="A472" s="13">
        <v>55884</v>
      </c>
      <c r="B472" s="8">
        <f>13.278 * CHOOSE(CONTROL!$C$15, $D$11, 100%, $F$11)</f>
        <v>13.278</v>
      </c>
      <c r="C472" s="8">
        <f>13.2831 * CHOOSE(CONTROL!$C$15, $D$11, 100%, $F$11)</f>
        <v>13.283099999999999</v>
      </c>
      <c r="D472" s="8">
        <f>13.262 * CHOOSE( CONTROL!$C$15, $D$11, 100%, $F$11)</f>
        <v>13.262</v>
      </c>
      <c r="E472" s="12">
        <f>13.2692 * CHOOSE( CONTROL!$C$15, $D$11, 100%, $F$11)</f>
        <v>13.2692</v>
      </c>
      <c r="F472" s="4">
        <f>13.9228 * CHOOSE(CONTROL!$C$15, $D$11, 100%, $F$11)</f>
        <v>13.922800000000001</v>
      </c>
      <c r="G472" s="8">
        <f>13.0415 * CHOOSE( CONTROL!$C$15, $D$11, 100%, $F$11)</f>
        <v>13.041499999999999</v>
      </c>
      <c r="H472" s="4">
        <f>13.9207 * CHOOSE(CONTROL!$C$15, $D$11, 100%, $F$11)</f>
        <v>13.9207</v>
      </c>
      <c r="I472" s="8">
        <f>12.938 * CHOOSE(CONTROL!$C$15, $D$11, 100%, $F$11)</f>
        <v>12.938000000000001</v>
      </c>
      <c r="J472" s="4">
        <f>12.8066 * CHOOSE(CONTROL!$C$15, $D$11, 100%, $F$11)</f>
        <v>12.8066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19.942900000000002</v>
      </c>
      <c r="R472" s="9"/>
      <c r="S472" s="11"/>
    </row>
    <row r="473" spans="1:19" ht="15.75">
      <c r="A473" s="13">
        <v>55915</v>
      </c>
      <c r="B473" s="8">
        <f>13.7843 * CHOOSE(CONTROL!$C$15, $D$11, 100%, $F$11)</f>
        <v>13.7843</v>
      </c>
      <c r="C473" s="8">
        <f>13.7894 * CHOOSE(CONTROL!$C$15, $D$11, 100%, $F$11)</f>
        <v>13.789400000000001</v>
      </c>
      <c r="D473" s="8">
        <f>13.7674 * CHOOSE( CONTROL!$C$15, $D$11, 100%, $F$11)</f>
        <v>13.7674</v>
      </c>
      <c r="E473" s="12">
        <f>13.7749 * CHOOSE( CONTROL!$C$15, $D$11, 100%, $F$11)</f>
        <v>13.774900000000001</v>
      </c>
      <c r="F473" s="4">
        <f>14.4292 * CHOOSE(CONTROL!$C$15, $D$11, 100%, $F$11)</f>
        <v>14.4292</v>
      </c>
      <c r="G473" s="8">
        <f>13.5368 * CHOOSE( CONTROL!$C$15, $D$11, 100%, $F$11)</f>
        <v>13.536799999999999</v>
      </c>
      <c r="H473" s="4">
        <f>14.4187 * CHOOSE(CONTROL!$C$15, $D$11, 100%, $F$11)</f>
        <v>14.418699999999999</v>
      </c>
      <c r="I473" s="8">
        <f>13.3994 * CHOOSE(CONTROL!$C$15, $D$11, 100%, $F$11)</f>
        <v>13.3994</v>
      </c>
      <c r="J473" s="4">
        <f>13.2961 * CHOOSE(CONTROL!$C$15, $D$11, 100%, $F$11)</f>
        <v>13.296099999999999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19.877800000000001</v>
      </c>
      <c r="R473" s="9"/>
      <c r="S473" s="11"/>
    </row>
    <row r="474" spans="1:19" ht="15.75">
      <c r="A474" s="13">
        <v>55943</v>
      </c>
      <c r="B474" s="8">
        <f>12.8951 * CHOOSE(CONTROL!$C$15, $D$11, 100%, $F$11)</f>
        <v>12.895099999999999</v>
      </c>
      <c r="C474" s="8">
        <f>12.9002 * CHOOSE(CONTROL!$C$15, $D$11, 100%, $F$11)</f>
        <v>12.9002</v>
      </c>
      <c r="D474" s="8">
        <f>12.8738 * CHOOSE( CONTROL!$C$15, $D$11, 100%, $F$11)</f>
        <v>12.873799999999999</v>
      </c>
      <c r="E474" s="12">
        <f>12.8829 * CHOOSE( CONTROL!$C$15, $D$11, 100%, $F$11)</f>
        <v>12.882899999999999</v>
      </c>
      <c r="F474" s="4">
        <f>13.54 * CHOOSE(CONTROL!$C$15, $D$11, 100%, $F$11)</f>
        <v>13.54</v>
      </c>
      <c r="G474" s="8">
        <f>12.6539 * CHOOSE( CONTROL!$C$15, $D$11, 100%, $F$11)</f>
        <v>12.6539</v>
      </c>
      <c r="H474" s="4">
        <f>13.5442 * CHOOSE(CONTROL!$C$15, $D$11, 100%, $F$11)</f>
        <v>13.5442</v>
      </c>
      <c r="I474" s="8">
        <f>12.5104 * CHOOSE(CONTROL!$C$15, $D$11, 100%, $F$11)</f>
        <v>12.510400000000001</v>
      </c>
      <c r="J474" s="4">
        <f>12.4365 * CHOOSE(CONTROL!$C$15, $D$11, 100%, $F$11)</f>
        <v>12.436500000000001</v>
      </c>
      <c r="K474" s="4"/>
      <c r="L474" s="9">
        <v>26.469899999999999</v>
      </c>
      <c r="M474" s="9">
        <v>10.8962</v>
      </c>
      <c r="N474" s="9">
        <v>4.4660000000000002</v>
      </c>
      <c r="O474" s="9">
        <v>0.33789999999999998</v>
      </c>
      <c r="P474" s="9">
        <v>1.1676</v>
      </c>
      <c r="Q474" s="9">
        <v>17.9542</v>
      </c>
      <c r="R474" s="9"/>
      <c r="S474" s="11"/>
    </row>
    <row r="475" spans="1:19" ht="15.75">
      <c r="A475" s="13">
        <v>55974</v>
      </c>
      <c r="B475" s="8">
        <f>12.6212 * CHOOSE(CONTROL!$C$15, $D$11, 100%, $F$11)</f>
        <v>12.6212</v>
      </c>
      <c r="C475" s="8">
        <f>12.6264 * CHOOSE(CONTROL!$C$15, $D$11, 100%, $F$11)</f>
        <v>12.6264</v>
      </c>
      <c r="D475" s="8">
        <f>12.6004 * CHOOSE( CONTROL!$C$15, $D$11, 100%, $F$11)</f>
        <v>12.6004</v>
      </c>
      <c r="E475" s="12">
        <f>12.6094 * CHOOSE( CONTROL!$C$15, $D$11, 100%, $F$11)</f>
        <v>12.609400000000001</v>
      </c>
      <c r="F475" s="4">
        <f>13.2661 * CHOOSE(CONTROL!$C$15, $D$11, 100%, $F$11)</f>
        <v>13.2661</v>
      </c>
      <c r="G475" s="8">
        <f>12.3848 * CHOOSE( CONTROL!$C$15, $D$11, 100%, $F$11)</f>
        <v>12.3848</v>
      </c>
      <c r="H475" s="4">
        <f>13.2749 * CHOOSE(CONTROL!$C$15, $D$11, 100%, $F$11)</f>
        <v>13.274900000000001</v>
      </c>
      <c r="I475" s="8">
        <f>12.2468 * CHOOSE(CONTROL!$C$15, $D$11, 100%, $F$11)</f>
        <v>12.2468</v>
      </c>
      <c r="J475" s="4">
        <f>12.1718 * CHOOSE(CONTROL!$C$15, $D$11, 100%, $F$11)</f>
        <v>12.171799999999999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19.877800000000001</v>
      </c>
      <c r="R475" s="9"/>
      <c r="S475" s="11"/>
    </row>
    <row r="476" spans="1:19" ht="15.75">
      <c r="A476" s="13">
        <v>56004</v>
      </c>
      <c r="B476" s="8">
        <f>12.8134 * CHOOSE(CONTROL!$C$15, $D$11, 100%, $F$11)</f>
        <v>12.8134</v>
      </c>
      <c r="C476" s="8">
        <f>12.8179 * CHOOSE(CONTROL!$C$15, $D$11, 100%, $F$11)</f>
        <v>12.8179</v>
      </c>
      <c r="D476" s="8">
        <f>12.8251 * CHOOSE( CONTROL!$C$15, $D$11, 100%, $F$11)</f>
        <v>12.825100000000001</v>
      </c>
      <c r="E476" s="12">
        <f>12.8222 * CHOOSE( CONTROL!$C$15, $D$11, 100%, $F$11)</f>
        <v>12.8222</v>
      </c>
      <c r="F476" s="4">
        <f>13.4963 * CHOOSE(CONTROL!$C$15, $D$11, 100%, $F$11)</f>
        <v>13.4963</v>
      </c>
      <c r="G476" s="8">
        <f>12.5683 * CHOOSE( CONTROL!$C$15, $D$11, 100%, $F$11)</f>
        <v>12.568300000000001</v>
      </c>
      <c r="H476" s="4">
        <f>13.5013 * CHOOSE(CONTROL!$C$15, $D$11, 100%, $F$11)</f>
        <v>13.501300000000001</v>
      </c>
      <c r="I476" s="8">
        <f>12.4517 * CHOOSE(CONTROL!$C$15, $D$11, 100%, $F$11)</f>
        <v>12.451700000000001</v>
      </c>
      <c r="J476" s="4">
        <f>12.3568 * CHOOSE(CONTROL!$C$15, $D$11, 100%, $F$11)</f>
        <v>12.3568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1.1791</v>
      </c>
      <c r="Q476" s="9">
        <v>19.236599999999999</v>
      </c>
      <c r="R476" s="9"/>
      <c r="S476" s="11"/>
    </row>
    <row r="477" spans="1:19" ht="15.75">
      <c r="A477" s="13">
        <v>56035</v>
      </c>
      <c r="B477" s="8">
        <f>CHOOSE( CONTROL!$C$32, 13.1585, 13.1553) * CHOOSE(CONTROL!$C$15, $D$11, 100%, $F$11)</f>
        <v>13.1585</v>
      </c>
      <c r="C477" s="8">
        <f>CHOOSE( CONTROL!$C$32, 13.1665, 13.1633) * CHOOSE(CONTROL!$C$15, $D$11, 100%, $F$11)</f>
        <v>13.166499999999999</v>
      </c>
      <c r="D477" s="8">
        <f>CHOOSE( CONTROL!$C$32, 13.1689, 13.1657) * CHOOSE( CONTROL!$C$15, $D$11, 100%, $F$11)</f>
        <v>13.168900000000001</v>
      </c>
      <c r="E477" s="12">
        <f>CHOOSE( CONTROL!$C$32, 13.1668, 13.1636) * CHOOSE( CONTROL!$C$15, $D$11, 100%, $F$11)</f>
        <v>13.1668</v>
      </c>
      <c r="F477" s="4">
        <f>CHOOSE( CONTROL!$C$32, 13.8401, 13.8369) * CHOOSE(CONTROL!$C$15, $D$11, 100%, $F$11)</f>
        <v>13.8401</v>
      </c>
      <c r="G477" s="8">
        <f>CHOOSE( CONTROL!$C$32, 12.9076, 12.9044) * CHOOSE( CONTROL!$C$15, $D$11, 100%, $F$11)</f>
        <v>12.9076</v>
      </c>
      <c r="H477" s="4">
        <f>CHOOSE( CONTROL!$C$32, 13.8393, 13.8362) * CHOOSE(CONTROL!$C$15, $D$11, 100%, $F$11)</f>
        <v>13.8393</v>
      </c>
      <c r="I477" s="8">
        <f>CHOOSE( CONTROL!$C$32, 12.7858, 12.7827) * CHOOSE(CONTROL!$C$15, $D$11, 100%, $F$11)</f>
        <v>12.7858</v>
      </c>
      <c r="J477" s="4">
        <f>CHOOSE( CONTROL!$C$32, 12.6891, 12.686) * CHOOSE(CONTROL!$C$15, $D$11, 100%, $F$11)</f>
        <v>12.6891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1.2183999999999999</v>
      </c>
      <c r="Q477" s="9">
        <v>19.877800000000001</v>
      </c>
      <c r="R477" s="9"/>
      <c r="S477" s="11"/>
    </row>
    <row r="478" spans="1:19" ht="15.75">
      <c r="A478" s="13">
        <v>56065</v>
      </c>
      <c r="B478" s="8">
        <f>CHOOSE( CONTROL!$C$32, 12.9475, 12.9443) * CHOOSE(CONTROL!$C$15, $D$11, 100%, $F$11)</f>
        <v>12.9475</v>
      </c>
      <c r="C478" s="8">
        <f>CHOOSE( CONTROL!$C$32, 12.9556, 12.9524) * CHOOSE(CONTROL!$C$15, $D$11, 100%, $F$11)</f>
        <v>12.9556</v>
      </c>
      <c r="D478" s="8">
        <f>CHOOSE( CONTROL!$C$32, 12.9582, 12.955) * CHOOSE( CONTROL!$C$15, $D$11, 100%, $F$11)</f>
        <v>12.9582</v>
      </c>
      <c r="E478" s="12">
        <f>CHOOSE( CONTROL!$C$32, 12.956, 12.9528) * CHOOSE( CONTROL!$C$15, $D$11, 100%, $F$11)</f>
        <v>12.956</v>
      </c>
      <c r="F478" s="4">
        <f>CHOOSE( CONTROL!$C$32, 13.6291, 13.6259) * CHOOSE(CONTROL!$C$15, $D$11, 100%, $F$11)</f>
        <v>13.629099999999999</v>
      </c>
      <c r="G478" s="8">
        <f>CHOOSE( CONTROL!$C$32, 12.7005, 12.6974) * CHOOSE( CONTROL!$C$15, $D$11, 100%, $F$11)</f>
        <v>12.7005</v>
      </c>
      <c r="H478" s="4">
        <f>CHOOSE( CONTROL!$C$32, 13.6319, 13.6287) * CHOOSE(CONTROL!$C$15, $D$11, 100%, $F$11)</f>
        <v>13.6319</v>
      </c>
      <c r="I478" s="8">
        <f>CHOOSE( CONTROL!$C$32, 12.5831, 12.58) * CHOOSE(CONTROL!$C$15, $D$11, 100%, $F$11)</f>
        <v>12.5831</v>
      </c>
      <c r="J478" s="4">
        <f>CHOOSE( CONTROL!$C$32, 12.4852, 12.4821) * CHOOSE(CONTROL!$C$15, $D$11, 100%, $F$11)</f>
        <v>12.485200000000001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1.1791</v>
      </c>
      <c r="Q478" s="9">
        <v>19.236599999999999</v>
      </c>
      <c r="R478" s="9"/>
      <c r="S478" s="11"/>
    </row>
    <row r="479" spans="1:19" ht="15.75">
      <c r="A479" s="13">
        <v>56096</v>
      </c>
      <c r="B479" s="8">
        <f>CHOOSE( CONTROL!$C$32, 13.5032, 13.5) * CHOOSE(CONTROL!$C$15, $D$11, 100%, $F$11)</f>
        <v>13.5032</v>
      </c>
      <c r="C479" s="8">
        <f>CHOOSE( CONTROL!$C$32, 13.5112, 13.508) * CHOOSE(CONTROL!$C$15, $D$11, 100%, $F$11)</f>
        <v>13.511200000000001</v>
      </c>
      <c r="D479" s="8">
        <f>CHOOSE( CONTROL!$C$32, 13.5141, 13.5109) * CHOOSE( CONTROL!$C$15, $D$11, 100%, $F$11)</f>
        <v>13.514099999999999</v>
      </c>
      <c r="E479" s="12">
        <f>CHOOSE( CONTROL!$C$32, 13.5118, 13.5086) * CHOOSE( CONTROL!$C$15, $D$11, 100%, $F$11)</f>
        <v>13.511799999999999</v>
      </c>
      <c r="F479" s="4">
        <f>CHOOSE( CONTROL!$C$32, 14.1847, 14.1815) * CHOOSE(CONTROL!$C$15, $D$11, 100%, $F$11)</f>
        <v>14.184699999999999</v>
      </c>
      <c r="G479" s="8">
        <f>CHOOSE( CONTROL!$C$32, 13.2474, 13.2442) * CHOOSE( CONTROL!$C$15, $D$11, 100%, $F$11)</f>
        <v>13.247400000000001</v>
      </c>
      <c r="H479" s="4">
        <f>CHOOSE( CONTROL!$C$32, 14.1783, 14.1751) * CHOOSE(CONTROL!$C$15, $D$11, 100%, $F$11)</f>
        <v>14.1783</v>
      </c>
      <c r="I479" s="8">
        <f>CHOOSE( CONTROL!$C$32, 13.1219, 13.1188) * CHOOSE(CONTROL!$C$15, $D$11, 100%, $F$11)</f>
        <v>13.1219</v>
      </c>
      <c r="J479" s="4">
        <f>CHOOSE( CONTROL!$C$32, 13.0223, 13.0192) * CHOOSE(CONTROL!$C$15, $D$11, 100%, $F$11)</f>
        <v>13.0223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19.877800000000001</v>
      </c>
      <c r="R479" s="9"/>
      <c r="S479" s="11"/>
    </row>
    <row r="480" spans="1:19" ht="15.75">
      <c r="A480" s="13">
        <v>56127</v>
      </c>
      <c r="B480" s="8">
        <f>CHOOSE( CONTROL!$C$32, 12.4636, 12.4604) * CHOOSE(CONTROL!$C$15, $D$11, 100%, $F$11)</f>
        <v>12.4636</v>
      </c>
      <c r="C480" s="8">
        <f>CHOOSE( CONTROL!$C$32, 12.4716, 12.4684) * CHOOSE(CONTROL!$C$15, $D$11, 100%, $F$11)</f>
        <v>12.4716</v>
      </c>
      <c r="D480" s="8">
        <f>CHOOSE( CONTROL!$C$32, 12.4746, 12.4714) * CHOOSE( CONTROL!$C$15, $D$11, 100%, $F$11)</f>
        <v>12.474600000000001</v>
      </c>
      <c r="E480" s="12">
        <f>CHOOSE( CONTROL!$C$32, 12.4723, 12.4691) * CHOOSE( CONTROL!$C$15, $D$11, 100%, $F$11)</f>
        <v>12.472300000000001</v>
      </c>
      <c r="F480" s="4">
        <f>CHOOSE( CONTROL!$C$32, 13.1451, 13.1419) * CHOOSE(CONTROL!$C$15, $D$11, 100%, $F$11)</f>
        <v>13.145099999999999</v>
      </c>
      <c r="G480" s="8">
        <f>CHOOSE( CONTROL!$C$32, 12.2252, 12.2221) * CHOOSE( CONTROL!$C$15, $D$11, 100%, $F$11)</f>
        <v>12.225199999999999</v>
      </c>
      <c r="H480" s="4">
        <f>CHOOSE( CONTROL!$C$32, 13.1559, 13.1527) * CHOOSE(CONTROL!$C$15, $D$11, 100%, $F$11)</f>
        <v>13.155900000000001</v>
      </c>
      <c r="I480" s="8">
        <f>CHOOSE( CONTROL!$C$32, 12.1172, 12.1141) * CHOOSE(CONTROL!$C$15, $D$11, 100%, $F$11)</f>
        <v>12.1172</v>
      </c>
      <c r="J480" s="4">
        <f>CHOOSE( CONTROL!$C$32, 12.0173, 12.0142) * CHOOSE(CONTROL!$C$15, $D$11, 100%, $F$11)</f>
        <v>12.017300000000001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1.2183999999999999</v>
      </c>
      <c r="Q480" s="9">
        <v>19.877800000000001</v>
      </c>
      <c r="R480" s="9"/>
      <c r="S480" s="11"/>
    </row>
    <row r="481" spans="1:19" ht="15.75">
      <c r="A481" s="13">
        <v>56157</v>
      </c>
      <c r="B481" s="8">
        <f>CHOOSE( CONTROL!$C$32, 12.2032, 12.2) * CHOOSE(CONTROL!$C$15, $D$11, 100%, $F$11)</f>
        <v>12.203200000000001</v>
      </c>
      <c r="C481" s="8">
        <f>CHOOSE( CONTROL!$C$32, 12.2112, 12.208) * CHOOSE(CONTROL!$C$15, $D$11, 100%, $F$11)</f>
        <v>12.2112</v>
      </c>
      <c r="D481" s="8">
        <f>CHOOSE( CONTROL!$C$32, 12.2143, 12.2111) * CHOOSE( CONTROL!$C$15, $D$11, 100%, $F$11)</f>
        <v>12.2143</v>
      </c>
      <c r="E481" s="12">
        <f>CHOOSE( CONTROL!$C$32, 12.212, 12.2088) * CHOOSE( CONTROL!$C$15, $D$11, 100%, $F$11)</f>
        <v>12.212</v>
      </c>
      <c r="F481" s="4">
        <f>CHOOSE( CONTROL!$C$32, 12.8848, 12.8816) * CHOOSE(CONTROL!$C$15, $D$11, 100%, $F$11)</f>
        <v>12.8848</v>
      </c>
      <c r="G481" s="8">
        <f>CHOOSE( CONTROL!$C$32, 11.9693, 11.9661) * CHOOSE( CONTROL!$C$15, $D$11, 100%, $F$11)</f>
        <v>11.9693</v>
      </c>
      <c r="H481" s="4">
        <f>CHOOSE( CONTROL!$C$32, 12.8999, 12.8967) * CHOOSE(CONTROL!$C$15, $D$11, 100%, $F$11)</f>
        <v>12.899900000000001</v>
      </c>
      <c r="I481" s="8">
        <f>CHOOSE( CONTROL!$C$32, 11.8656, 11.8625) * CHOOSE(CONTROL!$C$15, $D$11, 100%, $F$11)</f>
        <v>11.865600000000001</v>
      </c>
      <c r="J481" s="4">
        <f>CHOOSE( CONTROL!$C$32, 11.7656, 11.7625) * CHOOSE(CONTROL!$C$15, $D$11, 100%, $F$11)</f>
        <v>11.765599999999999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1.1791</v>
      </c>
      <c r="Q481" s="9">
        <v>19.236599999999999</v>
      </c>
      <c r="R481" s="9"/>
      <c r="S481" s="11"/>
    </row>
    <row r="482" spans="1:19" ht="15.75">
      <c r="A482" s="13">
        <v>56188</v>
      </c>
      <c r="B482" s="8">
        <f>12.7388 * CHOOSE(CONTROL!$C$15, $D$11, 100%, $F$11)</f>
        <v>12.738799999999999</v>
      </c>
      <c r="C482" s="8">
        <f>12.7442 * CHOOSE(CONTROL!$C$15, $D$11, 100%, $F$11)</f>
        <v>12.744199999999999</v>
      </c>
      <c r="D482" s="8">
        <f>12.7521 * CHOOSE( CONTROL!$C$15, $D$11, 100%, $F$11)</f>
        <v>12.7521</v>
      </c>
      <c r="E482" s="12">
        <f>12.7489 * CHOOSE( CONTROL!$C$15, $D$11, 100%, $F$11)</f>
        <v>12.748900000000001</v>
      </c>
      <c r="F482" s="4">
        <f>13.4221 * CHOOSE(CONTROL!$C$15, $D$11, 100%, $F$11)</f>
        <v>13.4221</v>
      </c>
      <c r="G482" s="8">
        <f>12.4972 * CHOOSE( CONTROL!$C$15, $D$11, 100%, $F$11)</f>
        <v>12.497199999999999</v>
      </c>
      <c r="H482" s="4">
        <f>13.4283 * CHOOSE(CONTROL!$C$15, $D$11, 100%, $F$11)</f>
        <v>13.4283</v>
      </c>
      <c r="I482" s="8">
        <f>12.3859 * CHOOSE(CONTROL!$C$15, $D$11, 100%, $F$11)</f>
        <v>12.385899999999999</v>
      </c>
      <c r="J482" s="4">
        <f>12.2851 * CHOOSE(CONTROL!$C$15, $D$11, 100%, $F$11)</f>
        <v>12.2851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1.2183999999999999</v>
      </c>
      <c r="Q482" s="9">
        <v>19.877800000000001</v>
      </c>
      <c r="R482" s="9"/>
      <c r="S482" s="11"/>
    </row>
    <row r="483" spans="1:19" ht="15.75">
      <c r="A483" s="13">
        <v>56218</v>
      </c>
      <c r="B483" s="8">
        <f>13.7361 * CHOOSE(CONTROL!$C$15, $D$11, 100%, $F$11)</f>
        <v>13.7361</v>
      </c>
      <c r="C483" s="8">
        <f>13.7413 * CHOOSE(CONTROL!$C$15, $D$11, 100%, $F$11)</f>
        <v>13.741300000000001</v>
      </c>
      <c r="D483" s="8">
        <f>13.7188 * CHOOSE( CONTROL!$C$15, $D$11, 100%, $F$11)</f>
        <v>13.7188</v>
      </c>
      <c r="E483" s="12">
        <f>13.7265 * CHOOSE( CONTROL!$C$15, $D$11, 100%, $F$11)</f>
        <v>13.7265</v>
      </c>
      <c r="F483" s="4">
        <f>14.381 * CHOOSE(CONTROL!$C$15, $D$11, 100%, $F$11)</f>
        <v>14.381</v>
      </c>
      <c r="G483" s="8">
        <f>13.491 * CHOOSE( CONTROL!$C$15, $D$11, 100%, $F$11)</f>
        <v>13.491</v>
      </c>
      <c r="H483" s="4">
        <f>14.3713 * CHOOSE(CONTROL!$C$15, $D$11, 100%, $F$11)</f>
        <v>14.3713</v>
      </c>
      <c r="I483" s="8">
        <f>13.3765 * CHOOSE(CONTROL!$C$15, $D$11, 100%, $F$11)</f>
        <v>13.3765</v>
      </c>
      <c r="J483" s="4">
        <f>13.2496 * CHOOSE(CONTROL!$C$15, $D$11, 100%, $F$11)</f>
        <v>13.249599999999999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19.236599999999999</v>
      </c>
      <c r="R483" s="9"/>
      <c r="S483" s="11"/>
    </row>
    <row r="484" spans="1:19" ht="15.75">
      <c r="A484" s="13">
        <v>56249</v>
      </c>
      <c r="B484" s="8">
        <f>13.7112 * CHOOSE(CONTROL!$C$15, $D$11, 100%, $F$11)</f>
        <v>13.7112</v>
      </c>
      <c r="C484" s="8">
        <f>13.7163 * CHOOSE(CONTROL!$C$15, $D$11, 100%, $F$11)</f>
        <v>13.7163</v>
      </c>
      <c r="D484" s="8">
        <f>13.6953 * CHOOSE( CONTROL!$C$15, $D$11, 100%, $F$11)</f>
        <v>13.6953</v>
      </c>
      <c r="E484" s="12">
        <f>13.7024 * CHOOSE( CONTROL!$C$15, $D$11, 100%, $F$11)</f>
        <v>13.702400000000001</v>
      </c>
      <c r="F484" s="4">
        <f>14.3561 * CHOOSE(CONTROL!$C$15, $D$11, 100%, $F$11)</f>
        <v>14.3561</v>
      </c>
      <c r="G484" s="8">
        <f>13.4675 * CHOOSE( CONTROL!$C$15, $D$11, 100%, $F$11)</f>
        <v>13.467499999999999</v>
      </c>
      <c r="H484" s="4">
        <f>14.3468 * CHOOSE(CONTROL!$C$15, $D$11, 100%, $F$11)</f>
        <v>14.3468</v>
      </c>
      <c r="I484" s="8">
        <f>13.357 * CHOOSE(CONTROL!$C$15, $D$11, 100%, $F$11)</f>
        <v>13.356999999999999</v>
      </c>
      <c r="J484" s="4">
        <f>13.2255 * CHOOSE(CONTROL!$C$15, $D$11, 100%, $F$11)</f>
        <v>13.2255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19.877800000000001</v>
      </c>
      <c r="R484" s="9"/>
      <c r="S484" s="11"/>
    </row>
    <row r="485" spans="1:19" ht="15.75">
      <c r="A485" s="13">
        <v>56280</v>
      </c>
      <c r="B485" s="8">
        <f>14.2341 * CHOOSE(CONTROL!$C$15, $D$11, 100%, $F$11)</f>
        <v>14.2341</v>
      </c>
      <c r="C485" s="8">
        <f>14.2392 * CHOOSE(CONTROL!$C$15, $D$11, 100%, $F$11)</f>
        <v>14.2392</v>
      </c>
      <c r="D485" s="8">
        <f>14.2172 * CHOOSE( CONTROL!$C$15, $D$11, 100%, $F$11)</f>
        <v>14.2172</v>
      </c>
      <c r="E485" s="12">
        <f>14.2247 * CHOOSE( CONTROL!$C$15, $D$11, 100%, $F$11)</f>
        <v>14.2247</v>
      </c>
      <c r="F485" s="4">
        <f>14.879 * CHOOSE(CONTROL!$C$15, $D$11, 100%, $F$11)</f>
        <v>14.879</v>
      </c>
      <c r="G485" s="8">
        <f>13.9791 * CHOOSE( CONTROL!$C$15, $D$11, 100%, $F$11)</f>
        <v>13.979100000000001</v>
      </c>
      <c r="H485" s="4">
        <f>14.861 * CHOOSE(CONTROL!$C$15, $D$11, 100%, $F$11)</f>
        <v>14.861000000000001</v>
      </c>
      <c r="I485" s="8">
        <f>13.8345 * CHOOSE(CONTROL!$C$15, $D$11, 100%, $F$11)</f>
        <v>13.8345</v>
      </c>
      <c r="J485" s="4">
        <f>13.7309 * CHOOSE(CONTROL!$C$15, $D$11, 100%, $F$11)</f>
        <v>13.7309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19.814599999999999</v>
      </c>
      <c r="R485" s="9"/>
      <c r="S485" s="11"/>
    </row>
    <row r="486" spans="1:19" ht="15.75">
      <c r="A486" s="13">
        <v>56308</v>
      </c>
      <c r="B486" s="8">
        <f>13.3158 * CHOOSE(CONTROL!$C$15, $D$11, 100%, $F$11)</f>
        <v>13.315799999999999</v>
      </c>
      <c r="C486" s="8">
        <f>13.3209 * CHOOSE(CONTROL!$C$15, $D$11, 100%, $F$11)</f>
        <v>13.3209</v>
      </c>
      <c r="D486" s="8">
        <f>13.2946 * CHOOSE( CONTROL!$C$15, $D$11, 100%, $F$11)</f>
        <v>13.294600000000001</v>
      </c>
      <c r="E486" s="12">
        <f>13.3037 * CHOOSE( CONTROL!$C$15, $D$11, 100%, $F$11)</f>
        <v>13.303699999999999</v>
      </c>
      <c r="F486" s="4">
        <f>13.9607 * CHOOSE(CONTROL!$C$15, $D$11, 100%, $F$11)</f>
        <v>13.960699999999999</v>
      </c>
      <c r="G486" s="8">
        <f>13.0676 * CHOOSE( CONTROL!$C$15, $D$11, 100%, $F$11)</f>
        <v>13.067600000000001</v>
      </c>
      <c r="H486" s="4">
        <f>13.958 * CHOOSE(CONTROL!$C$15, $D$11, 100%, $F$11)</f>
        <v>13.958</v>
      </c>
      <c r="I486" s="8">
        <f>12.9174 * CHOOSE(CONTROL!$C$15, $D$11, 100%, $F$11)</f>
        <v>12.917400000000001</v>
      </c>
      <c r="J486" s="4">
        <f>12.8432 * CHOOSE(CONTROL!$C$15, $D$11, 100%, $F$11)</f>
        <v>12.8432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17.896999999999998</v>
      </c>
      <c r="R486" s="9"/>
      <c r="S486" s="11"/>
    </row>
    <row r="487" spans="1:19" ht="15.75">
      <c r="A487" s="13">
        <v>56339</v>
      </c>
      <c r="B487" s="8">
        <f>13.033 * CHOOSE(CONTROL!$C$15, $D$11, 100%, $F$11)</f>
        <v>13.032999999999999</v>
      </c>
      <c r="C487" s="8">
        <f>13.0381 * CHOOSE(CONTROL!$C$15, $D$11, 100%, $F$11)</f>
        <v>13.0381</v>
      </c>
      <c r="D487" s="8">
        <f>13.0121 * CHOOSE( CONTROL!$C$15, $D$11, 100%, $F$11)</f>
        <v>13.0121</v>
      </c>
      <c r="E487" s="12">
        <f>13.0211 * CHOOSE( CONTROL!$C$15, $D$11, 100%, $F$11)</f>
        <v>13.021100000000001</v>
      </c>
      <c r="F487" s="4">
        <f>13.6779 * CHOOSE(CONTROL!$C$15, $D$11, 100%, $F$11)</f>
        <v>13.677899999999999</v>
      </c>
      <c r="G487" s="8">
        <f>12.7898 * CHOOSE( CONTROL!$C$15, $D$11, 100%, $F$11)</f>
        <v>12.7898</v>
      </c>
      <c r="H487" s="4">
        <f>13.6799 * CHOOSE(CONTROL!$C$15, $D$11, 100%, $F$11)</f>
        <v>13.6799</v>
      </c>
      <c r="I487" s="8">
        <f>12.645 * CHOOSE(CONTROL!$C$15, $D$11, 100%, $F$11)</f>
        <v>12.645</v>
      </c>
      <c r="J487" s="4">
        <f>12.5698 * CHOOSE(CONTROL!$C$15, $D$11, 100%, $F$11)</f>
        <v>12.569800000000001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19.814599999999999</v>
      </c>
      <c r="R487" s="9"/>
      <c r="S487" s="11"/>
    </row>
    <row r="488" spans="1:19" ht="15.75">
      <c r="A488" s="13">
        <v>56369</v>
      </c>
      <c r="B488" s="8">
        <f>13.2314 * CHOOSE(CONTROL!$C$15, $D$11, 100%, $F$11)</f>
        <v>13.231400000000001</v>
      </c>
      <c r="C488" s="8">
        <f>13.236 * CHOOSE(CONTROL!$C$15, $D$11, 100%, $F$11)</f>
        <v>13.236000000000001</v>
      </c>
      <c r="D488" s="8">
        <f>13.2431 * CHOOSE( CONTROL!$C$15, $D$11, 100%, $F$11)</f>
        <v>13.2431</v>
      </c>
      <c r="E488" s="12">
        <f>13.2402 * CHOOSE( CONTROL!$C$15, $D$11, 100%, $F$11)</f>
        <v>13.2402</v>
      </c>
      <c r="F488" s="4">
        <f>13.9143 * CHOOSE(CONTROL!$C$15, $D$11, 100%, $F$11)</f>
        <v>13.914300000000001</v>
      </c>
      <c r="G488" s="8">
        <f>12.9794 * CHOOSE( CONTROL!$C$15, $D$11, 100%, $F$11)</f>
        <v>12.9794</v>
      </c>
      <c r="H488" s="4">
        <f>13.9124 * CHOOSE(CONTROL!$C$15, $D$11, 100%, $F$11)</f>
        <v>13.9124</v>
      </c>
      <c r="I488" s="8">
        <f>12.856 * CHOOSE(CONTROL!$C$15, $D$11, 100%, $F$11)</f>
        <v>12.856</v>
      </c>
      <c r="J488" s="4">
        <f>12.7609 * CHOOSE(CONTROL!$C$15, $D$11, 100%, $F$11)</f>
        <v>12.760899999999999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1.1791</v>
      </c>
      <c r="Q488" s="9">
        <v>19.1754</v>
      </c>
      <c r="R488" s="9"/>
      <c r="S488" s="11"/>
    </row>
    <row r="489" spans="1:19" ht="15.75">
      <c r="A489" s="13">
        <v>56400</v>
      </c>
      <c r="B489" s="8">
        <f>CHOOSE( CONTROL!$C$32, 13.5877, 13.5845) * CHOOSE(CONTROL!$C$15, $D$11, 100%, $F$11)</f>
        <v>13.5877</v>
      </c>
      <c r="C489" s="8">
        <f>CHOOSE( CONTROL!$C$32, 13.5957, 13.5925) * CHOOSE(CONTROL!$C$15, $D$11, 100%, $F$11)</f>
        <v>13.595700000000001</v>
      </c>
      <c r="D489" s="8">
        <f>CHOOSE( CONTROL!$C$32, 13.598, 13.5948) * CHOOSE( CONTROL!$C$15, $D$11, 100%, $F$11)</f>
        <v>13.598000000000001</v>
      </c>
      <c r="E489" s="12">
        <f>CHOOSE( CONTROL!$C$32, 13.5959, 13.5927) * CHOOSE( CONTROL!$C$15, $D$11, 100%, $F$11)</f>
        <v>13.5959</v>
      </c>
      <c r="F489" s="4">
        <f>CHOOSE( CONTROL!$C$32, 14.2693, 14.2661) * CHOOSE(CONTROL!$C$15, $D$11, 100%, $F$11)</f>
        <v>14.269299999999999</v>
      </c>
      <c r="G489" s="8">
        <f>CHOOSE( CONTROL!$C$32, 13.3296, 13.3265) * CHOOSE( CONTROL!$C$15, $D$11, 100%, $F$11)</f>
        <v>13.329599999999999</v>
      </c>
      <c r="H489" s="4">
        <f>CHOOSE( CONTROL!$C$32, 14.2614, 14.2583) * CHOOSE(CONTROL!$C$15, $D$11, 100%, $F$11)</f>
        <v>14.2614</v>
      </c>
      <c r="I489" s="8">
        <f>CHOOSE( CONTROL!$C$32, 13.2009, 13.1978) * CHOOSE(CONTROL!$C$15, $D$11, 100%, $F$11)</f>
        <v>13.200900000000001</v>
      </c>
      <c r="J489" s="4">
        <f>CHOOSE( CONTROL!$C$32, 13.104, 13.1009) * CHOOSE(CONTROL!$C$15, $D$11, 100%, $F$11)</f>
        <v>13.103999999999999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1.2183999999999999</v>
      </c>
      <c r="Q489" s="9">
        <v>19.814599999999999</v>
      </c>
      <c r="R489" s="9"/>
      <c r="S489" s="11"/>
    </row>
    <row r="490" spans="1:19" ht="15.75">
      <c r="A490" s="13">
        <v>56430</v>
      </c>
      <c r="B490" s="8">
        <f>CHOOSE( CONTROL!$C$32, 13.3698, 13.3666) * CHOOSE(CONTROL!$C$15, $D$11, 100%, $F$11)</f>
        <v>13.3698</v>
      </c>
      <c r="C490" s="8">
        <f>CHOOSE( CONTROL!$C$32, 13.3778, 13.3746) * CHOOSE(CONTROL!$C$15, $D$11, 100%, $F$11)</f>
        <v>13.377800000000001</v>
      </c>
      <c r="D490" s="8">
        <f>CHOOSE( CONTROL!$C$32, 13.3805, 13.3773) * CHOOSE( CONTROL!$C$15, $D$11, 100%, $F$11)</f>
        <v>13.3805</v>
      </c>
      <c r="E490" s="12">
        <f>CHOOSE( CONTROL!$C$32, 13.3783, 13.3751) * CHOOSE( CONTROL!$C$15, $D$11, 100%, $F$11)</f>
        <v>13.378299999999999</v>
      </c>
      <c r="F490" s="4">
        <f>CHOOSE( CONTROL!$C$32, 14.0514, 14.0482) * CHOOSE(CONTROL!$C$15, $D$11, 100%, $F$11)</f>
        <v>14.051399999999999</v>
      </c>
      <c r="G490" s="8">
        <f>CHOOSE( CONTROL!$C$32, 13.1158, 13.1126) * CHOOSE( CONTROL!$C$15, $D$11, 100%, $F$11)</f>
        <v>13.1158</v>
      </c>
      <c r="H490" s="4">
        <f>CHOOSE( CONTROL!$C$32, 14.0471, 14.044) * CHOOSE(CONTROL!$C$15, $D$11, 100%, $F$11)</f>
        <v>14.0471</v>
      </c>
      <c r="I490" s="8">
        <f>CHOOSE( CONTROL!$C$32, 12.9915, 12.9884) * CHOOSE(CONTROL!$C$15, $D$11, 100%, $F$11)</f>
        <v>12.9915</v>
      </c>
      <c r="J490" s="4">
        <f>CHOOSE( CONTROL!$C$32, 12.8934, 12.8903) * CHOOSE(CONTROL!$C$15, $D$11, 100%, $F$11)</f>
        <v>12.8934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1.1791</v>
      </c>
      <c r="Q490" s="9">
        <v>19.1754</v>
      </c>
      <c r="R490" s="9"/>
      <c r="S490" s="11"/>
    </row>
    <row r="491" spans="1:19" ht="15.75">
      <c r="A491" s="13">
        <v>56461</v>
      </c>
      <c r="B491" s="8">
        <f>CHOOSE( CONTROL!$C$32, 13.9436, 13.9404) * CHOOSE(CONTROL!$C$15, $D$11, 100%, $F$11)</f>
        <v>13.9436</v>
      </c>
      <c r="C491" s="8">
        <f>CHOOSE( CONTROL!$C$32, 13.9516, 13.9484) * CHOOSE(CONTROL!$C$15, $D$11, 100%, $F$11)</f>
        <v>13.951599999999999</v>
      </c>
      <c r="D491" s="8">
        <f>CHOOSE( CONTROL!$C$32, 13.9545, 13.9513) * CHOOSE( CONTROL!$C$15, $D$11, 100%, $F$11)</f>
        <v>13.954499999999999</v>
      </c>
      <c r="E491" s="12">
        <f>CHOOSE( CONTROL!$C$32, 13.9522, 13.949) * CHOOSE( CONTROL!$C$15, $D$11, 100%, $F$11)</f>
        <v>13.952199999999999</v>
      </c>
      <c r="F491" s="4">
        <f>CHOOSE( CONTROL!$C$32, 14.6251, 14.6219) * CHOOSE(CONTROL!$C$15, $D$11, 100%, $F$11)</f>
        <v>14.6251</v>
      </c>
      <c r="G491" s="8">
        <f>CHOOSE( CONTROL!$C$32, 13.6805, 13.6773) * CHOOSE( CONTROL!$C$15, $D$11, 100%, $F$11)</f>
        <v>13.6805</v>
      </c>
      <c r="H491" s="4">
        <f>CHOOSE( CONTROL!$C$32, 14.6114, 14.6082) * CHOOSE(CONTROL!$C$15, $D$11, 100%, $F$11)</f>
        <v>14.6114</v>
      </c>
      <c r="I491" s="8">
        <f>CHOOSE( CONTROL!$C$32, 13.5479, 13.5448) * CHOOSE(CONTROL!$C$15, $D$11, 100%, $F$11)</f>
        <v>13.5479</v>
      </c>
      <c r="J491" s="4">
        <f>CHOOSE( CONTROL!$C$32, 13.448, 13.4449) * CHOOSE(CONTROL!$C$15, $D$11, 100%, $F$11)</f>
        <v>13.448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19.814599999999999</v>
      </c>
      <c r="R491" s="9"/>
      <c r="S491" s="11"/>
    </row>
    <row r="492" spans="1:19" ht="15.75">
      <c r="A492" s="13">
        <v>56492</v>
      </c>
      <c r="B492" s="8">
        <f>CHOOSE( CONTROL!$C$32, 12.87, 12.8668) * CHOOSE(CONTROL!$C$15, $D$11, 100%, $F$11)</f>
        <v>12.87</v>
      </c>
      <c r="C492" s="8">
        <f>CHOOSE( CONTROL!$C$32, 12.878, 12.8748) * CHOOSE(CONTROL!$C$15, $D$11, 100%, $F$11)</f>
        <v>12.878</v>
      </c>
      <c r="D492" s="8">
        <f>CHOOSE( CONTROL!$C$32, 12.8811, 12.8779) * CHOOSE( CONTROL!$C$15, $D$11, 100%, $F$11)</f>
        <v>12.8811</v>
      </c>
      <c r="E492" s="12">
        <f>CHOOSE( CONTROL!$C$32, 12.8788, 12.8756) * CHOOSE( CONTROL!$C$15, $D$11, 100%, $F$11)</f>
        <v>12.8788</v>
      </c>
      <c r="F492" s="4">
        <f>CHOOSE( CONTROL!$C$32, 13.5515, 13.5483) * CHOOSE(CONTROL!$C$15, $D$11, 100%, $F$11)</f>
        <v>13.551500000000001</v>
      </c>
      <c r="G492" s="8">
        <f>CHOOSE( CONTROL!$C$32, 12.6249, 12.6218) * CHOOSE( CONTROL!$C$15, $D$11, 100%, $F$11)</f>
        <v>12.6249</v>
      </c>
      <c r="H492" s="4">
        <f>CHOOSE( CONTROL!$C$32, 13.5556, 13.5524) * CHOOSE(CONTROL!$C$15, $D$11, 100%, $F$11)</f>
        <v>13.5556</v>
      </c>
      <c r="I492" s="8">
        <f>CHOOSE( CONTROL!$C$32, 12.5103, 12.5072) * CHOOSE(CONTROL!$C$15, $D$11, 100%, $F$11)</f>
        <v>12.510300000000001</v>
      </c>
      <c r="J492" s="4">
        <f>CHOOSE( CONTROL!$C$32, 12.4102, 12.4071) * CHOOSE(CONTROL!$C$15, $D$11, 100%, $F$11)</f>
        <v>12.4102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1.2183999999999999</v>
      </c>
      <c r="Q492" s="9">
        <v>19.814599999999999</v>
      </c>
      <c r="R492" s="9"/>
      <c r="S492" s="11"/>
    </row>
    <row r="493" spans="1:19" ht="15.75">
      <c r="A493" s="13">
        <v>56522</v>
      </c>
      <c r="B493" s="8">
        <f>CHOOSE( CONTROL!$C$32, 12.6012, 12.598) * CHOOSE(CONTROL!$C$15, $D$11, 100%, $F$11)</f>
        <v>12.6012</v>
      </c>
      <c r="C493" s="8">
        <f>CHOOSE( CONTROL!$C$32, 12.6092, 12.606) * CHOOSE(CONTROL!$C$15, $D$11, 100%, $F$11)</f>
        <v>12.6092</v>
      </c>
      <c r="D493" s="8">
        <f>CHOOSE( CONTROL!$C$32, 12.6123, 12.6091) * CHOOSE( CONTROL!$C$15, $D$11, 100%, $F$11)</f>
        <v>12.612299999999999</v>
      </c>
      <c r="E493" s="12">
        <f>CHOOSE( CONTROL!$C$32, 12.61, 12.6068) * CHOOSE( CONTROL!$C$15, $D$11, 100%, $F$11)</f>
        <v>12.61</v>
      </c>
      <c r="F493" s="4">
        <f>CHOOSE( CONTROL!$C$32, 13.2827, 13.2795) * CHOOSE(CONTROL!$C$15, $D$11, 100%, $F$11)</f>
        <v>13.2827</v>
      </c>
      <c r="G493" s="8">
        <f>CHOOSE( CONTROL!$C$32, 12.3606, 12.3574) * CHOOSE( CONTROL!$C$15, $D$11, 100%, $F$11)</f>
        <v>12.3606</v>
      </c>
      <c r="H493" s="4">
        <f>CHOOSE( CONTROL!$C$32, 13.2912, 13.2881) * CHOOSE(CONTROL!$C$15, $D$11, 100%, $F$11)</f>
        <v>13.2912</v>
      </c>
      <c r="I493" s="8">
        <f>CHOOSE( CONTROL!$C$32, 12.2504, 12.2474) * CHOOSE(CONTROL!$C$15, $D$11, 100%, $F$11)</f>
        <v>12.250400000000001</v>
      </c>
      <c r="J493" s="4">
        <f>CHOOSE( CONTROL!$C$32, 12.1503, 12.1472) * CHOOSE(CONTROL!$C$15, $D$11, 100%, $F$11)</f>
        <v>12.1503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1.1791</v>
      </c>
      <c r="Q493" s="9">
        <v>19.1754</v>
      </c>
      <c r="R493" s="9"/>
      <c r="S493" s="11"/>
    </row>
    <row r="494" spans="1:19" ht="15.75">
      <c r="A494" s="13">
        <v>56553</v>
      </c>
      <c r="B494" s="8">
        <f>13.1544 * CHOOSE(CONTROL!$C$15, $D$11, 100%, $F$11)</f>
        <v>13.154400000000001</v>
      </c>
      <c r="C494" s="8">
        <f>13.1598 * CHOOSE(CONTROL!$C$15, $D$11, 100%, $F$11)</f>
        <v>13.159800000000001</v>
      </c>
      <c r="D494" s="8">
        <f>13.1677 * CHOOSE( CONTROL!$C$15, $D$11, 100%, $F$11)</f>
        <v>13.1677</v>
      </c>
      <c r="E494" s="12">
        <f>13.1645 * CHOOSE( CONTROL!$C$15, $D$11, 100%, $F$11)</f>
        <v>13.1645</v>
      </c>
      <c r="F494" s="4">
        <f>13.8377 * CHOOSE(CONTROL!$C$15, $D$11, 100%, $F$11)</f>
        <v>13.8377</v>
      </c>
      <c r="G494" s="8">
        <f>12.9059 * CHOOSE( CONTROL!$C$15, $D$11, 100%, $F$11)</f>
        <v>12.905900000000001</v>
      </c>
      <c r="H494" s="4">
        <f>13.837 * CHOOSE(CONTROL!$C$15, $D$11, 100%, $F$11)</f>
        <v>13.837</v>
      </c>
      <c r="I494" s="8">
        <f>12.7879 * CHOOSE(CONTROL!$C$15, $D$11, 100%, $F$11)</f>
        <v>12.7879</v>
      </c>
      <c r="J494" s="4">
        <f>12.6868 * CHOOSE(CONTROL!$C$15, $D$11, 100%, $F$11)</f>
        <v>12.6868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1.2183999999999999</v>
      </c>
      <c r="Q494" s="9">
        <v>19.814599999999999</v>
      </c>
      <c r="R494" s="9"/>
      <c r="S494" s="11"/>
    </row>
    <row r="495" spans="1:19" ht="15.75">
      <c r="A495" s="13">
        <v>56583</v>
      </c>
      <c r="B495" s="8">
        <f>14.1844 * CHOOSE(CONTROL!$C$15, $D$11, 100%, $F$11)</f>
        <v>14.1844</v>
      </c>
      <c r="C495" s="8">
        <f>14.1895 * CHOOSE(CONTROL!$C$15, $D$11, 100%, $F$11)</f>
        <v>14.189500000000001</v>
      </c>
      <c r="D495" s="8">
        <f>14.167 * CHOOSE( CONTROL!$C$15, $D$11, 100%, $F$11)</f>
        <v>14.167</v>
      </c>
      <c r="E495" s="12">
        <f>14.1747 * CHOOSE( CONTROL!$C$15, $D$11, 100%, $F$11)</f>
        <v>14.1747</v>
      </c>
      <c r="F495" s="4">
        <f>14.8293 * CHOOSE(CONTROL!$C$15, $D$11, 100%, $F$11)</f>
        <v>14.8293</v>
      </c>
      <c r="G495" s="8">
        <f>13.9318 * CHOOSE( CONTROL!$C$15, $D$11, 100%, $F$11)</f>
        <v>13.931800000000001</v>
      </c>
      <c r="H495" s="4">
        <f>14.8121 * CHOOSE(CONTROL!$C$15, $D$11, 100%, $F$11)</f>
        <v>14.812099999999999</v>
      </c>
      <c r="I495" s="8">
        <f>13.81 * CHOOSE(CONTROL!$C$15, $D$11, 100%, $F$11)</f>
        <v>13.81</v>
      </c>
      <c r="J495" s="4">
        <f>13.6829 * CHOOSE(CONTROL!$C$15, $D$11, 100%, $F$11)</f>
        <v>13.6829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19.1754</v>
      </c>
      <c r="R495" s="9"/>
      <c r="S495" s="11"/>
    </row>
    <row r="496" spans="1:19" ht="15.75">
      <c r="A496" s="13">
        <v>56614</v>
      </c>
      <c r="B496" s="8">
        <f>14.1586 * CHOOSE(CONTROL!$C$15, $D$11, 100%, $F$11)</f>
        <v>14.1586</v>
      </c>
      <c r="C496" s="8">
        <f>14.1637 * CHOOSE(CONTROL!$C$15, $D$11, 100%, $F$11)</f>
        <v>14.1637</v>
      </c>
      <c r="D496" s="8">
        <f>14.1427 * CHOOSE( CONTROL!$C$15, $D$11, 100%, $F$11)</f>
        <v>14.1427</v>
      </c>
      <c r="E496" s="12">
        <f>14.1498 * CHOOSE( CONTROL!$C$15, $D$11, 100%, $F$11)</f>
        <v>14.149800000000001</v>
      </c>
      <c r="F496" s="4">
        <f>14.8035 * CHOOSE(CONTROL!$C$15, $D$11, 100%, $F$11)</f>
        <v>14.8035</v>
      </c>
      <c r="G496" s="8">
        <f>13.9075 * CHOOSE( CONTROL!$C$15, $D$11, 100%, $F$11)</f>
        <v>13.907500000000001</v>
      </c>
      <c r="H496" s="4">
        <f>14.7868 * CHOOSE(CONTROL!$C$15, $D$11, 100%, $F$11)</f>
        <v>14.786799999999999</v>
      </c>
      <c r="I496" s="8">
        <f>13.7897 * CHOOSE(CONTROL!$C$15, $D$11, 100%, $F$11)</f>
        <v>13.7897</v>
      </c>
      <c r="J496" s="4">
        <f>13.658 * CHOOSE(CONTROL!$C$15, $D$11, 100%, $F$11)</f>
        <v>13.657999999999999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19.814599999999999</v>
      </c>
      <c r="R496" s="9"/>
      <c r="S496" s="11"/>
    </row>
    <row r="497" spans="1:19" ht="15.75">
      <c r="A497" s="13">
        <v>56645</v>
      </c>
      <c r="B497" s="8">
        <f>14.6986 * CHOOSE(CONTROL!$C$15, $D$11, 100%, $F$11)</f>
        <v>14.698600000000001</v>
      </c>
      <c r="C497" s="8">
        <f>14.7037 * CHOOSE(CONTROL!$C$15, $D$11, 100%, $F$11)</f>
        <v>14.7037</v>
      </c>
      <c r="D497" s="8">
        <f>14.6817 * CHOOSE( CONTROL!$C$15, $D$11, 100%, $F$11)</f>
        <v>14.681699999999999</v>
      </c>
      <c r="E497" s="12">
        <f>14.6892 * CHOOSE( CONTROL!$C$15, $D$11, 100%, $F$11)</f>
        <v>14.6892</v>
      </c>
      <c r="F497" s="4">
        <f>15.3435 * CHOOSE(CONTROL!$C$15, $D$11, 100%, $F$11)</f>
        <v>15.343500000000001</v>
      </c>
      <c r="G497" s="8">
        <f>14.436 * CHOOSE( CONTROL!$C$15, $D$11, 100%, $F$11)</f>
        <v>14.436</v>
      </c>
      <c r="H497" s="4">
        <f>15.3178 * CHOOSE(CONTROL!$C$15, $D$11, 100%, $F$11)</f>
        <v>15.3178</v>
      </c>
      <c r="I497" s="8">
        <f>14.2838 * CHOOSE(CONTROL!$C$15, $D$11, 100%, $F$11)</f>
        <v>14.283799999999999</v>
      </c>
      <c r="J497" s="4">
        <f>14.18 * CHOOSE(CONTROL!$C$15, $D$11, 100%, $F$11)</f>
        <v>14.18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19.751300000000001</v>
      </c>
      <c r="R497" s="9"/>
      <c r="S497" s="11"/>
    </row>
    <row r="498" spans="1:19" ht="15.75">
      <c r="A498" s="13">
        <v>56673</v>
      </c>
      <c r="B498" s="8">
        <f>13.7503 * CHOOSE(CONTROL!$C$15, $D$11, 100%, $F$11)</f>
        <v>13.750299999999999</v>
      </c>
      <c r="C498" s="8">
        <f>13.7554 * CHOOSE(CONTROL!$C$15, $D$11, 100%, $F$11)</f>
        <v>13.7554</v>
      </c>
      <c r="D498" s="8">
        <f>13.7291 * CHOOSE( CONTROL!$C$15, $D$11, 100%, $F$11)</f>
        <v>13.729100000000001</v>
      </c>
      <c r="E498" s="12">
        <f>13.7382 * CHOOSE( CONTROL!$C$15, $D$11, 100%, $F$11)</f>
        <v>13.738200000000001</v>
      </c>
      <c r="F498" s="4">
        <f>14.3952 * CHOOSE(CONTROL!$C$15, $D$11, 100%, $F$11)</f>
        <v>14.395200000000001</v>
      </c>
      <c r="G498" s="8">
        <f>13.4949 * CHOOSE( CONTROL!$C$15, $D$11, 100%, $F$11)</f>
        <v>13.494899999999999</v>
      </c>
      <c r="H498" s="4">
        <f>14.3853 * CHOOSE(CONTROL!$C$15, $D$11, 100%, $F$11)</f>
        <v>14.385300000000001</v>
      </c>
      <c r="I498" s="8">
        <f>13.3376 * CHOOSE(CONTROL!$C$15, $D$11, 100%, $F$11)</f>
        <v>13.3376</v>
      </c>
      <c r="J498" s="4">
        <f>13.2633 * CHOOSE(CONTROL!$C$15, $D$11, 100%, $F$11)</f>
        <v>13.263299999999999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17.8399</v>
      </c>
      <c r="R498" s="9"/>
      <c r="S498" s="11"/>
    </row>
    <row r="499" spans="1:19" ht="15.75">
      <c r="A499" s="13">
        <v>56704</v>
      </c>
      <c r="B499" s="8">
        <f>13.4583 * CHOOSE(CONTROL!$C$15, $D$11, 100%, $F$11)</f>
        <v>13.458299999999999</v>
      </c>
      <c r="C499" s="8">
        <f>13.4634 * CHOOSE(CONTROL!$C$15, $D$11, 100%, $F$11)</f>
        <v>13.4634</v>
      </c>
      <c r="D499" s="8">
        <f>13.4374 * CHOOSE( CONTROL!$C$15, $D$11, 100%, $F$11)</f>
        <v>13.4374</v>
      </c>
      <c r="E499" s="12">
        <f>13.4464 * CHOOSE( CONTROL!$C$15, $D$11, 100%, $F$11)</f>
        <v>13.446400000000001</v>
      </c>
      <c r="F499" s="4">
        <f>14.1031 * CHOOSE(CONTROL!$C$15, $D$11, 100%, $F$11)</f>
        <v>14.1031</v>
      </c>
      <c r="G499" s="8">
        <f>13.208 * CHOOSE( CONTROL!$C$15, $D$11, 100%, $F$11)</f>
        <v>13.208</v>
      </c>
      <c r="H499" s="4">
        <f>14.098 * CHOOSE(CONTROL!$C$15, $D$11, 100%, $F$11)</f>
        <v>14.098000000000001</v>
      </c>
      <c r="I499" s="8">
        <f>13.0563 * CHOOSE(CONTROL!$C$15, $D$11, 100%, $F$11)</f>
        <v>13.0563</v>
      </c>
      <c r="J499" s="4">
        <f>12.9809 * CHOOSE(CONTROL!$C$15, $D$11, 100%, $F$11)</f>
        <v>12.9809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19.751300000000001</v>
      </c>
      <c r="R499" s="9"/>
      <c r="S499" s="11"/>
    </row>
    <row r="500" spans="1:19" ht="15.75">
      <c r="A500" s="13">
        <v>56734</v>
      </c>
      <c r="B500" s="8">
        <f>13.6631 * CHOOSE(CONTROL!$C$15, $D$11, 100%, $F$11)</f>
        <v>13.6631</v>
      </c>
      <c r="C500" s="8">
        <f>13.6677 * CHOOSE(CONTROL!$C$15, $D$11, 100%, $F$11)</f>
        <v>13.6677</v>
      </c>
      <c r="D500" s="8">
        <f>13.6748 * CHOOSE( CONTROL!$C$15, $D$11, 100%, $F$11)</f>
        <v>13.674799999999999</v>
      </c>
      <c r="E500" s="12">
        <f>13.6719 * CHOOSE( CONTROL!$C$15, $D$11, 100%, $F$11)</f>
        <v>13.671900000000001</v>
      </c>
      <c r="F500" s="4">
        <f>14.346 * CHOOSE(CONTROL!$C$15, $D$11, 100%, $F$11)</f>
        <v>14.346</v>
      </c>
      <c r="G500" s="8">
        <f>13.404 * CHOOSE( CONTROL!$C$15, $D$11, 100%, $F$11)</f>
        <v>13.404</v>
      </c>
      <c r="H500" s="4">
        <f>14.3369 * CHOOSE(CONTROL!$C$15, $D$11, 100%, $F$11)</f>
        <v>14.3369</v>
      </c>
      <c r="I500" s="8">
        <f>13.2735 * CHOOSE(CONTROL!$C$15, $D$11, 100%, $F$11)</f>
        <v>13.2735</v>
      </c>
      <c r="J500" s="4">
        <f>13.1782 * CHOOSE(CONTROL!$C$15, $D$11, 100%, $F$11)</f>
        <v>13.1782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1.1791</v>
      </c>
      <c r="Q500" s="9">
        <v>19.1142</v>
      </c>
      <c r="R500" s="9"/>
      <c r="S500" s="11"/>
    </row>
    <row r="501" spans="1:19" ht="15.75">
      <c r="A501" s="13">
        <v>56765</v>
      </c>
      <c r="B501" s="8">
        <f>CHOOSE( CONTROL!$C$32, 14.0309, 14.0277) * CHOOSE(CONTROL!$C$15, $D$11, 100%, $F$11)</f>
        <v>14.030900000000001</v>
      </c>
      <c r="C501" s="8">
        <f>CHOOSE( CONTROL!$C$32, 14.0389, 14.0357) * CHOOSE(CONTROL!$C$15, $D$11, 100%, $F$11)</f>
        <v>14.0389</v>
      </c>
      <c r="D501" s="8">
        <f>CHOOSE( CONTROL!$C$32, 14.0413, 14.0381) * CHOOSE( CONTROL!$C$15, $D$11, 100%, $F$11)</f>
        <v>14.0413</v>
      </c>
      <c r="E501" s="12">
        <f>CHOOSE( CONTROL!$C$32, 14.0392, 14.036) * CHOOSE( CONTROL!$C$15, $D$11, 100%, $F$11)</f>
        <v>14.039199999999999</v>
      </c>
      <c r="F501" s="4">
        <f>CHOOSE( CONTROL!$C$32, 14.7125, 14.7093) * CHOOSE(CONTROL!$C$15, $D$11, 100%, $F$11)</f>
        <v>14.7125</v>
      </c>
      <c r="G501" s="8">
        <f>CHOOSE( CONTROL!$C$32, 13.7655, 13.7623) * CHOOSE( CONTROL!$C$15, $D$11, 100%, $F$11)</f>
        <v>13.765499999999999</v>
      </c>
      <c r="H501" s="4">
        <f>CHOOSE( CONTROL!$C$32, 14.6973, 14.6941) * CHOOSE(CONTROL!$C$15, $D$11, 100%, $F$11)</f>
        <v>14.6973</v>
      </c>
      <c r="I501" s="8">
        <f>CHOOSE( CONTROL!$C$32, 13.6295, 13.6264) * CHOOSE(CONTROL!$C$15, $D$11, 100%, $F$11)</f>
        <v>13.6295</v>
      </c>
      <c r="J501" s="4">
        <f>CHOOSE( CONTROL!$C$32, 13.5324, 13.5294) * CHOOSE(CONTROL!$C$15, $D$11, 100%, $F$11)</f>
        <v>13.532400000000001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1.2183999999999999</v>
      </c>
      <c r="Q501" s="9">
        <v>19.751300000000001</v>
      </c>
      <c r="R501" s="9"/>
      <c r="S501" s="11"/>
    </row>
    <row r="502" spans="1:19" ht="15.75">
      <c r="A502" s="13">
        <v>56795</v>
      </c>
      <c r="B502" s="8">
        <f>CHOOSE( CONTROL!$C$32, 13.8059, 13.8027) * CHOOSE(CONTROL!$C$15, $D$11, 100%, $F$11)</f>
        <v>13.805899999999999</v>
      </c>
      <c r="C502" s="8">
        <f>CHOOSE( CONTROL!$C$32, 13.8139, 13.8107) * CHOOSE(CONTROL!$C$15, $D$11, 100%, $F$11)</f>
        <v>13.8139</v>
      </c>
      <c r="D502" s="8">
        <f>CHOOSE( CONTROL!$C$32, 13.8165, 13.8133) * CHOOSE( CONTROL!$C$15, $D$11, 100%, $F$11)</f>
        <v>13.8165</v>
      </c>
      <c r="E502" s="12">
        <f>CHOOSE( CONTROL!$C$32, 13.8143, 13.8111) * CHOOSE( CONTROL!$C$15, $D$11, 100%, $F$11)</f>
        <v>13.814299999999999</v>
      </c>
      <c r="F502" s="4">
        <f>CHOOSE( CONTROL!$C$32, 14.4874, 14.4842) * CHOOSE(CONTROL!$C$15, $D$11, 100%, $F$11)</f>
        <v>14.487399999999999</v>
      </c>
      <c r="G502" s="8">
        <f>CHOOSE( CONTROL!$C$32, 13.5446, 13.5415) * CHOOSE( CONTROL!$C$15, $D$11, 100%, $F$11)</f>
        <v>13.544600000000001</v>
      </c>
      <c r="H502" s="4">
        <f>CHOOSE( CONTROL!$C$32, 14.476, 14.4728) * CHOOSE(CONTROL!$C$15, $D$11, 100%, $F$11)</f>
        <v>14.476000000000001</v>
      </c>
      <c r="I502" s="8">
        <f>CHOOSE( CONTROL!$C$32, 13.4133, 13.4102) * CHOOSE(CONTROL!$C$15, $D$11, 100%, $F$11)</f>
        <v>13.4133</v>
      </c>
      <c r="J502" s="4">
        <f>CHOOSE( CONTROL!$C$32, 13.3149, 13.3118) * CHOOSE(CONTROL!$C$15, $D$11, 100%, $F$11)</f>
        <v>13.3149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1.1791</v>
      </c>
      <c r="Q502" s="9">
        <v>19.1142</v>
      </c>
      <c r="R502" s="9"/>
      <c r="S502" s="11"/>
    </row>
    <row r="503" spans="1:19" ht="15.75">
      <c r="A503" s="13">
        <v>56826</v>
      </c>
      <c r="B503" s="8">
        <f>CHOOSE( CONTROL!$C$32, 14.3984, 14.3952) * CHOOSE(CONTROL!$C$15, $D$11, 100%, $F$11)</f>
        <v>14.398400000000001</v>
      </c>
      <c r="C503" s="8">
        <f>CHOOSE( CONTROL!$C$32, 14.4065, 14.4033) * CHOOSE(CONTROL!$C$15, $D$11, 100%, $F$11)</f>
        <v>14.406499999999999</v>
      </c>
      <c r="D503" s="8">
        <f>CHOOSE( CONTROL!$C$32, 14.4094, 14.4062) * CHOOSE( CONTROL!$C$15, $D$11, 100%, $F$11)</f>
        <v>14.4094</v>
      </c>
      <c r="E503" s="12">
        <f>CHOOSE( CONTROL!$C$32, 14.4071, 14.4039) * CHOOSE( CONTROL!$C$15, $D$11, 100%, $F$11)</f>
        <v>14.4071</v>
      </c>
      <c r="F503" s="4">
        <f>CHOOSE( CONTROL!$C$32, 15.08, 15.0768) * CHOOSE(CONTROL!$C$15, $D$11, 100%, $F$11)</f>
        <v>15.08</v>
      </c>
      <c r="G503" s="8">
        <f>CHOOSE( CONTROL!$C$32, 14.1278, 14.1246) * CHOOSE( CONTROL!$C$15, $D$11, 100%, $F$11)</f>
        <v>14.127800000000001</v>
      </c>
      <c r="H503" s="4">
        <f>CHOOSE( CONTROL!$C$32, 15.0587, 15.0556) * CHOOSE(CONTROL!$C$15, $D$11, 100%, $F$11)</f>
        <v>15.0587</v>
      </c>
      <c r="I503" s="8">
        <f>CHOOSE( CONTROL!$C$32, 13.9878, 13.9847) * CHOOSE(CONTROL!$C$15, $D$11, 100%, $F$11)</f>
        <v>13.9878</v>
      </c>
      <c r="J503" s="4">
        <f>CHOOSE( CONTROL!$C$32, 13.8877, 13.8846) * CHOOSE(CONTROL!$C$15, $D$11, 100%, $F$11)</f>
        <v>13.887700000000001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19.751300000000001</v>
      </c>
      <c r="R503" s="9"/>
      <c r="S503" s="11"/>
    </row>
    <row r="504" spans="1:19" ht="15.75">
      <c r="A504" s="13">
        <v>56857</v>
      </c>
      <c r="B504" s="8">
        <f>CHOOSE( CONTROL!$C$32, 13.2897, 13.2865) * CHOOSE(CONTROL!$C$15, $D$11, 100%, $F$11)</f>
        <v>13.2897</v>
      </c>
      <c r="C504" s="8">
        <f>CHOOSE( CONTROL!$C$32, 13.2977, 13.2945) * CHOOSE(CONTROL!$C$15, $D$11, 100%, $F$11)</f>
        <v>13.297700000000001</v>
      </c>
      <c r="D504" s="8">
        <f>CHOOSE( CONTROL!$C$32, 13.3008, 13.2976) * CHOOSE( CONTROL!$C$15, $D$11, 100%, $F$11)</f>
        <v>13.300800000000001</v>
      </c>
      <c r="E504" s="12">
        <f>CHOOSE( CONTROL!$C$32, 13.2985, 13.2953) * CHOOSE( CONTROL!$C$15, $D$11, 100%, $F$11)</f>
        <v>13.298500000000001</v>
      </c>
      <c r="F504" s="4">
        <f>CHOOSE( CONTROL!$C$32, 13.9713, 13.9681) * CHOOSE(CONTROL!$C$15, $D$11, 100%, $F$11)</f>
        <v>13.971299999999999</v>
      </c>
      <c r="G504" s="8">
        <f>CHOOSE( CONTROL!$C$32, 13.0377, 13.0346) * CHOOSE( CONTROL!$C$15, $D$11, 100%, $F$11)</f>
        <v>13.037699999999999</v>
      </c>
      <c r="H504" s="4">
        <f>CHOOSE( CONTROL!$C$32, 13.9684, 13.9652) * CHOOSE(CONTROL!$C$15, $D$11, 100%, $F$11)</f>
        <v>13.968400000000001</v>
      </c>
      <c r="I504" s="8">
        <f>CHOOSE( CONTROL!$C$32, 12.9163, 12.9132) * CHOOSE(CONTROL!$C$15, $D$11, 100%, $F$11)</f>
        <v>12.9163</v>
      </c>
      <c r="J504" s="4">
        <f>CHOOSE( CONTROL!$C$32, 12.8159, 12.8129) * CHOOSE(CONTROL!$C$15, $D$11, 100%, $F$11)</f>
        <v>12.815899999999999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1.2183999999999999</v>
      </c>
      <c r="Q504" s="9">
        <v>19.751300000000001</v>
      </c>
      <c r="R504" s="9"/>
      <c r="S504" s="11"/>
    </row>
    <row r="505" spans="1:19" ht="15.75">
      <c r="A505" s="13">
        <v>56887</v>
      </c>
      <c r="B505" s="8">
        <f>CHOOSE( CONTROL!$C$32, 13.0121, 13.0089) * CHOOSE(CONTROL!$C$15, $D$11, 100%, $F$11)</f>
        <v>13.0121</v>
      </c>
      <c r="C505" s="8">
        <f>CHOOSE( CONTROL!$C$32, 13.0201, 13.0169) * CHOOSE(CONTROL!$C$15, $D$11, 100%, $F$11)</f>
        <v>13.020099999999999</v>
      </c>
      <c r="D505" s="8">
        <f>CHOOSE( CONTROL!$C$32, 13.0232, 13.02) * CHOOSE( CONTROL!$C$15, $D$11, 100%, $F$11)</f>
        <v>13.023199999999999</v>
      </c>
      <c r="E505" s="12">
        <f>CHOOSE( CONTROL!$C$32, 13.0209, 13.0177) * CHOOSE( CONTROL!$C$15, $D$11, 100%, $F$11)</f>
        <v>13.020899999999999</v>
      </c>
      <c r="F505" s="4">
        <f>CHOOSE( CONTROL!$C$32, 13.6936, 13.6904) * CHOOSE(CONTROL!$C$15, $D$11, 100%, $F$11)</f>
        <v>13.6936</v>
      </c>
      <c r="G505" s="8">
        <f>CHOOSE( CONTROL!$C$32, 12.7647, 12.7616) * CHOOSE( CONTROL!$C$15, $D$11, 100%, $F$11)</f>
        <v>12.764699999999999</v>
      </c>
      <c r="H505" s="4">
        <f>CHOOSE( CONTROL!$C$32, 13.6953, 13.6922) * CHOOSE(CONTROL!$C$15, $D$11, 100%, $F$11)</f>
        <v>13.6953</v>
      </c>
      <c r="I505" s="8">
        <f>CHOOSE( CONTROL!$C$32, 12.6479, 12.6448) * CHOOSE(CONTROL!$C$15, $D$11, 100%, $F$11)</f>
        <v>12.6479</v>
      </c>
      <c r="J505" s="4">
        <f>CHOOSE( CONTROL!$C$32, 12.5476, 12.5445) * CHOOSE(CONTROL!$C$15, $D$11, 100%, $F$11)</f>
        <v>12.547599999999999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1.1791</v>
      </c>
      <c r="Q505" s="9">
        <v>19.1142</v>
      </c>
      <c r="R505" s="9"/>
      <c r="S505" s="11"/>
    </row>
    <row r="506" spans="1:19" ht="15.75">
      <c r="A506" s="13">
        <v>56918</v>
      </c>
      <c r="B506" s="8">
        <f>13.5836 * CHOOSE(CONTROL!$C$15, $D$11, 100%, $F$11)</f>
        <v>13.583600000000001</v>
      </c>
      <c r="C506" s="8">
        <f>13.589 * CHOOSE(CONTROL!$C$15, $D$11, 100%, $F$11)</f>
        <v>13.589</v>
      </c>
      <c r="D506" s="8">
        <f>13.5969 * CHOOSE( CONTROL!$C$15, $D$11, 100%, $F$11)</f>
        <v>13.5969</v>
      </c>
      <c r="E506" s="12">
        <f>13.5937 * CHOOSE( CONTROL!$C$15, $D$11, 100%, $F$11)</f>
        <v>13.5937</v>
      </c>
      <c r="F506" s="4">
        <f>14.2669 * CHOOSE(CONTROL!$C$15, $D$11, 100%, $F$11)</f>
        <v>14.2669</v>
      </c>
      <c r="G506" s="8">
        <f>13.328 * CHOOSE( CONTROL!$C$15, $D$11, 100%, $F$11)</f>
        <v>13.327999999999999</v>
      </c>
      <c r="H506" s="4">
        <f>14.2591 * CHOOSE(CONTROL!$C$15, $D$11, 100%, $F$11)</f>
        <v>14.2591</v>
      </c>
      <c r="I506" s="8">
        <f>13.203 * CHOOSE(CONTROL!$C$15, $D$11, 100%, $F$11)</f>
        <v>13.202999999999999</v>
      </c>
      <c r="J506" s="4">
        <f>13.1017 * CHOOSE(CONTROL!$C$15, $D$11, 100%, $F$11)</f>
        <v>13.101699999999999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1.2183999999999999</v>
      </c>
      <c r="Q506" s="9">
        <v>19.751300000000001</v>
      </c>
      <c r="R506" s="9"/>
      <c r="S506" s="11"/>
    </row>
    <row r="507" spans="1:19" ht="15.75">
      <c r="A507" s="13">
        <v>56948</v>
      </c>
      <c r="B507" s="8">
        <f>14.6473 * CHOOSE(CONTROL!$C$15, $D$11, 100%, $F$11)</f>
        <v>14.6473</v>
      </c>
      <c r="C507" s="8">
        <f>14.6524 * CHOOSE(CONTROL!$C$15, $D$11, 100%, $F$11)</f>
        <v>14.6524</v>
      </c>
      <c r="D507" s="8">
        <f>14.6299 * CHOOSE( CONTROL!$C$15, $D$11, 100%, $F$11)</f>
        <v>14.629899999999999</v>
      </c>
      <c r="E507" s="12">
        <f>14.6376 * CHOOSE( CONTROL!$C$15, $D$11, 100%, $F$11)</f>
        <v>14.637600000000001</v>
      </c>
      <c r="F507" s="4">
        <f>15.2922 * CHOOSE(CONTROL!$C$15, $D$11, 100%, $F$11)</f>
        <v>15.292199999999999</v>
      </c>
      <c r="G507" s="8">
        <f>14.387 * CHOOSE( CONTROL!$C$15, $D$11, 100%, $F$11)</f>
        <v>14.387</v>
      </c>
      <c r="H507" s="4">
        <f>15.2673 * CHOOSE(CONTROL!$C$15, $D$11, 100%, $F$11)</f>
        <v>15.267300000000001</v>
      </c>
      <c r="I507" s="8">
        <f>14.2577 * CHOOSE(CONTROL!$C$15, $D$11, 100%, $F$11)</f>
        <v>14.2577</v>
      </c>
      <c r="J507" s="4">
        <f>14.1303 * CHOOSE(CONTROL!$C$15, $D$11, 100%, $F$11)</f>
        <v>14.1303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19.1142</v>
      </c>
      <c r="R507" s="9"/>
      <c r="S507" s="11"/>
    </row>
    <row r="508" spans="1:19" ht="15.75">
      <c r="A508" s="13">
        <v>56979</v>
      </c>
      <c r="B508" s="8">
        <f>14.6207 * CHOOSE(CONTROL!$C$15, $D$11, 100%, $F$11)</f>
        <v>14.620699999999999</v>
      </c>
      <c r="C508" s="8">
        <f>14.6258 * CHOOSE(CONTROL!$C$15, $D$11, 100%, $F$11)</f>
        <v>14.6258</v>
      </c>
      <c r="D508" s="8">
        <f>14.6048 * CHOOSE( CONTROL!$C$15, $D$11, 100%, $F$11)</f>
        <v>14.604799999999999</v>
      </c>
      <c r="E508" s="12">
        <f>14.6119 * CHOOSE( CONTROL!$C$15, $D$11, 100%, $F$11)</f>
        <v>14.6119</v>
      </c>
      <c r="F508" s="4">
        <f>15.2656 * CHOOSE(CONTROL!$C$15, $D$11, 100%, $F$11)</f>
        <v>15.265599999999999</v>
      </c>
      <c r="G508" s="8">
        <f>14.3619 * CHOOSE( CONTROL!$C$15, $D$11, 100%, $F$11)</f>
        <v>14.3619</v>
      </c>
      <c r="H508" s="4">
        <f>15.2412 * CHOOSE(CONTROL!$C$15, $D$11, 100%, $F$11)</f>
        <v>15.241199999999999</v>
      </c>
      <c r="I508" s="8">
        <f>14.2366 * CHOOSE(CONTROL!$C$15, $D$11, 100%, $F$11)</f>
        <v>14.236599999999999</v>
      </c>
      <c r="J508" s="4">
        <f>14.1046 * CHOOSE(CONTROL!$C$15, $D$11, 100%, $F$11)</f>
        <v>14.1046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19.751300000000001</v>
      </c>
      <c r="R508" s="9"/>
      <c r="S508" s="11"/>
    </row>
    <row r="509" spans="1:19" ht="15.75">
      <c r="A509" s="13">
        <v>57010</v>
      </c>
      <c r="B509" s="8">
        <f>15.1783 * CHOOSE(CONTROL!$C$15, $D$11, 100%, $F$11)</f>
        <v>15.1783</v>
      </c>
      <c r="C509" s="8">
        <f>15.1834 * CHOOSE(CONTROL!$C$15, $D$11, 100%, $F$11)</f>
        <v>15.183400000000001</v>
      </c>
      <c r="D509" s="8">
        <f>15.1614 * CHOOSE( CONTROL!$C$15, $D$11, 100%, $F$11)</f>
        <v>15.1614</v>
      </c>
      <c r="E509" s="12">
        <f>15.1689 * CHOOSE( CONTROL!$C$15, $D$11, 100%, $F$11)</f>
        <v>15.168900000000001</v>
      </c>
      <c r="F509" s="4">
        <f>15.8232 * CHOOSE(CONTROL!$C$15, $D$11, 100%, $F$11)</f>
        <v>15.8232</v>
      </c>
      <c r="G509" s="8">
        <f>14.9077 * CHOOSE( CONTROL!$C$15, $D$11, 100%, $F$11)</f>
        <v>14.9077</v>
      </c>
      <c r="H509" s="4">
        <f>15.7896 * CHOOSE(CONTROL!$C$15, $D$11, 100%, $F$11)</f>
        <v>15.7896</v>
      </c>
      <c r="I509" s="8">
        <f>14.7477 * CHOOSE(CONTROL!$C$15, $D$11, 100%, $F$11)</f>
        <v>14.7477</v>
      </c>
      <c r="J509" s="4">
        <f>14.6437 * CHOOSE(CONTROL!$C$15, $D$11, 100%, $F$11)</f>
        <v>14.643700000000001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19.688099999999999</v>
      </c>
      <c r="R509" s="9"/>
      <c r="S509" s="11"/>
    </row>
    <row r="510" spans="1:19" ht="15.75">
      <c r="A510" s="13">
        <v>57038</v>
      </c>
      <c r="B510" s="8">
        <f>14.199 * CHOOSE(CONTROL!$C$15, $D$11, 100%, $F$11)</f>
        <v>14.199</v>
      </c>
      <c r="C510" s="8">
        <f>14.2041 * CHOOSE(CONTROL!$C$15, $D$11, 100%, $F$11)</f>
        <v>14.2041</v>
      </c>
      <c r="D510" s="8">
        <f>14.1778 * CHOOSE( CONTROL!$C$15, $D$11, 100%, $F$11)</f>
        <v>14.1778</v>
      </c>
      <c r="E510" s="12">
        <f>14.1869 * CHOOSE( CONTROL!$C$15, $D$11, 100%, $F$11)</f>
        <v>14.1869</v>
      </c>
      <c r="F510" s="4">
        <f>14.8439 * CHOOSE(CONTROL!$C$15, $D$11, 100%, $F$11)</f>
        <v>14.8439</v>
      </c>
      <c r="G510" s="8">
        <f>13.9362 * CHOOSE( CONTROL!$C$15, $D$11, 100%, $F$11)</f>
        <v>13.936199999999999</v>
      </c>
      <c r="H510" s="4">
        <f>14.8265 * CHOOSE(CONTROL!$C$15, $D$11, 100%, $F$11)</f>
        <v>14.826499999999999</v>
      </c>
      <c r="I510" s="8">
        <f>13.7716 * CHOOSE(CONTROL!$C$15, $D$11, 100%, $F$11)</f>
        <v>13.771599999999999</v>
      </c>
      <c r="J510" s="4">
        <f>13.697 * CHOOSE(CONTROL!$C$15, $D$11, 100%, $F$11)</f>
        <v>13.696999999999999</v>
      </c>
      <c r="K510" s="4"/>
      <c r="L510" s="9">
        <v>27.415299999999998</v>
      </c>
      <c r="M510" s="9">
        <v>11.285299999999999</v>
      </c>
      <c r="N510" s="9">
        <v>4.6254999999999997</v>
      </c>
      <c r="O510" s="9">
        <v>0.34989999999999999</v>
      </c>
      <c r="P510" s="9">
        <v>1.2093</v>
      </c>
      <c r="Q510" s="9">
        <v>18.417899999999999</v>
      </c>
      <c r="R510" s="9"/>
      <c r="S510" s="11"/>
    </row>
    <row r="511" spans="1:19" ht="15.75">
      <c r="A511" s="13">
        <v>57070</v>
      </c>
      <c r="B511" s="8">
        <f>13.8974 * CHOOSE(CONTROL!$C$15, $D$11, 100%, $F$11)</f>
        <v>13.897399999999999</v>
      </c>
      <c r="C511" s="8">
        <f>13.9025 * CHOOSE(CONTROL!$C$15, $D$11, 100%, $F$11)</f>
        <v>13.9025</v>
      </c>
      <c r="D511" s="8">
        <f>13.8765 * CHOOSE( CONTROL!$C$15, $D$11, 100%, $F$11)</f>
        <v>13.8765</v>
      </c>
      <c r="E511" s="12">
        <f>13.8855 * CHOOSE( CONTROL!$C$15, $D$11, 100%, $F$11)</f>
        <v>13.8855</v>
      </c>
      <c r="F511" s="4">
        <f>14.5423 * CHOOSE(CONTROL!$C$15, $D$11, 100%, $F$11)</f>
        <v>14.542299999999999</v>
      </c>
      <c r="G511" s="8">
        <f>13.6398 * CHOOSE( CONTROL!$C$15, $D$11, 100%, $F$11)</f>
        <v>13.639799999999999</v>
      </c>
      <c r="H511" s="4">
        <f>14.5299 * CHOOSE(CONTROL!$C$15, $D$11, 100%, $F$11)</f>
        <v>14.5299</v>
      </c>
      <c r="I511" s="8">
        <f>13.4811 * CHOOSE(CONTROL!$C$15, $D$11, 100%, $F$11)</f>
        <v>13.4811</v>
      </c>
      <c r="J511" s="4">
        <f>13.4054 * CHOOSE(CONTROL!$C$15, $D$11, 100%, $F$11)</f>
        <v>13.4054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19.688099999999999</v>
      </c>
      <c r="R511" s="9"/>
      <c r="S511" s="11"/>
    </row>
    <row r="512" spans="1:19" ht="15.75">
      <c r="A512" s="13">
        <v>57100</v>
      </c>
      <c r="B512" s="8">
        <f>14.1089 * CHOOSE(CONTROL!$C$15, $D$11, 100%, $F$11)</f>
        <v>14.1089</v>
      </c>
      <c r="C512" s="8">
        <f>14.1135 * CHOOSE(CONTROL!$C$15, $D$11, 100%, $F$11)</f>
        <v>14.1135</v>
      </c>
      <c r="D512" s="8">
        <f>14.1206 * CHOOSE( CONTROL!$C$15, $D$11, 100%, $F$11)</f>
        <v>14.1206</v>
      </c>
      <c r="E512" s="12">
        <f>14.1177 * CHOOSE( CONTROL!$C$15, $D$11, 100%, $F$11)</f>
        <v>14.117699999999999</v>
      </c>
      <c r="F512" s="4">
        <f>14.7918 * CHOOSE(CONTROL!$C$15, $D$11, 100%, $F$11)</f>
        <v>14.7918</v>
      </c>
      <c r="G512" s="8">
        <f>13.8424 * CHOOSE( CONTROL!$C$15, $D$11, 100%, $F$11)</f>
        <v>13.8424</v>
      </c>
      <c r="H512" s="4">
        <f>14.7753 * CHOOSE(CONTROL!$C$15, $D$11, 100%, $F$11)</f>
        <v>14.7753</v>
      </c>
      <c r="I512" s="8">
        <f>13.7047 * CHOOSE(CONTROL!$C$15, $D$11, 100%, $F$11)</f>
        <v>13.704700000000001</v>
      </c>
      <c r="J512" s="4">
        <f>13.6092 * CHOOSE(CONTROL!$C$15, $D$11, 100%, $F$11)</f>
        <v>13.6092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1.1791</v>
      </c>
      <c r="Q512" s="9">
        <v>19.053000000000001</v>
      </c>
      <c r="R512" s="9"/>
      <c r="S512" s="11"/>
    </row>
    <row r="513" spans="1:19" ht="15.75">
      <c r="A513" s="13">
        <v>57131</v>
      </c>
      <c r="B513" s="8">
        <f>CHOOSE( CONTROL!$C$32, 14.4886, 14.4854) * CHOOSE(CONTROL!$C$15, $D$11, 100%, $F$11)</f>
        <v>14.4886</v>
      </c>
      <c r="C513" s="8">
        <f>CHOOSE( CONTROL!$C$32, 14.4966, 14.4934) * CHOOSE(CONTROL!$C$15, $D$11, 100%, $F$11)</f>
        <v>14.496600000000001</v>
      </c>
      <c r="D513" s="8">
        <f>CHOOSE( CONTROL!$C$32, 14.499, 14.4958) * CHOOSE( CONTROL!$C$15, $D$11, 100%, $F$11)</f>
        <v>14.499000000000001</v>
      </c>
      <c r="E513" s="12">
        <f>CHOOSE( CONTROL!$C$32, 14.4969, 14.4937) * CHOOSE( CONTROL!$C$15, $D$11, 100%, $F$11)</f>
        <v>14.4969</v>
      </c>
      <c r="F513" s="4">
        <f>CHOOSE( CONTROL!$C$32, 15.1702, 15.167) * CHOOSE(CONTROL!$C$15, $D$11, 100%, $F$11)</f>
        <v>15.170199999999999</v>
      </c>
      <c r="G513" s="8">
        <f>CHOOSE( CONTROL!$C$32, 14.2156, 14.2124) * CHOOSE( CONTROL!$C$15, $D$11, 100%, $F$11)</f>
        <v>14.2156</v>
      </c>
      <c r="H513" s="4">
        <f>CHOOSE( CONTROL!$C$32, 15.1474, 15.1442) * CHOOSE(CONTROL!$C$15, $D$11, 100%, $F$11)</f>
        <v>15.147399999999999</v>
      </c>
      <c r="I513" s="8">
        <f>CHOOSE( CONTROL!$C$32, 14.0722, 14.0691) * CHOOSE(CONTROL!$C$15, $D$11, 100%, $F$11)</f>
        <v>14.0722</v>
      </c>
      <c r="J513" s="4">
        <f>CHOOSE( CONTROL!$C$32, 13.9749, 13.9718) * CHOOSE(CONTROL!$C$15, $D$11, 100%, $F$11)</f>
        <v>13.9749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1.2183999999999999</v>
      </c>
      <c r="Q513" s="9">
        <v>19.688099999999999</v>
      </c>
      <c r="R513" s="9"/>
      <c r="S513" s="11"/>
    </row>
    <row r="514" spans="1:19" ht="15.75">
      <c r="A514" s="13">
        <v>57161</v>
      </c>
      <c r="B514" s="8">
        <f>CHOOSE( CONTROL!$C$32, 14.2562, 14.253) * CHOOSE(CONTROL!$C$15, $D$11, 100%, $F$11)</f>
        <v>14.2562</v>
      </c>
      <c r="C514" s="8">
        <f>CHOOSE( CONTROL!$C$32, 14.2643, 14.2611) * CHOOSE(CONTROL!$C$15, $D$11, 100%, $F$11)</f>
        <v>14.2643</v>
      </c>
      <c r="D514" s="8">
        <f>CHOOSE( CONTROL!$C$32, 14.2669, 14.2637) * CHOOSE( CONTROL!$C$15, $D$11, 100%, $F$11)</f>
        <v>14.2669</v>
      </c>
      <c r="E514" s="12">
        <f>CHOOSE( CONTROL!$C$32, 14.2647, 14.2615) * CHOOSE( CONTROL!$C$15, $D$11, 100%, $F$11)</f>
        <v>14.264699999999999</v>
      </c>
      <c r="F514" s="4">
        <f>CHOOSE( CONTROL!$C$32, 14.9378, 14.9346) * CHOOSE(CONTROL!$C$15, $D$11, 100%, $F$11)</f>
        <v>14.937799999999999</v>
      </c>
      <c r="G514" s="8">
        <f>CHOOSE( CONTROL!$C$32, 13.9875, 13.9844) * CHOOSE( CONTROL!$C$15, $D$11, 100%, $F$11)</f>
        <v>13.987500000000001</v>
      </c>
      <c r="H514" s="4">
        <f>CHOOSE( CONTROL!$C$32, 14.9189, 14.9157) * CHOOSE(CONTROL!$C$15, $D$11, 100%, $F$11)</f>
        <v>14.918900000000001</v>
      </c>
      <c r="I514" s="8">
        <f>CHOOSE( CONTROL!$C$32, 13.8489, 13.8458) * CHOOSE(CONTROL!$C$15, $D$11, 100%, $F$11)</f>
        <v>13.8489</v>
      </c>
      <c r="J514" s="4">
        <f>CHOOSE( CONTROL!$C$32, 13.7503, 13.7472) * CHOOSE(CONTROL!$C$15, $D$11, 100%, $F$11)</f>
        <v>13.750299999999999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1.1791</v>
      </c>
      <c r="Q514" s="9">
        <v>19.053000000000001</v>
      </c>
      <c r="R514" s="9"/>
      <c r="S514" s="11"/>
    </row>
    <row r="515" spans="1:19" ht="15.75">
      <c r="A515" s="13">
        <v>57192</v>
      </c>
      <c r="B515" s="8">
        <f>CHOOSE( CONTROL!$C$32, 14.8682, 14.865) * CHOOSE(CONTROL!$C$15, $D$11, 100%, $F$11)</f>
        <v>14.8682</v>
      </c>
      <c r="C515" s="8">
        <f>CHOOSE( CONTROL!$C$32, 14.8762, 14.873) * CHOOSE(CONTROL!$C$15, $D$11, 100%, $F$11)</f>
        <v>14.876200000000001</v>
      </c>
      <c r="D515" s="8">
        <f>CHOOSE( CONTROL!$C$32, 14.8791, 14.8759) * CHOOSE( CONTROL!$C$15, $D$11, 100%, $F$11)</f>
        <v>14.879099999999999</v>
      </c>
      <c r="E515" s="12">
        <f>CHOOSE( CONTROL!$C$32, 14.8768, 14.8736) * CHOOSE( CONTROL!$C$15, $D$11, 100%, $F$11)</f>
        <v>14.876799999999999</v>
      </c>
      <c r="F515" s="4">
        <f>CHOOSE( CONTROL!$C$32, 15.5497, 15.5465) * CHOOSE(CONTROL!$C$15, $D$11, 100%, $F$11)</f>
        <v>15.5497</v>
      </c>
      <c r="G515" s="8">
        <f>CHOOSE( CONTROL!$C$32, 14.5897, 14.5866) * CHOOSE( CONTROL!$C$15, $D$11, 100%, $F$11)</f>
        <v>14.589700000000001</v>
      </c>
      <c r="H515" s="4">
        <f>CHOOSE( CONTROL!$C$32, 15.5206, 15.5175) * CHOOSE(CONTROL!$C$15, $D$11, 100%, $F$11)</f>
        <v>15.5206</v>
      </c>
      <c r="I515" s="8">
        <f>CHOOSE( CONTROL!$C$32, 14.4421, 14.439) * CHOOSE(CONTROL!$C$15, $D$11, 100%, $F$11)</f>
        <v>14.4421</v>
      </c>
      <c r="J515" s="4">
        <f>CHOOSE( CONTROL!$C$32, 14.3418, 14.3387) * CHOOSE(CONTROL!$C$15, $D$11, 100%, $F$11)</f>
        <v>14.341799999999999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57223</v>
      </c>
      <c r="B516" s="8">
        <f>CHOOSE( CONTROL!$C$32, 13.7232, 13.72) * CHOOSE(CONTROL!$C$15, $D$11, 100%, $F$11)</f>
        <v>13.7232</v>
      </c>
      <c r="C516" s="8">
        <f>CHOOSE( CONTROL!$C$32, 13.7312, 13.728) * CHOOSE(CONTROL!$C$15, $D$11, 100%, $F$11)</f>
        <v>13.731199999999999</v>
      </c>
      <c r="D516" s="8">
        <f>CHOOSE( CONTROL!$C$32, 13.7343, 13.7311) * CHOOSE( CONTROL!$C$15, $D$11, 100%, $F$11)</f>
        <v>13.734299999999999</v>
      </c>
      <c r="E516" s="12">
        <f>CHOOSE( CONTROL!$C$32, 13.732, 13.7288) * CHOOSE( CONTROL!$C$15, $D$11, 100%, $F$11)</f>
        <v>13.731999999999999</v>
      </c>
      <c r="F516" s="4">
        <f>CHOOSE( CONTROL!$C$32, 14.4047, 14.4015) * CHOOSE(CONTROL!$C$15, $D$11, 100%, $F$11)</f>
        <v>14.4047</v>
      </c>
      <c r="G516" s="8">
        <f>CHOOSE( CONTROL!$C$32, 13.464, 13.4608) * CHOOSE( CONTROL!$C$15, $D$11, 100%, $F$11)</f>
        <v>13.464</v>
      </c>
      <c r="H516" s="4">
        <f>CHOOSE( CONTROL!$C$32, 14.3946, 14.3915) * CHOOSE(CONTROL!$C$15, $D$11, 100%, $F$11)</f>
        <v>14.394600000000001</v>
      </c>
      <c r="I516" s="8">
        <f>CHOOSE( CONTROL!$C$32, 13.3355, 13.3324) * CHOOSE(CONTROL!$C$15, $D$11, 100%, $F$11)</f>
        <v>13.3355</v>
      </c>
      <c r="J516" s="4">
        <f>CHOOSE( CONTROL!$C$32, 13.235, 13.2319) * CHOOSE(CONTROL!$C$15, $D$11, 100%, $F$11)</f>
        <v>13.234999999999999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1.2183999999999999</v>
      </c>
      <c r="Q516" s="9">
        <v>19.688099999999999</v>
      </c>
      <c r="R516" s="9"/>
      <c r="S516" s="11"/>
    </row>
    <row r="517" spans="1:19" ht="15.75">
      <c r="A517" s="13">
        <v>57253</v>
      </c>
      <c r="B517" s="8">
        <f>CHOOSE( CONTROL!$C$32, 13.4365, 13.4333) * CHOOSE(CONTROL!$C$15, $D$11, 100%, $F$11)</f>
        <v>13.436500000000001</v>
      </c>
      <c r="C517" s="8">
        <f>CHOOSE( CONTROL!$C$32, 13.4445, 13.4413) * CHOOSE(CONTROL!$C$15, $D$11, 100%, $F$11)</f>
        <v>13.4445</v>
      </c>
      <c r="D517" s="8">
        <f>CHOOSE( CONTROL!$C$32, 13.4476, 13.4444) * CHOOSE( CONTROL!$C$15, $D$11, 100%, $F$11)</f>
        <v>13.4476</v>
      </c>
      <c r="E517" s="12">
        <f>CHOOSE( CONTROL!$C$32, 13.4453, 13.4421) * CHOOSE( CONTROL!$C$15, $D$11, 100%, $F$11)</f>
        <v>13.4453</v>
      </c>
      <c r="F517" s="4">
        <f>CHOOSE( CONTROL!$C$32, 14.118, 14.1148) * CHOOSE(CONTROL!$C$15, $D$11, 100%, $F$11)</f>
        <v>14.118</v>
      </c>
      <c r="G517" s="8">
        <f>CHOOSE( CONTROL!$C$32, 13.1821, 13.1789) * CHOOSE( CONTROL!$C$15, $D$11, 100%, $F$11)</f>
        <v>13.1821</v>
      </c>
      <c r="H517" s="4">
        <f>CHOOSE( CONTROL!$C$32, 14.1127, 14.1095) * CHOOSE(CONTROL!$C$15, $D$11, 100%, $F$11)</f>
        <v>14.1127</v>
      </c>
      <c r="I517" s="8">
        <f>CHOOSE( CONTROL!$C$32, 13.0584, 13.0553) * CHOOSE(CONTROL!$C$15, $D$11, 100%, $F$11)</f>
        <v>13.058400000000001</v>
      </c>
      <c r="J517" s="4">
        <f>CHOOSE( CONTROL!$C$32, 12.9578, 12.9547) * CHOOSE(CONTROL!$C$15, $D$11, 100%, $F$11)</f>
        <v>12.957800000000001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1.1791</v>
      </c>
      <c r="Q517" s="9">
        <v>19.053000000000001</v>
      </c>
      <c r="R517" s="9"/>
      <c r="S517" s="11"/>
    </row>
    <row r="518" spans="1:19" ht="15.75">
      <c r="A518" s="13">
        <v>57284</v>
      </c>
      <c r="B518" s="8">
        <f>14.0269 * CHOOSE(CONTROL!$C$15, $D$11, 100%, $F$11)</f>
        <v>14.026899999999999</v>
      </c>
      <c r="C518" s="8">
        <f>14.0322 * CHOOSE(CONTROL!$C$15, $D$11, 100%, $F$11)</f>
        <v>14.0322</v>
      </c>
      <c r="D518" s="8">
        <f>14.0401 * CHOOSE( CONTROL!$C$15, $D$11, 100%, $F$11)</f>
        <v>14.040100000000001</v>
      </c>
      <c r="E518" s="12">
        <f>14.0369 * CHOOSE( CONTROL!$C$15, $D$11, 100%, $F$11)</f>
        <v>14.036899999999999</v>
      </c>
      <c r="F518" s="4">
        <f>14.7101 * CHOOSE(CONTROL!$C$15, $D$11, 100%, $F$11)</f>
        <v>14.710100000000001</v>
      </c>
      <c r="G518" s="8">
        <f>13.7639 * CHOOSE( CONTROL!$C$15, $D$11, 100%, $F$11)</f>
        <v>13.7639</v>
      </c>
      <c r="H518" s="4">
        <f>14.695 * CHOOSE(CONTROL!$C$15, $D$11, 100%, $F$11)</f>
        <v>14.695</v>
      </c>
      <c r="I518" s="8">
        <f>13.6317 * CHOOSE(CONTROL!$C$15, $D$11, 100%, $F$11)</f>
        <v>13.6317</v>
      </c>
      <c r="J518" s="4">
        <f>13.5302 * CHOOSE(CONTROL!$C$15, $D$11, 100%, $F$11)</f>
        <v>13.530200000000001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1.2183999999999999</v>
      </c>
      <c r="Q518" s="9">
        <v>19.688099999999999</v>
      </c>
      <c r="R518" s="9"/>
      <c r="S518" s="11"/>
    </row>
    <row r="519" spans="1:19" ht="15.75">
      <c r="A519" s="13">
        <v>57314</v>
      </c>
      <c r="B519" s="8">
        <f>15.1253 * CHOOSE(CONTROL!$C$15, $D$11, 100%, $F$11)</f>
        <v>15.125299999999999</v>
      </c>
      <c r="C519" s="8">
        <f>15.1304 * CHOOSE(CONTROL!$C$15, $D$11, 100%, $F$11)</f>
        <v>15.1304</v>
      </c>
      <c r="D519" s="8">
        <f>15.1079 * CHOOSE( CONTROL!$C$15, $D$11, 100%, $F$11)</f>
        <v>15.107900000000001</v>
      </c>
      <c r="E519" s="12">
        <f>15.1156 * CHOOSE( CONTROL!$C$15, $D$11, 100%, $F$11)</f>
        <v>15.115600000000001</v>
      </c>
      <c r="F519" s="4">
        <f>15.7702 * CHOOSE(CONTROL!$C$15, $D$11, 100%, $F$11)</f>
        <v>15.770200000000001</v>
      </c>
      <c r="G519" s="8">
        <f>14.8571 * CHOOSE( CONTROL!$C$15, $D$11, 100%, $F$11)</f>
        <v>14.857100000000001</v>
      </c>
      <c r="H519" s="4">
        <f>15.7375 * CHOOSE(CONTROL!$C$15, $D$11, 100%, $F$11)</f>
        <v>15.737500000000001</v>
      </c>
      <c r="I519" s="8">
        <f>14.7201 * CHOOSE(CONTROL!$C$15, $D$11, 100%, $F$11)</f>
        <v>14.7201</v>
      </c>
      <c r="J519" s="4">
        <f>14.5925 * CHOOSE(CONTROL!$C$15, $D$11, 100%, $F$11)</f>
        <v>14.592499999999999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19.053000000000001</v>
      </c>
      <c r="R519" s="9"/>
      <c r="S519" s="11"/>
    </row>
    <row r="520" spans="1:19" ht="15.75">
      <c r="A520" s="13">
        <v>57345</v>
      </c>
      <c r="B520" s="8">
        <f>15.0978 * CHOOSE(CONTROL!$C$15, $D$11, 100%, $F$11)</f>
        <v>15.097799999999999</v>
      </c>
      <c r="C520" s="8">
        <f>15.103 * CHOOSE(CONTROL!$C$15, $D$11, 100%, $F$11)</f>
        <v>15.103</v>
      </c>
      <c r="D520" s="8">
        <f>15.0819 * CHOOSE( CONTROL!$C$15, $D$11, 100%, $F$11)</f>
        <v>15.081899999999999</v>
      </c>
      <c r="E520" s="12">
        <f>15.0891 * CHOOSE( CONTROL!$C$15, $D$11, 100%, $F$11)</f>
        <v>15.0891</v>
      </c>
      <c r="F520" s="4">
        <f>15.7427 * CHOOSE(CONTROL!$C$15, $D$11, 100%, $F$11)</f>
        <v>15.742699999999999</v>
      </c>
      <c r="G520" s="8">
        <f>14.8312 * CHOOSE( CONTROL!$C$15, $D$11, 100%, $F$11)</f>
        <v>14.831200000000001</v>
      </c>
      <c r="H520" s="4">
        <f>15.7105 * CHOOSE(CONTROL!$C$15, $D$11, 100%, $F$11)</f>
        <v>15.7105</v>
      </c>
      <c r="I520" s="8">
        <f>14.6981 * CHOOSE(CONTROL!$C$15, $D$11, 100%, $F$11)</f>
        <v>14.6981</v>
      </c>
      <c r="J520" s="4">
        <f>14.5659 * CHOOSE(CONTROL!$C$15, $D$11, 100%, $F$11)</f>
        <v>14.565899999999999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57376</v>
      </c>
      <c r="B521" s="8">
        <f>15.6737 * CHOOSE(CONTROL!$C$15, $D$11, 100%, $F$11)</f>
        <v>15.6737</v>
      </c>
      <c r="C521" s="8">
        <f>15.6788 * CHOOSE(CONTROL!$C$15, $D$11, 100%, $F$11)</f>
        <v>15.678800000000001</v>
      </c>
      <c r="D521" s="8">
        <f>15.6568 * CHOOSE( CONTROL!$C$15, $D$11, 100%, $F$11)</f>
        <v>15.6568</v>
      </c>
      <c r="E521" s="12">
        <f>15.6643 * CHOOSE( CONTROL!$C$15, $D$11, 100%, $F$11)</f>
        <v>15.664300000000001</v>
      </c>
      <c r="F521" s="4">
        <f>16.3186 * CHOOSE(CONTROL!$C$15, $D$11, 100%, $F$11)</f>
        <v>16.3186</v>
      </c>
      <c r="G521" s="8">
        <f>15.3949 * CHOOSE( CONTROL!$C$15, $D$11, 100%, $F$11)</f>
        <v>15.3949</v>
      </c>
      <c r="H521" s="4">
        <f>16.2768 * CHOOSE(CONTROL!$C$15, $D$11, 100%, $F$11)</f>
        <v>16.276800000000001</v>
      </c>
      <c r="I521" s="8">
        <f>15.2269 * CHOOSE(CONTROL!$C$15, $D$11, 100%, $F$11)</f>
        <v>15.226900000000001</v>
      </c>
      <c r="J521" s="4">
        <f>15.1226 * CHOOSE(CONTROL!$C$15, $D$11, 100%, $F$11)</f>
        <v>15.1226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57404</v>
      </c>
      <c r="B522" s="8">
        <f>14.6624 * CHOOSE(CONTROL!$C$15, $D$11, 100%, $F$11)</f>
        <v>14.6624</v>
      </c>
      <c r="C522" s="8">
        <f>14.6675 * CHOOSE(CONTROL!$C$15, $D$11, 100%, $F$11)</f>
        <v>14.6675</v>
      </c>
      <c r="D522" s="8">
        <f>14.6411 * CHOOSE( CONTROL!$C$15, $D$11, 100%, $F$11)</f>
        <v>14.6411</v>
      </c>
      <c r="E522" s="12">
        <f>14.6502 * CHOOSE( CONTROL!$C$15, $D$11, 100%, $F$11)</f>
        <v>14.6502</v>
      </c>
      <c r="F522" s="4">
        <f>15.3073 * CHOOSE(CONTROL!$C$15, $D$11, 100%, $F$11)</f>
        <v>15.3073</v>
      </c>
      <c r="G522" s="8">
        <f>14.3919 * CHOOSE( CONTROL!$C$15, $D$11, 100%, $F$11)</f>
        <v>14.3919</v>
      </c>
      <c r="H522" s="4">
        <f>15.2822 * CHOOSE(CONTROL!$C$15, $D$11, 100%, $F$11)</f>
        <v>15.2822</v>
      </c>
      <c r="I522" s="8">
        <f>14.2197 * CHOOSE(CONTROL!$C$15, $D$11, 100%, $F$11)</f>
        <v>14.2197</v>
      </c>
      <c r="J522" s="4">
        <f>14.145 * CHOOSE(CONTROL!$C$15, $D$11, 100%, $F$11)</f>
        <v>14.145</v>
      </c>
      <c r="K522" s="4"/>
      <c r="L522" s="9">
        <v>26.469899999999999</v>
      </c>
      <c r="M522" s="9">
        <v>10.8962</v>
      </c>
      <c r="N522" s="9">
        <v>4.4660000000000002</v>
      </c>
      <c r="O522" s="9">
        <v>0.33789999999999998</v>
      </c>
      <c r="P522" s="9">
        <v>1.1676</v>
      </c>
      <c r="Q522" s="9">
        <v>17.782800000000002</v>
      </c>
      <c r="R522" s="9"/>
      <c r="S522" s="11"/>
    </row>
    <row r="523" spans="1:19" ht="15.75">
      <c r="A523" s="13">
        <v>57435</v>
      </c>
      <c r="B523" s="8">
        <f>14.3509 * CHOOSE(CONTROL!$C$15, $D$11, 100%, $F$11)</f>
        <v>14.350899999999999</v>
      </c>
      <c r="C523" s="8">
        <f>14.356 * CHOOSE(CONTROL!$C$15, $D$11, 100%, $F$11)</f>
        <v>14.356</v>
      </c>
      <c r="D523" s="8">
        <f>14.33 * CHOOSE( CONTROL!$C$15, $D$11, 100%, $F$11)</f>
        <v>14.33</v>
      </c>
      <c r="E523" s="12">
        <f>14.339 * CHOOSE( CONTROL!$C$15, $D$11, 100%, $F$11)</f>
        <v>14.339</v>
      </c>
      <c r="F523" s="4">
        <f>14.9958 * CHOOSE(CONTROL!$C$15, $D$11, 100%, $F$11)</f>
        <v>14.995799999999999</v>
      </c>
      <c r="G523" s="8">
        <f>14.0858 * CHOOSE( CONTROL!$C$15, $D$11, 100%, $F$11)</f>
        <v>14.085800000000001</v>
      </c>
      <c r="H523" s="4">
        <f>14.9759 * CHOOSE(CONTROL!$C$15, $D$11, 100%, $F$11)</f>
        <v>14.975899999999999</v>
      </c>
      <c r="I523" s="8">
        <f>13.9197 * CHOOSE(CONTROL!$C$15, $D$11, 100%, $F$11)</f>
        <v>13.919700000000001</v>
      </c>
      <c r="J523" s="4">
        <f>13.8439 * CHOOSE(CONTROL!$C$15, $D$11, 100%, $F$11)</f>
        <v>13.8439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57465</v>
      </c>
      <c r="B524" s="8">
        <f>14.5693 * CHOOSE(CONTROL!$C$15, $D$11, 100%, $F$11)</f>
        <v>14.5693</v>
      </c>
      <c r="C524" s="8">
        <f>14.5739 * CHOOSE(CONTROL!$C$15, $D$11, 100%, $F$11)</f>
        <v>14.5739</v>
      </c>
      <c r="D524" s="8">
        <f>14.581 * CHOOSE( CONTROL!$C$15, $D$11, 100%, $F$11)</f>
        <v>14.581</v>
      </c>
      <c r="E524" s="12">
        <f>14.5781 * CHOOSE( CONTROL!$C$15, $D$11, 100%, $F$11)</f>
        <v>14.578099999999999</v>
      </c>
      <c r="F524" s="4">
        <f>15.2522 * CHOOSE(CONTROL!$C$15, $D$11, 100%, $F$11)</f>
        <v>15.2522</v>
      </c>
      <c r="G524" s="8">
        <f>14.2952 * CHOOSE( CONTROL!$C$15, $D$11, 100%, $F$11)</f>
        <v>14.295199999999999</v>
      </c>
      <c r="H524" s="4">
        <f>15.2281 * CHOOSE(CONTROL!$C$15, $D$11, 100%, $F$11)</f>
        <v>15.2281</v>
      </c>
      <c r="I524" s="8">
        <f>14.15 * CHOOSE(CONTROL!$C$15, $D$11, 100%, $F$11)</f>
        <v>14.15</v>
      </c>
      <c r="J524" s="4">
        <f>14.0543 * CHOOSE(CONTROL!$C$15, $D$11, 100%, $F$11)</f>
        <v>14.0543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1.1791</v>
      </c>
      <c r="Q524" s="9">
        <v>19.053000000000001</v>
      </c>
      <c r="R524" s="9"/>
      <c r="S524" s="11"/>
    </row>
    <row r="525" spans="1:19" ht="15.75">
      <c r="A525" s="13">
        <v>57496</v>
      </c>
      <c r="B525" s="8">
        <f>CHOOSE( CONTROL!$C$32, 14.9613, 14.9581) * CHOOSE(CONTROL!$C$15, $D$11, 100%, $F$11)</f>
        <v>14.9613</v>
      </c>
      <c r="C525" s="8">
        <f>CHOOSE( CONTROL!$C$32, 14.9693, 14.9661) * CHOOSE(CONTROL!$C$15, $D$11, 100%, $F$11)</f>
        <v>14.9693</v>
      </c>
      <c r="D525" s="8">
        <f>CHOOSE( CONTROL!$C$32, 14.9716, 14.9684) * CHOOSE( CONTROL!$C$15, $D$11, 100%, $F$11)</f>
        <v>14.9716</v>
      </c>
      <c r="E525" s="12">
        <f>CHOOSE( CONTROL!$C$32, 14.9695, 14.9663) * CHOOSE( CONTROL!$C$15, $D$11, 100%, $F$11)</f>
        <v>14.9695</v>
      </c>
      <c r="F525" s="4">
        <f>CHOOSE( CONTROL!$C$32, 15.6428, 15.6396) * CHOOSE(CONTROL!$C$15, $D$11, 100%, $F$11)</f>
        <v>15.642799999999999</v>
      </c>
      <c r="G525" s="8">
        <f>CHOOSE( CONTROL!$C$32, 14.6804, 14.6773) * CHOOSE( CONTROL!$C$15, $D$11, 100%, $F$11)</f>
        <v>14.680400000000001</v>
      </c>
      <c r="H525" s="4">
        <f>CHOOSE( CONTROL!$C$32, 15.6122, 15.6091) * CHOOSE(CONTROL!$C$15, $D$11, 100%, $F$11)</f>
        <v>15.6122</v>
      </c>
      <c r="I525" s="8">
        <f>CHOOSE( CONTROL!$C$32, 14.5294, 14.5263) * CHOOSE(CONTROL!$C$15, $D$11, 100%, $F$11)</f>
        <v>14.529400000000001</v>
      </c>
      <c r="J525" s="4">
        <f>CHOOSE( CONTROL!$C$32, 14.4318, 14.4287) * CHOOSE(CONTROL!$C$15, $D$11, 100%, $F$11)</f>
        <v>14.431800000000001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1.2183999999999999</v>
      </c>
      <c r="Q525" s="9">
        <v>19.688099999999999</v>
      </c>
      <c r="R525" s="9"/>
      <c r="S525" s="11"/>
    </row>
    <row r="526" spans="1:19" ht="15.75">
      <c r="A526" s="13">
        <v>57526</v>
      </c>
      <c r="B526" s="8">
        <f>CHOOSE( CONTROL!$C$32, 14.7213, 14.7181) * CHOOSE(CONTROL!$C$15, $D$11, 100%, $F$11)</f>
        <v>14.721299999999999</v>
      </c>
      <c r="C526" s="8">
        <f>CHOOSE( CONTROL!$C$32, 14.7293, 14.7261) * CHOOSE(CONTROL!$C$15, $D$11, 100%, $F$11)</f>
        <v>14.7293</v>
      </c>
      <c r="D526" s="8">
        <f>CHOOSE( CONTROL!$C$32, 14.7319, 14.7287) * CHOOSE( CONTROL!$C$15, $D$11, 100%, $F$11)</f>
        <v>14.7319</v>
      </c>
      <c r="E526" s="12">
        <f>CHOOSE( CONTROL!$C$32, 14.7297, 14.7265) * CHOOSE( CONTROL!$C$15, $D$11, 100%, $F$11)</f>
        <v>14.729699999999999</v>
      </c>
      <c r="F526" s="4">
        <f>CHOOSE( CONTROL!$C$32, 15.4029, 15.3997) * CHOOSE(CONTROL!$C$15, $D$11, 100%, $F$11)</f>
        <v>15.402900000000001</v>
      </c>
      <c r="G526" s="8">
        <f>CHOOSE( CONTROL!$C$32, 14.4449, 14.4417) * CHOOSE( CONTROL!$C$15, $D$11, 100%, $F$11)</f>
        <v>14.444900000000001</v>
      </c>
      <c r="H526" s="4">
        <f>CHOOSE( CONTROL!$C$32, 15.3762, 15.3731) * CHOOSE(CONTROL!$C$15, $D$11, 100%, $F$11)</f>
        <v>15.376200000000001</v>
      </c>
      <c r="I526" s="8">
        <f>CHOOSE( CONTROL!$C$32, 14.2987, 14.2956) * CHOOSE(CONTROL!$C$15, $D$11, 100%, $F$11)</f>
        <v>14.2987</v>
      </c>
      <c r="J526" s="4">
        <f>CHOOSE( CONTROL!$C$32, 14.1999, 14.1968) * CHOOSE(CONTROL!$C$15, $D$11, 100%, $F$11)</f>
        <v>14.1999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1.1791</v>
      </c>
      <c r="Q526" s="9">
        <v>19.053000000000001</v>
      </c>
      <c r="R526" s="9"/>
      <c r="S526" s="11"/>
    </row>
    <row r="527" spans="1:19" ht="15.75">
      <c r="A527" s="13">
        <v>57557</v>
      </c>
      <c r="B527" s="8">
        <f>CHOOSE( CONTROL!$C$32, 15.3532, 15.35) * CHOOSE(CONTROL!$C$15, $D$11, 100%, $F$11)</f>
        <v>15.353199999999999</v>
      </c>
      <c r="C527" s="8">
        <f>CHOOSE( CONTROL!$C$32, 15.3613, 15.3581) * CHOOSE(CONTROL!$C$15, $D$11, 100%, $F$11)</f>
        <v>15.3613</v>
      </c>
      <c r="D527" s="8">
        <f>CHOOSE( CONTROL!$C$32, 15.3642, 15.361) * CHOOSE( CONTROL!$C$15, $D$11, 100%, $F$11)</f>
        <v>15.3642</v>
      </c>
      <c r="E527" s="12">
        <f>CHOOSE( CONTROL!$C$32, 15.3619, 15.3587) * CHOOSE( CONTROL!$C$15, $D$11, 100%, $F$11)</f>
        <v>15.3619</v>
      </c>
      <c r="F527" s="4">
        <f>CHOOSE( CONTROL!$C$32, 16.0348, 16.0316) * CHOOSE(CONTROL!$C$15, $D$11, 100%, $F$11)</f>
        <v>16.034800000000001</v>
      </c>
      <c r="G527" s="8">
        <f>CHOOSE( CONTROL!$C$32, 15.0668, 15.0636) * CHOOSE( CONTROL!$C$15, $D$11, 100%, $F$11)</f>
        <v>15.066800000000001</v>
      </c>
      <c r="H527" s="4">
        <f>CHOOSE( CONTROL!$C$32, 15.9977, 15.9945) * CHOOSE(CONTROL!$C$15, $D$11, 100%, $F$11)</f>
        <v>15.9977</v>
      </c>
      <c r="I527" s="8">
        <f>CHOOSE( CONTROL!$C$32, 14.9113, 14.9082) * CHOOSE(CONTROL!$C$15, $D$11, 100%, $F$11)</f>
        <v>14.911300000000001</v>
      </c>
      <c r="J527" s="4">
        <f>CHOOSE( CONTROL!$C$32, 14.8107, 14.8077) * CHOOSE(CONTROL!$C$15, $D$11, 100%, $F$11)</f>
        <v>14.810700000000001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57588</v>
      </c>
      <c r="B528" s="8">
        <f>CHOOSE( CONTROL!$C$32, 14.1708, 14.1676) * CHOOSE(CONTROL!$C$15, $D$11, 100%, $F$11)</f>
        <v>14.1708</v>
      </c>
      <c r="C528" s="8">
        <f>CHOOSE( CONTROL!$C$32, 14.1788, 14.1756) * CHOOSE(CONTROL!$C$15, $D$11, 100%, $F$11)</f>
        <v>14.178800000000001</v>
      </c>
      <c r="D528" s="8">
        <f>CHOOSE( CONTROL!$C$32, 14.1819, 14.1787) * CHOOSE( CONTROL!$C$15, $D$11, 100%, $F$11)</f>
        <v>14.181900000000001</v>
      </c>
      <c r="E528" s="12">
        <f>CHOOSE( CONTROL!$C$32, 14.1796, 14.1764) * CHOOSE( CONTROL!$C$15, $D$11, 100%, $F$11)</f>
        <v>14.179600000000001</v>
      </c>
      <c r="F528" s="4">
        <f>CHOOSE( CONTROL!$C$32, 14.8524, 14.8492) * CHOOSE(CONTROL!$C$15, $D$11, 100%, $F$11)</f>
        <v>14.852399999999999</v>
      </c>
      <c r="G528" s="8">
        <f>CHOOSE( CONTROL!$C$32, 13.9042, 13.9011) * CHOOSE( CONTROL!$C$15, $D$11, 100%, $F$11)</f>
        <v>13.904199999999999</v>
      </c>
      <c r="H528" s="4">
        <f>CHOOSE( CONTROL!$C$32, 14.8349, 14.8317) * CHOOSE(CONTROL!$C$15, $D$11, 100%, $F$11)</f>
        <v>14.834899999999999</v>
      </c>
      <c r="I528" s="8">
        <f>CHOOSE( CONTROL!$C$32, 13.7685, 13.7654) * CHOOSE(CONTROL!$C$15, $D$11, 100%, $F$11)</f>
        <v>13.7685</v>
      </c>
      <c r="J528" s="4">
        <f>CHOOSE( CONTROL!$C$32, 13.6677, 13.6646) * CHOOSE(CONTROL!$C$15, $D$11, 100%, $F$11)</f>
        <v>13.6677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1.2183999999999999</v>
      </c>
      <c r="Q528" s="9">
        <v>19.688099999999999</v>
      </c>
      <c r="R528" s="9"/>
      <c r="S528" s="11"/>
    </row>
    <row r="529" spans="1:19" ht="15.75">
      <c r="A529" s="13">
        <v>57618</v>
      </c>
      <c r="B529" s="8">
        <f>CHOOSE( CONTROL!$C$32, 13.8747, 13.8715) * CHOOSE(CONTROL!$C$15, $D$11, 100%, $F$11)</f>
        <v>13.874700000000001</v>
      </c>
      <c r="C529" s="8">
        <f>CHOOSE( CONTROL!$C$32, 13.8828, 13.8796) * CHOOSE(CONTROL!$C$15, $D$11, 100%, $F$11)</f>
        <v>13.8828</v>
      </c>
      <c r="D529" s="8">
        <f>CHOOSE( CONTROL!$C$32, 13.8859, 13.8827) * CHOOSE( CONTROL!$C$15, $D$11, 100%, $F$11)</f>
        <v>13.885899999999999</v>
      </c>
      <c r="E529" s="12">
        <f>CHOOSE( CONTROL!$C$32, 13.8835, 13.8803) * CHOOSE( CONTROL!$C$15, $D$11, 100%, $F$11)</f>
        <v>13.8835</v>
      </c>
      <c r="F529" s="4">
        <f>CHOOSE( CONTROL!$C$32, 14.5563, 14.5531) * CHOOSE(CONTROL!$C$15, $D$11, 100%, $F$11)</f>
        <v>14.5563</v>
      </c>
      <c r="G529" s="8">
        <f>CHOOSE( CONTROL!$C$32, 13.6131, 13.6099) * CHOOSE( CONTROL!$C$15, $D$11, 100%, $F$11)</f>
        <v>13.613099999999999</v>
      </c>
      <c r="H529" s="4">
        <f>CHOOSE( CONTROL!$C$32, 14.5437, 14.5405) * CHOOSE(CONTROL!$C$15, $D$11, 100%, $F$11)</f>
        <v>14.543699999999999</v>
      </c>
      <c r="I529" s="8">
        <f>CHOOSE( CONTROL!$C$32, 13.4822, 13.4791) * CHOOSE(CONTROL!$C$15, $D$11, 100%, $F$11)</f>
        <v>13.482200000000001</v>
      </c>
      <c r="J529" s="4">
        <f>CHOOSE( CONTROL!$C$32, 13.3815, 13.3784) * CHOOSE(CONTROL!$C$15, $D$11, 100%, $F$11)</f>
        <v>13.381500000000001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1.1791</v>
      </c>
      <c r="Q529" s="9">
        <v>19.053000000000001</v>
      </c>
      <c r="R529" s="9"/>
      <c r="S529" s="11"/>
    </row>
    <row r="530" spans="1:19" ht="15.75">
      <c r="A530" s="13">
        <v>57649</v>
      </c>
      <c r="B530" s="8">
        <f>14.4846 * CHOOSE(CONTROL!$C$15, $D$11, 100%, $F$11)</f>
        <v>14.4846</v>
      </c>
      <c r="C530" s="8">
        <f>14.49 * CHOOSE(CONTROL!$C$15, $D$11, 100%, $F$11)</f>
        <v>14.49</v>
      </c>
      <c r="D530" s="8">
        <f>14.4979 * CHOOSE( CONTROL!$C$15, $D$11, 100%, $F$11)</f>
        <v>14.4979</v>
      </c>
      <c r="E530" s="12">
        <f>14.4947 * CHOOSE( CONTROL!$C$15, $D$11, 100%, $F$11)</f>
        <v>14.4947</v>
      </c>
      <c r="F530" s="4">
        <f>15.1679 * CHOOSE(CONTROL!$C$15, $D$11, 100%, $F$11)</f>
        <v>15.167899999999999</v>
      </c>
      <c r="G530" s="8">
        <f>14.214 * CHOOSE( CONTROL!$C$15, $D$11, 100%, $F$11)</f>
        <v>14.214</v>
      </c>
      <c r="H530" s="4">
        <f>15.1451 * CHOOSE(CONTROL!$C$15, $D$11, 100%, $F$11)</f>
        <v>15.145099999999999</v>
      </c>
      <c r="I530" s="8">
        <f>14.0744 * CHOOSE(CONTROL!$C$15, $D$11, 100%, $F$11)</f>
        <v>14.074400000000001</v>
      </c>
      <c r="J530" s="4">
        <f>13.9727 * CHOOSE(CONTROL!$C$15, $D$11, 100%, $F$11)</f>
        <v>13.9727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1.2183999999999999</v>
      </c>
      <c r="Q530" s="9">
        <v>19.688099999999999</v>
      </c>
      <c r="R530" s="9"/>
      <c r="S530" s="11"/>
    </row>
    <row r="531" spans="1:19" ht="15.75">
      <c r="A531" s="13">
        <v>57679</v>
      </c>
      <c r="B531" s="8">
        <f>15.619 * CHOOSE(CONTROL!$C$15, $D$11, 100%, $F$11)</f>
        <v>15.619</v>
      </c>
      <c r="C531" s="8">
        <f>15.6241 * CHOOSE(CONTROL!$C$15, $D$11, 100%, $F$11)</f>
        <v>15.6241</v>
      </c>
      <c r="D531" s="8">
        <f>15.6016 * CHOOSE( CONTROL!$C$15, $D$11, 100%, $F$11)</f>
        <v>15.601599999999999</v>
      </c>
      <c r="E531" s="12">
        <f>15.6093 * CHOOSE( CONTROL!$C$15, $D$11, 100%, $F$11)</f>
        <v>15.609299999999999</v>
      </c>
      <c r="F531" s="4">
        <f>16.2639 * CHOOSE(CONTROL!$C$15, $D$11, 100%, $F$11)</f>
        <v>16.2639</v>
      </c>
      <c r="G531" s="8">
        <f>15.3426 * CHOOSE( CONTROL!$C$15, $D$11, 100%, $F$11)</f>
        <v>15.342599999999999</v>
      </c>
      <c r="H531" s="4">
        <f>16.2229 * CHOOSE(CONTROL!$C$15, $D$11, 100%, $F$11)</f>
        <v>16.222899999999999</v>
      </c>
      <c r="I531" s="8">
        <f>15.1975 * CHOOSE(CONTROL!$C$15, $D$11, 100%, $F$11)</f>
        <v>15.1975</v>
      </c>
      <c r="J531" s="4">
        <f>15.0697 * CHOOSE(CONTROL!$C$15, $D$11, 100%, $F$11)</f>
        <v>15.069699999999999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57710</v>
      </c>
      <c r="B532" s="8">
        <f>15.5906 * CHOOSE(CONTROL!$C$15, $D$11, 100%, $F$11)</f>
        <v>15.5906</v>
      </c>
      <c r="C532" s="8">
        <f>15.5957 * CHOOSE(CONTROL!$C$15, $D$11, 100%, $F$11)</f>
        <v>15.595700000000001</v>
      </c>
      <c r="D532" s="8">
        <f>15.5747 * CHOOSE( CONTROL!$C$15, $D$11, 100%, $F$11)</f>
        <v>15.5747</v>
      </c>
      <c r="E532" s="12">
        <f>15.5818 * CHOOSE( CONTROL!$C$15, $D$11, 100%, $F$11)</f>
        <v>15.581799999999999</v>
      </c>
      <c r="F532" s="4">
        <f>16.2355 * CHOOSE(CONTROL!$C$15, $D$11, 100%, $F$11)</f>
        <v>16.235499999999998</v>
      </c>
      <c r="G532" s="8">
        <f>15.3158 * CHOOSE( CONTROL!$C$15, $D$11, 100%, $F$11)</f>
        <v>15.315799999999999</v>
      </c>
      <c r="H532" s="4">
        <f>16.1951 * CHOOSE(CONTROL!$C$15, $D$11, 100%, $F$11)</f>
        <v>16.1951</v>
      </c>
      <c r="I532" s="8">
        <f>15.1747 * CHOOSE(CONTROL!$C$15, $D$11, 100%, $F$11)</f>
        <v>15.1747</v>
      </c>
      <c r="J532" s="4">
        <f>15.0423 * CHOOSE(CONTROL!$C$15, $D$11, 100%, $F$11)</f>
        <v>15.042299999999999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57741</v>
      </c>
      <c r="B533" s="8">
        <f>16.1853 * CHOOSE(CONTROL!$C$15, $D$11, 100%, $F$11)</f>
        <v>16.185300000000002</v>
      </c>
      <c r="C533" s="8">
        <f>16.1904 * CHOOSE(CONTROL!$C$15, $D$11, 100%, $F$11)</f>
        <v>16.1904</v>
      </c>
      <c r="D533" s="8">
        <f>16.1684 * CHOOSE( CONTROL!$C$15, $D$11, 100%, $F$11)</f>
        <v>16.168399999999998</v>
      </c>
      <c r="E533" s="12">
        <f>16.1759 * CHOOSE( CONTROL!$C$15, $D$11, 100%, $F$11)</f>
        <v>16.175899999999999</v>
      </c>
      <c r="F533" s="4">
        <f>16.8302 * CHOOSE(CONTROL!$C$15, $D$11, 100%, $F$11)</f>
        <v>16.830200000000001</v>
      </c>
      <c r="G533" s="8">
        <f>15.898 * CHOOSE( CONTROL!$C$15, $D$11, 100%, $F$11)</f>
        <v>15.898</v>
      </c>
      <c r="H533" s="4">
        <f>16.7799 * CHOOSE(CONTROL!$C$15, $D$11, 100%, $F$11)</f>
        <v>16.779900000000001</v>
      </c>
      <c r="I533" s="8">
        <f>15.7217 * CHOOSE(CONTROL!$C$15, $D$11, 100%, $F$11)</f>
        <v>15.7217</v>
      </c>
      <c r="J533" s="4">
        <f>15.6172 * CHOOSE(CONTROL!$C$15, $D$11, 100%, $F$11)</f>
        <v>15.6172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57769</v>
      </c>
      <c r="B534" s="8">
        <f>15.1409 * CHOOSE(CONTROL!$C$15, $D$11, 100%, $F$11)</f>
        <v>15.1409</v>
      </c>
      <c r="C534" s="8">
        <f>15.146 * CHOOSE(CONTROL!$C$15, $D$11, 100%, $F$11)</f>
        <v>15.146000000000001</v>
      </c>
      <c r="D534" s="8">
        <f>15.1197 * CHOOSE( CONTROL!$C$15, $D$11, 100%, $F$11)</f>
        <v>15.1197</v>
      </c>
      <c r="E534" s="12">
        <f>15.1288 * CHOOSE( CONTROL!$C$15, $D$11, 100%, $F$11)</f>
        <v>15.1288</v>
      </c>
      <c r="F534" s="4">
        <f>15.7858 * CHOOSE(CONTROL!$C$15, $D$11, 100%, $F$11)</f>
        <v>15.7858</v>
      </c>
      <c r="G534" s="8">
        <f>14.8625 * CHOOSE( CONTROL!$C$15, $D$11, 100%, $F$11)</f>
        <v>14.862500000000001</v>
      </c>
      <c r="H534" s="4">
        <f>15.7528 * CHOOSE(CONTROL!$C$15, $D$11, 100%, $F$11)</f>
        <v>15.752800000000001</v>
      </c>
      <c r="I534" s="8">
        <f>14.6826 * CHOOSE(CONTROL!$C$15, $D$11, 100%, $F$11)</f>
        <v>14.682600000000001</v>
      </c>
      <c r="J534" s="4">
        <f>14.6076 * CHOOSE(CONTROL!$C$15, $D$11, 100%, $F$11)</f>
        <v>14.6076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57800</v>
      </c>
      <c r="B535" s="8">
        <f>14.8193 * CHOOSE(CONTROL!$C$15, $D$11, 100%, $F$11)</f>
        <v>14.8193</v>
      </c>
      <c r="C535" s="8">
        <f>14.8244 * CHOOSE(CONTROL!$C$15, $D$11, 100%, $F$11)</f>
        <v>14.824400000000001</v>
      </c>
      <c r="D535" s="8">
        <f>14.7984 * CHOOSE( CONTROL!$C$15, $D$11, 100%, $F$11)</f>
        <v>14.798400000000001</v>
      </c>
      <c r="E535" s="12">
        <f>14.8074 * CHOOSE( CONTROL!$C$15, $D$11, 100%, $F$11)</f>
        <v>14.807399999999999</v>
      </c>
      <c r="F535" s="4">
        <f>15.4641 * CHOOSE(CONTROL!$C$15, $D$11, 100%, $F$11)</f>
        <v>15.4641</v>
      </c>
      <c r="G535" s="8">
        <f>14.5464 * CHOOSE( CONTROL!$C$15, $D$11, 100%, $F$11)</f>
        <v>14.5464</v>
      </c>
      <c r="H535" s="4">
        <f>15.4365 * CHOOSE(CONTROL!$C$15, $D$11, 100%, $F$11)</f>
        <v>15.436500000000001</v>
      </c>
      <c r="I535" s="8">
        <f>14.3727 * CHOOSE(CONTROL!$C$15, $D$11, 100%, $F$11)</f>
        <v>14.3727</v>
      </c>
      <c r="J535" s="4">
        <f>14.2966 * CHOOSE(CONTROL!$C$15, $D$11, 100%, $F$11)</f>
        <v>14.2966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57830</v>
      </c>
      <c r="B536" s="8">
        <f>15.0448 * CHOOSE(CONTROL!$C$15, $D$11, 100%, $F$11)</f>
        <v>15.0448</v>
      </c>
      <c r="C536" s="8">
        <f>15.0493 * CHOOSE(CONTROL!$C$15, $D$11, 100%, $F$11)</f>
        <v>15.049300000000001</v>
      </c>
      <c r="D536" s="8">
        <f>15.0565 * CHOOSE( CONTROL!$C$15, $D$11, 100%, $F$11)</f>
        <v>15.0565</v>
      </c>
      <c r="E536" s="12">
        <f>15.0536 * CHOOSE( CONTROL!$C$15, $D$11, 100%, $F$11)</f>
        <v>15.053599999999999</v>
      </c>
      <c r="F536" s="4">
        <f>15.7277 * CHOOSE(CONTROL!$C$15, $D$11, 100%, $F$11)</f>
        <v>15.7277</v>
      </c>
      <c r="G536" s="8">
        <f>14.7627 * CHOOSE( CONTROL!$C$15, $D$11, 100%, $F$11)</f>
        <v>14.762700000000001</v>
      </c>
      <c r="H536" s="4">
        <f>15.6957 * CHOOSE(CONTROL!$C$15, $D$11, 100%, $F$11)</f>
        <v>15.6957</v>
      </c>
      <c r="I536" s="8">
        <f>14.6099 * CHOOSE(CONTROL!$C$15, $D$11, 100%, $F$11)</f>
        <v>14.6099</v>
      </c>
      <c r="J536" s="4">
        <f>14.5139 * CHOOSE(CONTROL!$C$15, $D$11, 100%, $F$11)</f>
        <v>14.5139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1.1791</v>
      </c>
      <c r="Q536" s="9">
        <v>19.053000000000001</v>
      </c>
      <c r="R536" s="9"/>
      <c r="S536" s="11"/>
    </row>
    <row r="537" spans="1:19" ht="15.75">
      <c r="A537" s="13">
        <v>57861</v>
      </c>
      <c r="B537" s="8">
        <f>CHOOSE( CONTROL!$C$32, 15.4494, 15.4462) * CHOOSE(CONTROL!$C$15, $D$11, 100%, $F$11)</f>
        <v>15.449400000000001</v>
      </c>
      <c r="C537" s="8">
        <f>CHOOSE( CONTROL!$C$32, 15.4574, 15.4542) * CHOOSE(CONTROL!$C$15, $D$11, 100%, $F$11)</f>
        <v>15.4574</v>
      </c>
      <c r="D537" s="8">
        <f>CHOOSE( CONTROL!$C$32, 15.4598, 15.4566) * CHOOSE( CONTROL!$C$15, $D$11, 100%, $F$11)</f>
        <v>15.4598</v>
      </c>
      <c r="E537" s="12">
        <f>CHOOSE( CONTROL!$C$32, 15.4577, 15.4545) * CHOOSE( CONTROL!$C$15, $D$11, 100%, $F$11)</f>
        <v>15.457700000000001</v>
      </c>
      <c r="F537" s="4">
        <f>CHOOSE( CONTROL!$C$32, 16.131, 16.1278) * CHOOSE(CONTROL!$C$15, $D$11, 100%, $F$11)</f>
        <v>16.131</v>
      </c>
      <c r="G537" s="8">
        <f>CHOOSE( CONTROL!$C$32, 15.1604, 15.1573) * CHOOSE( CONTROL!$C$15, $D$11, 100%, $F$11)</f>
        <v>15.160399999999999</v>
      </c>
      <c r="H537" s="4">
        <f>CHOOSE( CONTROL!$C$32, 16.0922, 16.0891) * CHOOSE(CONTROL!$C$15, $D$11, 100%, $F$11)</f>
        <v>16.092199999999998</v>
      </c>
      <c r="I537" s="8">
        <f>CHOOSE( CONTROL!$C$32, 15.0015, 14.9984) * CHOOSE(CONTROL!$C$15, $D$11, 100%, $F$11)</f>
        <v>15.0015</v>
      </c>
      <c r="J537" s="4">
        <f>CHOOSE( CONTROL!$C$32, 14.9037, 14.9006) * CHOOSE(CONTROL!$C$15, $D$11, 100%, $F$11)</f>
        <v>14.903700000000001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1.2183999999999999</v>
      </c>
      <c r="Q537" s="9">
        <v>19.688099999999999</v>
      </c>
      <c r="R537" s="9"/>
      <c r="S537" s="11"/>
    </row>
    <row r="538" spans="1:19" ht="15.75">
      <c r="A538" s="13">
        <v>57891</v>
      </c>
      <c r="B538" s="8">
        <f>CHOOSE( CONTROL!$C$32, 15.2016, 15.1984) * CHOOSE(CONTROL!$C$15, $D$11, 100%, $F$11)</f>
        <v>15.201599999999999</v>
      </c>
      <c r="C538" s="8">
        <f>CHOOSE( CONTROL!$C$32, 15.2096, 15.2064) * CHOOSE(CONTROL!$C$15, $D$11, 100%, $F$11)</f>
        <v>15.2096</v>
      </c>
      <c r="D538" s="8">
        <f>CHOOSE( CONTROL!$C$32, 15.2122, 15.209) * CHOOSE( CONTROL!$C$15, $D$11, 100%, $F$11)</f>
        <v>15.212199999999999</v>
      </c>
      <c r="E538" s="12">
        <f>CHOOSE( CONTROL!$C$32, 15.21, 15.2068) * CHOOSE( CONTROL!$C$15, $D$11, 100%, $F$11)</f>
        <v>15.21</v>
      </c>
      <c r="F538" s="4">
        <f>CHOOSE( CONTROL!$C$32, 15.8831, 15.8799) * CHOOSE(CONTROL!$C$15, $D$11, 100%, $F$11)</f>
        <v>15.883100000000001</v>
      </c>
      <c r="G538" s="8">
        <f>CHOOSE( CONTROL!$C$32, 14.9172, 14.914) * CHOOSE( CONTROL!$C$15, $D$11, 100%, $F$11)</f>
        <v>14.917199999999999</v>
      </c>
      <c r="H538" s="4">
        <f>CHOOSE( CONTROL!$C$32, 15.8485, 15.8454) * CHOOSE(CONTROL!$C$15, $D$11, 100%, $F$11)</f>
        <v>15.8485</v>
      </c>
      <c r="I538" s="8">
        <f>CHOOSE( CONTROL!$C$32, 14.7632, 14.7601) * CHOOSE(CONTROL!$C$15, $D$11, 100%, $F$11)</f>
        <v>14.763199999999999</v>
      </c>
      <c r="J538" s="4">
        <f>CHOOSE( CONTROL!$C$32, 14.6641, 14.6611) * CHOOSE(CONTROL!$C$15, $D$11, 100%, $F$11)</f>
        <v>14.664099999999999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1.1791</v>
      </c>
      <c r="Q538" s="9">
        <v>19.053000000000001</v>
      </c>
      <c r="R538" s="9"/>
      <c r="S538" s="11"/>
    </row>
    <row r="539" spans="1:19" ht="15.75">
      <c r="A539" s="13">
        <v>57922</v>
      </c>
      <c r="B539" s="8">
        <f>CHOOSE( CONTROL!$C$32, 15.8542, 15.851) * CHOOSE(CONTROL!$C$15, $D$11, 100%, $F$11)</f>
        <v>15.854200000000001</v>
      </c>
      <c r="C539" s="8">
        <f>CHOOSE( CONTROL!$C$32, 15.8622, 15.859) * CHOOSE(CONTROL!$C$15, $D$11, 100%, $F$11)</f>
        <v>15.8622</v>
      </c>
      <c r="D539" s="8">
        <f>CHOOSE( CONTROL!$C$32, 15.8651, 15.8619) * CHOOSE( CONTROL!$C$15, $D$11, 100%, $F$11)</f>
        <v>15.8651</v>
      </c>
      <c r="E539" s="12">
        <f>CHOOSE( CONTROL!$C$32, 15.8628, 15.8596) * CHOOSE( CONTROL!$C$15, $D$11, 100%, $F$11)</f>
        <v>15.8628</v>
      </c>
      <c r="F539" s="4">
        <f>CHOOSE( CONTROL!$C$32, 16.5357, 16.5325) * CHOOSE(CONTROL!$C$15, $D$11, 100%, $F$11)</f>
        <v>16.535699999999999</v>
      </c>
      <c r="G539" s="8">
        <f>CHOOSE( CONTROL!$C$32, 15.5594, 15.5563) * CHOOSE( CONTROL!$C$15, $D$11, 100%, $F$11)</f>
        <v>15.5594</v>
      </c>
      <c r="H539" s="4">
        <f>CHOOSE( CONTROL!$C$32, 16.4903, 16.4872) * CHOOSE(CONTROL!$C$15, $D$11, 100%, $F$11)</f>
        <v>16.490300000000001</v>
      </c>
      <c r="I539" s="8">
        <f>CHOOSE( CONTROL!$C$32, 15.3958, 15.3927) * CHOOSE(CONTROL!$C$15, $D$11, 100%, $F$11)</f>
        <v>15.395799999999999</v>
      </c>
      <c r="J539" s="4">
        <f>CHOOSE( CONTROL!$C$32, 15.295, 15.2919) * CHOOSE(CONTROL!$C$15, $D$11, 100%, $F$11)</f>
        <v>15.295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57953</v>
      </c>
      <c r="B540" s="8">
        <f>CHOOSE( CONTROL!$C$32, 14.6331, 14.6299) * CHOOSE(CONTROL!$C$15, $D$11, 100%, $F$11)</f>
        <v>14.633100000000001</v>
      </c>
      <c r="C540" s="8">
        <f>CHOOSE( CONTROL!$C$32, 14.6411, 14.6379) * CHOOSE(CONTROL!$C$15, $D$11, 100%, $F$11)</f>
        <v>14.6411</v>
      </c>
      <c r="D540" s="8">
        <f>CHOOSE( CONTROL!$C$32, 14.6442, 14.641) * CHOOSE( CONTROL!$C$15, $D$11, 100%, $F$11)</f>
        <v>14.6442</v>
      </c>
      <c r="E540" s="12">
        <f>CHOOSE( CONTROL!$C$32, 14.6419, 14.6387) * CHOOSE( CONTROL!$C$15, $D$11, 100%, $F$11)</f>
        <v>14.6419</v>
      </c>
      <c r="F540" s="4">
        <f>CHOOSE( CONTROL!$C$32, 15.3147, 15.3115) * CHOOSE(CONTROL!$C$15, $D$11, 100%, $F$11)</f>
        <v>15.3147</v>
      </c>
      <c r="G540" s="8">
        <f>CHOOSE( CONTROL!$C$32, 14.3588, 14.3557) * CHOOSE( CONTROL!$C$15, $D$11, 100%, $F$11)</f>
        <v>14.3588</v>
      </c>
      <c r="H540" s="4">
        <f>CHOOSE( CONTROL!$C$32, 15.2895, 15.2863) * CHOOSE(CONTROL!$C$15, $D$11, 100%, $F$11)</f>
        <v>15.2895</v>
      </c>
      <c r="I540" s="8">
        <f>CHOOSE( CONTROL!$C$32, 14.2156, 14.2125) * CHOOSE(CONTROL!$C$15, $D$11, 100%, $F$11)</f>
        <v>14.2156</v>
      </c>
      <c r="J540" s="4">
        <f>CHOOSE( CONTROL!$C$32, 14.1146, 14.1115) * CHOOSE(CONTROL!$C$15, $D$11, 100%, $F$11)</f>
        <v>14.114599999999999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1.2183999999999999</v>
      </c>
      <c r="Q540" s="9">
        <v>19.688099999999999</v>
      </c>
      <c r="R540" s="9"/>
      <c r="S540" s="11"/>
    </row>
    <row r="541" spans="1:19" ht="15.75">
      <c r="A541" s="13">
        <v>57983</v>
      </c>
      <c r="B541" s="8">
        <f>CHOOSE( CONTROL!$C$32, 14.3273, 14.3241) * CHOOSE(CONTROL!$C$15, $D$11, 100%, $F$11)</f>
        <v>14.327299999999999</v>
      </c>
      <c r="C541" s="8">
        <f>CHOOSE( CONTROL!$C$32, 14.3353, 14.3321) * CHOOSE(CONTROL!$C$15, $D$11, 100%, $F$11)</f>
        <v>14.3353</v>
      </c>
      <c r="D541" s="8">
        <f>CHOOSE( CONTROL!$C$32, 14.3385, 14.3353) * CHOOSE( CONTROL!$C$15, $D$11, 100%, $F$11)</f>
        <v>14.3385</v>
      </c>
      <c r="E541" s="12">
        <f>CHOOSE( CONTROL!$C$32, 14.3361, 14.3329) * CHOOSE( CONTROL!$C$15, $D$11, 100%, $F$11)</f>
        <v>14.3361</v>
      </c>
      <c r="F541" s="4">
        <f>CHOOSE( CONTROL!$C$32, 15.0089, 15.0057) * CHOOSE(CONTROL!$C$15, $D$11, 100%, $F$11)</f>
        <v>15.008900000000001</v>
      </c>
      <c r="G541" s="8">
        <f>CHOOSE( CONTROL!$C$32, 14.0582, 14.055) * CHOOSE( CONTROL!$C$15, $D$11, 100%, $F$11)</f>
        <v>14.058199999999999</v>
      </c>
      <c r="H541" s="4">
        <f>CHOOSE( CONTROL!$C$32, 14.9888, 14.9856) * CHOOSE(CONTROL!$C$15, $D$11, 100%, $F$11)</f>
        <v>14.988799999999999</v>
      </c>
      <c r="I541" s="8">
        <f>CHOOSE( CONTROL!$C$32, 13.92, 13.9169) * CHOOSE(CONTROL!$C$15, $D$11, 100%, $F$11)</f>
        <v>13.92</v>
      </c>
      <c r="J541" s="4">
        <f>CHOOSE( CONTROL!$C$32, 13.819, 13.8159) * CHOOSE(CONTROL!$C$15, $D$11, 100%, $F$11)</f>
        <v>13.819000000000001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1.1791</v>
      </c>
      <c r="Q541" s="9">
        <v>19.053000000000001</v>
      </c>
      <c r="R541" s="9"/>
      <c r="S541" s="11"/>
    </row>
    <row r="542" spans="1:19" ht="15.75">
      <c r="A542" s="13">
        <v>58014</v>
      </c>
      <c r="B542" s="8">
        <f>14.9573 * CHOOSE(CONTROL!$C$15, $D$11, 100%, $F$11)</f>
        <v>14.9573</v>
      </c>
      <c r="C542" s="8">
        <f>14.9627 * CHOOSE(CONTROL!$C$15, $D$11, 100%, $F$11)</f>
        <v>14.9627</v>
      </c>
      <c r="D542" s="8">
        <f>14.9706 * CHOOSE( CONTROL!$C$15, $D$11, 100%, $F$11)</f>
        <v>14.970599999999999</v>
      </c>
      <c r="E542" s="12">
        <f>14.9674 * CHOOSE( CONTROL!$C$15, $D$11, 100%, $F$11)</f>
        <v>14.9674</v>
      </c>
      <c r="F542" s="4">
        <f>15.6406 * CHOOSE(CONTROL!$C$15, $D$11, 100%, $F$11)</f>
        <v>15.640599999999999</v>
      </c>
      <c r="G542" s="8">
        <f>14.6789 * CHOOSE( CONTROL!$C$15, $D$11, 100%, $F$11)</f>
        <v>14.678900000000001</v>
      </c>
      <c r="H542" s="4">
        <f>15.61 * CHOOSE(CONTROL!$C$15, $D$11, 100%, $F$11)</f>
        <v>15.61</v>
      </c>
      <c r="I542" s="8">
        <f>14.5316 * CHOOSE(CONTROL!$C$15, $D$11, 100%, $F$11)</f>
        <v>14.531599999999999</v>
      </c>
      <c r="J542" s="4">
        <f>14.4297 * CHOOSE(CONTROL!$C$15, $D$11, 100%, $F$11)</f>
        <v>14.4297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1.2183999999999999</v>
      </c>
      <c r="Q542" s="9">
        <v>19.688099999999999</v>
      </c>
      <c r="R542" s="9"/>
      <c r="S542" s="11"/>
    </row>
    <row r="543" spans="1:19" ht="15.75">
      <c r="A543" s="13">
        <v>58044</v>
      </c>
      <c r="B543" s="8">
        <f>16.1288 * CHOOSE(CONTROL!$C$15, $D$11, 100%, $F$11)</f>
        <v>16.128799999999998</v>
      </c>
      <c r="C543" s="8">
        <f>16.1339 * CHOOSE(CONTROL!$C$15, $D$11, 100%, $F$11)</f>
        <v>16.133900000000001</v>
      </c>
      <c r="D543" s="8">
        <f>16.1114 * CHOOSE( CONTROL!$C$15, $D$11, 100%, $F$11)</f>
        <v>16.1114</v>
      </c>
      <c r="E543" s="12">
        <f>16.1191 * CHOOSE( CONTROL!$C$15, $D$11, 100%, $F$11)</f>
        <v>16.1191</v>
      </c>
      <c r="F543" s="4">
        <f>16.7737 * CHOOSE(CONTROL!$C$15, $D$11, 100%, $F$11)</f>
        <v>16.773700000000002</v>
      </c>
      <c r="G543" s="8">
        <f>15.8439 * CHOOSE( CONTROL!$C$15, $D$11, 100%, $F$11)</f>
        <v>15.8439</v>
      </c>
      <c r="H543" s="4">
        <f>16.7243 * CHOOSE(CONTROL!$C$15, $D$11, 100%, $F$11)</f>
        <v>16.724299999999999</v>
      </c>
      <c r="I543" s="8">
        <f>15.6906 * CHOOSE(CONTROL!$C$15, $D$11, 100%, $F$11)</f>
        <v>15.6906</v>
      </c>
      <c r="J543" s="4">
        <f>15.5625 * CHOOSE(CONTROL!$C$15, $D$11, 100%, $F$11)</f>
        <v>15.5625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58075</v>
      </c>
      <c r="B544" s="8">
        <f>16.0995 * CHOOSE(CONTROL!$C$15, $D$11, 100%, $F$11)</f>
        <v>16.099499999999999</v>
      </c>
      <c r="C544" s="8">
        <f>16.1046 * CHOOSE(CONTROL!$C$15, $D$11, 100%, $F$11)</f>
        <v>16.104600000000001</v>
      </c>
      <c r="D544" s="8">
        <f>16.0836 * CHOOSE( CONTROL!$C$15, $D$11, 100%, $F$11)</f>
        <v>16.083600000000001</v>
      </c>
      <c r="E544" s="12">
        <f>16.0907 * CHOOSE( CONTROL!$C$15, $D$11, 100%, $F$11)</f>
        <v>16.090699999999998</v>
      </c>
      <c r="F544" s="4">
        <f>16.7444 * CHOOSE(CONTROL!$C$15, $D$11, 100%, $F$11)</f>
        <v>16.744399999999999</v>
      </c>
      <c r="G544" s="8">
        <f>15.8162 * CHOOSE( CONTROL!$C$15, $D$11, 100%, $F$11)</f>
        <v>15.8162</v>
      </c>
      <c r="H544" s="4">
        <f>16.6955 * CHOOSE(CONTROL!$C$15, $D$11, 100%, $F$11)</f>
        <v>16.695499999999999</v>
      </c>
      <c r="I544" s="8">
        <f>15.6669 * CHOOSE(CONTROL!$C$15, $D$11, 100%, $F$11)</f>
        <v>15.6669</v>
      </c>
      <c r="J544" s="4">
        <f>15.5342 * CHOOSE(CONTROL!$C$15, $D$11, 100%, $F$11)</f>
        <v>15.5342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58106</v>
      </c>
      <c r="B545" s="8">
        <f>16.7137 * CHOOSE(CONTROL!$C$15, $D$11, 100%, $F$11)</f>
        <v>16.713699999999999</v>
      </c>
      <c r="C545" s="8">
        <f>16.7188 * CHOOSE(CONTROL!$C$15, $D$11, 100%, $F$11)</f>
        <v>16.718800000000002</v>
      </c>
      <c r="D545" s="8">
        <f>16.6968 * CHOOSE( CONTROL!$C$15, $D$11, 100%, $F$11)</f>
        <v>16.6968</v>
      </c>
      <c r="E545" s="12">
        <f>16.7043 * CHOOSE( CONTROL!$C$15, $D$11, 100%, $F$11)</f>
        <v>16.7043</v>
      </c>
      <c r="F545" s="4">
        <f>17.3585 * CHOOSE(CONTROL!$C$15, $D$11, 100%, $F$11)</f>
        <v>17.358499999999999</v>
      </c>
      <c r="G545" s="8">
        <f>16.4176 * CHOOSE( CONTROL!$C$15, $D$11, 100%, $F$11)</f>
        <v>16.4176</v>
      </c>
      <c r="H545" s="4">
        <f>17.2995 * CHOOSE(CONTROL!$C$15, $D$11, 100%, $F$11)</f>
        <v>17.299499999999998</v>
      </c>
      <c r="I545" s="8">
        <f>16.2327 * CHOOSE(CONTROL!$C$15, $D$11, 100%, $F$11)</f>
        <v>16.232700000000001</v>
      </c>
      <c r="J545" s="4">
        <f>16.1279 * CHOOSE(CONTROL!$C$15, $D$11, 100%, $F$11)</f>
        <v>16.1279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58134</v>
      </c>
      <c r="B546" s="8">
        <f>15.6351 * CHOOSE(CONTROL!$C$15, $D$11, 100%, $F$11)</f>
        <v>15.6351</v>
      </c>
      <c r="C546" s="8">
        <f>15.6402 * CHOOSE(CONTROL!$C$15, $D$11, 100%, $F$11)</f>
        <v>15.6402</v>
      </c>
      <c r="D546" s="8">
        <f>15.6138 * CHOOSE( CONTROL!$C$15, $D$11, 100%, $F$11)</f>
        <v>15.613799999999999</v>
      </c>
      <c r="E546" s="12">
        <f>15.6229 * CHOOSE( CONTROL!$C$15, $D$11, 100%, $F$11)</f>
        <v>15.6229</v>
      </c>
      <c r="F546" s="4">
        <f>16.28 * CHOOSE(CONTROL!$C$15, $D$11, 100%, $F$11)</f>
        <v>16.28</v>
      </c>
      <c r="G546" s="8">
        <f>15.3484 * CHOOSE( CONTROL!$C$15, $D$11, 100%, $F$11)</f>
        <v>15.3484</v>
      </c>
      <c r="H546" s="4">
        <f>16.2388 * CHOOSE(CONTROL!$C$15, $D$11, 100%, $F$11)</f>
        <v>16.238800000000001</v>
      </c>
      <c r="I546" s="8">
        <f>15.1605 * CHOOSE(CONTROL!$C$15, $D$11, 100%, $F$11)</f>
        <v>15.160500000000001</v>
      </c>
      <c r="J546" s="4">
        <f>15.0853 * CHOOSE(CONTROL!$C$15, $D$11, 100%, $F$11)</f>
        <v>15.0853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58165</v>
      </c>
      <c r="B547" s="8">
        <f>15.3029 * CHOOSE(CONTROL!$C$15, $D$11, 100%, $F$11)</f>
        <v>15.302899999999999</v>
      </c>
      <c r="C547" s="8">
        <f>15.308 * CHOOSE(CONTROL!$C$15, $D$11, 100%, $F$11)</f>
        <v>15.308</v>
      </c>
      <c r="D547" s="8">
        <f>15.282 * CHOOSE( CONTROL!$C$15, $D$11, 100%, $F$11)</f>
        <v>15.282</v>
      </c>
      <c r="E547" s="12">
        <f>15.291 * CHOOSE( CONTROL!$C$15, $D$11, 100%, $F$11)</f>
        <v>15.291</v>
      </c>
      <c r="F547" s="4">
        <f>15.9478 * CHOOSE(CONTROL!$C$15, $D$11, 100%, $F$11)</f>
        <v>15.947800000000001</v>
      </c>
      <c r="G547" s="8">
        <f>15.022 * CHOOSE( CONTROL!$C$15, $D$11, 100%, $F$11)</f>
        <v>15.022</v>
      </c>
      <c r="H547" s="4">
        <f>15.9121 * CHOOSE(CONTROL!$C$15, $D$11, 100%, $F$11)</f>
        <v>15.912100000000001</v>
      </c>
      <c r="I547" s="8">
        <f>14.8404 * CHOOSE(CONTROL!$C$15, $D$11, 100%, $F$11)</f>
        <v>14.840400000000001</v>
      </c>
      <c r="J547" s="4">
        <f>14.7641 * CHOOSE(CONTROL!$C$15, $D$11, 100%, $F$11)</f>
        <v>14.764099999999999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58195</v>
      </c>
      <c r="B548" s="8">
        <f>15.5358 * CHOOSE(CONTROL!$C$15, $D$11, 100%, $F$11)</f>
        <v>15.5358</v>
      </c>
      <c r="C548" s="8">
        <f>15.5403 * CHOOSE(CONTROL!$C$15, $D$11, 100%, $F$11)</f>
        <v>15.5403</v>
      </c>
      <c r="D548" s="8">
        <f>15.5475 * CHOOSE( CONTROL!$C$15, $D$11, 100%, $F$11)</f>
        <v>15.547499999999999</v>
      </c>
      <c r="E548" s="12">
        <f>15.5446 * CHOOSE( CONTROL!$C$15, $D$11, 100%, $F$11)</f>
        <v>15.544600000000001</v>
      </c>
      <c r="F548" s="4">
        <f>16.2187 * CHOOSE(CONTROL!$C$15, $D$11, 100%, $F$11)</f>
        <v>16.218699999999998</v>
      </c>
      <c r="G548" s="8">
        <f>15.2456 * CHOOSE( CONTROL!$C$15, $D$11, 100%, $F$11)</f>
        <v>15.2456</v>
      </c>
      <c r="H548" s="4">
        <f>16.1785 * CHOOSE(CONTROL!$C$15, $D$11, 100%, $F$11)</f>
        <v>16.1785</v>
      </c>
      <c r="I548" s="8">
        <f>15.0848 * CHOOSE(CONTROL!$C$15, $D$11, 100%, $F$11)</f>
        <v>15.0848</v>
      </c>
      <c r="J548" s="4">
        <f>14.9885 * CHOOSE(CONTROL!$C$15, $D$11, 100%, $F$11)</f>
        <v>14.9885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1.1791</v>
      </c>
      <c r="Q548" s="9">
        <v>19.053000000000001</v>
      </c>
      <c r="R548" s="9"/>
      <c r="S548" s="11"/>
    </row>
    <row r="549" spans="1:19" ht="15.75">
      <c r="A549" s="13">
        <v>58226</v>
      </c>
      <c r="B549" s="8">
        <f>CHOOSE( CONTROL!$C$32, 15.9535, 15.9503) * CHOOSE(CONTROL!$C$15, $D$11, 100%, $F$11)</f>
        <v>15.9535</v>
      </c>
      <c r="C549" s="8">
        <f>CHOOSE( CONTROL!$C$32, 15.9615, 15.9583) * CHOOSE(CONTROL!$C$15, $D$11, 100%, $F$11)</f>
        <v>15.961499999999999</v>
      </c>
      <c r="D549" s="8">
        <f>CHOOSE( CONTROL!$C$32, 15.9638, 15.9606) * CHOOSE( CONTROL!$C$15, $D$11, 100%, $F$11)</f>
        <v>15.963800000000001</v>
      </c>
      <c r="E549" s="12">
        <f>CHOOSE( CONTROL!$C$32, 15.9617, 15.9585) * CHOOSE( CONTROL!$C$15, $D$11, 100%, $F$11)</f>
        <v>15.9617</v>
      </c>
      <c r="F549" s="4">
        <f>CHOOSE( CONTROL!$C$32, 16.635, 16.6319) * CHOOSE(CONTROL!$C$15, $D$11, 100%, $F$11)</f>
        <v>16.635000000000002</v>
      </c>
      <c r="G549" s="8">
        <f>CHOOSE( CONTROL!$C$32, 15.6562, 15.653) * CHOOSE( CONTROL!$C$15, $D$11, 100%, $F$11)</f>
        <v>15.6562</v>
      </c>
      <c r="H549" s="4">
        <f>CHOOSE( CONTROL!$C$32, 16.588, 16.5848) * CHOOSE(CONTROL!$C$15, $D$11, 100%, $F$11)</f>
        <v>16.588000000000001</v>
      </c>
      <c r="I549" s="8">
        <f>CHOOSE( CONTROL!$C$32, 15.489, 15.4859) * CHOOSE(CONTROL!$C$15, $D$11, 100%, $F$11)</f>
        <v>15.489000000000001</v>
      </c>
      <c r="J549" s="4">
        <f>CHOOSE( CONTROL!$C$32, 15.391, 15.3879) * CHOOSE(CONTROL!$C$15, $D$11, 100%, $F$11)</f>
        <v>15.391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1.2183999999999999</v>
      </c>
      <c r="Q549" s="9">
        <v>19.688099999999999</v>
      </c>
      <c r="R549" s="9"/>
      <c r="S549" s="11"/>
    </row>
    <row r="550" spans="1:19" ht="15.75">
      <c r="A550" s="13">
        <v>58256</v>
      </c>
      <c r="B550" s="8">
        <f>CHOOSE( CONTROL!$C$32, 15.6976, 15.6944) * CHOOSE(CONTROL!$C$15, $D$11, 100%, $F$11)</f>
        <v>15.6976</v>
      </c>
      <c r="C550" s="8">
        <f>CHOOSE( CONTROL!$C$32, 15.7056, 15.7024) * CHOOSE(CONTROL!$C$15, $D$11, 100%, $F$11)</f>
        <v>15.7056</v>
      </c>
      <c r="D550" s="8">
        <f>CHOOSE( CONTROL!$C$32, 15.7082, 15.705) * CHOOSE( CONTROL!$C$15, $D$11, 100%, $F$11)</f>
        <v>15.7082</v>
      </c>
      <c r="E550" s="12">
        <f>CHOOSE( CONTROL!$C$32, 15.706, 15.7028) * CHOOSE( CONTROL!$C$15, $D$11, 100%, $F$11)</f>
        <v>15.706</v>
      </c>
      <c r="F550" s="4">
        <f>CHOOSE( CONTROL!$C$32, 16.3791, 16.3759) * CHOOSE(CONTROL!$C$15, $D$11, 100%, $F$11)</f>
        <v>16.379100000000001</v>
      </c>
      <c r="G550" s="8">
        <f>CHOOSE( CONTROL!$C$32, 15.4049, 15.4018) * CHOOSE( CONTROL!$C$15, $D$11, 100%, $F$11)</f>
        <v>15.4049</v>
      </c>
      <c r="H550" s="4">
        <f>CHOOSE( CONTROL!$C$32, 16.3363, 16.3331) * CHOOSE(CONTROL!$C$15, $D$11, 100%, $F$11)</f>
        <v>16.336300000000001</v>
      </c>
      <c r="I550" s="8">
        <f>CHOOSE( CONTROL!$C$32, 15.2429, 15.2398) * CHOOSE(CONTROL!$C$15, $D$11, 100%, $F$11)</f>
        <v>15.242900000000001</v>
      </c>
      <c r="J550" s="4">
        <f>CHOOSE( CONTROL!$C$32, 15.1436, 15.1405) * CHOOSE(CONTROL!$C$15, $D$11, 100%, $F$11)</f>
        <v>15.143599999999999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1.1791</v>
      </c>
      <c r="Q550" s="9">
        <v>19.053000000000001</v>
      </c>
      <c r="R550" s="9"/>
      <c r="S550" s="11"/>
    </row>
    <row r="551" spans="1:19" ht="15.75">
      <c r="A551" s="13">
        <v>58287</v>
      </c>
      <c r="B551" s="8">
        <f>CHOOSE( CONTROL!$C$32, 16.3715, 16.3683) * CHOOSE(CONTROL!$C$15, $D$11, 100%, $F$11)</f>
        <v>16.371500000000001</v>
      </c>
      <c r="C551" s="8">
        <f>CHOOSE( CONTROL!$C$32, 16.3795, 16.3763) * CHOOSE(CONTROL!$C$15, $D$11, 100%, $F$11)</f>
        <v>16.3795</v>
      </c>
      <c r="D551" s="8">
        <f>CHOOSE( CONTROL!$C$32, 16.3825, 16.3793) * CHOOSE( CONTROL!$C$15, $D$11, 100%, $F$11)</f>
        <v>16.3825</v>
      </c>
      <c r="E551" s="12">
        <f>CHOOSE( CONTROL!$C$32, 16.3802, 16.377) * CHOOSE( CONTROL!$C$15, $D$11, 100%, $F$11)</f>
        <v>16.380199999999999</v>
      </c>
      <c r="F551" s="4">
        <f>CHOOSE( CONTROL!$C$32, 17.0531, 17.0499) * CHOOSE(CONTROL!$C$15, $D$11, 100%, $F$11)</f>
        <v>17.053100000000001</v>
      </c>
      <c r="G551" s="8">
        <f>CHOOSE( CONTROL!$C$32, 16.0682, 16.065) * CHOOSE( CONTROL!$C$15, $D$11, 100%, $F$11)</f>
        <v>16.068200000000001</v>
      </c>
      <c r="H551" s="4">
        <f>CHOOSE( CONTROL!$C$32, 16.9991, 16.9959) * CHOOSE(CONTROL!$C$15, $D$11, 100%, $F$11)</f>
        <v>16.999099999999999</v>
      </c>
      <c r="I551" s="8">
        <f>CHOOSE( CONTROL!$C$32, 15.8962, 15.8931) * CHOOSE(CONTROL!$C$15, $D$11, 100%, $F$11)</f>
        <v>15.8962</v>
      </c>
      <c r="J551" s="4">
        <f>CHOOSE( CONTROL!$C$32, 15.7951, 15.792) * CHOOSE(CONTROL!$C$15, $D$11, 100%, $F$11)</f>
        <v>15.7951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58318</v>
      </c>
      <c r="B552" s="8">
        <f>CHOOSE( CONTROL!$C$32, 15.1105, 15.1073) * CHOOSE(CONTROL!$C$15, $D$11, 100%, $F$11)</f>
        <v>15.1105</v>
      </c>
      <c r="C552" s="8">
        <f>CHOOSE( CONTROL!$C$32, 15.1185, 15.1153) * CHOOSE(CONTROL!$C$15, $D$11, 100%, $F$11)</f>
        <v>15.118499999999999</v>
      </c>
      <c r="D552" s="8">
        <f>CHOOSE( CONTROL!$C$32, 15.1216, 15.1184) * CHOOSE( CONTROL!$C$15, $D$11, 100%, $F$11)</f>
        <v>15.121600000000001</v>
      </c>
      <c r="E552" s="12">
        <f>CHOOSE( CONTROL!$C$32, 15.1193, 15.1161) * CHOOSE( CONTROL!$C$15, $D$11, 100%, $F$11)</f>
        <v>15.119300000000001</v>
      </c>
      <c r="F552" s="4">
        <f>CHOOSE( CONTROL!$C$32, 15.792, 15.7888) * CHOOSE(CONTROL!$C$15, $D$11, 100%, $F$11)</f>
        <v>15.792</v>
      </c>
      <c r="G552" s="8">
        <f>CHOOSE( CONTROL!$C$32, 14.8283, 14.8251) * CHOOSE( CONTROL!$C$15, $D$11, 100%, $F$11)</f>
        <v>14.8283</v>
      </c>
      <c r="H552" s="4">
        <f>CHOOSE( CONTROL!$C$32, 15.759, 15.7558) * CHOOSE(CONTROL!$C$15, $D$11, 100%, $F$11)</f>
        <v>15.759</v>
      </c>
      <c r="I552" s="8">
        <f>CHOOSE( CONTROL!$C$32, 14.6773, 14.6742) * CHOOSE(CONTROL!$C$15, $D$11, 100%, $F$11)</f>
        <v>14.677300000000001</v>
      </c>
      <c r="J552" s="4">
        <f>CHOOSE( CONTROL!$C$32, 14.5761, 14.573) * CHOOSE(CONTROL!$C$15, $D$11, 100%, $F$11)</f>
        <v>14.5761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1.2183999999999999</v>
      </c>
      <c r="Q552" s="9">
        <v>19.688099999999999</v>
      </c>
      <c r="R552" s="9"/>
      <c r="S552" s="11"/>
    </row>
    <row r="553" spans="1:19" ht="15.75">
      <c r="A553" s="13">
        <v>58348</v>
      </c>
      <c r="B553" s="8">
        <f>CHOOSE( CONTROL!$C$32, 14.7947, 14.7915) * CHOOSE(CONTROL!$C$15, $D$11, 100%, $F$11)</f>
        <v>14.794700000000001</v>
      </c>
      <c r="C553" s="8">
        <f>CHOOSE( CONTROL!$C$32, 14.8027, 14.7995) * CHOOSE(CONTROL!$C$15, $D$11, 100%, $F$11)</f>
        <v>14.8027</v>
      </c>
      <c r="D553" s="8">
        <f>CHOOSE( CONTROL!$C$32, 14.8059, 14.8027) * CHOOSE( CONTROL!$C$15, $D$11, 100%, $F$11)</f>
        <v>14.805899999999999</v>
      </c>
      <c r="E553" s="12">
        <f>CHOOSE( CONTROL!$C$32, 14.8035, 14.8003) * CHOOSE( CONTROL!$C$15, $D$11, 100%, $F$11)</f>
        <v>14.8035</v>
      </c>
      <c r="F553" s="4">
        <f>CHOOSE( CONTROL!$C$32, 15.4763, 15.4731) * CHOOSE(CONTROL!$C$15, $D$11, 100%, $F$11)</f>
        <v>15.4763</v>
      </c>
      <c r="G553" s="8">
        <f>CHOOSE( CONTROL!$C$32, 14.5178, 14.5147) * CHOOSE( CONTROL!$C$15, $D$11, 100%, $F$11)</f>
        <v>14.517799999999999</v>
      </c>
      <c r="H553" s="4">
        <f>CHOOSE( CONTROL!$C$32, 15.4484, 15.4453) * CHOOSE(CONTROL!$C$15, $D$11, 100%, $F$11)</f>
        <v>15.448399999999999</v>
      </c>
      <c r="I553" s="8">
        <f>CHOOSE( CONTROL!$C$32, 14.372, 14.3689) * CHOOSE(CONTROL!$C$15, $D$11, 100%, $F$11)</f>
        <v>14.372</v>
      </c>
      <c r="J553" s="4">
        <f>CHOOSE( CONTROL!$C$32, 14.2708, 14.2677) * CHOOSE(CONTROL!$C$15, $D$11, 100%, $F$11)</f>
        <v>14.270799999999999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1.1791</v>
      </c>
      <c r="Q553" s="9">
        <v>19.053000000000001</v>
      </c>
      <c r="R553" s="9"/>
      <c r="S553" s="11"/>
    </row>
    <row r="554" spans="1:19" ht="15.75">
      <c r="A554" s="13">
        <v>58379</v>
      </c>
      <c r="B554" s="8">
        <f>15.4455 * CHOOSE(CONTROL!$C$15, $D$11, 100%, $F$11)</f>
        <v>15.445499999999999</v>
      </c>
      <c r="C554" s="8">
        <f>15.4508 * CHOOSE(CONTROL!$C$15, $D$11, 100%, $F$11)</f>
        <v>15.450799999999999</v>
      </c>
      <c r="D554" s="8">
        <f>15.4587 * CHOOSE( CONTROL!$C$15, $D$11, 100%, $F$11)</f>
        <v>15.4587</v>
      </c>
      <c r="E554" s="12">
        <f>15.4555 * CHOOSE( CONTROL!$C$15, $D$11, 100%, $F$11)</f>
        <v>15.455500000000001</v>
      </c>
      <c r="F554" s="4">
        <f>16.1287 * CHOOSE(CONTROL!$C$15, $D$11, 100%, $F$11)</f>
        <v>16.128699999999998</v>
      </c>
      <c r="G554" s="8">
        <f>15.159 * CHOOSE( CONTROL!$C$15, $D$11, 100%, $F$11)</f>
        <v>15.159000000000001</v>
      </c>
      <c r="H554" s="4">
        <f>16.0901 * CHOOSE(CONTROL!$C$15, $D$11, 100%, $F$11)</f>
        <v>16.0901</v>
      </c>
      <c r="I554" s="8">
        <f>15.0037 * CHOOSE(CONTROL!$C$15, $D$11, 100%, $F$11)</f>
        <v>15.0037</v>
      </c>
      <c r="J554" s="4">
        <f>14.9016 * CHOOSE(CONTROL!$C$15, $D$11, 100%, $F$11)</f>
        <v>14.9016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1.2183999999999999</v>
      </c>
      <c r="Q554" s="9">
        <v>19.688099999999999</v>
      </c>
      <c r="R554" s="9"/>
      <c r="S554" s="11"/>
    </row>
    <row r="555" spans="1:19" ht="15.75">
      <c r="A555" s="13">
        <v>58409</v>
      </c>
      <c r="B555" s="8">
        <f>16.6553 * CHOOSE(CONTROL!$C$15, $D$11, 100%, $F$11)</f>
        <v>16.6553</v>
      </c>
      <c r="C555" s="8">
        <f>16.6604 * CHOOSE(CONTROL!$C$15, $D$11, 100%, $F$11)</f>
        <v>16.660399999999999</v>
      </c>
      <c r="D555" s="8">
        <f>16.6379 * CHOOSE( CONTROL!$C$15, $D$11, 100%, $F$11)</f>
        <v>16.637899999999998</v>
      </c>
      <c r="E555" s="12">
        <f>16.6456 * CHOOSE( CONTROL!$C$15, $D$11, 100%, $F$11)</f>
        <v>16.645600000000002</v>
      </c>
      <c r="F555" s="4">
        <f>17.3001 * CHOOSE(CONTROL!$C$15, $D$11, 100%, $F$11)</f>
        <v>17.3001</v>
      </c>
      <c r="G555" s="8">
        <f>16.3617 * CHOOSE( CONTROL!$C$15, $D$11, 100%, $F$11)</f>
        <v>16.361699999999999</v>
      </c>
      <c r="H555" s="4">
        <f>17.242 * CHOOSE(CONTROL!$C$15, $D$11, 100%, $F$11)</f>
        <v>17.242000000000001</v>
      </c>
      <c r="I555" s="8">
        <f>16.1998 * CHOOSE(CONTROL!$C$15, $D$11, 100%, $F$11)</f>
        <v>16.1998</v>
      </c>
      <c r="J555" s="4">
        <f>16.0715 * CHOOSE(CONTROL!$C$15, $D$11, 100%, $F$11)</f>
        <v>16.0715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58440</v>
      </c>
      <c r="B556" s="8">
        <f>16.625 * CHOOSE(CONTROL!$C$15, $D$11, 100%, $F$11)</f>
        <v>16.625</v>
      </c>
      <c r="C556" s="8">
        <f>16.6301 * CHOOSE(CONTROL!$C$15, $D$11, 100%, $F$11)</f>
        <v>16.630099999999999</v>
      </c>
      <c r="D556" s="8">
        <f>16.6091 * CHOOSE( CONTROL!$C$15, $D$11, 100%, $F$11)</f>
        <v>16.609100000000002</v>
      </c>
      <c r="E556" s="12">
        <f>16.6162 * CHOOSE( CONTROL!$C$15, $D$11, 100%, $F$11)</f>
        <v>16.616199999999999</v>
      </c>
      <c r="F556" s="4">
        <f>17.2699 * CHOOSE(CONTROL!$C$15, $D$11, 100%, $F$11)</f>
        <v>17.2699</v>
      </c>
      <c r="G556" s="8">
        <f>16.333 * CHOOSE( CONTROL!$C$15, $D$11, 100%, $F$11)</f>
        <v>16.332999999999998</v>
      </c>
      <c r="H556" s="4">
        <f>17.2123 * CHOOSE(CONTROL!$C$15, $D$11, 100%, $F$11)</f>
        <v>17.212299999999999</v>
      </c>
      <c r="I556" s="8">
        <f>16.1752 * CHOOSE(CONTROL!$C$15, $D$11, 100%, $F$11)</f>
        <v>16.1752</v>
      </c>
      <c r="J556" s="4">
        <f>16.0422 * CHOOSE(CONTROL!$C$15, $D$11, 100%, $F$11)</f>
        <v>16.042200000000001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58471</v>
      </c>
      <c r="B557" s="8">
        <f>17.2593 * CHOOSE(CONTROL!$C$15, $D$11, 100%, $F$11)</f>
        <v>17.2593</v>
      </c>
      <c r="C557" s="8">
        <f>17.2644 * CHOOSE(CONTROL!$C$15, $D$11, 100%, $F$11)</f>
        <v>17.264399999999998</v>
      </c>
      <c r="D557" s="8">
        <f>17.2424 * CHOOSE( CONTROL!$C$15, $D$11, 100%, $F$11)</f>
        <v>17.2424</v>
      </c>
      <c r="E557" s="12">
        <f>17.2499 * CHOOSE( CONTROL!$C$15, $D$11, 100%, $F$11)</f>
        <v>17.2499</v>
      </c>
      <c r="F557" s="4">
        <f>17.9042 * CHOOSE(CONTROL!$C$15, $D$11, 100%, $F$11)</f>
        <v>17.904199999999999</v>
      </c>
      <c r="G557" s="8">
        <f>16.9542 * CHOOSE( CONTROL!$C$15, $D$11, 100%, $F$11)</f>
        <v>16.9542</v>
      </c>
      <c r="H557" s="4">
        <f>17.836 * CHOOSE(CONTROL!$C$15, $D$11, 100%, $F$11)</f>
        <v>17.835999999999999</v>
      </c>
      <c r="I557" s="8">
        <f>16.7604 * CHOOSE(CONTROL!$C$15, $D$11, 100%, $F$11)</f>
        <v>16.760400000000001</v>
      </c>
      <c r="J557" s="4">
        <f>16.6554 * CHOOSE(CONTROL!$C$15, $D$11, 100%, $F$11)</f>
        <v>16.6554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58499</v>
      </c>
      <c r="B558" s="8">
        <f>16.1454 * CHOOSE(CONTROL!$C$15, $D$11, 100%, $F$11)</f>
        <v>16.145399999999999</v>
      </c>
      <c r="C558" s="8">
        <f>16.1506 * CHOOSE(CONTROL!$C$15, $D$11, 100%, $F$11)</f>
        <v>16.150600000000001</v>
      </c>
      <c r="D558" s="8">
        <f>16.1242 * CHOOSE( CONTROL!$C$15, $D$11, 100%, $F$11)</f>
        <v>16.124199999999998</v>
      </c>
      <c r="E558" s="12">
        <f>16.1333 * CHOOSE( CONTROL!$C$15, $D$11, 100%, $F$11)</f>
        <v>16.133299999999998</v>
      </c>
      <c r="F558" s="4">
        <f>16.7903 * CHOOSE(CONTROL!$C$15, $D$11, 100%, $F$11)</f>
        <v>16.790299999999998</v>
      </c>
      <c r="G558" s="8">
        <f>15.8503 * CHOOSE( CONTROL!$C$15, $D$11, 100%, $F$11)</f>
        <v>15.850300000000001</v>
      </c>
      <c r="H558" s="4">
        <f>16.7407 * CHOOSE(CONTROL!$C$15, $D$11, 100%, $F$11)</f>
        <v>16.7407</v>
      </c>
      <c r="I558" s="8">
        <f>15.6541 * CHOOSE(CONTROL!$C$15, $D$11, 100%, $F$11)</f>
        <v>15.6541</v>
      </c>
      <c r="J558" s="4">
        <f>15.5786 * CHOOSE(CONTROL!$C$15, $D$11, 100%, $F$11)</f>
        <v>15.5786</v>
      </c>
      <c r="K558" s="4"/>
      <c r="L558" s="9">
        <v>27.415299999999998</v>
      </c>
      <c r="M558" s="9">
        <v>11.285299999999999</v>
      </c>
      <c r="N558" s="9">
        <v>4.6254999999999997</v>
      </c>
      <c r="O558" s="9">
        <v>0.34989999999999999</v>
      </c>
      <c r="P558" s="9">
        <v>1.2093</v>
      </c>
      <c r="Q558" s="9">
        <v>18.417899999999999</v>
      </c>
      <c r="R558" s="9"/>
      <c r="S558" s="11"/>
    </row>
    <row r="559" spans="1:19" ht="15.75">
      <c r="A559" s="13">
        <v>58531</v>
      </c>
      <c r="B559" s="8">
        <f>15.8024 * CHOOSE(CONTROL!$C$15, $D$11, 100%, $F$11)</f>
        <v>15.8024</v>
      </c>
      <c r="C559" s="8">
        <f>15.8075 * CHOOSE(CONTROL!$C$15, $D$11, 100%, $F$11)</f>
        <v>15.807499999999999</v>
      </c>
      <c r="D559" s="8">
        <f>15.7815 * CHOOSE( CONTROL!$C$15, $D$11, 100%, $F$11)</f>
        <v>15.781499999999999</v>
      </c>
      <c r="E559" s="12">
        <f>15.7905 * CHOOSE( CONTROL!$C$15, $D$11, 100%, $F$11)</f>
        <v>15.7905</v>
      </c>
      <c r="F559" s="4">
        <f>16.4473 * CHOOSE(CONTROL!$C$15, $D$11, 100%, $F$11)</f>
        <v>16.447299999999998</v>
      </c>
      <c r="G559" s="8">
        <f>15.5132 * CHOOSE( CONTROL!$C$15, $D$11, 100%, $F$11)</f>
        <v>15.513199999999999</v>
      </c>
      <c r="H559" s="4">
        <f>16.4033 * CHOOSE(CONTROL!$C$15, $D$11, 100%, $F$11)</f>
        <v>16.403300000000002</v>
      </c>
      <c r="I559" s="8">
        <f>15.3235 * CHOOSE(CONTROL!$C$15, $D$11, 100%, $F$11)</f>
        <v>15.323499999999999</v>
      </c>
      <c r="J559" s="4">
        <f>15.247 * CHOOSE(CONTROL!$C$15, $D$11, 100%, $F$11)</f>
        <v>15.247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58561</v>
      </c>
      <c r="B560" s="8">
        <f>16.0429 * CHOOSE(CONTROL!$C$15, $D$11, 100%, $F$11)</f>
        <v>16.042899999999999</v>
      </c>
      <c r="C560" s="8">
        <f>16.0474 * CHOOSE(CONTROL!$C$15, $D$11, 100%, $F$11)</f>
        <v>16.0474</v>
      </c>
      <c r="D560" s="8">
        <f>16.0546 * CHOOSE( CONTROL!$C$15, $D$11, 100%, $F$11)</f>
        <v>16.054600000000001</v>
      </c>
      <c r="E560" s="12">
        <f>16.0517 * CHOOSE( CONTROL!$C$15, $D$11, 100%, $F$11)</f>
        <v>16.0517</v>
      </c>
      <c r="F560" s="4">
        <f>16.7258 * CHOOSE(CONTROL!$C$15, $D$11, 100%, $F$11)</f>
        <v>16.7258</v>
      </c>
      <c r="G560" s="8">
        <f>15.7443 * CHOOSE( CONTROL!$C$15, $D$11, 100%, $F$11)</f>
        <v>15.744300000000001</v>
      </c>
      <c r="H560" s="4">
        <f>16.6772 * CHOOSE(CONTROL!$C$15, $D$11, 100%, $F$11)</f>
        <v>16.677199999999999</v>
      </c>
      <c r="I560" s="8">
        <f>15.5752 * CHOOSE(CONTROL!$C$15, $D$11, 100%, $F$11)</f>
        <v>15.575200000000001</v>
      </c>
      <c r="J560" s="4">
        <f>15.4787 * CHOOSE(CONTROL!$C$15, $D$11, 100%, $F$11)</f>
        <v>15.4787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1.1791</v>
      </c>
      <c r="Q560" s="9">
        <v>19.053000000000001</v>
      </c>
      <c r="R560" s="9"/>
      <c r="S560" s="11"/>
    </row>
    <row r="561" spans="1:19" ht="15.75">
      <c r="A561" s="13">
        <v>58592</v>
      </c>
      <c r="B561" s="8">
        <f>CHOOSE( CONTROL!$C$32, 16.4741, 16.4709) * CHOOSE(CONTROL!$C$15, $D$11, 100%, $F$11)</f>
        <v>16.4741</v>
      </c>
      <c r="C561" s="8">
        <f>CHOOSE( CONTROL!$C$32, 16.4821, 16.4789) * CHOOSE(CONTROL!$C$15, $D$11, 100%, $F$11)</f>
        <v>16.482099999999999</v>
      </c>
      <c r="D561" s="8">
        <f>CHOOSE( CONTROL!$C$32, 16.4844, 16.4812) * CHOOSE( CONTROL!$C$15, $D$11, 100%, $F$11)</f>
        <v>16.484400000000001</v>
      </c>
      <c r="E561" s="12">
        <f>CHOOSE( CONTROL!$C$32, 16.4823, 16.4791) * CHOOSE( CONTROL!$C$15, $D$11, 100%, $F$11)</f>
        <v>16.482299999999999</v>
      </c>
      <c r="F561" s="4">
        <f>CHOOSE( CONTROL!$C$32, 17.1556, 17.1524) * CHOOSE(CONTROL!$C$15, $D$11, 100%, $F$11)</f>
        <v>17.1556</v>
      </c>
      <c r="G561" s="8">
        <f>CHOOSE( CONTROL!$C$32, 16.1681, 16.165) * CHOOSE( CONTROL!$C$15, $D$11, 100%, $F$11)</f>
        <v>16.168099999999999</v>
      </c>
      <c r="H561" s="4">
        <f>CHOOSE( CONTROL!$C$32, 17.0999, 17.0968) * CHOOSE(CONTROL!$C$15, $D$11, 100%, $F$11)</f>
        <v>17.099900000000002</v>
      </c>
      <c r="I561" s="8">
        <f>CHOOSE( CONTROL!$C$32, 15.9925, 15.9894) * CHOOSE(CONTROL!$C$15, $D$11, 100%, $F$11)</f>
        <v>15.9925</v>
      </c>
      <c r="J561" s="4">
        <f>CHOOSE( CONTROL!$C$32, 15.8943, 15.8912) * CHOOSE(CONTROL!$C$15, $D$11, 100%, $F$11)</f>
        <v>15.894299999999999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1.2183999999999999</v>
      </c>
      <c r="Q561" s="9">
        <v>19.688099999999999</v>
      </c>
      <c r="R561" s="9"/>
      <c r="S561" s="11"/>
    </row>
    <row r="562" spans="1:19" ht="15.75">
      <c r="A562" s="13">
        <v>58622</v>
      </c>
      <c r="B562" s="8">
        <f>CHOOSE( CONTROL!$C$32, 16.2098, 16.2066) * CHOOSE(CONTROL!$C$15, $D$11, 100%, $F$11)</f>
        <v>16.209800000000001</v>
      </c>
      <c r="C562" s="8">
        <f>CHOOSE( CONTROL!$C$32, 16.2178, 16.2146) * CHOOSE(CONTROL!$C$15, $D$11, 100%, $F$11)</f>
        <v>16.2178</v>
      </c>
      <c r="D562" s="8">
        <f>CHOOSE( CONTROL!$C$32, 16.2204, 16.2172) * CHOOSE( CONTROL!$C$15, $D$11, 100%, $F$11)</f>
        <v>16.220400000000001</v>
      </c>
      <c r="E562" s="12">
        <f>CHOOSE( CONTROL!$C$32, 16.2182, 16.215) * CHOOSE( CONTROL!$C$15, $D$11, 100%, $F$11)</f>
        <v>16.2182</v>
      </c>
      <c r="F562" s="4">
        <f>CHOOSE( CONTROL!$C$32, 16.8913, 16.8881) * CHOOSE(CONTROL!$C$15, $D$11, 100%, $F$11)</f>
        <v>16.891300000000001</v>
      </c>
      <c r="G562" s="8">
        <f>CHOOSE( CONTROL!$C$32, 15.9087, 15.9055) * CHOOSE( CONTROL!$C$15, $D$11, 100%, $F$11)</f>
        <v>15.9087</v>
      </c>
      <c r="H562" s="4">
        <f>CHOOSE( CONTROL!$C$32, 16.84, 16.8369) * CHOOSE(CONTROL!$C$15, $D$11, 100%, $F$11)</f>
        <v>16.84</v>
      </c>
      <c r="I562" s="8">
        <f>CHOOSE( CONTROL!$C$32, 15.7383, 15.7352) * CHOOSE(CONTROL!$C$15, $D$11, 100%, $F$11)</f>
        <v>15.738300000000001</v>
      </c>
      <c r="J562" s="4">
        <f>CHOOSE( CONTROL!$C$32, 15.6388, 15.6357) * CHOOSE(CONTROL!$C$15, $D$11, 100%, $F$11)</f>
        <v>15.6388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1.1791</v>
      </c>
      <c r="Q562" s="9">
        <v>19.053000000000001</v>
      </c>
      <c r="R562" s="9"/>
      <c r="S562" s="11"/>
    </row>
    <row r="563" spans="1:19" ht="15.75">
      <c r="A563" s="13">
        <v>58653</v>
      </c>
      <c r="B563" s="8">
        <f>CHOOSE( CONTROL!$C$32, 16.9058, 16.9026) * CHOOSE(CONTROL!$C$15, $D$11, 100%, $F$11)</f>
        <v>16.905799999999999</v>
      </c>
      <c r="C563" s="8">
        <f>CHOOSE( CONTROL!$C$32, 16.9138, 16.9106) * CHOOSE(CONTROL!$C$15, $D$11, 100%, $F$11)</f>
        <v>16.913799999999998</v>
      </c>
      <c r="D563" s="8">
        <f>CHOOSE( CONTROL!$C$32, 16.9167, 16.9135) * CHOOSE( CONTROL!$C$15, $D$11, 100%, $F$11)</f>
        <v>16.916699999999999</v>
      </c>
      <c r="E563" s="12">
        <f>CHOOSE( CONTROL!$C$32, 16.9144, 16.9112) * CHOOSE( CONTROL!$C$15, $D$11, 100%, $F$11)</f>
        <v>16.914400000000001</v>
      </c>
      <c r="F563" s="4">
        <f>CHOOSE( CONTROL!$C$32, 17.5873, 17.5841) * CHOOSE(CONTROL!$C$15, $D$11, 100%, $F$11)</f>
        <v>17.587299999999999</v>
      </c>
      <c r="G563" s="8">
        <f>CHOOSE( CONTROL!$C$32, 16.5935, 16.5904) * CHOOSE( CONTROL!$C$15, $D$11, 100%, $F$11)</f>
        <v>16.593499999999999</v>
      </c>
      <c r="H563" s="4">
        <f>CHOOSE( CONTROL!$C$32, 17.5245, 17.5213) * CHOOSE(CONTROL!$C$15, $D$11, 100%, $F$11)</f>
        <v>17.5245</v>
      </c>
      <c r="I563" s="8">
        <f>CHOOSE( CONTROL!$C$32, 16.4129, 16.4098) * CHOOSE(CONTROL!$C$15, $D$11, 100%, $F$11)</f>
        <v>16.4129</v>
      </c>
      <c r="J563" s="4">
        <f>CHOOSE( CONTROL!$C$32, 16.3116, 16.3085) * CHOOSE(CONTROL!$C$15, $D$11, 100%, $F$11)</f>
        <v>16.311599999999999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58684</v>
      </c>
      <c r="B564" s="8">
        <f>CHOOSE( CONTROL!$C$32, 15.6035, 15.6003) * CHOOSE(CONTROL!$C$15, $D$11, 100%, $F$11)</f>
        <v>15.6035</v>
      </c>
      <c r="C564" s="8">
        <f>CHOOSE( CONTROL!$C$32, 15.6115, 15.6083) * CHOOSE(CONTROL!$C$15, $D$11, 100%, $F$11)</f>
        <v>15.611499999999999</v>
      </c>
      <c r="D564" s="8">
        <f>CHOOSE( CONTROL!$C$32, 15.6146, 15.6114) * CHOOSE( CONTROL!$C$15, $D$11, 100%, $F$11)</f>
        <v>15.614599999999999</v>
      </c>
      <c r="E564" s="12">
        <f>CHOOSE( CONTROL!$C$32, 15.6123, 15.6091) * CHOOSE( CONTROL!$C$15, $D$11, 100%, $F$11)</f>
        <v>15.612299999999999</v>
      </c>
      <c r="F564" s="4">
        <f>CHOOSE( CONTROL!$C$32, 16.2851, 16.2819) * CHOOSE(CONTROL!$C$15, $D$11, 100%, $F$11)</f>
        <v>16.2851</v>
      </c>
      <c r="G564" s="8">
        <f>CHOOSE( CONTROL!$C$32, 15.3131, 15.31) * CHOOSE( CONTROL!$C$15, $D$11, 100%, $F$11)</f>
        <v>15.3131</v>
      </c>
      <c r="H564" s="4">
        <f>CHOOSE( CONTROL!$C$32, 16.2438, 16.2406) * CHOOSE(CONTROL!$C$15, $D$11, 100%, $F$11)</f>
        <v>16.2438</v>
      </c>
      <c r="I564" s="8">
        <f>CHOOSE( CONTROL!$C$32, 15.1541, 15.151) * CHOOSE(CONTROL!$C$15, $D$11, 100%, $F$11)</f>
        <v>15.1541</v>
      </c>
      <c r="J564" s="4">
        <f>CHOOSE( CONTROL!$C$32, 15.0527, 15.0496) * CHOOSE(CONTROL!$C$15, $D$11, 100%, $F$11)</f>
        <v>15.0527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1.2183999999999999</v>
      </c>
      <c r="Q564" s="9">
        <v>19.688099999999999</v>
      </c>
      <c r="R564" s="9"/>
      <c r="S564" s="11"/>
    </row>
    <row r="565" spans="1:19" ht="15.75">
      <c r="A565" s="13">
        <v>58714</v>
      </c>
      <c r="B565" s="8">
        <f>CHOOSE( CONTROL!$C$32, 15.2774, 15.2742) * CHOOSE(CONTROL!$C$15, $D$11, 100%, $F$11)</f>
        <v>15.2774</v>
      </c>
      <c r="C565" s="8">
        <f>CHOOSE( CONTROL!$C$32, 15.2854, 15.2822) * CHOOSE(CONTROL!$C$15, $D$11, 100%, $F$11)</f>
        <v>15.285399999999999</v>
      </c>
      <c r="D565" s="8">
        <f>CHOOSE( CONTROL!$C$32, 15.2885, 15.2853) * CHOOSE( CONTROL!$C$15, $D$11, 100%, $F$11)</f>
        <v>15.288500000000001</v>
      </c>
      <c r="E565" s="12">
        <f>CHOOSE( CONTROL!$C$32, 15.2862, 15.283) * CHOOSE( CONTROL!$C$15, $D$11, 100%, $F$11)</f>
        <v>15.286199999999999</v>
      </c>
      <c r="F565" s="4">
        <f>CHOOSE( CONTROL!$C$32, 15.959, 15.9558) * CHOOSE(CONTROL!$C$15, $D$11, 100%, $F$11)</f>
        <v>15.959</v>
      </c>
      <c r="G565" s="8">
        <f>CHOOSE( CONTROL!$C$32, 14.9925, 14.9893) * CHOOSE( CONTROL!$C$15, $D$11, 100%, $F$11)</f>
        <v>14.9925</v>
      </c>
      <c r="H565" s="4">
        <f>CHOOSE( CONTROL!$C$32, 15.9231, 15.9199) * CHOOSE(CONTROL!$C$15, $D$11, 100%, $F$11)</f>
        <v>15.9231</v>
      </c>
      <c r="I565" s="8">
        <f>CHOOSE( CONTROL!$C$32, 14.8389, 14.8358) * CHOOSE(CONTROL!$C$15, $D$11, 100%, $F$11)</f>
        <v>14.838900000000001</v>
      </c>
      <c r="J565" s="4">
        <f>CHOOSE( CONTROL!$C$32, 14.7374, 14.7343) * CHOOSE(CONTROL!$C$15, $D$11, 100%, $F$11)</f>
        <v>14.737399999999999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1.1791</v>
      </c>
      <c r="Q565" s="9">
        <v>19.053000000000001</v>
      </c>
      <c r="R565" s="9"/>
      <c r="S565" s="11"/>
    </row>
    <row r="566" spans="1:19" ht="15.75">
      <c r="A566" s="13">
        <v>58745</v>
      </c>
      <c r="B566" s="8">
        <f>15.9496 * CHOOSE(CONTROL!$C$15, $D$11, 100%, $F$11)</f>
        <v>15.9496</v>
      </c>
      <c r="C566" s="8">
        <f>15.955 * CHOOSE(CONTROL!$C$15, $D$11, 100%, $F$11)</f>
        <v>15.955</v>
      </c>
      <c r="D566" s="8">
        <f>15.9628 * CHOOSE( CONTROL!$C$15, $D$11, 100%, $F$11)</f>
        <v>15.9628</v>
      </c>
      <c r="E566" s="12">
        <f>15.9597 * CHOOSE( CONTROL!$C$15, $D$11, 100%, $F$11)</f>
        <v>15.9597</v>
      </c>
      <c r="F566" s="4">
        <f>16.6329 * CHOOSE(CONTROL!$C$15, $D$11, 100%, $F$11)</f>
        <v>16.632899999999999</v>
      </c>
      <c r="G566" s="8">
        <f>15.6547 * CHOOSE( CONTROL!$C$15, $D$11, 100%, $F$11)</f>
        <v>15.6547</v>
      </c>
      <c r="H566" s="4">
        <f>16.5858 * CHOOSE(CONTROL!$C$15, $D$11, 100%, $F$11)</f>
        <v>16.585799999999999</v>
      </c>
      <c r="I566" s="8">
        <f>15.4913 * CHOOSE(CONTROL!$C$15, $D$11, 100%, $F$11)</f>
        <v>15.491300000000001</v>
      </c>
      <c r="J566" s="4">
        <f>15.3889 * CHOOSE(CONTROL!$C$15, $D$11, 100%, $F$11)</f>
        <v>15.3889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1.2183999999999999</v>
      </c>
      <c r="Q566" s="9">
        <v>19.688099999999999</v>
      </c>
      <c r="R566" s="9"/>
      <c r="S566" s="11"/>
    </row>
    <row r="567" spans="1:19" ht="15.75">
      <c r="A567" s="13">
        <v>58775</v>
      </c>
      <c r="B567" s="8">
        <f>17.199 * CHOOSE(CONTROL!$C$15, $D$11, 100%, $F$11)</f>
        <v>17.199000000000002</v>
      </c>
      <c r="C567" s="8">
        <f>17.2041 * CHOOSE(CONTROL!$C$15, $D$11, 100%, $F$11)</f>
        <v>17.2041</v>
      </c>
      <c r="D567" s="8">
        <f>17.1816 * CHOOSE( CONTROL!$C$15, $D$11, 100%, $F$11)</f>
        <v>17.1816</v>
      </c>
      <c r="E567" s="12">
        <f>17.1893 * CHOOSE( CONTROL!$C$15, $D$11, 100%, $F$11)</f>
        <v>17.189299999999999</v>
      </c>
      <c r="F567" s="4">
        <f>17.8439 * CHOOSE(CONTROL!$C$15, $D$11, 100%, $F$11)</f>
        <v>17.843900000000001</v>
      </c>
      <c r="G567" s="8">
        <f>16.8964 * CHOOSE( CONTROL!$C$15, $D$11, 100%, $F$11)</f>
        <v>16.8964</v>
      </c>
      <c r="H567" s="4">
        <f>17.7767 * CHOOSE(CONTROL!$C$15, $D$11, 100%, $F$11)</f>
        <v>17.776700000000002</v>
      </c>
      <c r="I567" s="8">
        <f>16.7257 * CHOOSE(CONTROL!$C$15, $D$11, 100%, $F$11)</f>
        <v>16.7257</v>
      </c>
      <c r="J567" s="4">
        <f>16.5971 * CHOOSE(CONTROL!$C$15, $D$11, 100%, $F$11)</f>
        <v>16.597100000000001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58806</v>
      </c>
      <c r="B568" s="8">
        <f>17.1677 * CHOOSE(CONTROL!$C$15, $D$11, 100%, $F$11)</f>
        <v>17.1677</v>
      </c>
      <c r="C568" s="8">
        <f>17.1729 * CHOOSE(CONTROL!$C$15, $D$11, 100%, $F$11)</f>
        <v>17.172899999999998</v>
      </c>
      <c r="D568" s="8">
        <f>17.1518 * CHOOSE( CONTROL!$C$15, $D$11, 100%, $F$11)</f>
        <v>17.151800000000001</v>
      </c>
      <c r="E568" s="12">
        <f>17.159 * CHOOSE( CONTROL!$C$15, $D$11, 100%, $F$11)</f>
        <v>17.158999999999999</v>
      </c>
      <c r="F568" s="4">
        <f>17.8126 * CHOOSE(CONTROL!$C$15, $D$11, 100%, $F$11)</f>
        <v>17.8126</v>
      </c>
      <c r="G568" s="8">
        <f>16.8667 * CHOOSE( CONTROL!$C$15, $D$11, 100%, $F$11)</f>
        <v>16.866700000000002</v>
      </c>
      <c r="H568" s="4">
        <f>17.746 * CHOOSE(CONTROL!$C$15, $D$11, 100%, $F$11)</f>
        <v>17.745999999999999</v>
      </c>
      <c r="I568" s="8">
        <f>16.7001 * CHOOSE(CONTROL!$C$15, $D$11, 100%, $F$11)</f>
        <v>16.700099999999999</v>
      </c>
      <c r="J568" s="4">
        <f>16.5669 * CHOOSE(CONTROL!$C$15, $D$11, 100%, $F$11)</f>
        <v>16.5669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58837</v>
      </c>
      <c r="B569" s="8">
        <f>17.8227 * CHOOSE(CONTROL!$C$15, $D$11, 100%, $F$11)</f>
        <v>17.822700000000001</v>
      </c>
      <c r="C569" s="8">
        <f>17.8278 * CHOOSE(CONTROL!$C$15, $D$11, 100%, $F$11)</f>
        <v>17.8278</v>
      </c>
      <c r="D569" s="8">
        <f>17.8058 * CHOOSE( CONTROL!$C$15, $D$11, 100%, $F$11)</f>
        <v>17.805800000000001</v>
      </c>
      <c r="E569" s="12">
        <f>17.8133 * CHOOSE( CONTROL!$C$15, $D$11, 100%, $F$11)</f>
        <v>17.813300000000002</v>
      </c>
      <c r="F569" s="4">
        <f>18.4676 * CHOOSE(CONTROL!$C$15, $D$11, 100%, $F$11)</f>
        <v>18.467600000000001</v>
      </c>
      <c r="G569" s="8">
        <f>17.5083 * CHOOSE( CONTROL!$C$15, $D$11, 100%, $F$11)</f>
        <v>17.508299999999998</v>
      </c>
      <c r="H569" s="4">
        <f>18.3901 * CHOOSE(CONTROL!$C$15, $D$11, 100%, $F$11)</f>
        <v>18.3901</v>
      </c>
      <c r="I569" s="8">
        <f>17.3054 * CHOOSE(CONTROL!$C$15, $D$11, 100%, $F$11)</f>
        <v>17.305399999999999</v>
      </c>
      <c r="J569" s="4">
        <f>17.2001 * CHOOSE(CONTROL!$C$15, $D$11, 100%, $F$11)</f>
        <v>17.200099999999999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58865</v>
      </c>
      <c r="B570" s="8">
        <f>16.6725 * CHOOSE(CONTROL!$C$15, $D$11, 100%, $F$11)</f>
        <v>16.672499999999999</v>
      </c>
      <c r="C570" s="8">
        <f>16.6776 * CHOOSE(CONTROL!$C$15, $D$11, 100%, $F$11)</f>
        <v>16.677600000000002</v>
      </c>
      <c r="D570" s="8">
        <f>16.6512 * CHOOSE( CONTROL!$C$15, $D$11, 100%, $F$11)</f>
        <v>16.651199999999999</v>
      </c>
      <c r="E570" s="12">
        <f>16.6603 * CHOOSE( CONTROL!$C$15, $D$11, 100%, $F$11)</f>
        <v>16.660299999999999</v>
      </c>
      <c r="F570" s="4">
        <f>17.3174 * CHOOSE(CONTROL!$C$15, $D$11, 100%, $F$11)</f>
        <v>17.317399999999999</v>
      </c>
      <c r="G570" s="8">
        <f>16.3686 * CHOOSE( CONTROL!$C$15, $D$11, 100%, $F$11)</f>
        <v>16.368600000000001</v>
      </c>
      <c r="H570" s="4">
        <f>17.259 * CHOOSE(CONTROL!$C$15, $D$11, 100%, $F$11)</f>
        <v>17.259</v>
      </c>
      <c r="I570" s="8">
        <f>16.1638 * CHOOSE(CONTROL!$C$15, $D$11, 100%, $F$11)</f>
        <v>16.163799999999998</v>
      </c>
      <c r="J570" s="4">
        <f>16.0881 * CHOOSE(CONTROL!$C$15, $D$11, 100%, $F$11)</f>
        <v>16.088100000000001</v>
      </c>
      <c r="K570" s="4"/>
      <c r="L570" s="9">
        <v>26.469899999999999</v>
      </c>
      <c r="M570" s="9">
        <v>10.8962</v>
      </c>
      <c r="N570" s="9">
        <v>4.4660000000000002</v>
      </c>
      <c r="O570" s="9">
        <v>0.33789999999999998</v>
      </c>
      <c r="P570" s="9">
        <v>1.1676</v>
      </c>
      <c r="Q570" s="9">
        <v>17.782800000000002</v>
      </c>
      <c r="R570" s="9"/>
      <c r="S570" s="11"/>
    </row>
    <row r="571" spans="1:19" ht="15.75">
      <c r="A571" s="13">
        <v>58893</v>
      </c>
      <c r="B571" s="8">
        <f>16.3182 * CHOOSE(CONTROL!$C$15, $D$11, 100%, $F$11)</f>
        <v>16.318200000000001</v>
      </c>
      <c r="C571" s="8">
        <f>16.3233 * CHOOSE(CONTROL!$C$15, $D$11, 100%, $F$11)</f>
        <v>16.3233</v>
      </c>
      <c r="D571" s="8">
        <f>16.2973 * CHOOSE( CONTROL!$C$15, $D$11, 100%, $F$11)</f>
        <v>16.2973</v>
      </c>
      <c r="E571" s="12">
        <f>16.3063 * CHOOSE( CONTROL!$C$15, $D$11, 100%, $F$11)</f>
        <v>16.3063</v>
      </c>
      <c r="F571" s="4">
        <f>16.9631 * CHOOSE(CONTROL!$C$15, $D$11, 100%, $F$11)</f>
        <v>16.963100000000001</v>
      </c>
      <c r="G571" s="8">
        <f>16.0205 * CHOOSE( CONTROL!$C$15, $D$11, 100%, $F$11)</f>
        <v>16.020499999999998</v>
      </c>
      <c r="H571" s="4">
        <f>16.9106 * CHOOSE(CONTROL!$C$15, $D$11, 100%, $F$11)</f>
        <v>16.910599999999999</v>
      </c>
      <c r="I571" s="8">
        <f>15.8224 * CHOOSE(CONTROL!$C$15, $D$11, 100%, $F$11)</f>
        <v>15.8224</v>
      </c>
      <c r="J571" s="4">
        <f>15.7456 * CHOOSE(CONTROL!$C$15, $D$11, 100%, $F$11)</f>
        <v>15.7456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58926</v>
      </c>
      <c r="B572" s="8">
        <f>16.5665 * CHOOSE(CONTROL!$C$15, $D$11, 100%, $F$11)</f>
        <v>16.566500000000001</v>
      </c>
      <c r="C572" s="8">
        <f>16.5711 * CHOOSE(CONTROL!$C$15, $D$11, 100%, $F$11)</f>
        <v>16.571100000000001</v>
      </c>
      <c r="D572" s="8">
        <f>16.5782 * CHOOSE( CONTROL!$C$15, $D$11, 100%, $F$11)</f>
        <v>16.578199999999999</v>
      </c>
      <c r="E572" s="12">
        <f>16.5753 * CHOOSE( CONTROL!$C$15, $D$11, 100%, $F$11)</f>
        <v>16.575299999999999</v>
      </c>
      <c r="F572" s="4">
        <f>17.2494 * CHOOSE(CONTROL!$C$15, $D$11, 100%, $F$11)</f>
        <v>17.249400000000001</v>
      </c>
      <c r="G572" s="8">
        <f>16.2592 * CHOOSE( CONTROL!$C$15, $D$11, 100%, $F$11)</f>
        <v>16.2592</v>
      </c>
      <c r="H572" s="4">
        <f>17.1922 * CHOOSE(CONTROL!$C$15, $D$11, 100%, $F$11)</f>
        <v>17.1922</v>
      </c>
      <c r="I572" s="8">
        <f>16.0817 * CHOOSE(CONTROL!$C$15, $D$11, 100%, $F$11)</f>
        <v>16.081700000000001</v>
      </c>
      <c r="J572" s="4">
        <f>15.9849 * CHOOSE(CONTROL!$C$15, $D$11, 100%, $F$11)</f>
        <v>15.9849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1.1791</v>
      </c>
      <c r="Q572" s="9">
        <v>19.053000000000001</v>
      </c>
      <c r="R572" s="9"/>
      <c r="S572" s="11"/>
    </row>
    <row r="573" spans="1:19" ht="15.75">
      <c r="A573" s="13">
        <v>58957</v>
      </c>
      <c r="B573" s="8">
        <f>CHOOSE( CONTROL!$C$32, 17.0117, 17.0085) * CHOOSE(CONTROL!$C$15, $D$11, 100%, $F$11)</f>
        <v>17.011700000000001</v>
      </c>
      <c r="C573" s="8">
        <f>CHOOSE( CONTROL!$C$32, 17.0197, 17.0165) * CHOOSE(CONTROL!$C$15, $D$11, 100%, $F$11)</f>
        <v>17.0197</v>
      </c>
      <c r="D573" s="8">
        <f>CHOOSE( CONTROL!$C$32, 17.022, 17.0188) * CHOOSE( CONTROL!$C$15, $D$11, 100%, $F$11)</f>
        <v>17.021999999999998</v>
      </c>
      <c r="E573" s="12">
        <f>CHOOSE( CONTROL!$C$32, 17.0199, 17.0167) * CHOOSE( CONTROL!$C$15, $D$11, 100%, $F$11)</f>
        <v>17.0199</v>
      </c>
      <c r="F573" s="4">
        <f>CHOOSE( CONTROL!$C$32, 17.6932, 17.69) * CHOOSE(CONTROL!$C$15, $D$11, 100%, $F$11)</f>
        <v>17.693200000000001</v>
      </c>
      <c r="G573" s="8">
        <f>CHOOSE( CONTROL!$C$32, 16.6968, 16.6937) * CHOOSE( CONTROL!$C$15, $D$11, 100%, $F$11)</f>
        <v>16.6968</v>
      </c>
      <c r="H573" s="4">
        <f>CHOOSE( CONTROL!$C$32, 17.6286, 17.6255) * CHOOSE(CONTROL!$C$15, $D$11, 100%, $F$11)</f>
        <v>17.628599999999999</v>
      </c>
      <c r="I573" s="8">
        <f>CHOOSE( CONTROL!$C$32, 16.5125, 16.5094) * CHOOSE(CONTROL!$C$15, $D$11, 100%, $F$11)</f>
        <v>16.512499999999999</v>
      </c>
      <c r="J573" s="4">
        <f>CHOOSE( CONTROL!$C$32, 16.414, 16.4109) * CHOOSE(CONTROL!$C$15, $D$11, 100%, $F$11)</f>
        <v>16.414000000000001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1.2183999999999999</v>
      </c>
      <c r="Q573" s="9">
        <v>19.688099999999999</v>
      </c>
      <c r="R573" s="9"/>
      <c r="S573" s="11"/>
    </row>
    <row r="574" spans="1:19" ht="15.75">
      <c r="A574" s="13">
        <v>58987</v>
      </c>
      <c r="B574" s="8">
        <f>CHOOSE( CONTROL!$C$32, 16.7387, 16.7355) * CHOOSE(CONTROL!$C$15, $D$11, 100%, $F$11)</f>
        <v>16.738700000000001</v>
      </c>
      <c r="C574" s="8">
        <f>CHOOSE( CONTROL!$C$32, 16.7468, 16.7436) * CHOOSE(CONTROL!$C$15, $D$11, 100%, $F$11)</f>
        <v>16.7468</v>
      </c>
      <c r="D574" s="8">
        <f>CHOOSE( CONTROL!$C$32, 16.7494, 16.7462) * CHOOSE( CONTROL!$C$15, $D$11, 100%, $F$11)</f>
        <v>16.749400000000001</v>
      </c>
      <c r="E574" s="12">
        <f>CHOOSE( CONTROL!$C$32, 16.7472, 16.744) * CHOOSE( CONTROL!$C$15, $D$11, 100%, $F$11)</f>
        <v>16.747199999999999</v>
      </c>
      <c r="F574" s="4">
        <f>CHOOSE( CONTROL!$C$32, 17.4203, 17.4171) * CHOOSE(CONTROL!$C$15, $D$11, 100%, $F$11)</f>
        <v>17.420300000000001</v>
      </c>
      <c r="G574" s="8">
        <f>CHOOSE( CONTROL!$C$32, 16.4288, 16.4257) * CHOOSE( CONTROL!$C$15, $D$11, 100%, $F$11)</f>
        <v>16.428799999999999</v>
      </c>
      <c r="H574" s="4">
        <f>CHOOSE( CONTROL!$C$32, 17.3602, 17.357) * CHOOSE(CONTROL!$C$15, $D$11, 100%, $F$11)</f>
        <v>17.360199999999999</v>
      </c>
      <c r="I574" s="8">
        <f>CHOOSE( CONTROL!$C$32, 16.2499, 16.2468) * CHOOSE(CONTROL!$C$15, $D$11, 100%, $F$11)</f>
        <v>16.2499</v>
      </c>
      <c r="J574" s="4">
        <f>CHOOSE( CONTROL!$C$32, 16.1501, 16.147) * CHOOSE(CONTROL!$C$15, $D$11, 100%, $F$11)</f>
        <v>16.150099999999998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1.1791</v>
      </c>
      <c r="Q574" s="9">
        <v>19.053000000000001</v>
      </c>
      <c r="R574" s="9"/>
      <c r="S574" s="11"/>
    </row>
    <row r="575" spans="1:19" ht="15.75">
      <c r="A575" s="13">
        <v>59018</v>
      </c>
      <c r="B575" s="8">
        <f>CHOOSE( CONTROL!$C$32, 17.4575, 17.4543) * CHOOSE(CONTROL!$C$15, $D$11, 100%, $F$11)</f>
        <v>17.4575</v>
      </c>
      <c r="C575" s="8">
        <f>CHOOSE( CONTROL!$C$32, 17.4655, 17.4623) * CHOOSE(CONTROL!$C$15, $D$11, 100%, $F$11)</f>
        <v>17.465499999999999</v>
      </c>
      <c r="D575" s="8">
        <f>CHOOSE( CONTROL!$C$32, 17.4684, 17.4652) * CHOOSE( CONTROL!$C$15, $D$11, 100%, $F$11)</f>
        <v>17.468399999999999</v>
      </c>
      <c r="E575" s="12">
        <f>CHOOSE( CONTROL!$C$32, 17.4661, 17.4629) * CHOOSE( CONTROL!$C$15, $D$11, 100%, $F$11)</f>
        <v>17.466100000000001</v>
      </c>
      <c r="F575" s="4">
        <f>CHOOSE( CONTROL!$C$32, 18.139, 18.1358) * CHOOSE(CONTROL!$C$15, $D$11, 100%, $F$11)</f>
        <v>18.138999999999999</v>
      </c>
      <c r="G575" s="8">
        <f>CHOOSE( CONTROL!$C$32, 17.1361, 17.133) * CHOOSE( CONTROL!$C$15, $D$11, 100%, $F$11)</f>
        <v>17.136099999999999</v>
      </c>
      <c r="H575" s="4">
        <f>CHOOSE( CONTROL!$C$32, 18.067, 18.0639) * CHOOSE(CONTROL!$C$15, $D$11, 100%, $F$11)</f>
        <v>18.067</v>
      </c>
      <c r="I575" s="8">
        <f>CHOOSE( CONTROL!$C$32, 16.9465, 16.9434) * CHOOSE(CONTROL!$C$15, $D$11, 100%, $F$11)</f>
        <v>16.9465</v>
      </c>
      <c r="J575" s="4">
        <f>CHOOSE( CONTROL!$C$32, 16.8449, 16.8418) * CHOOSE(CONTROL!$C$15, $D$11, 100%, $F$11)</f>
        <v>16.844899999999999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59049</v>
      </c>
      <c r="B576" s="8">
        <f>CHOOSE( CONTROL!$C$32, 16.1126, 16.1094) * CHOOSE(CONTROL!$C$15, $D$11, 100%, $F$11)</f>
        <v>16.1126</v>
      </c>
      <c r="C576" s="8">
        <f>CHOOSE( CONTROL!$C$32, 16.1207, 16.1175) * CHOOSE(CONTROL!$C$15, $D$11, 100%, $F$11)</f>
        <v>16.120699999999999</v>
      </c>
      <c r="D576" s="8">
        <f>CHOOSE( CONTROL!$C$32, 16.1237, 16.1205) * CHOOSE( CONTROL!$C$15, $D$11, 100%, $F$11)</f>
        <v>16.123699999999999</v>
      </c>
      <c r="E576" s="12">
        <f>CHOOSE( CONTROL!$C$32, 16.1214, 16.1182) * CHOOSE( CONTROL!$C$15, $D$11, 100%, $F$11)</f>
        <v>16.121400000000001</v>
      </c>
      <c r="F576" s="4">
        <f>CHOOSE( CONTROL!$C$32, 16.7942, 16.791) * CHOOSE(CONTROL!$C$15, $D$11, 100%, $F$11)</f>
        <v>16.7942</v>
      </c>
      <c r="G576" s="8">
        <f>CHOOSE( CONTROL!$C$32, 15.8138, 15.8107) * CHOOSE( CONTROL!$C$15, $D$11, 100%, $F$11)</f>
        <v>15.813800000000001</v>
      </c>
      <c r="H576" s="4">
        <f>CHOOSE( CONTROL!$C$32, 16.7445, 16.7413) * CHOOSE(CONTROL!$C$15, $D$11, 100%, $F$11)</f>
        <v>16.744499999999999</v>
      </c>
      <c r="I576" s="8">
        <f>CHOOSE( CONTROL!$C$32, 15.6466, 15.6435) * CHOOSE(CONTROL!$C$15, $D$11, 100%, $F$11)</f>
        <v>15.646599999999999</v>
      </c>
      <c r="J576" s="4">
        <f>CHOOSE( CONTROL!$C$32, 15.5449, 15.5418) * CHOOSE(CONTROL!$C$15, $D$11, 100%, $F$11)</f>
        <v>15.5449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1.2183999999999999</v>
      </c>
      <c r="Q576" s="9">
        <v>19.688099999999999</v>
      </c>
      <c r="R576" s="9"/>
      <c r="S576" s="11"/>
    </row>
    <row r="577" spans="1:19" ht="15.75">
      <c r="A577" s="13">
        <v>59079</v>
      </c>
      <c r="B577" s="8">
        <f>CHOOSE( CONTROL!$C$32, 15.7759, 15.7727) * CHOOSE(CONTROL!$C$15, $D$11, 100%, $F$11)</f>
        <v>15.7759</v>
      </c>
      <c r="C577" s="8">
        <f>CHOOSE( CONTROL!$C$32, 15.7839, 15.7807) * CHOOSE(CONTROL!$C$15, $D$11, 100%, $F$11)</f>
        <v>15.783899999999999</v>
      </c>
      <c r="D577" s="8">
        <f>CHOOSE( CONTROL!$C$32, 15.787, 15.7838) * CHOOSE( CONTROL!$C$15, $D$11, 100%, $F$11)</f>
        <v>15.787000000000001</v>
      </c>
      <c r="E577" s="12">
        <f>CHOOSE( CONTROL!$C$32, 15.7847, 15.7815) * CHOOSE( CONTROL!$C$15, $D$11, 100%, $F$11)</f>
        <v>15.784700000000001</v>
      </c>
      <c r="F577" s="4">
        <f>CHOOSE( CONTROL!$C$32, 16.4574, 16.4542) * CHOOSE(CONTROL!$C$15, $D$11, 100%, $F$11)</f>
        <v>16.4574</v>
      </c>
      <c r="G577" s="8">
        <f>CHOOSE( CONTROL!$C$32, 15.4827, 15.4795) * CHOOSE( CONTROL!$C$15, $D$11, 100%, $F$11)</f>
        <v>15.482699999999999</v>
      </c>
      <c r="H577" s="4">
        <f>CHOOSE( CONTROL!$C$32, 16.4133, 16.4101) * CHOOSE(CONTROL!$C$15, $D$11, 100%, $F$11)</f>
        <v>16.4133</v>
      </c>
      <c r="I577" s="8">
        <f>CHOOSE( CONTROL!$C$32, 15.321, 15.3179) * CHOOSE(CONTROL!$C$15, $D$11, 100%, $F$11)</f>
        <v>15.321</v>
      </c>
      <c r="J577" s="4">
        <f>CHOOSE( CONTROL!$C$32, 15.2193, 15.2162) * CHOOSE(CONTROL!$C$15, $D$11, 100%, $F$11)</f>
        <v>15.2193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1.1791</v>
      </c>
      <c r="Q577" s="9">
        <v>19.053000000000001</v>
      </c>
      <c r="R577" s="9"/>
      <c r="S577" s="11"/>
    </row>
    <row r="578" spans="1:19" ht="15.75">
      <c r="A578" s="13">
        <v>59110</v>
      </c>
      <c r="B578" s="8">
        <f>16.4702 * CHOOSE(CONTROL!$C$15, $D$11, 100%, $F$11)</f>
        <v>16.470199999999998</v>
      </c>
      <c r="C578" s="8">
        <f>16.4756 * CHOOSE(CONTROL!$C$15, $D$11, 100%, $F$11)</f>
        <v>16.4756</v>
      </c>
      <c r="D578" s="8">
        <f>16.4835 * CHOOSE( CONTROL!$C$15, $D$11, 100%, $F$11)</f>
        <v>16.483499999999999</v>
      </c>
      <c r="E578" s="12">
        <f>16.4803 * CHOOSE( CONTROL!$C$15, $D$11, 100%, $F$11)</f>
        <v>16.4803</v>
      </c>
      <c r="F578" s="4">
        <f>17.1535 * CHOOSE(CONTROL!$C$15, $D$11, 100%, $F$11)</f>
        <v>17.153500000000001</v>
      </c>
      <c r="G578" s="8">
        <f>16.1667 * CHOOSE( CONTROL!$C$15, $D$11, 100%, $F$11)</f>
        <v>16.166699999999999</v>
      </c>
      <c r="H578" s="4">
        <f>17.0978 * CHOOSE(CONTROL!$C$15, $D$11, 100%, $F$11)</f>
        <v>17.097799999999999</v>
      </c>
      <c r="I578" s="8">
        <f>15.9948 * CHOOSE(CONTROL!$C$15, $D$11, 100%, $F$11)</f>
        <v>15.9948</v>
      </c>
      <c r="J578" s="4">
        <f>15.8922 * CHOOSE(CONTROL!$C$15, $D$11, 100%, $F$11)</f>
        <v>15.892200000000001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1.2183999999999999</v>
      </c>
      <c r="Q578" s="9">
        <v>19.688099999999999</v>
      </c>
      <c r="R578" s="9"/>
      <c r="S578" s="11"/>
    </row>
    <row r="579" spans="1:19" ht="15.75">
      <c r="A579" s="13">
        <v>59140</v>
      </c>
      <c r="B579" s="8">
        <f>17.7604 * CHOOSE(CONTROL!$C$15, $D$11, 100%, $F$11)</f>
        <v>17.760400000000001</v>
      </c>
      <c r="C579" s="8">
        <f>17.7656 * CHOOSE(CONTROL!$C$15, $D$11, 100%, $F$11)</f>
        <v>17.765599999999999</v>
      </c>
      <c r="D579" s="8">
        <f>17.7431 * CHOOSE( CONTROL!$C$15, $D$11, 100%, $F$11)</f>
        <v>17.743099999999998</v>
      </c>
      <c r="E579" s="12">
        <f>17.7508 * CHOOSE( CONTROL!$C$15, $D$11, 100%, $F$11)</f>
        <v>17.750800000000002</v>
      </c>
      <c r="F579" s="4">
        <f>18.4053 * CHOOSE(CONTROL!$C$15, $D$11, 100%, $F$11)</f>
        <v>18.4053</v>
      </c>
      <c r="G579" s="8">
        <f>17.4486 * CHOOSE( CONTROL!$C$15, $D$11, 100%, $F$11)</f>
        <v>17.448599999999999</v>
      </c>
      <c r="H579" s="4">
        <f>18.3289 * CHOOSE(CONTROL!$C$15, $D$11, 100%, $F$11)</f>
        <v>18.328900000000001</v>
      </c>
      <c r="I579" s="8">
        <f>17.2687 * CHOOSE(CONTROL!$C$15, $D$11, 100%, $F$11)</f>
        <v>17.268699999999999</v>
      </c>
      <c r="J579" s="4">
        <f>17.1399 * CHOOSE(CONTROL!$C$15, $D$11, 100%, $F$11)</f>
        <v>17.139900000000001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59171</v>
      </c>
      <c r="B580" s="8">
        <f>17.7282 * CHOOSE(CONTROL!$C$15, $D$11, 100%, $F$11)</f>
        <v>17.728200000000001</v>
      </c>
      <c r="C580" s="8">
        <f>17.7333 * CHOOSE(CONTROL!$C$15, $D$11, 100%, $F$11)</f>
        <v>17.7333</v>
      </c>
      <c r="D580" s="8">
        <f>17.7123 * CHOOSE( CONTROL!$C$15, $D$11, 100%, $F$11)</f>
        <v>17.712299999999999</v>
      </c>
      <c r="E580" s="12">
        <f>17.7194 * CHOOSE( CONTROL!$C$15, $D$11, 100%, $F$11)</f>
        <v>17.7194</v>
      </c>
      <c r="F580" s="4">
        <f>18.3731 * CHOOSE(CONTROL!$C$15, $D$11, 100%, $F$11)</f>
        <v>18.373100000000001</v>
      </c>
      <c r="G580" s="8">
        <f>17.4179 * CHOOSE( CONTROL!$C$15, $D$11, 100%, $F$11)</f>
        <v>17.417899999999999</v>
      </c>
      <c r="H580" s="4">
        <f>18.2972 * CHOOSE(CONTROL!$C$15, $D$11, 100%, $F$11)</f>
        <v>18.2972</v>
      </c>
      <c r="I580" s="8">
        <f>17.2422 * CHOOSE(CONTROL!$C$15, $D$11, 100%, $F$11)</f>
        <v>17.2422</v>
      </c>
      <c r="J580" s="4">
        <f>17.1087 * CHOOSE(CONTROL!$C$15, $D$11, 100%, $F$11)</f>
        <v>17.108699999999999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59202</v>
      </c>
      <c r="B581" s="8">
        <f>18.4046 * CHOOSE(CONTROL!$C$15, $D$11, 100%, $F$11)</f>
        <v>18.404599999999999</v>
      </c>
      <c r="C581" s="8">
        <f>18.4097 * CHOOSE(CONTROL!$C$15, $D$11, 100%, $F$11)</f>
        <v>18.409700000000001</v>
      </c>
      <c r="D581" s="8">
        <f>18.3877 * CHOOSE( CONTROL!$C$15, $D$11, 100%, $F$11)</f>
        <v>18.387699999999999</v>
      </c>
      <c r="E581" s="12">
        <f>18.3952 * CHOOSE( CONTROL!$C$15, $D$11, 100%, $F$11)</f>
        <v>18.395199999999999</v>
      </c>
      <c r="F581" s="4">
        <f>19.0495 * CHOOSE(CONTROL!$C$15, $D$11, 100%, $F$11)</f>
        <v>19.049499999999998</v>
      </c>
      <c r="G581" s="8">
        <f>18.0805 * CHOOSE( CONTROL!$C$15, $D$11, 100%, $F$11)</f>
        <v>18.080500000000001</v>
      </c>
      <c r="H581" s="4">
        <f>18.9624 * CHOOSE(CONTROL!$C$15, $D$11, 100%, $F$11)</f>
        <v>18.962399999999999</v>
      </c>
      <c r="I581" s="8">
        <f>17.8682 * CHOOSE(CONTROL!$C$15, $D$11, 100%, $F$11)</f>
        <v>17.868200000000002</v>
      </c>
      <c r="J581" s="4">
        <f>17.7626 * CHOOSE(CONTROL!$C$15, $D$11, 100%, $F$11)</f>
        <v>17.762599999999999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59230</v>
      </c>
      <c r="B582" s="8">
        <f>17.2167 * CHOOSE(CONTROL!$C$15, $D$11, 100%, $F$11)</f>
        <v>17.216699999999999</v>
      </c>
      <c r="C582" s="8">
        <f>17.2218 * CHOOSE(CONTROL!$C$15, $D$11, 100%, $F$11)</f>
        <v>17.221800000000002</v>
      </c>
      <c r="D582" s="8">
        <f>17.1955 * CHOOSE( CONTROL!$C$15, $D$11, 100%, $F$11)</f>
        <v>17.195499999999999</v>
      </c>
      <c r="E582" s="12">
        <f>17.2046 * CHOOSE( CONTROL!$C$15, $D$11, 100%, $F$11)</f>
        <v>17.204599999999999</v>
      </c>
      <c r="F582" s="4">
        <f>17.8616 * CHOOSE(CONTROL!$C$15, $D$11, 100%, $F$11)</f>
        <v>17.861599999999999</v>
      </c>
      <c r="G582" s="8">
        <f>16.9039 * CHOOSE( CONTROL!$C$15, $D$11, 100%, $F$11)</f>
        <v>16.9039</v>
      </c>
      <c r="H582" s="4">
        <f>17.7942 * CHOOSE(CONTROL!$C$15, $D$11, 100%, $F$11)</f>
        <v>17.7942</v>
      </c>
      <c r="I582" s="8">
        <f>16.6903 * CHOOSE(CONTROL!$C$15, $D$11, 100%, $F$11)</f>
        <v>16.690300000000001</v>
      </c>
      <c r="J582" s="4">
        <f>16.6142 * CHOOSE(CONTROL!$C$15, $D$11, 100%, $F$11)</f>
        <v>16.6142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59261</v>
      </c>
      <c r="B583" s="8">
        <f>16.8509 * CHOOSE(CONTROL!$C$15, $D$11, 100%, $F$11)</f>
        <v>16.850899999999999</v>
      </c>
      <c r="C583" s="8">
        <f>16.856 * CHOOSE(CONTROL!$C$15, $D$11, 100%, $F$11)</f>
        <v>16.856000000000002</v>
      </c>
      <c r="D583" s="8">
        <f>16.83 * CHOOSE( CONTROL!$C$15, $D$11, 100%, $F$11)</f>
        <v>16.829999999999998</v>
      </c>
      <c r="E583" s="12">
        <f>16.839 * CHOOSE( CONTROL!$C$15, $D$11, 100%, $F$11)</f>
        <v>16.838999999999999</v>
      </c>
      <c r="F583" s="4">
        <f>17.4958 * CHOOSE(CONTROL!$C$15, $D$11, 100%, $F$11)</f>
        <v>17.495799999999999</v>
      </c>
      <c r="G583" s="8">
        <f>16.5443 * CHOOSE( CONTROL!$C$15, $D$11, 100%, $F$11)</f>
        <v>16.5443</v>
      </c>
      <c r="H583" s="4">
        <f>17.4344 * CHOOSE(CONTROL!$C$15, $D$11, 100%, $F$11)</f>
        <v>17.4344</v>
      </c>
      <c r="I583" s="8">
        <f>16.3376 * CHOOSE(CONTROL!$C$15, $D$11, 100%, $F$11)</f>
        <v>16.337599999999998</v>
      </c>
      <c r="J583" s="4">
        <f>16.2606 * CHOOSE(CONTROL!$C$15, $D$11, 100%, $F$11)</f>
        <v>16.2606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59291</v>
      </c>
      <c r="B584" s="8">
        <f>17.1073 * CHOOSE(CONTROL!$C$15, $D$11, 100%, $F$11)</f>
        <v>17.107299999999999</v>
      </c>
      <c r="C584" s="8">
        <f>17.1118 * CHOOSE(CONTROL!$C$15, $D$11, 100%, $F$11)</f>
        <v>17.111799999999999</v>
      </c>
      <c r="D584" s="8">
        <f>17.119 * CHOOSE( CONTROL!$C$15, $D$11, 100%, $F$11)</f>
        <v>17.119</v>
      </c>
      <c r="E584" s="12">
        <f>17.1161 * CHOOSE( CONTROL!$C$15, $D$11, 100%, $F$11)</f>
        <v>17.116099999999999</v>
      </c>
      <c r="F584" s="4">
        <f>17.7902 * CHOOSE(CONTROL!$C$15, $D$11, 100%, $F$11)</f>
        <v>17.790199999999999</v>
      </c>
      <c r="G584" s="8">
        <f>16.791 * CHOOSE( CONTROL!$C$15, $D$11, 100%, $F$11)</f>
        <v>16.791</v>
      </c>
      <c r="H584" s="4">
        <f>17.724 * CHOOSE(CONTROL!$C$15, $D$11, 100%, $F$11)</f>
        <v>17.724</v>
      </c>
      <c r="I584" s="8">
        <f>16.6047 * CHOOSE(CONTROL!$C$15, $D$11, 100%, $F$11)</f>
        <v>16.604700000000001</v>
      </c>
      <c r="J584" s="4">
        <f>16.5077 * CHOOSE(CONTROL!$C$15, $D$11, 100%, $F$11)</f>
        <v>16.5077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1.1791</v>
      </c>
      <c r="Q584" s="9">
        <v>19.053000000000001</v>
      </c>
      <c r="R584" s="9"/>
      <c r="S584" s="11"/>
    </row>
    <row r="585" spans="1:19" ht="15.75">
      <c r="A585" s="13">
        <v>59322</v>
      </c>
      <c r="B585" s="8">
        <f>CHOOSE( CONTROL!$C$32, 17.5669, 17.5637) * CHOOSE(CONTROL!$C$15, $D$11, 100%, $F$11)</f>
        <v>17.5669</v>
      </c>
      <c r="C585" s="8">
        <f>CHOOSE( CONTROL!$C$32, 17.5749, 17.5717) * CHOOSE(CONTROL!$C$15, $D$11, 100%, $F$11)</f>
        <v>17.5749</v>
      </c>
      <c r="D585" s="8">
        <f>CHOOSE( CONTROL!$C$32, 17.5772, 17.574) * CHOOSE( CONTROL!$C$15, $D$11, 100%, $F$11)</f>
        <v>17.577200000000001</v>
      </c>
      <c r="E585" s="12">
        <f>CHOOSE( CONTROL!$C$32, 17.5751, 17.5719) * CHOOSE( CONTROL!$C$15, $D$11, 100%, $F$11)</f>
        <v>17.575099999999999</v>
      </c>
      <c r="F585" s="4">
        <f>CHOOSE( CONTROL!$C$32, 18.2484, 18.2452) * CHOOSE(CONTROL!$C$15, $D$11, 100%, $F$11)</f>
        <v>18.2484</v>
      </c>
      <c r="G585" s="8">
        <f>CHOOSE( CONTROL!$C$32, 17.2428, 17.2396) * CHOOSE( CONTROL!$C$15, $D$11, 100%, $F$11)</f>
        <v>17.242799999999999</v>
      </c>
      <c r="H585" s="4">
        <f>CHOOSE( CONTROL!$C$32, 18.1746, 18.1714) * CHOOSE(CONTROL!$C$15, $D$11, 100%, $F$11)</f>
        <v>18.174600000000002</v>
      </c>
      <c r="I585" s="8">
        <f>CHOOSE( CONTROL!$C$32, 17.0494, 17.0463) * CHOOSE(CONTROL!$C$15, $D$11, 100%, $F$11)</f>
        <v>17.049399999999999</v>
      </c>
      <c r="J585" s="4">
        <f>CHOOSE( CONTROL!$C$32, 16.9507, 16.9476) * CHOOSE(CONTROL!$C$15, $D$11, 100%, $F$11)</f>
        <v>16.950700000000001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1.2183999999999999</v>
      </c>
      <c r="Q585" s="9">
        <v>19.688099999999999</v>
      </c>
      <c r="R585" s="9"/>
      <c r="S585" s="11"/>
    </row>
    <row r="586" spans="1:19" ht="15.75">
      <c r="A586" s="13">
        <v>59352</v>
      </c>
      <c r="B586" s="8">
        <f>CHOOSE( CONTROL!$C$32, 17.285, 17.2818) * CHOOSE(CONTROL!$C$15, $D$11, 100%, $F$11)</f>
        <v>17.285</v>
      </c>
      <c r="C586" s="8">
        <f>CHOOSE( CONTROL!$C$32, 17.293, 17.2898) * CHOOSE(CONTROL!$C$15, $D$11, 100%, $F$11)</f>
        <v>17.292999999999999</v>
      </c>
      <c r="D586" s="8">
        <f>CHOOSE( CONTROL!$C$32, 17.2956, 17.2924) * CHOOSE( CONTROL!$C$15, $D$11, 100%, $F$11)</f>
        <v>17.2956</v>
      </c>
      <c r="E586" s="12">
        <f>CHOOSE( CONTROL!$C$32, 17.2934, 17.2902) * CHOOSE( CONTROL!$C$15, $D$11, 100%, $F$11)</f>
        <v>17.293399999999998</v>
      </c>
      <c r="F586" s="4">
        <f>CHOOSE( CONTROL!$C$32, 17.9666, 17.9634) * CHOOSE(CONTROL!$C$15, $D$11, 100%, $F$11)</f>
        <v>17.9666</v>
      </c>
      <c r="G586" s="8">
        <f>CHOOSE( CONTROL!$C$32, 16.966, 16.9629) * CHOOSE( CONTROL!$C$15, $D$11, 100%, $F$11)</f>
        <v>16.966000000000001</v>
      </c>
      <c r="H586" s="4">
        <f>CHOOSE( CONTROL!$C$32, 17.8974, 17.8942) * CHOOSE(CONTROL!$C$15, $D$11, 100%, $F$11)</f>
        <v>17.897400000000001</v>
      </c>
      <c r="I586" s="8">
        <f>CHOOSE( CONTROL!$C$32, 16.7782, 16.7751) * CHOOSE(CONTROL!$C$15, $D$11, 100%, $F$11)</f>
        <v>16.778199999999998</v>
      </c>
      <c r="J586" s="4">
        <f>CHOOSE( CONTROL!$C$32, 16.6782, 16.6751) * CHOOSE(CONTROL!$C$15, $D$11, 100%, $F$11)</f>
        <v>16.6782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1.1791</v>
      </c>
      <c r="Q586" s="9">
        <v>19.053000000000001</v>
      </c>
      <c r="R586" s="9"/>
      <c r="S586" s="11"/>
    </row>
    <row r="587" spans="1:19" ht="15.75">
      <c r="A587" s="13">
        <v>59383</v>
      </c>
      <c r="B587" s="8">
        <f>CHOOSE( CONTROL!$C$32, 18.0273, 18.0241) * CHOOSE(CONTROL!$C$15, $D$11, 100%, $F$11)</f>
        <v>18.0273</v>
      </c>
      <c r="C587" s="8">
        <f>CHOOSE( CONTROL!$C$32, 18.0353, 18.0321) * CHOOSE(CONTROL!$C$15, $D$11, 100%, $F$11)</f>
        <v>18.035299999999999</v>
      </c>
      <c r="D587" s="8">
        <f>CHOOSE( CONTROL!$C$32, 18.0382, 18.035) * CHOOSE( CONTROL!$C$15, $D$11, 100%, $F$11)</f>
        <v>18.0382</v>
      </c>
      <c r="E587" s="12">
        <f>CHOOSE( CONTROL!$C$32, 18.0359, 18.0327) * CHOOSE( CONTROL!$C$15, $D$11, 100%, $F$11)</f>
        <v>18.035900000000002</v>
      </c>
      <c r="F587" s="4">
        <f>CHOOSE( CONTROL!$C$32, 18.7088, 18.7056) * CHOOSE(CONTROL!$C$15, $D$11, 100%, $F$11)</f>
        <v>18.7088</v>
      </c>
      <c r="G587" s="8">
        <f>CHOOSE( CONTROL!$C$32, 17.6964, 17.6933) * CHOOSE( CONTROL!$C$15, $D$11, 100%, $F$11)</f>
        <v>17.696400000000001</v>
      </c>
      <c r="H587" s="4">
        <f>CHOOSE( CONTROL!$C$32, 18.6273, 18.6242) * CHOOSE(CONTROL!$C$15, $D$11, 100%, $F$11)</f>
        <v>18.627300000000002</v>
      </c>
      <c r="I587" s="8">
        <f>CHOOSE( CONTROL!$C$32, 17.4976, 17.4945) * CHOOSE(CONTROL!$C$15, $D$11, 100%, $F$11)</f>
        <v>17.497599999999998</v>
      </c>
      <c r="J587" s="4">
        <f>CHOOSE( CONTROL!$C$32, 17.3957, 17.3926) * CHOOSE(CONTROL!$C$15, $D$11, 100%, $F$11)</f>
        <v>17.395700000000001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59414</v>
      </c>
      <c r="B588" s="8">
        <f>CHOOSE( CONTROL!$C$32, 16.6384, 16.6352) * CHOOSE(CONTROL!$C$15, $D$11, 100%, $F$11)</f>
        <v>16.638400000000001</v>
      </c>
      <c r="C588" s="8">
        <f>CHOOSE( CONTROL!$C$32, 16.6464, 16.6432) * CHOOSE(CONTROL!$C$15, $D$11, 100%, $F$11)</f>
        <v>16.6464</v>
      </c>
      <c r="D588" s="8">
        <f>CHOOSE( CONTROL!$C$32, 16.6495, 16.6463) * CHOOSE( CONTROL!$C$15, $D$11, 100%, $F$11)</f>
        <v>16.6495</v>
      </c>
      <c r="E588" s="12">
        <f>CHOOSE( CONTROL!$C$32, 16.6472, 16.644) * CHOOSE( CONTROL!$C$15, $D$11, 100%, $F$11)</f>
        <v>16.647200000000002</v>
      </c>
      <c r="F588" s="4">
        <f>CHOOSE( CONTROL!$C$32, 17.32, 17.3168) * CHOOSE(CONTROL!$C$15, $D$11, 100%, $F$11)</f>
        <v>17.32</v>
      </c>
      <c r="G588" s="8">
        <f>CHOOSE( CONTROL!$C$32, 16.3309, 16.3277) * CHOOSE( CONTROL!$C$15, $D$11, 100%, $F$11)</f>
        <v>16.3309</v>
      </c>
      <c r="H588" s="4">
        <f>CHOOSE( CONTROL!$C$32, 17.2615, 17.2584) * CHOOSE(CONTROL!$C$15, $D$11, 100%, $F$11)</f>
        <v>17.261500000000002</v>
      </c>
      <c r="I588" s="8">
        <f>CHOOSE( CONTROL!$C$32, 16.1551, 16.152) * CHOOSE(CONTROL!$C$15, $D$11, 100%, $F$11)</f>
        <v>16.155100000000001</v>
      </c>
      <c r="J588" s="4">
        <f>CHOOSE( CONTROL!$C$32, 16.0531, 16.05) * CHOOSE(CONTROL!$C$15, $D$11, 100%, $F$11)</f>
        <v>16.053100000000001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1.2183999999999999</v>
      </c>
      <c r="Q588" s="9">
        <v>19.688099999999999</v>
      </c>
      <c r="R588" s="9"/>
      <c r="S588" s="11"/>
    </row>
    <row r="589" spans="1:19" ht="15.75">
      <c r="A589" s="13">
        <v>59444</v>
      </c>
      <c r="B589" s="8">
        <f>CHOOSE( CONTROL!$C$32, 16.2906, 16.2874) * CHOOSE(CONTROL!$C$15, $D$11, 100%, $F$11)</f>
        <v>16.290600000000001</v>
      </c>
      <c r="C589" s="8">
        <f>CHOOSE( CONTROL!$C$32, 16.2987, 16.2955) * CHOOSE(CONTROL!$C$15, $D$11, 100%, $F$11)</f>
        <v>16.2987</v>
      </c>
      <c r="D589" s="8">
        <f>CHOOSE( CONTROL!$C$32, 16.3018, 16.2986) * CHOOSE( CONTROL!$C$15, $D$11, 100%, $F$11)</f>
        <v>16.3018</v>
      </c>
      <c r="E589" s="12">
        <f>CHOOSE( CONTROL!$C$32, 16.2994, 16.2962) * CHOOSE( CONTROL!$C$15, $D$11, 100%, $F$11)</f>
        <v>16.299399999999999</v>
      </c>
      <c r="F589" s="4">
        <f>CHOOSE( CONTROL!$C$32, 16.9722, 16.969) * CHOOSE(CONTROL!$C$15, $D$11, 100%, $F$11)</f>
        <v>16.972200000000001</v>
      </c>
      <c r="G589" s="8">
        <f>CHOOSE( CONTROL!$C$32, 15.9889, 15.9858) * CHOOSE( CONTROL!$C$15, $D$11, 100%, $F$11)</f>
        <v>15.988899999999999</v>
      </c>
      <c r="H589" s="4">
        <f>CHOOSE( CONTROL!$C$32, 16.9195, 16.9164) * CHOOSE(CONTROL!$C$15, $D$11, 100%, $F$11)</f>
        <v>16.919499999999999</v>
      </c>
      <c r="I589" s="8">
        <f>CHOOSE( CONTROL!$C$32, 15.8189, 15.8158) * CHOOSE(CONTROL!$C$15, $D$11, 100%, $F$11)</f>
        <v>15.818899999999999</v>
      </c>
      <c r="J589" s="4">
        <f>CHOOSE( CONTROL!$C$32, 15.7169, 15.7138) * CHOOSE(CONTROL!$C$15, $D$11, 100%, $F$11)</f>
        <v>15.716900000000001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1.1791</v>
      </c>
      <c r="Q589" s="9">
        <v>19.053000000000001</v>
      </c>
      <c r="R589" s="9"/>
      <c r="S589" s="11"/>
    </row>
    <row r="590" spans="1:19" ht="15.75">
      <c r="A590" s="13">
        <v>59475</v>
      </c>
      <c r="B590" s="8">
        <f>17.0078 * CHOOSE(CONTROL!$C$15, $D$11, 100%, $F$11)</f>
        <v>17.0078</v>
      </c>
      <c r="C590" s="8">
        <f>17.0132 * CHOOSE(CONTROL!$C$15, $D$11, 100%, $F$11)</f>
        <v>17.013200000000001</v>
      </c>
      <c r="D590" s="8">
        <f>17.0211 * CHOOSE( CONTROL!$C$15, $D$11, 100%, $F$11)</f>
        <v>17.021100000000001</v>
      </c>
      <c r="E590" s="12">
        <f>17.0179 * CHOOSE( CONTROL!$C$15, $D$11, 100%, $F$11)</f>
        <v>17.017900000000001</v>
      </c>
      <c r="F590" s="4">
        <f>17.6911 * CHOOSE(CONTROL!$C$15, $D$11, 100%, $F$11)</f>
        <v>17.691099999999999</v>
      </c>
      <c r="G590" s="8">
        <f>16.6954 * CHOOSE( CONTROL!$C$15, $D$11, 100%, $F$11)</f>
        <v>16.695399999999999</v>
      </c>
      <c r="H590" s="4">
        <f>17.6265 * CHOOSE(CONTROL!$C$15, $D$11, 100%, $F$11)</f>
        <v>17.6265</v>
      </c>
      <c r="I590" s="8">
        <f>16.5148 * CHOOSE(CONTROL!$C$15, $D$11, 100%, $F$11)</f>
        <v>16.514800000000001</v>
      </c>
      <c r="J590" s="4">
        <f>16.4119 * CHOOSE(CONTROL!$C$15, $D$11, 100%, $F$11)</f>
        <v>16.411899999999999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1.2183999999999999</v>
      </c>
      <c r="Q590" s="9">
        <v>19.688099999999999</v>
      </c>
      <c r="R590" s="9"/>
      <c r="S590" s="11"/>
    </row>
    <row r="591" spans="1:19" ht="15.75">
      <c r="A591" s="13">
        <v>59505</v>
      </c>
      <c r="B591" s="8">
        <f>18.3403 * CHOOSE(CONTROL!$C$15, $D$11, 100%, $F$11)</f>
        <v>18.340299999999999</v>
      </c>
      <c r="C591" s="8">
        <f>18.3454 * CHOOSE(CONTROL!$C$15, $D$11, 100%, $F$11)</f>
        <v>18.345400000000001</v>
      </c>
      <c r="D591" s="8">
        <f>18.3229 * CHOOSE( CONTROL!$C$15, $D$11, 100%, $F$11)</f>
        <v>18.322900000000001</v>
      </c>
      <c r="E591" s="12">
        <f>18.3306 * CHOOSE( CONTROL!$C$15, $D$11, 100%, $F$11)</f>
        <v>18.3306</v>
      </c>
      <c r="F591" s="4">
        <f>18.9852 * CHOOSE(CONTROL!$C$15, $D$11, 100%, $F$11)</f>
        <v>18.985199999999999</v>
      </c>
      <c r="G591" s="8">
        <f>18.0188 * CHOOSE( CONTROL!$C$15, $D$11, 100%, $F$11)</f>
        <v>18.018799999999999</v>
      </c>
      <c r="H591" s="4">
        <f>18.8991 * CHOOSE(CONTROL!$C$15, $D$11, 100%, $F$11)</f>
        <v>18.899100000000001</v>
      </c>
      <c r="I591" s="8">
        <f>17.8296 * CHOOSE(CONTROL!$C$15, $D$11, 100%, $F$11)</f>
        <v>17.829599999999999</v>
      </c>
      <c r="J591" s="4">
        <f>17.7004 * CHOOSE(CONTROL!$C$15, $D$11, 100%, $F$11)</f>
        <v>17.700399999999998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59536</v>
      </c>
      <c r="B592" s="8">
        <f>18.307 * CHOOSE(CONTROL!$C$15, $D$11, 100%, $F$11)</f>
        <v>18.306999999999999</v>
      </c>
      <c r="C592" s="8">
        <f>18.3121 * CHOOSE(CONTROL!$C$15, $D$11, 100%, $F$11)</f>
        <v>18.312100000000001</v>
      </c>
      <c r="D592" s="8">
        <f>18.2911 * CHOOSE( CONTROL!$C$15, $D$11, 100%, $F$11)</f>
        <v>18.2911</v>
      </c>
      <c r="E592" s="12">
        <f>18.2982 * CHOOSE( CONTROL!$C$15, $D$11, 100%, $F$11)</f>
        <v>18.298200000000001</v>
      </c>
      <c r="F592" s="4">
        <f>18.9519 * CHOOSE(CONTROL!$C$15, $D$11, 100%, $F$11)</f>
        <v>18.951899999999998</v>
      </c>
      <c r="G592" s="8">
        <f>17.9871 * CHOOSE( CONTROL!$C$15, $D$11, 100%, $F$11)</f>
        <v>17.987100000000002</v>
      </c>
      <c r="H592" s="4">
        <f>18.8664 * CHOOSE(CONTROL!$C$15, $D$11, 100%, $F$11)</f>
        <v>18.866399999999999</v>
      </c>
      <c r="I592" s="8">
        <f>17.802 * CHOOSE(CONTROL!$C$15, $D$11, 100%, $F$11)</f>
        <v>17.802</v>
      </c>
      <c r="J592" s="4">
        <f>17.6682 * CHOOSE(CONTROL!$C$15, $D$11, 100%, $F$11)</f>
        <v>17.668199999999999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59567</v>
      </c>
      <c r="B593" s="8">
        <f>19.0055 * CHOOSE(CONTROL!$C$15, $D$11, 100%, $F$11)</f>
        <v>19.005500000000001</v>
      </c>
      <c r="C593" s="8">
        <f>19.0106 * CHOOSE(CONTROL!$C$15, $D$11, 100%, $F$11)</f>
        <v>19.0106</v>
      </c>
      <c r="D593" s="8">
        <f>18.9886 * CHOOSE( CONTROL!$C$15, $D$11, 100%, $F$11)</f>
        <v>18.988600000000002</v>
      </c>
      <c r="E593" s="12">
        <f>18.9961 * CHOOSE( CONTROL!$C$15, $D$11, 100%, $F$11)</f>
        <v>18.996099999999998</v>
      </c>
      <c r="F593" s="4">
        <f>19.6504 * CHOOSE(CONTROL!$C$15, $D$11, 100%, $F$11)</f>
        <v>19.650400000000001</v>
      </c>
      <c r="G593" s="8">
        <f>18.6715 * CHOOSE( CONTROL!$C$15, $D$11, 100%, $F$11)</f>
        <v>18.671500000000002</v>
      </c>
      <c r="H593" s="4">
        <f>19.5533 * CHOOSE(CONTROL!$C$15, $D$11, 100%, $F$11)</f>
        <v>19.5533</v>
      </c>
      <c r="I593" s="8">
        <f>18.4493 * CHOOSE(CONTROL!$C$15, $D$11, 100%, $F$11)</f>
        <v>18.449300000000001</v>
      </c>
      <c r="J593" s="4">
        <f>18.3435 * CHOOSE(CONTROL!$C$15, $D$11, 100%, $F$11)</f>
        <v>18.343499999999999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59595</v>
      </c>
      <c r="B594" s="8">
        <f>17.7788 * CHOOSE(CONTROL!$C$15, $D$11, 100%, $F$11)</f>
        <v>17.7788</v>
      </c>
      <c r="C594" s="8">
        <f>17.7839 * CHOOSE(CONTROL!$C$15, $D$11, 100%, $F$11)</f>
        <v>17.783899999999999</v>
      </c>
      <c r="D594" s="8">
        <f>17.7575 * CHOOSE( CONTROL!$C$15, $D$11, 100%, $F$11)</f>
        <v>17.7575</v>
      </c>
      <c r="E594" s="12">
        <f>17.7666 * CHOOSE( CONTROL!$C$15, $D$11, 100%, $F$11)</f>
        <v>17.7666</v>
      </c>
      <c r="F594" s="4">
        <f>18.4237 * CHOOSE(CONTROL!$C$15, $D$11, 100%, $F$11)</f>
        <v>18.4237</v>
      </c>
      <c r="G594" s="8">
        <f>17.4566 * CHOOSE( CONTROL!$C$15, $D$11, 100%, $F$11)</f>
        <v>17.456600000000002</v>
      </c>
      <c r="H594" s="4">
        <f>18.3469 * CHOOSE(CONTROL!$C$15, $D$11, 100%, $F$11)</f>
        <v>18.346900000000002</v>
      </c>
      <c r="I594" s="8">
        <f>17.2339 * CHOOSE(CONTROL!$C$15, $D$11, 100%, $F$11)</f>
        <v>17.233899999999998</v>
      </c>
      <c r="J594" s="4">
        <f>17.1576 * CHOOSE(CONTROL!$C$15, $D$11, 100%, $F$11)</f>
        <v>17.157599999999999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59626</v>
      </c>
      <c r="B595" s="8">
        <f>17.401 * CHOOSE(CONTROL!$C$15, $D$11, 100%, $F$11)</f>
        <v>17.401</v>
      </c>
      <c r="C595" s="8">
        <f>17.4061 * CHOOSE(CONTROL!$C$15, $D$11, 100%, $F$11)</f>
        <v>17.406099999999999</v>
      </c>
      <c r="D595" s="8">
        <f>17.3801 * CHOOSE( CONTROL!$C$15, $D$11, 100%, $F$11)</f>
        <v>17.380099999999999</v>
      </c>
      <c r="E595" s="12">
        <f>17.3891 * CHOOSE( CONTROL!$C$15, $D$11, 100%, $F$11)</f>
        <v>17.389099999999999</v>
      </c>
      <c r="F595" s="4">
        <f>18.0459 * CHOOSE(CONTROL!$C$15, $D$11, 100%, $F$11)</f>
        <v>18.0459</v>
      </c>
      <c r="G595" s="8">
        <f>17.0853 * CHOOSE( CONTROL!$C$15, $D$11, 100%, $F$11)</f>
        <v>17.0853</v>
      </c>
      <c r="H595" s="4">
        <f>17.9754 * CHOOSE(CONTROL!$C$15, $D$11, 100%, $F$11)</f>
        <v>17.9754</v>
      </c>
      <c r="I595" s="8">
        <f>16.8697 * CHOOSE(CONTROL!$C$15, $D$11, 100%, $F$11)</f>
        <v>16.869700000000002</v>
      </c>
      <c r="J595" s="4">
        <f>16.7923 * CHOOSE(CONTROL!$C$15, $D$11, 100%, $F$11)</f>
        <v>16.792300000000001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59656</v>
      </c>
      <c r="B596" s="8">
        <f>17.6658 * CHOOSE(CONTROL!$C$15, $D$11, 100%, $F$11)</f>
        <v>17.665800000000001</v>
      </c>
      <c r="C596" s="8">
        <f>17.6703 * CHOOSE(CONTROL!$C$15, $D$11, 100%, $F$11)</f>
        <v>17.670300000000001</v>
      </c>
      <c r="D596" s="8">
        <f>17.6775 * CHOOSE( CONTROL!$C$15, $D$11, 100%, $F$11)</f>
        <v>17.677499999999998</v>
      </c>
      <c r="E596" s="12">
        <f>17.6746 * CHOOSE( CONTROL!$C$15, $D$11, 100%, $F$11)</f>
        <v>17.674600000000002</v>
      </c>
      <c r="F596" s="4">
        <f>18.3487 * CHOOSE(CONTROL!$C$15, $D$11, 100%, $F$11)</f>
        <v>18.348700000000001</v>
      </c>
      <c r="G596" s="8">
        <f>17.3402 * CHOOSE( CONTROL!$C$15, $D$11, 100%, $F$11)</f>
        <v>17.340199999999999</v>
      </c>
      <c r="H596" s="4">
        <f>18.2732 * CHOOSE(CONTROL!$C$15, $D$11, 100%, $F$11)</f>
        <v>18.273199999999999</v>
      </c>
      <c r="I596" s="8">
        <f>17.1448 * CHOOSE(CONTROL!$C$15, $D$11, 100%, $F$11)</f>
        <v>17.1448</v>
      </c>
      <c r="J596" s="4">
        <f>17.0476 * CHOOSE(CONTROL!$C$15, $D$11, 100%, $F$11)</f>
        <v>17.047599999999999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1.1791</v>
      </c>
      <c r="Q596" s="9">
        <v>19.053000000000001</v>
      </c>
      <c r="R596" s="9"/>
      <c r="S596" s="11"/>
    </row>
    <row r="597" spans="1:19" ht="15.75">
      <c r="A597" s="13">
        <v>59687</v>
      </c>
      <c r="B597" s="8">
        <f>CHOOSE( CONTROL!$C$32, 18.1402, 18.137) * CHOOSE(CONTROL!$C$15, $D$11, 100%, $F$11)</f>
        <v>18.1402</v>
      </c>
      <c r="C597" s="8">
        <f>CHOOSE( CONTROL!$C$32, 18.1482, 18.145) * CHOOSE(CONTROL!$C$15, $D$11, 100%, $F$11)</f>
        <v>18.148199999999999</v>
      </c>
      <c r="D597" s="8">
        <f>CHOOSE( CONTROL!$C$32, 18.1505, 18.1474) * CHOOSE( CONTROL!$C$15, $D$11, 100%, $F$11)</f>
        <v>18.150500000000001</v>
      </c>
      <c r="E597" s="12">
        <f>CHOOSE( CONTROL!$C$32, 18.1484, 18.1453) * CHOOSE( CONTROL!$C$15, $D$11, 100%, $F$11)</f>
        <v>18.148399999999999</v>
      </c>
      <c r="F597" s="4">
        <f>CHOOSE( CONTROL!$C$32, 18.8218, 18.8186) * CHOOSE(CONTROL!$C$15, $D$11, 100%, $F$11)</f>
        <v>18.8218</v>
      </c>
      <c r="G597" s="8">
        <f>CHOOSE( CONTROL!$C$32, 17.8066, 17.8035) * CHOOSE( CONTROL!$C$15, $D$11, 100%, $F$11)</f>
        <v>17.8066</v>
      </c>
      <c r="H597" s="4">
        <f>CHOOSE( CONTROL!$C$32, 18.7384, 18.7353) * CHOOSE(CONTROL!$C$15, $D$11, 100%, $F$11)</f>
        <v>18.738399999999999</v>
      </c>
      <c r="I597" s="8">
        <f>CHOOSE( CONTROL!$C$32, 17.604, 17.6009) * CHOOSE(CONTROL!$C$15, $D$11, 100%, $F$11)</f>
        <v>17.603999999999999</v>
      </c>
      <c r="J597" s="4">
        <f>CHOOSE( CONTROL!$C$32, 17.5049, 17.5018) * CHOOSE(CONTROL!$C$15, $D$11, 100%, $F$11)</f>
        <v>17.504899999999999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1.2183999999999999</v>
      </c>
      <c r="Q597" s="9">
        <v>19.688099999999999</v>
      </c>
      <c r="R597" s="9"/>
      <c r="S597" s="11"/>
    </row>
    <row r="598" spans="1:19" ht="15.75">
      <c r="A598" s="13">
        <v>59717</v>
      </c>
      <c r="B598" s="8">
        <f>CHOOSE( CONTROL!$C$32, 17.8491, 17.8459) * CHOOSE(CONTROL!$C$15, $D$11, 100%, $F$11)</f>
        <v>17.8491</v>
      </c>
      <c r="C598" s="8">
        <f>CHOOSE( CONTROL!$C$32, 17.8571, 17.8539) * CHOOSE(CONTROL!$C$15, $D$11, 100%, $F$11)</f>
        <v>17.857099999999999</v>
      </c>
      <c r="D598" s="8">
        <f>CHOOSE( CONTROL!$C$32, 17.8598, 17.8566) * CHOOSE( CONTROL!$C$15, $D$11, 100%, $F$11)</f>
        <v>17.8598</v>
      </c>
      <c r="E598" s="12">
        <f>CHOOSE( CONTROL!$C$32, 17.8576, 17.8544) * CHOOSE( CONTROL!$C$15, $D$11, 100%, $F$11)</f>
        <v>17.857600000000001</v>
      </c>
      <c r="F598" s="4">
        <f>CHOOSE( CONTROL!$C$32, 18.5307, 18.5275) * CHOOSE(CONTROL!$C$15, $D$11, 100%, $F$11)</f>
        <v>18.5307</v>
      </c>
      <c r="G598" s="8">
        <f>CHOOSE( CONTROL!$C$32, 17.5208, 17.5177) * CHOOSE( CONTROL!$C$15, $D$11, 100%, $F$11)</f>
        <v>17.520800000000001</v>
      </c>
      <c r="H598" s="4">
        <f>CHOOSE( CONTROL!$C$32, 18.4522, 18.449) * CHOOSE(CONTROL!$C$15, $D$11, 100%, $F$11)</f>
        <v>18.452200000000001</v>
      </c>
      <c r="I598" s="8">
        <f>CHOOSE( CONTROL!$C$32, 17.3238, 17.3207) * CHOOSE(CONTROL!$C$15, $D$11, 100%, $F$11)</f>
        <v>17.323799999999999</v>
      </c>
      <c r="J598" s="4">
        <f>CHOOSE( CONTROL!$C$32, 17.2235, 17.2204) * CHOOSE(CONTROL!$C$15, $D$11, 100%, $F$11)</f>
        <v>17.223500000000001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1.1791</v>
      </c>
      <c r="Q598" s="9">
        <v>19.053000000000001</v>
      </c>
      <c r="R598" s="9"/>
      <c r="S598" s="11"/>
    </row>
    <row r="599" spans="1:19" ht="15.75">
      <c r="A599" s="13">
        <v>59748</v>
      </c>
      <c r="B599" s="8">
        <f>CHOOSE( CONTROL!$C$32, 18.6157, 18.6125) * CHOOSE(CONTROL!$C$15, $D$11, 100%, $F$11)</f>
        <v>18.6157</v>
      </c>
      <c r="C599" s="8">
        <f>CHOOSE( CONTROL!$C$32, 18.6237, 18.6205) * CHOOSE(CONTROL!$C$15, $D$11, 100%, $F$11)</f>
        <v>18.623699999999999</v>
      </c>
      <c r="D599" s="8">
        <f>CHOOSE( CONTROL!$C$32, 18.6266, 18.6234) * CHOOSE( CONTROL!$C$15, $D$11, 100%, $F$11)</f>
        <v>18.6266</v>
      </c>
      <c r="E599" s="12">
        <f>CHOOSE( CONTROL!$C$32, 18.6243, 18.6211) * CHOOSE( CONTROL!$C$15, $D$11, 100%, $F$11)</f>
        <v>18.624300000000002</v>
      </c>
      <c r="F599" s="4">
        <f>CHOOSE( CONTROL!$C$32, 19.2972, 19.294) * CHOOSE(CONTROL!$C$15, $D$11, 100%, $F$11)</f>
        <v>19.2972</v>
      </c>
      <c r="G599" s="8">
        <f>CHOOSE( CONTROL!$C$32, 18.2751, 18.2719) * CHOOSE( CONTROL!$C$15, $D$11, 100%, $F$11)</f>
        <v>18.275099999999998</v>
      </c>
      <c r="H599" s="4">
        <f>CHOOSE( CONTROL!$C$32, 19.206, 19.2028) * CHOOSE(CONTROL!$C$15, $D$11, 100%, $F$11)</f>
        <v>19.206</v>
      </c>
      <c r="I599" s="8">
        <f>CHOOSE( CONTROL!$C$32, 18.0667, 18.0636) * CHOOSE(CONTROL!$C$15, $D$11, 100%, $F$11)</f>
        <v>18.066700000000001</v>
      </c>
      <c r="J599" s="4">
        <f>CHOOSE( CONTROL!$C$32, 17.9645, 17.9614) * CHOOSE(CONTROL!$C$15, $D$11, 100%, $F$11)</f>
        <v>17.964500000000001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59779</v>
      </c>
      <c r="B600" s="8">
        <f>CHOOSE( CONTROL!$C$32, 17.1814, 17.1782) * CHOOSE(CONTROL!$C$15, $D$11, 100%, $F$11)</f>
        <v>17.1814</v>
      </c>
      <c r="C600" s="8">
        <f>CHOOSE( CONTROL!$C$32, 17.1894, 17.1862) * CHOOSE(CONTROL!$C$15, $D$11, 100%, $F$11)</f>
        <v>17.189399999999999</v>
      </c>
      <c r="D600" s="8">
        <f>CHOOSE( CONTROL!$C$32, 17.1925, 17.1893) * CHOOSE( CONTROL!$C$15, $D$11, 100%, $F$11)</f>
        <v>17.192499999999999</v>
      </c>
      <c r="E600" s="12">
        <f>CHOOSE( CONTROL!$C$32, 17.1902, 17.187) * CHOOSE( CONTROL!$C$15, $D$11, 100%, $F$11)</f>
        <v>17.190200000000001</v>
      </c>
      <c r="F600" s="4">
        <f>CHOOSE( CONTROL!$C$32, 17.8629, 17.8597) * CHOOSE(CONTROL!$C$15, $D$11, 100%, $F$11)</f>
        <v>17.8629</v>
      </c>
      <c r="G600" s="8">
        <f>CHOOSE( CONTROL!$C$32, 16.8649, 16.8617) * CHOOSE( CONTROL!$C$15, $D$11, 100%, $F$11)</f>
        <v>16.864899999999999</v>
      </c>
      <c r="H600" s="4">
        <f>CHOOSE( CONTROL!$C$32, 17.7955, 17.7924) * CHOOSE(CONTROL!$C$15, $D$11, 100%, $F$11)</f>
        <v>17.795500000000001</v>
      </c>
      <c r="I600" s="8">
        <f>CHOOSE( CONTROL!$C$32, 16.6802, 16.6772) * CHOOSE(CONTROL!$C$15, $D$11, 100%, $F$11)</f>
        <v>16.680199999999999</v>
      </c>
      <c r="J600" s="4">
        <f>CHOOSE( CONTROL!$C$32, 16.578, 16.5749) * CHOOSE(CONTROL!$C$15, $D$11, 100%, $F$11)</f>
        <v>16.577999999999999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1.2183999999999999</v>
      </c>
      <c r="Q600" s="9">
        <v>19.688099999999999</v>
      </c>
      <c r="R600" s="9"/>
      <c r="S600" s="11"/>
    </row>
    <row r="601" spans="1:19" ht="15.75">
      <c r="A601" s="13">
        <v>59809</v>
      </c>
      <c r="B601" s="8">
        <f>CHOOSE( CONTROL!$C$32, 16.8222, 16.819) * CHOOSE(CONTROL!$C$15, $D$11, 100%, $F$11)</f>
        <v>16.822199999999999</v>
      </c>
      <c r="C601" s="8">
        <f>CHOOSE( CONTROL!$C$32, 16.8303, 16.8271) * CHOOSE(CONTROL!$C$15, $D$11, 100%, $F$11)</f>
        <v>16.830300000000001</v>
      </c>
      <c r="D601" s="8">
        <f>CHOOSE( CONTROL!$C$32, 16.8334, 16.8302) * CHOOSE( CONTROL!$C$15, $D$11, 100%, $F$11)</f>
        <v>16.833400000000001</v>
      </c>
      <c r="E601" s="12">
        <f>CHOOSE( CONTROL!$C$32, 16.831, 16.8278) * CHOOSE( CONTROL!$C$15, $D$11, 100%, $F$11)</f>
        <v>16.831</v>
      </c>
      <c r="F601" s="4">
        <f>CHOOSE( CONTROL!$C$32, 17.5038, 17.5006) * CHOOSE(CONTROL!$C$15, $D$11, 100%, $F$11)</f>
        <v>17.503799999999998</v>
      </c>
      <c r="G601" s="8">
        <f>CHOOSE( CONTROL!$C$32, 16.5117, 16.5086) * CHOOSE( CONTROL!$C$15, $D$11, 100%, $F$11)</f>
        <v>16.511700000000001</v>
      </c>
      <c r="H601" s="4">
        <f>CHOOSE( CONTROL!$C$32, 17.4423, 17.4392) * CHOOSE(CONTROL!$C$15, $D$11, 100%, $F$11)</f>
        <v>17.442299999999999</v>
      </c>
      <c r="I601" s="8">
        <f>CHOOSE( CONTROL!$C$32, 16.333, 16.3299) * CHOOSE(CONTROL!$C$15, $D$11, 100%, $F$11)</f>
        <v>16.332999999999998</v>
      </c>
      <c r="J601" s="4">
        <f>CHOOSE( CONTROL!$C$32, 16.2308, 16.2277) * CHOOSE(CONTROL!$C$15, $D$11, 100%, $F$11)</f>
        <v>16.230799999999999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1.1791</v>
      </c>
      <c r="Q601" s="9">
        <v>19.053000000000001</v>
      </c>
      <c r="R601" s="9"/>
      <c r="S601" s="11"/>
    </row>
    <row r="602" spans="1:19" ht="15.75">
      <c r="A602" s="13">
        <v>59840</v>
      </c>
      <c r="B602" s="8">
        <f>17.563 * CHOOSE(CONTROL!$C$15, $D$11, 100%, $F$11)</f>
        <v>17.562999999999999</v>
      </c>
      <c r="C602" s="8">
        <f>17.5684 * CHOOSE(CONTROL!$C$15, $D$11, 100%, $F$11)</f>
        <v>17.5684</v>
      </c>
      <c r="D602" s="8">
        <f>17.5763 * CHOOSE( CONTROL!$C$15, $D$11, 100%, $F$11)</f>
        <v>17.5763</v>
      </c>
      <c r="E602" s="12">
        <f>17.5731 * CHOOSE( CONTROL!$C$15, $D$11, 100%, $F$11)</f>
        <v>17.5731</v>
      </c>
      <c r="F602" s="4">
        <f>18.2463 * CHOOSE(CONTROL!$C$15, $D$11, 100%, $F$11)</f>
        <v>18.246300000000002</v>
      </c>
      <c r="G602" s="8">
        <f>17.2414 * CHOOSE( CONTROL!$C$15, $D$11, 100%, $F$11)</f>
        <v>17.241399999999999</v>
      </c>
      <c r="H602" s="4">
        <f>18.1725 * CHOOSE(CONTROL!$C$15, $D$11, 100%, $F$11)</f>
        <v>18.172499999999999</v>
      </c>
      <c r="I602" s="8">
        <f>17.0518 * CHOOSE(CONTROL!$C$15, $D$11, 100%, $F$11)</f>
        <v>17.0518</v>
      </c>
      <c r="J602" s="4">
        <f>16.9486 * CHOOSE(CONTROL!$C$15, $D$11, 100%, $F$11)</f>
        <v>16.948599999999999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1.2183999999999999</v>
      </c>
      <c r="Q602" s="9">
        <v>19.688099999999999</v>
      </c>
      <c r="R602" s="9"/>
      <c r="S602" s="11"/>
    </row>
    <row r="603" spans="1:19" ht="15.75">
      <c r="A603" s="13">
        <v>59870</v>
      </c>
      <c r="B603" s="8">
        <f>18.9391 * CHOOSE(CONTROL!$C$15, $D$11, 100%, $F$11)</f>
        <v>18.9391</v>
      </c>
      <c r="C603" s="8">
        <f>18.9442 * CHOOSE(CONTROL!$C$15, $D$11, 100%, $F$11)</f>
        <v>18.944199999999999</v>
      </c>
      <c r="D603" s="8">
        <f>18.9217 * CHOOSE( CONTROL!$C$15, $D$11, 100%, $F$11)</f>
        <v>18.921700000000001</v>
      </c>
      <c r="E603" s="12">
        <f>18.9294 * CHOOSE( CONTROL!$C$15, $D$11, 100%, $F$11)</f>
        <v>18.929400000000001</v>
      </c>
      <c r="F603" s="4">
        <f>19.584 * CHOOSE(CONTROL!$C$15, $D$11, 100%, $F$11)</f>
        <v>19.584</v>
      </c>
      <c r="G603" s="8">
        <f>18.6077 * CHOOSE( CONTROL!$C$15, $D$11, 100%, $F$11)</f>
        <v>18.607700000000001</v>
      </c>
      <c r="H603" s="4">
        <f>19.488 * CHOOSE(CONTROL!$C$15, $D$11, 100%, $F$11)</f>
        <v>19.488</v>
      </c>
      <c r="I603" s="8">
        <f>18.4087 * CHOOSE(CONTROL!$C$15, $D$11, 100%, $F$11)</f>
        <v>18.4087</v>
      </c>
      <c r="J603" s="4">
        <f>18.2793 * CHOOSE(CONTROL!$C$15, $D$11, 100%, $F$11)</f>
        <v>18.279299999999999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59901</v>
      </c>
      <c r="B604" s="8">
        <f>18.9047 * CHOOSE(CONTROL!$C$15, $D$11, 100%, $F$11)</f>
        <v>18.904699999999998</v>
      </c>
      <c r="C604" s="8">
        <f>18.9098 * CHOOSE(CONTROL!$C$15, $D$11, 100%, $F$11)</f>
        <v>18.909800000000001</v>
      </c>
      <c r="D604" s="8">
        <f>18.8888 * CHOOSE( CONTROL!$C$15, $D$11, 100%, $F$11)</f>
        <v>18.8888</v>
      </c>
      <c r="E604" s="12">
        <f>18.8959 * CHOOSE( CONTROL!$C$15, $D$11, 100%, $F$11)</f>
        <v>18.895900000000001</v>
      </c>
      <c r="F604" s="4">
        <f>19.5496 * CHOOSE(CONTROL!$C$15, $D$11, 100%, $F$11)</f>
        <v>19.549600000000002</v>
      </c>
      <c r="G604" s="8">
        <f>18.5749 * CHOOSE( CONTROL!$C$15, $D$11, 100%, $F$11)</f>
        <v>18.5749</v>
      </c>
      <c r="H604" s="4">
        <f>19.4542 * CHOOSE(CONTROL!$C$15, $D$11, 100%, $F$11)</f>
        <v>19.4542</v>
      </c>
      <c r="I604" s="8">
        <f>18.3801 * CHOOSE(CONTROL!$C$15, $D$11, 100%, $F$11)</f>
        <v>18.380099999999999</v>
      </c>
      <c r="J604" s="4">
        <f>18.246 * CHOOSE(CONTROL!$C$15, $D$11, 100%, $F$11)</f>
        <v>18.245999999999999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59932</v>
      </c>
      <c r="B605" s="8">
        <f>19.6261 * CHOOSE(CONTROL!$C$15, $D$11, 100%, $F$11)</f>
        <v>19.626100000000001</v>
      </c>
      <c r="C605" s="8">
        <f>19.6312 * CHOOSE(CONTROL!$C$15, $D$11, 100%, $F$11)</f>
        <v>19.6312</v>
      </c>
      <c r="D605" s="8">
        <f>19.6092 * CHOOSE( CONTROL!$C$15, $D$11, 100%, $F$11)</f>
        <v>19.609200000000001</v>
      </c>
      <c r="E605" s="12">
        <f>19.6167 * CHOOSE( CONTROL!$C$15, $D$11, 100%, $F$11)</f>
        <v>19.616700000000002</v>
      </c>
      <c r="F605" s="4">
        <f>20.271 * CHOOSE(CONTROL!$C$15, $D$11, 100%, $F$11)</f>
        <v>20.271000000000001</v>
      </c>
      <c r="G605" s="8">
        <f>19.2817 * CHOOSE( CONTROL!$C$15, $D$11, 100%, $F$11)</f>
        <v>19.281700000000001</v>
      </c>
      <c r="H605" s="4">
        <f>20.1636 * CHOOSE(CONTROL!$C$15, $D$11, 100%, $F$11)</f>
        <v>20.163599999999999</v>
      </c>
      <c r="I605" s="8">
        <f>19.0495 * CHOOSE(CONTROL!$C$15, $D$11, 100%, $F$11)</f>
        <v>19.049499999999998</v>
      </c>
      <c r="J605" s="4">
        <f>18.9434 * CHOOSE(CONTROL!$C$15, $D$11, 100%, $F$11)</f>
        <v>18.9434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59961</v>
      </c>
      <c r="B606" s="8">
        <f>18.3592 * CHOOSE(CONTROL!$C$15, $D$11, 100%, $F$11)</f>
        <v>18.359200000000001</v>
      </c>
      <c r="C606" s="8">
        <f>18.3644 * CHOOSE(CONTROL!$C$15, $D$11, 100%, $F$11)</f>
        <v>18.3644</v>
      </c>
      <c r="D606" s="8">
        <f>18.338 * CHOOSE( CONTROL!$C$15, $D$11, 100%, $F$11)</f>
        <v>18.338000000000001</v>
      </c>
      <c r="E606" s="12">
        <f>18.3471 * CHOOSE( CONTROL!$C$15, $D$11, 100%, $F$11)</f>
        <v>18.347100000000001</v>
      </c>
      <c r="F606" s="4">
        <f>19.0041 * CHOOSE(CONTROL!$C$15, $D$11, 100%, $F$11)</f>
        <v>19.004100000000001</v>
      </c>
      <c r="G606" s="8">
        <f>18.0274 * CHOOSE( CONTROL!$C$15, $D$11, 100%, $F$11)</f>
        <v>18.0274</v>
      </c>
      <c r="H606" s="4">
        <f>18.9178 * CHOOSE(CONTROL!$C$15, $D$11, 100%, $F$11)</f>
        <v>18.9178</v>
      </c>
      <c r="I606" s="8">
        <f>17.7953 * CHOOSE(CONTROL!$C$15, $D$11, 100%, $F$11)</f>
        <v>17.795300000000001</v>
      </c>
      <c r="J606" s="4">
        <f>17.7187 * CHOOSE(CONTROL!$C$15, $D$11, 100%, $F$11)</f>
        <v>17.718699999999998</v>
      </c>
      <c r="K606" s="4"/>
      <c r="L606" s="9">
        <v>27.415299999999998</v>
      </c>
      <c r="M606" s="9">
        <v>11.285299999999999</v>
      </c>
      <c r="N606" s="9">
        <v>4.6254999999999997</v>
      </c>
      <c r="O606" s="9">
        <v>0.34989999999999999</v>
      </c>
      <c r="P606" s="9">
        <v>1.2093</v>
      </c>
      <c r="Q606" s="9">
        <v>18.417899999999999</v>
      </c>
      <c r="R606" s="9"/>
      <c r="S606" s="11"/>
    </row>
    <row r="607" spans="1:19" ht="15.75">
      <c r="A607" s="13">
        <v>59992</v>
      </c>
      <c r="B607" s="8">
        <f>17.9691 * CHOOSE(CONTROL!$C$15, $D$11, 100%, $F$11)</f>
        <v>17.969100000000001</v>
      </c>
      <c r="C607" s="8">
        <f>17.9742 * CHOOSE(CONTROL!$C$15, $D$11, 100%, $F$11)</f>
        <v>17.9742</v>
      </c>
      <c r="D607" s="8">
        <f>17.9482 * CHOOSE( CONTROL!$C$15, $D$11, 100%, $F$11)</f>
        <v>17.9482</v>
      </c>
      <c r="E607" s="12">
        <f>17.9572 * CHOOSE( CONTROL!$C$15, $D$11, 100%, $F$11)</f>
        <v>17.9572</v>
      </c>
      <c r="F607" s="4">
        <f>18.6139 * CHOOSE(CONTROL!$C$15, $D$11, 100%, $F$11)</f>
        <v>18.613900000000001</v>
      </c>
      <c r="G607" s="8">
        <f>17.644 * CHOOSE( CONTROL!$C$15, $D$11, 100%, $F$11)</f>
        <v>17.643999999999998</v>
      </c>
      <c r="H607" s="4">
        <f>18.5341 * CHOOSE(CONTROL!$C$15, $D$11, 100%, $F$11)</f>
        <v>18.534099999999999</v>
      </c>
      <c r="I607" s="8">
        <f>17.4191 * CHOOSE(CONTROL!$C$15, $D$11, 100%, $F$11)</f>
        <v>17.4191</v>
      </c>
      <c r="J607" s="4">
        <f>17.3415 * CHOOSE(CONTROL!$C$15, $D$11, 100%, $F$11)</f>
        <v>17.3415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60022</v>
      </c>
      <c r="B608" s="8">
        <f>18.2425 * CHOOSE(CONTROL!$C$15, $D$11, 100%, $F$11)</f>
        <v>18.2425</v>
      </c>
      <c r="C608" s="8">
        <f>18.247 * CHOOSE(CONTROL!$C$15, $D$11, 100%, $F$11)</f>
        <v>18.247</v>
      </c>
      <c r="D608" s="8">
        <f>18.2542 * CHOOSE( CONTROL!$C$15, $D$11, 100%, $F$11)</f>
        <v>18.254200000000001</v>
      </c>
      <c r="E608" s="12">
        <f>18.2513 * CHOOSE( CONTROL!$C$15, $D$11, 100%, $F$11)</f>
        <v>18.251300000000001</v>
      </c>
      <c r="F608" s="4">
        <f>18.9254 * CHOOSE(CONTROL!$C$15, $D$11, 100%, $F$11)</f>
        <v>18.9254</v>
      </c>
      <c r="G608" s="8">
        <f>17.9074 * CHOOSE( CONTROL!$C$15, $D$11, 100%, $F$11)</f>
        <v>17.907399999999999</v>
      </c>
      <c r="H608" s="4">
        <f>18.8403 * CHOOSE(CONTROL!$C$15, $D$11, 100%, $F$11)</f>
        <v>18.840299999999999</v>
      </c>
      <c r="I608" s="8">
        <f>17.7026 * CHOOSE(CONTROL!$C$15, $D$11, 100%, $F$11)</f>
        <v>17.7026</v>
      </c>
      <c r="J608" s="4">
        <f>17.6051 * CHOOSE(CONTROL!$C$15, $D$11, 100%, $F$11)</f>
        <v>17.6051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1.1791</v>
      </c>
      <c r="Q608" s="9">
        <v>19.053000000000001</v>
      </c>
      <c r="R608" s="9"/>
      <c r="S608" s="11"/>
    </row>
    <row r="609" spans="1:19" ht="15.75">
      <c r="A609" s="13">
        <v>60053</v>
      </c>
      <c r="B609" s="8">
        <f>CHOOSE( CONTROL!$C$32, 18.7323, 18.7291) * CHOOSE(CONTROL!$C$15, $D$11, 100%, $F$11)</f>
        <v>18.732299999999999</v>
      </c>
      <c r="C609" s="8">
        <f>CHOOSE( CONTROL!$C$32, 18.7403, 18.7371) * CHOOSE(CONTROL!$C$15, $D$11, 100%, $F$11)</f>
        <v>18.740300000000001</v>
      </c>
      <c r="D609" s="8">
        <f>CHOOSE( CONTROL!$C$32, 18.7426, 18.7394) * CHOOSE( CONTROL!$C$15, $D$11, 100%, $F$11)</f>
        <v>18.742599999999999</v>
      </c>
      <c r="E609" s="12">
        <f>CHOOSE( CONTROL!$C$32, 18.7405, 18.7373) * CHOOSE( CONTROL!$C$15, $D$11, 100%, $F$11)</f>
        <v>18.740500000000001</v>
      </c>
      <c r="F609" s="4">
        <f>CHOOSE( CONTROL!$C$32, 19.4138, 19.4106) * CHOOSE(CONTROL!$C$15, $D$11, 100%, $F$11)</f>
        <v>19.413799999999998</v>
      </c>
      <c r="G609" s="8">
        <f>CHOOSE( CONTROL!$C$32, 18.3889, 18.3858) * CHOOSE( CONTROL!$C$15, $D$11, 100%, $F$11)</f>
        <v>18.3889</v>
      </c>
      <c r="H609" s="4">
        <f>CHOOSE( CONTROL!$C$32, 19.3207, 19.3175) * CHOOSE(CONTROL!$C$15, $D$11, 100%, $F$11)</f>
        <v>19.320699999999999</v>
      </c>
      <c r="I609" s="8">
        <f>CHOOSE( CONTROL!$C$32, 18.1766, 18.1735) * CHOOSE(CONTROL!$C$15, $D$11, 100%, $F$11)</f>
        <v>18.176600000000001</v>
      </c>
      <c r="J609" s="4">
        <f>CHOOSE( CONTROL!$C$32, 18.0773, 18.0742) * CHOOSE(CONTROL!$C$15, $D$11, 100%, $F$11)</f>
        <v>18.077300000000001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1.2183999999999999</v>
      </c>
      <c r="Q609" s="9">
        <v>19.688099999999999</v>
      </c>
      <c r="R609" s="9"/>
      <c r="S609" s="11"/>
    </row>
    <row r="610" spans="1:19" ht="15.75">
      <c r="A610" s="13">
        <v>60083</v>
      </c>
      <c r="B610" s="8">
        <f>CHOOSE( CONTROL!$C$32, 18.4317, 18.4285) * CHOOSE(CONTROL!$C$15, $D$11, 100%, $F$11)</f>
        <v>18.431699999999999</v>
      </c>
      <c r="C610" s="8">
        <f>CHOOSE( CONTROL!$C$32, 18.4397, 18.4365) * CHOOSE(CONTROL!$C$15, $D$11, 100%, $F$11)</f>
        <v>18.439699999999998</v>
      </c>
      <c r="D610" s="8">
        <f>CHOOSE( CONTROL!$C$32, 18.4423, 18.4391) * CHOOSE( CONTROL!$C$15, $D$11, 100%, $F$11)</f>
        <v>18.442299999999999</v>
      </c>
      <c r="E610" s="12">
        <f>CHOOSE( CONTROL!$C$32, 18.4401, 18.4369) * CHOOSE( CONTROL!$C$15, $D$11, 100%, $F$11)</f>
        <v>18.440100000000001</v>
      </c>
      <c r="F610" s="4">
        <f>CHOOSE( CONTROL!$C$32, 19.1132, 19.11) * CHOOSE(CONTROL!$C$15, $D$11, 100%, $F$11)</f>
        <v>19.113199999999999</v>
      </c>
      <c r="G610" s="8">
        <f>CHOOSE( CONTROL!$C$32, 18.0937, 18.0906) * CHOOSE( CONTROL!$C$15, $D$11, 100%, $F$11)</f>
        <v>18.093699999999998</v>
      </c>
      <c r="H610" s="4">
        <f>CHOOSE( CONTROL!$C$32, 19.0251, 19.0219) * CHOOSE(CONTROL!$C$15, $D$11, 100%, $F$11)</f>
        <v>19.025099999999998</v>
      </c>
      <c r="I610" s="8">
        <f>CHOOSE( CONTROL!$C$32, 17.8873, 17.8842) * CHOOSE(CONTROL!$C$15, $D$11, 100%, $F$11)</f>
        <v>17.8873</v>
      </c>
      <c r="J610" s="4">
        <f>CHOOSE( CONTROL!$C$32, 17.7867, 17.7836) * CHOOSE(CONTROL!$C$15, $D$11, 100%, $F$11)</f>
        <v>17.7867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1.1791</v>
      </c>
      <c r="Q610" s="9">
        <v>19.053000000000001</v>
      </c>
      <c r="R610" s="9"/>
      <c r="S610" s="11"/>
    </row>
    <row r="611" spans="1:19" ht="15.75">
      <c r="A611" s="13">
        <v>60114</v>
      </c>
      <c r="B611" s="8">
        <f>CHOOSE( CONTROL!$C$32, 19.2233, 19.2201) * CHOOSE(CONTROL!$C$15, $D$11, 100%, $F$11)</f>
        <v>19.223299999999998</v>
      </c>
      <c r="C611" s="8">
        <f>CHOOSE( CONTROL!$C$32, 19.2313, 19.2281) * CHOOSE(CONTROL!$C$15, $D$11, 100%, $F$11)</f>
        <v>19.231300000000001</v>
      </c>
      <c r="D611" s="8">
        <f>CHOOSE( CONTROL!$C$32, 19.2342, 19.231) * CHOOSE( CONTROL!$C$15, $D$11, 100%, $F$11)</f>
        <v>19.234200000000001</v>
      </c>
      <c r="E611" s="12">
        <f>CHOOSE( CONTROL!$C$32, 19.2319, 19.2287) * CHOOSE( CONTROL!$C$15, $D$11, 100%, $F$11)</f>
        <v>19.2319</v>
      </c>
      <c r="F611" s="4">
        <f>CHOOSE( CONTROL!$C$32, 19.9048, 19.9016) * CHOOSE(CONTROL!$C$15, $D$11, 100%, $F$11)</f>
        <v>19.904800000000002</v>
      </c>
      <c r="G611" s="8">
        <f>CHOOSE( CONTROL!$C$32, 18.8726, 18.8695) * CHOOSE( CONTROL!$C$15, $D$11, 100%, $F$11)</f>
        <v>18.872599999999998</v>
      </c>
      <c r="H611" s="4">
        <f>CHOOSE( CONTROL!$C$32, 19.8035, 19.8004) * CHOOSE(CONTROL!$C$15, $D$11, 100%, $F$11)</f>
        <v>19.8035</v>
      </c>
      <c r="I611" s="8">
        <f>CHOOSE( CONTROL!$C$32, 18.6544, 18.6513) * CHOOSE(CONTROL!$C$15, $D$11, 100%, $F$11)</f>
        <v>18.654399999999999</v>
      </c>
      <c r="J611" s="4">
        <f>CHOOSE( CONTROL!$C$32, 18.5519, 18.5488) * CHOOSE(CONTROL!$C$15, $D$11, 100%, $F$11)</f>
        <v>18.5519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60145</v>
      </c>
      <c r="B612" s="8">
        <f>CHOOSE( CONTROL!$C$32, 17.7421, 17.7389) * CHOOSE(CONTROL!$C$15, $D$11, 100%, $F$11)</f>
        <v>17.742100000000001</v>
      </c>
      <c r="C612" s="8">
        <f>CHOOSE( CONTROL!$C$32, 17.7502, 17.747) * CHOOSE(CONTROL!$C$15, $D$11, 100%, $F$11)</f>
        <v>17.7502</v>
      </c>
      <c r="D612" s="8">
        <f>CHOOSE( CONTROL!$C$32, 17.7532, 17.75) * CHOOSE( CONTROL!$C$15, $D$11, 100%, $F$11)</f>
        <v>17.7532</v>
      </c>
      <c r="E612" s="12">
        <f>CHOOSE( CONTROL!$C$32, 17.7509, 17.7477) * CHOOSE( CONTROL!$C$15, $D$11, 100%, $F$11)</f>
        <v>17.750900000000001</v>
      </c>
      <c r="F612" s="4">
        <f>CHOOSE( CONTROL!$C$32, 18.4237, 18.4205) * CHOOSE(CONTROL!$C$15, $D$11, 100%, $F$11)</f>
        <v>18.4237</v>
      </c>
      <c r="G612" s="8">
        <f>CHOOSE( CONTROL!$C$32, 17.4163, 17.4131) * CHOOSE( CONTROL!$C$15, $D$11, 100%, $F$11)</f>
        <v>17.4163</v>
      </c>
      <c r="H612" s="4">
        <f>CHOOSE( CONTROL!$C$32, 18.3469, 18.3438) * CHOOSE(CONTROL!$C$15, $D$11, 100%, $F$11)</f>
        <v>18.346900000000002</v>
      </c>
      <c r="I612" s="8">
        <f>CHOOSE( CONTROL!$C$32, 17.2226, 17.2195) * CHOOSE(CONTROL!$C$15, $D$11, 100%, $F$11)</f>
        <v>17.2226</v>
      </c>
      <c r="J612" s="4">
        <f>CHOOSE( CONTROL!$C$32, 17.1201, 17.117) * CHOOSE(CONTROL!$C$15, $D$11, 100%, $F$11)</f>
        <v>17.120100000000001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1.2183999999999999</v>
      </c>
      <c r="Q612" s="9">
        <v>19.688099999999999</v>
      </c>
      <c r="R612" s="9"/>
      <c r="S612" s="11"/>
    </row>
    <row r="613" spans="1:19" ht="15.75">
      <c r="A613" s="13">
        <v>60175</v>
      </c>
      <c r="B613" s="8">
        <f>CHOOSE( CONTROL!$C$32, 17.3712, 17.368) * CHOOSE(CONTROL!$C$15, $D$11, 100%, $F$11)</f>
        <v>17.371200000000002</v>
      </c>
      <c r="C613" s="8">
        <f>CHOOSE( CONTROL!$C$32, 17.3793, 17.3761) * CHOOSE(CONTROL!$C$15, $D$11, 100%, $F$11)</f>
        <v>17.379300000000001</v>
      </c>
      <c r="D613" s="8">
        <f>CHOOSE( CONTROL!$C$32, 17.3824, 17.3792) * CHOOSE( CONTROL!$C$15, $D$11, 100%, $F$11)</f>
        <v>17.382400000000001</v>
      </c>
      <c r="E613" s="12">
        <f>CHOOSE( CONTROL!$C$32, 17.38, 17.3768) * CHOOSE( CONTROL!$C$15, $D$11, 100%, $F$11)</f>
        <v>17.38</v>
      </c>
      <c r="F613" s="4">
        <f>CHOOSE( CONTROL!$C$32, 18.0528, 18.0496) * CHOOSE(CONTROL!$C$15, $D$11, 100%, $F$11)</f>
        <v>18.052800000000001</v>
      </c>
      <c r="G613" s="8">
        <f>CHOOSE( CONTROL!$C$32, 17.0516, 17.0484) * CHOOSE( CONTROL!$C$15, $D$11, 100%, $F$11)</f>
        <v>17.051600000000001</v>
      </c>
      <c r="H613" s="4">
        <f>CHOOSE( CONTROL!$C$32, 17.9822, 17.9791) * CHOOSE(CONTROL!$C$15, $D$11, 100%, $F$11)</f>
        <v>17.982199999999999</v>
      </c>
      <c r="I613" s="8">
        <f>CHOOSE( CONTROL!$C$32, 16.864, 16.8609) * CHOOSE(CONTROL!$C$15, $D$11, 100%, $F$11)</f>
        <v>16.864000000000001</v>
      </c>
      <c r="J613" s="4">
        <f>CHOOSE( CONTROL!$C$32, 16.7615, 16.7584) * CHOOSE(CONTROL!$C$15, $D$11, 100%, $F$11)</f>
        <v>16.761500000000002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1.1791</v>
      </c>
      <c r="Q613" s="9">
        <v>19.053000000000001</v>
      </c>
      <c r="R613" s="9"/>
      <c r="S613" s="11"/>
    </row>
    <row r="614" spans="1:19" ht="15.75">
      <c r="A614" s="13">
        <v>60206</v>
      </c>
      <c r="B614" s="8">
        <f>18.1364 * CHOOSE(CONTROL!$C$15, $D$11, 100%, $F$11)</f>
        <v>18.136399999999998</v>
      </c>
      <c r="C614" s="8">
        <f>18.1418 * CHOOSE(CONTROL!$C$15, $D$11, 100%, $F$11)</f>
        <v>18.1418</v>
      </c>
      <c r="D614" s="8">
        <f>18.1497 * CHOOSE( CONTROL!$C$15, $D$11, 100%, $F$11)</f>
        <v>18.149699999999999</v>
      </c>
      <c r="E614" s="12">
        <f>18.1465 * CHOOSE( CONTROL!$C$15, $D$11, 100%, $F$11)</f>
        <v>18.1465</v>
      </c>
      <c r="F614" s="4">
        <f>18.8197 * CHOOSE(CONTROL!$C$15, $D$11, 100%, $F$11)</f>
        <v>18.819700000000001</v>
      </c>
      <c r="G614" s="8">
        <f>17.8053 * CHOOSE( CONTROL!$C$15, $D$11, 100%, $F$11)</f>
        <v>17.805299999999999</v>
      </c>
      <c r="H614" s="4">
        <f>18.7364 * CHOOSE(CONTROL!$C$15, $D$11, 100%, $F$11)</f>
        <v>18.7364</v>
      </c>
      <c r="I614" s="8">
        <f>17.6063 * CHOOSE(CONTROL!$C$15, $D$11, 100%, $F$11)</f>
        <v>17.606300000000001</v>
      </c>
      <c r="J614" s="4">
        <f>17.5029 * CHOOSE(CONTROL!$C$15, $D$11, 100%, $F$11)</f>
        <v>17.5029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1.2183999999999999</v>
      </c>
      <c r="Q614" s="9">
        <v>19.688099999999999</v>
      </c>
      <c r="R614" s="9"/>
      <c r="S614" s="11"/>
    </row>
    <row r="615" spans="1:19" ht="15.75">
      <c r="A615" s="13">
        <v>60236</v>
      </c>
      <c r="B615" s="8">
        <f>19.5575 * CHOOSE(CONTROL!$C$15, $D$11, 100%, $F$11)</f>
        <v>19.557500000000001</v>
      </c>
      <c r="C615" s="8">
        <f>19.5626 * CHOOSE(CONTROL!$C$15, $D$11, 100%, $F$11)</f>
        <v>19.5626</v>
      </c>
      <c r="D615" s="8">
        <f>19.5401 * CHOOSE( CONTROL!$C$15, $D$11, 100%, $F$11)</f>
        <v>19.540099999999999</v>
      </c>
      <c r="E615" s="12">
        <f>19.5478 * CHOOSE( CONTROL!$C$15, $D$11, 100%, $F$11)</f>
        <v>19.547799999999999</v>
      </c>
      <c r="F615" s="4">
        <f>20.2024 * CHOOSE(CONTROL!$C$15, $D$11, 100%, $F$11)</f>
        <v>20.202400000000001</v>
      </c>
      <c r="G615" s="8">
        <f>19.2158 * CHOOSE( CONTROL!$C$15, $D$11, 100%, $F$11)</f>
        <v>19.215800000000002</v>
      </c>
      <c r="H615" s="4">
        <f>20.0962 * CHOOSE(CONTROL!$C$15, $D$11, 100%, $F$11)</f>
        <v>20.0962</v>
      </c>
      <c r="I615" s="8">
        <f>19.0068 * CHOOSE(CONTROL!$C$15, $D$11, 100%, $F$11)</f>
        <v>19.006799999999998</v>
      </c>
      <c r="J615" s="4">
        <f>18.8771 * CHOOSE(CONTROL!$C$15, $D$11, 100%, $F$11)</f>
        <v>18.877099999999999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60267</v>
      </c>
      <c r="B616" s="8">
        <f>19.522 * CHOOSE(CONTROL!$C$15, $D$11, 100%, $F$11)</f>
        <v>19.521999999999998</v>
      </c>
      <c r="C616" s="8">
        <f>19.5271 * CHOOSE(CONTROL!$C$15, $D$11, 100%, $F$11)</f>
        <v>19.527100000000001</v>
      </c>
      <c r="D616" s="8">
        <f>19.5061 * CHOOSE( CONTROL!$C$15, $D$11, 100%, $F$11)</f>
        <v>19.5061</v>
      </c>
      <c r="E616" s="12">
        <f>19.5132 * CHOOSE( CONTROL!$C$15, $D$11, 100%, $F$11)</f>
        <v>19.513200000000001</v>
      </c>
      <c r="F616" s="4">
        <f>20.1669 * CHOOSE(CONTROL!$C$15, $D$11, 100%, $F$11)</f>
        <v>20.166899999999998</v>
      </c>
      <c r="G616" s="8">
        <f>19.1819 * CHOOSE( CONTROL!$C$15, $D$11, 100%, $F$11)</f>
        <v>19.181899999999999</v>
      </c>
      <c r="H616" s="4">
        <f>20.0612 * CHOOSE(CONTROL!$C$15, $D$11, 100%, $F$11)</f>
        <v>20.061199999999999</v>
      </c>
      <c r="I616" s="8">
        <f>18.9771 * CHOOSE(CONTROL!$C$15, $D$11, 100%, $F$11)</f>
        <v>18.9771</v>
      </c>
      <c r="J616" s="4">
        <f>18.8427 * CHOOSE(CONTROL!$C$15, $D$11, 100%, $F$11)</f>
        <v>18.842700000000001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60298</v>
      </c>
      <c r="B617" s="8">
        <f>20.2669 * CHOOSE(CONTROL!$C$15, $D$11, 100%, $F$11)</f>
        <v>20.2669</v>
      </c>
      <c r="C617" s="8">
        <f>20.2721 * CHOOSE(CONTROL!$C$15, $D$11, 100%, $F$11)</f>
        <v>20.272099999999998</v>
      </c>
      <c r="D617" s="8">
        <f>20.2501 * CHOOSE( CONTROL!$C$15, $D$11, 100%, $F$11)</f>
        <v>20.2501</v>
      </c>
      <c r="E617" s="12">
        <f>20.2576 * CHOOSE( CONTROL!$C$15, $D$11, 100%, $F$11)</f>
        <v>20.2576</v>
      </c>
      <c r="F617" s="4">
        <f>20.9118 * CHOOSE(CONTROL!$C$15, $D$11, 100%, $F$11)</f>
        <v>20.911799999999999</v>
      </c>
      <c r="G617" s="8">
        <f>19.912 * CHOOSE( CONTROL!$C$15, $D$11, 100%, $F$11)</f>
        <v>19.911999999999999</v>
      </c>
      <c r="H617" s="4">
        <f>20.7938 * CHOOSE(CONTROL!$C$15, $D$11, 100%, $F$11)</f>
        <v>20.793800000000001</v>
      </c>
      <c r="I617" s="8">
        <f>19.6694 * CHOOSE(CONTROL!$C$15, $D$11, 100%, $F$11)</f>
        <v>19.6694</v>
      </c>
      <c r="J617" s="4">
        <f>19.5629 * CHOOSE(CONTROL!$C$15, $D$11, 100%, $F$11)</f>
        <v>19.562899999999999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60326</v>
      </c>
      <c r="B618" s="8">
        <f>18.9587 * CHOOSE(CONTROL!$C$15, $D$11, 100%, $F$11)</f>
        <v>18.9587</v>
      </c>
      <c r="C618" s="8">
        <f>18.9638 * CHOOSE(CONTROL!$C$15, $D$11, 100%, $F$11)</f>
        <v>18.963799999999999</v>
      </c>
      <c r="D618" s="8">
        <f>18.9374 * CHOOSE( CONTROL!$C$15, $D$11, 100%, $F$11)</f>
        <v>18.9374</v>
      </c>
      <c r="E618" s="12">
        <f>18.9465 * CHOOSE( CONTROL!$C$15, $D$11, 100%, $F$11)</f>
        <v>18.9465</v>
      </c>
      <c r="F618" s="4">
        <f>19.6036 * CHOOSE(CONTROL!$C$15, $D$11, 100%, $F$11)</f>
        <v>19.6036</v>
      </c>
      <c r="G618" s="8">
        <f>18.6169 * CHOOSE( CONTROL!$C$15, $D$11, 100%, $F$11)</f>
        <v>18.616900000000001</v>
      </c>
      <c r="H618" s="4">
        <f>19.5073 * CHOOSE(CONTROL!$C$15, $D$11, 100%, $F$11)</f>
        <v>19.507300000000001</v>
      </c>
      <c r="I618" s="8">
        <f>18.375 * CHOOSE(CONTROL!$C$15, $D$11, 100%, $F$11)</f>
        <v>18.375</v>
      </c>
      <c r="J618" s="4">
        <f>18.2982 * CHOOSE(CONTROL!$C$15, $D$11, 100%, $F$11)</f>
        <v>18.298200000000001</v>
      </c>
      <c r="K618" s="4"/>
      <c r="L618" s="9">
        <v>26.469899999999999</v>
      </c>
      <c r="M618" s="9">
        <v>10.8962</v>
      </c>
      <c r="N618" s="9">
        <v>4.4660000000000002</v>
      </c>
      <c r="O618" s="9">
        <v>0.33789999999999998</v>
      </c>
      <c r="P618" s="9">
        <v>1.1676</v>
      </c>
      <c r="Q618" s="9">
        <v>17.782800000000002</v>
      </c>
      <c r="R618" s="9"/>
      <c r="S618" s="11"/>
    </row>
    <row r="619" spans="1:19" ht="15.75">
      <c r="A619" s="13">
        <v>60357</v>
      </c>
      <c r="B619" s="8">
        <f>18.5557 * CHOOSE(CONTROL!$C$15, $D$11, 100%, $F$11)</f>
        <v>18.555700000000002</v>
      </c>
      <c r="C619" s="8">
        <f>18.5608 * CHOOSE(CONTROL!$C$15, $D$11, 100%, $F$11)</f>
        <v>18.5608</v>
      </c>
      <c r="D619" s="8">
        <f>18.5348 * CHOOSE( CONTROL!$C$15, $D$11, 100%, $F$11)</f>
        <v>18.534800000000001</v>
      </c>
      <c r="E619" s="12">
        <f>18.5438 * CHOOSE( CONTROL!$C$15, $D$11, 100%, $F$11)</f>
        <v>18.543800000000001</v>
      </c>
      <c r="F619" s="4">
        <f>19.2006 * CHOOSE(CONTROL!$C$15, $D$11, 100%, $F$11)</f>
        <v>19.200600000000001</v>
      </c>
      <c r="G619" s="8">
        <f>18.2209 * CHOOSE( CONTROL!$C$15, $D$11, 100%, $F$11)</f>
        <v>18.2209</v>
      </c>
      <c r="H619" s="4">
        <f>19.111 * CHOOSE(CONTROL!$C$15, $D$11, 100%, $F$11)</f>
        <v>19.111000000000001</v>
      </c>
      <c r="I619" s="8">
        <f>17.9865 * CHOOSE(CONTROL!$C$15, $D$11, 100%, $F$11)</f>
        <v>17.986499999999999</v>
      </c>
      <c r="J619" s="4">
        <f>17.9086 * CHOOSE(CONTROL!$C$15, $D$11, 100%, $F$11)</f>
        <v>17.9086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60387</v>
      </c>
      <c r="B620" s="8">
        <f>18.8381 * CHOOSE(CONTROL!$C$15, $D$11, 100%, $F$11)</f>
        <v>18.838100000000001</v>
      </c>
      <c r="C620" s="8">
        <f>18.8426 * CHOOSE(CONTROL!$C$15, $D$11, 100%, $F$11)</f>
        <v>18.842600000000001</v>
      </c>
      <c r="D620" s="8">
        <f>18.8498 * CHOOSE( CONTROL!$C$15, $D$11, 100%, $F$11)</f>
        <v>18.849799999999998</v>
      </c>
      <c r="E620" s="12">
        <f>18.8469 * CHOOSE( CONTROL!$C$15, $D$11, 100%, $F$11)</f>
        <v>18.846900000000002</v>
      </c>
      <c r="F620" s="4">
        <f>19.521 * CHOOSE(CONTROL!$C$15, $D$11, 100%, $F$11)</f>
        <v>19.521000000000001</v>
      </c>
      <c r="G620" s="8">
        <f>18.4931 * CHOOSE( CONTROL!$C$15, $D$11, 100%, $F$11)</f>
        <v>18.493099999999998</v>
      </c>
      <c r="H620" s="4">
        <f>19.426 * CHOOSE(CONTROL!$C$15, $D$11, 100%, $F$11)</f>
        <v>19.425999999999998</v>
      </c>
      <c r="I620" s="8">
        <f>18.2787 * CHOOSE(CONTROL!$C$15, $D$11, 100%, $F$11)</f>
        <v>18.278700000000001</v>
      </c>
      <c r="J620" s="4">
        <f>18.1808 * CHOOSE(CONTROL!$C$15, $D$11, 100%, $F$11)</f>
        <v>18.180800000000001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1.1791</v>
      </c>
      <c r="Q620" s="9">
        <v>19.053000000000001</v>
      </c>
      <c r="R620" s="9"/>
      <c r="S620" s="11"/>
    </row>
    <row r="621" spans="1:19" ht="15.75">
      <c r="A621" s="13">
        <v>60418</v>
      </c>
      <c r="B621" s="8">
        <f>CHOOSE( CONTROL!$C$32, 19.3438, 19.3406) * CHOOSE(CONTROL!$C$15, $D$11, 100%, $F$11)</f>
        <v>19.343800000000002</v>
      </c>
      <c r="C621" s="8">
        <f>CHOOSE( CONTROL!$C$32, 19.3518, 19.3486) * CHOOSE(CONTROL!$C$15, $D$11, 100%, $F$11)</f>
        <v>19.351800000000001</v>
      </c>
      <c r="D621" s="8">
        <f>CHOOSE( CONTROL!$C$32, 19.3541, 19.3509) * CHOOSE( CONTROL!$C$15, $D$11, 100%, $F$11)</f>
        <v>19.354099999999999</v>
      </c>
      <c r="E621" s="12">
        <f>CHOOSE( CONTROL!$C$32, 19.352, 19.3488) * CHOOSE( CONTROL!$C$15, $D$11, 100%, $F$11)</f>
        <v>19.352</v>
      </c>
      <c r="F621" s="4">
        <f>CHOOSE( CONTROL!$C$32, 20.0253, 20.0221) * CHOOSE(CONTROL!$C$15, $D$11, 100%, $F$11)</f>
        <v>20.025300000000001</v>
      </c>
      <c r="G621" s="8">
        <f>CHOOSE( CONTROL!$C$32, 18.9902, 18.9871) * CHOOSE( CONTROL!$C$15, $D$11, 100%, $F$11)</f>
        <v>18.990200000000002</v>
      </c>
      <c r="H621" s="4">
        <f>CHOOSE( CONTROL!$C$32, 19.922, 19.9189) * CHOOSE(CONTROL!$C$15, $D$11, 100%, $F$11)</f>
        <v>19.922000000000001</v>
      </c>
      <c r="I621" s="8">
        <f>CHOOSE( CONTROL!$C$32, 18.768, 18.7649) * CHOOSE(CONTROL!$C$15, $D$11, 100%, $F$11)</f>
        <v>18.768000000000001</v>
      </c>
      <c r="J621" s="4">
        <f>CHOOSE( CONTROL!$C$32, 18.6684, 18.6653) * CHOOSE(CONTROL!$C$15, $D$11, 100%, $F$11)</f>
        <v>18.668399999999998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1.2183999999999999</v>
      </c>
      <c r="Q621" s="9">
        <v>19.688099999999999</v>
      </c>
      <c r="R621" s="9"/>
      <c r="S621" s="11"/>
    </row>
    <row r="622" spans="1:19" ht="15.75">
      <c r="A622" s="13">
        <v>60448</v>
      </c>
      <c r="B622" s="8">
        <f>CHOOSE( CONTROL!$C$32, 19.0333, 19.0301) * CHOOSE(CONTROL!$C$15, $D$11, 100%, $F$11)</f>
        <v>19.033300000000001</v>
      </c>
      <c r="C622" s="8">
        <f>CHOOSE( CONTROL!$C$32, 19.0413, 19.0381) * CHOOSE(CONTROL!$C$15, $D$11, 100%, $F$11)</f>
        <v>19.0413</v>
      </c>
      <c r="D622" s="8">
        <f>CHOOSE( CONTROL!$C$32, 19.044, 19.0408) * CHOOSE( CONTROL!$C$15, $D$11, 100%, $F$11)</f>
        <v>19.044</v>
      </c>
      <c r="E622" s="12">
        <f>CHOOSE( CONTROL!$C$32, 19.0418, 19.0386) * CHOOSE( CONTROL!$C$15, $D$11, 100%, $F$11)</f>
        <v>19.041799999999999</v>
      </c>
      <c r="F622" s="4">
        <f>CHOOSE( CONTROL!$C$32, 19.7149, 19.7117) * CHOOSE(CONTROL!$C$15, $D$11, 100%, $F$11)</f>
        <v>19.7149</v>
      </c>
      <c r="G622" s="8">
        <f>CHOOSE( CONTROL!$C$32, 18.6854, 18.6822) * CHOOSE( CONTROL!$C$15, $D$11, 100%, $F$11)</f>
        <v>18.685400000000001</v>
      </c>
      <c r="H622" s="4">
        <f>CHOOSE( CONTROL!$C$32, 19.6167, 19.6136) * CHOOSE(CONTROL!$C$15, $D$11, 100%, $F$11)</f>
        <v>19.616700000000002</v>
      </c>
      <c r="I622" s="8">
        <f>CHOOSE( CONTROL!$C$32, 18.4692, 18.4661) * CHOOSE(CONTROL!$C$15, $D$11, 100%, $F$11)</f>
        <v>18.469200000000001</v>
      </c>
      <c r="J622" s="4">
        <f>CHOOSE( CONTROL!$C$32, 18.3683, 18.3652) * CHOOSE(CONTROL!$C$15, $D$11, 100%, $F$11)</f>
        <v>18.368300000000001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1.1791</v>
      </c>
      <c r="Q622" s="9">
        <v>19.053000000000001</v>
      </c>
      <c r="R622" s="9"/>
      <c r="S622" s="11"/>
    </row>
    <row r="623" spans="1:19" ht="15.75">
      <c r="A623" s="13">
        <v>60479</v>
      </c>
      <c r="B623" s="8">
        <f>CHOOSE( CONTROL!$C$32, 19.8508, 19.8476) * CHOOSE(CONTROL!$C$15, $D$11, 100%, $F$11)</f>
        <v>19.8508</v>
      </c>
      <c r="C623" s="8">
        <f>CHOOSE( CONTROL!$C$32, 19.8588, 19.8556) * CHOOSE(CONTROL!$C$15, $D$11, 100%, $F$11)</f>
        <v>19.858799999999999</v>
      </c>
      <c r="D623" s="8">
        <f>CHOOSE( CONTROL!$C$32, 19.8617, 19.8585) * CHOOSE( CONTROL!$C$15, $D$11, 100%, $F$11)</f>
        <v>19.861699999999999</v>
      </c>
      <c r="E623" s="12">
        <f>CHOOSE( CONTROL!$C$32, 19.8594, 19.8562) * CHOOSE( CONTROL!$C$15, $D$11, 100%, $F$11)</f>
        <v>19.859400000000001</v>
      </c>
      <c r="F623" s="4">
        <f>CHOOSE( CONTROL!$C$32, 20.5324, 20.5292) * CHOOSE(CONTROL!$C$15, $D$11, 100%, $F$11)</f>
        <v>20.532399999999999</v>
      </c>
      <c r="G623" s="8">
        <f>CHOOSE( CONTROL!$C$32, 19.4897, 19.4866) * CHOOSE( CONTROL!$C$15, $D$11, 100%, $F$11)</f>
        <v>19.489699999999999</v>
      </c>
      <c r="H623" s="4">
        <f>CHOOSE( CONTROL!$C$32, 20.4206, 20.4175) * CHOOSE(CONTROL!$C$15, $D$11, 100%, $F$11)</f>
        <v>20.4206</v>
      </c>
      <c r="I623" s="8">
        <f>CHOOSE( CONTROL!$C$32, 19.2613, 19.2582) * CHOOSE(CONTROL!$C$15, $D$11, 100%, $F$11)</f>
        <v>19.261299999999999</v>
      </c>
      <c r="J623" s="4">
        <f>CHOOSE( CONTROL!$C$32, 19.1585, 19.1554) * CHOOSE(CONTROL!$C$15, $D$11, 100%, $F$11)</f>
        <v>19.1585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60510</v>
      </c>
      <c r="B624" s="8">
        <f>CHOOSE( CONTROL!$C$32, 18.3212, 18.318) * CHOOSE(CONTROL!$C$15, $D$11, 100%, $F$11)</f>
        <v>18.321200000000001</v>
      </c>
      <c r="C624" s="8">
        <f>CHOOSE( CONTROL!$C$32, 18.3292, 18.326) * CHOOSE(CONTROL!$C$15, $D$11, 100%, $F$11)</f>
        <v>18.3292</v>
      </c>
      <c r="D624" s="8">
        <f>CHOOSE( CONTROL!$C$32, 18.3323, 18.3291) * CHOOSE( CONTROL!$C$15, $D$11, 100%, $F$11)</f>
        <v>18.3323</v>
      </c>
      <c r="E624" s="12">
        <f>CHOOSE( CONTROL!$C$32, 18.33, 18.3268) * CHOOSE( CONTROL!$C$15, $D$11, 100%, $F$11)</f>
        <v>18.329999999999998</v>
      </c>
      <c r="F624" s="4">
        <f>CHOOSE( CONTROL!$C$32, 19.0028, 18.9996) * CHOOSE(CONTROL!$C$15, $D$11, 100%, $F$11)</f>
        <v>19.002800000000001</v>
      </c>
      <c r="G624" s="8">
        <f>CHOOSE( CONTROL!$C$32, 17.9858, 17.9826) * CHOOSE( CONTROL!$C$15, $D$11, 100%, $F$11)</f>
        <v>17.985800000000001</v>
      </c>
      <c r="H624" s="4">
        <f>CHOOSE( CONTROL!$C$32, 18.9164, 18.9133) * CHOOSE(CONTROL!$C$15, $D$11, 100%, $F$11)</f>
        <v>18.916399999999999</v>
      </c>
      <c r="I624" s="8">
        <f>CHOOSE( CONTROL!$C$32, 17.7827, 17.7796) * CHOOSE(CONTROL!$C$15, $D$11, 100%, $F$11)</f>
        <v>17.782699999999998</v>
      </c>
      <c r="J624" s="4">
        <f>CHOOSE( CONTROL!$C$32, 17.6799, 17.6768) * CHOOSE(CONTROL!$C$15, $D$11, 100%, $F$11)</f>
        <v>17.6799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1.2183999999999999</v>
      </c>
      <c r="Q624" s="9">
        <v>19.688099999999999</v>
      </c>
      <c r="R624" s="9"/>
      <c r="S624" s="11"/>
    </row>
    <row r="625" spans="1:19" ht="15.75">
      <c r="A625" s="13">
        <v>60540</v>
      </c>
      <c r="B625" s="8">
        <f>CHOOSE( CONTROL!$C$32, 17.9382, 17.935) * CHOOSE(CONTROL!$C$15, $D$11, 100%, $F$11)</f>
        <v>17.938199999999998</v>
      </c>
      <c r="C625" s="8">
        <f>CHOOSE( CONTROL!$C$32, 17.9462, 17.943) * CHOOSE(CONTROL!$C$15, $D$11, 100%, $F$11)</f>
        <v>17.946200000000001</v>
      </c>
      <c r="D625" s="8">
        <f>CHOOSE( CONTROL!$C$32, 17.9493, 17.9461) * CHOOSE( CONTROL!$C$15, $D$11, 100%, $F$11)</f>
        <v>17.949300000000001</v>
      </c>
      <c r="E625" s="12">
        <f>CHOOSE( CONTROL!$C$32, 17.947, 17.9438) * CHOOSE( CONTROL!$C$15, $D$11, 100%, $F$11)</f>
        <v>17.946999999999999</v>
      </c>
      <c r="F625" s="4">
        <f>CHOOSE( CONTROL!$C$32, 18.6197, 18.6165) * CHOOSE(CONTROL!$C$15, $D$11, 100%, $F$11)</f>
        <v>18.619700000000002</v>
      </c>
      <c r="G625" s="8">
        <f>CHOOSE( CONTROL!$C$32, 17.6091, 17.606) * CHOOSE( CONTROL!$C$15, $D$11, 100%, $F$11)</f>
        <v>17.609100000000002</v>
      </c>
      <c r="H625" s="4">
        <f>CHOOSE( CONTROL!$C$32, 18.5397, 18.5366) * CHOOSE(CONTROL!$C$15, $D$11, 100%, $F$11)</f>
        <v>18.5397</v>
      </c>
      <c r="I625" s="8">
        <f>CHOOSE( CONTROL!$C$32, 17.4123, 17.4092) * CHOOSE(CONTROL!$C$15, $D$11, 100%, $F$11)</f>
        <v>17.412299999999998</v>
      </c>
      <c r="J625" s="4">
        <f>CHOOSE( CONTROL!$C$32, 17.3096, 17.3065) * CHOOSE(CONTROL!$C$15, $D$11, 100%, $F$11)</f>
        <v>17.3096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1.1791</v>
      </c>
      <c r="Q625" s="9">
        <v>19.053000000000001</v>
      </c>
      <c r="R625" s="9"/>
      <c r="S625" s="11"/>
    </row>
    <row r="626" spans="1:19" ht="15.75">
      <c r="A626" s="13">
        <v>60571</v>
      </c>
      <c r="B626" s="8">
        <f>18.7286 * CHOOSE(CONTROL!$C$15, $D$11, 100%, $F$11)</f>
        <v>18.7286</v>
      </c>
      <c r="C626" s="8">
        <f>18.7339 * CHOOSE(CONTROL!$C$15, $D$11, 100%, $F$11)</f>
        <v>18.733899999999998</v>
      </c>
      <c r="D626" s="8">
        <f>18.7418 * CHOOSE( CONTROL!$C$15, $D$11, 100%, $F$11)</f>
        <v>18.741800000000001</v>
      </c>
      <c r="E626" s="12">
        <f>18.7386 * CHOOSE( CONTROL!$C$15, $D$11, 100%, $F$11)</f>
        <v>18.738600000000002</v>
      </c>
      <c r="F626" s="4">
        <f>19.4118 * CHOOSE(CONTROL!$C$15, $D$11, 100%, $F$11)</f>
        <v>19.411799999999999</v>
      </c>
      <c r="G626" s="8">
        <f>18.3876 * CHOOSE( CONTROL!$C$15, $D$11, 100%, $F$11)</f>
        <v>18.387599999999999</v>
      </c>
      <c r="H626" s="4">
        <f>19.3187 * CHOOSE(CONTROL!$C$15, $D$11, 100%, $F$11)</f>
        <v>19.3187</v>
      </c>
      <c r="I626" s="8">
        <f>18.179 * CHOOSE(CONTROL!$C$15, $D$11, 100%, $F$11)</f>
        <v>18.178999999999998</v>
      </c>
      <c r="J626" s="4">
        <f>18.0753 * CHOOSE(CONTROL!$C$15, $D$11, 100%, $F$11)</f>
        <v>18.075299999999999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1.2183999999999999</v>
      </c>
      <c r="Q626" s="9">
        <v>19.688099999999999</v>
      </c>
      <c r="R626" s="9"/>
      <c r="S626" s="11"/>
    </row>
    <row r="627" spans="1:19" ht="15.75">
      <c r="A627" s="13">
        <v>60601</v>
      </c>
      <c r="B627" s="8">
        <f>20.1961 * CHOOSE(CONTROL!$C$15, $D$11, 100%, $F$11)</f>
        <v>20.196100000000001</v>
      </c>
      <c r="C627" s="8">
        <f>20.2012 * CHOOSE(CONTROL!$C$15, $D$11, 100%, $F$11)</f>
        <v>20.2012</v>
      </c>
      <c r="D627" s="8">
        <f>20.1787 * CHOOSE( CONTROL!$C$15, $D$11, 100%, $F$11)</f>
        <v>20.178699999999999</v>
      </c>
      <c r="E627" s="12">
        <f>20.1864 * CHOOSE( CONTROL!$C$15, $D$11, 100%, $F$11)</f>
        <v>20.186399999999999</v>
      </c>
      <c r="F627" s="4">
        <f>20.841 * CHOOSE(CONTROL!$C$15, $D$11, 100%, $F$11)</f>
        <v>20.841000000000001</v>
      </c>
      <c r="G627" s="8">
        <f>19.8438 * CHOOSE( CONTROL!$C$15, $D$11, 100%, $F$11)</f>
        <v>19.843800000000002</v>
      </c>
      <c r="H627" s="4">
        <f>20.7242 * CHOOSE(CONTROL!$C$15, $D$11, 100%, $F$11)</f>
        <v>20.7242</v>
      </c>
      <c r="I627" s="8">
        <f>19.6245 * CHOOSE(CONTROL!$C$15, $D$11, 100%, $F$11)</f>
        <v>19.624500000000001</v>
      </c>
      <c r="J627" s="4">
        <f>19.4944 * CHOOSE(CONTROL!$C$15, $D$11, 100%, $F$11)</f>
        <v>19.494399999999999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60632</v>
      </c>
      <c r="B628" s="8">
        <f>20.1594 * CHOOSE(CONTROL!$C$15, $D$11, 100%, $F$11)</f>
        <v>20.159400000000002</v>
      </c>
      <c r="C628" s="8">
        <f>20.1645 * CHOOSE(CONTROL!$C$15, $D$11, 100%, $F$11)</f>
        <v>20.1645</v>
      </c>
      <c r="D628" s="8">
        <f>20.1435 * CHOOSE( CONTROL!$C$15, $D$11, 100%, $F$11)</f>
        <v>20.1435</v>
      </c>
      <c r="E628" s="12">
        <f>20.1506 * CHOOSE( CONTROL!$C$15, $D$11, 100%, $F$11)</f>
        <v>20.150600000000001</v>
      </c>
      <c r="F628" s="4">
        <f>20.8043 * CHOOSE(CONTROL!$C$15, $D$11, 100%, $F$11)</f>
        <v>20.804300000000001</v>
      </c>
      <c r="G628" s="8">
        <f>19.8088 * CHOOSE( CONTROL!$C$15, $D$11, 100%, $F$11)</f>
        <v>19.808800000000002</v>
      </c>
      <c r="H628" s="4">
        <f>20.6881 * CHOOSE(CONTROL!$C$15, $D$11, 100%, $F$11)</f>
        <v>20.688099999999999</v>
      </c>
      <c r="I628" s="8">
        <f>19.5936 * CHOOSE(CONTROL!$C$15, $D$11, 100%, $F$11)</f>
        <v>19.593599999999999</v>
      </c>
      <c r="J628" s="4">
        <f>19.459 * CHOOSE(CONTROL!$C$15, $D$11, 100%, $F$11)</f>
        <v>19.459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60663</v>
      </c>
      <c r="B629" s="8">
        <f>20.9288 * CHOOSE(CONTROL!$C$15, $D$11, 100%, $F$11)</f>
        <v>20.928799999999999</v>
      </c>
      <c r="C629" s="8">
        <f>20.9339 * CHOOSE(CONTROL!$C$15, $D$11, 100%, $F$11)</f>
        <v>20.933900000000001</v>
      </c>
      <c r="D629" s="8">
        <f>20.9119 * CHOOSE( CONTROL!$C$15, $D$11, 100%, $F$11)</f>
        <v>20.911899999999999</v>
      </c>
      <c r="E629" s="12">
        <f>20.9194 * CHOOSE( CONTROL!$C$15, $D$11, 100%, $F$11)</f>
        <v>20.9194</v>
      </c>
      <c r="F629" s="4">
        <f>21.5736 * CHOOSE(CONTROL!$C$15, $D$11, 100%, $F$11)</f>
        <v>21.573599999999999</v>
      </c>
      <c r="G629" s="8">
        <f>20.5628 * CHOOSE( CONTROL!$C$15, $D$11, 100%, $F$11)</f>
        <v>20.562799999999999</v>
      </c>
      <c r="H629" s="4">
        <f>21.4447 * CHOOSE(CONTROL!$C$15, $D$11, 100%, $F$11)</f>
        <v>21.444700000000001</v>
      </c>
      <c r="I629" s="8">
        <f>20.3095 * CHOOSE(CONTROL!$C$15, $D$11, 100%, $F$11)</f>
        <v>20.3095</v>
      </c>
      <c r="J629" s="4">
        <f>20.2027 * CHOOSE(CONTROL!$C$15, $D$11, 100%, $F$11)</f>
        <v>20.2027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60691</v>
      </c>
      <c r="B630" s="8">
        <f>19.5777 * CHOOSE(CONTROL!$C$15, $D$11, 100%, $F$11)</f>
        <v>19.5777</v>
      </c>
      <c r="C630" s="8">
        <f>19.5828 * CHOOSE(CONTROL!$C$15, $D$11, 100%, $F$11)</f>
        <v>19.582799999999999</v>
      </c>
      <c r="D630" s="8">
        <f>19.5564 * CHOOSE( CONTROL!$C$15, $D$11, 100%, $F$11)</f>
        <v>19.5564</v>
      </c>
      <c r="E630" s="12">
        <f>19.5655 * CHOOSE( CONTROL!$C$15, $D$11, 100%, $F$11)</f>
        <v>19.5655</v>
      </c>
      <c r="F630" s="4">
        <f>20.2226 * CHOOSE(CONTROL!$C$15, $D$11, 100%, $F$11)</f>
        <v>20.2226</v>
      </c>
      <c r="G630" s="8">
        <f>19.2257 * CHOOSE( CONTROL!$C$15, $D$11, 100%, $F$11)</f>
        <v>19.2257</v>
      </c>
      <c r="H630" s="4">
        <f>20.116 * CHOOSE(CONTROL!$C$15, $D$11, 100%, $F$11)</f>
        <v>20.116</v>
      </c>
      <c r="I630" s="8">
        <f>18.9737 * CHOOSE(CONTROL!$C$15, $D$11, 100%, $F$11)</f>
        <v>18.973700000000001</v>
      </c>
      <c r="J630" s="4">
        <f>18.8966 * CHOOSE(CONTROL!$C$15, $D$11, 100%, $F$11)</f>
        <v>18.896599999999999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60722</v>
      </c>
      <c r="B631" s="8">
        <f>19.1616 * CHOOSE(CONTROL!$C$15, $D$11, 100%, $F$11)</f>
        <v>19.1616</v>
      </c>
      <c r="C631" s="8">
        <f>19.1667 * CHOOSE(CONTROL!$C$15, $D$11, 100%, $F$11)</f>
        <v>19.166699999999999</v>
      </c>
      <c r="D631" s="8">
        <f>19.1407 * CHOOSE( CONTROL!$C$15, $D$11, 100%, $F$11)</f>
        <v>19.140699999999999</v>
      </c>
      <c r="E631" s="12">
        <f>19.1497 * CHOOSE( CONTROL!$C$15, $D$11, 100%, $F$11)</f>
        <v>19.149699999999999</v>
      </c>
      <c r="F631" s="4">
        <f>19.8065 * CHOOSE(CONTROL!$C$15, $D$11, 100%, $F$11)</f>
        <v>19.8065</v>
      </c>
      <c r="G631" s="8">
        <f>18.8167 * CHOOSE( CONTROL!$C$15, $D$11, 100%, $F$11)</f>
        <v>18.816700000000001</v>
      </c>
      <c r="H631" s="4">
        <f>19.7068 * CHOOSE(CONTROL!$C$15, $D$11, 100%, $F$11)</f>
        <v>19.706800000000001</v>
      </c>
      <c r="I631" s="8">
        <f>18.5725 * CHOOSE(CONTROL!$C$15, $D$11, 100%, $F$11)</f>
        <v>18.572500000000002</v>
      </c>
      <c r="J631" s="4">
        <f>18.4943 * CHOOSE(CONTROL!$C$15, $D$11, 100%, $F$11)</f>
        <v>18.494299999999999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60752</v>
      </c>
      <c r="B632" s="8">
        <f>19.4531 * CHOOSE(CONTROL!$C$15, $D$11, 100%, $F$11)</f>
        <v>19.453099999999999</v>
      </c>
      <c r="C632" s="8">
        <f>19.4577 * CHOOSE(CONTROL!$C$15, $D$11, 100%, $F$11)</f>
        <v>19.457699999999999</v>
      </c>
      <c r="D632" s="8">
        <f>19.4648 * CHOOSE( CONTROL!$C$15, $D$11, 100%, $F$11)</f>
        <v>19.4648</v>
      </c>
      <c r="E632" s="12">
        <f>19.4619 * CHOOSE( CONTROL!$C$15, $D$11, 100%, $F$11)</f>
        <v>19.4619</v>
      </c>
      <c r="F632" s="4">
        <f>20.136 * CHOOSE(CONTROL!$C$15, $D$11, 100%, $F$11)</f>
        <v>20.135999999999999</v>
      </c>
      <c r="G632" s="8">
        <f>19.098 * CHOOSE( CONTROL!$C$15, $D$11, 100%, $F$11)</f>
        <v>19.097999999999999</v>
      </c>
      <c r="H632" s="4">
        <f>20.0309 * CHOOSE(CONTROL!$C$15, $D$11, 100%, $F$11)</f>
        <v>20.030899999999999</v>
      </c>
      <c r="I632" s="8">
        <f>18.8736 * CHOOSE(CONTROL!$C$15, $D$11, 100%, $F$11)</f>
        <v>18.8736</v>
      </c>
      <c r="J632" s="4">
        <f>18.7754 * CHOOSE(CONTROL!$C$15, $D$11, 100%, $F$11)</f>
        <v>18.775400000000001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1.1791</v>
      </c>
      <c r="Q632" s="9">
        <v>19.053000000000001</v>
      </c>
      <c r="R632" s="9"/>
      <c r="S632" s="11"/>
    </row>
    <row r="633" spans="1:19" ht="15.75">
      <c r="A633" s="13">
        <v>60783</v>
      </c>
      <c r="B633" s="8">
        <f>CHOOSE( CONTROL!$C$32, 19.9752, 19.972) * CHOOSE(CONTROL!$C$15, $D$11, 100%, $F$11)</f>
        <v>19.975200000000001</v>
      </c>
      <c r="C633" s="8">
        <f>CHOOSE( CONTROL!$C$32, 19.9832, 19.98) * CHOOSE(CONTROL!$C$15, $D$11, 100%, $F$11)</f>
        <v>19.9832</v>
      </c>
      <c r="D633" s="8">
        <f>CHOOSE( CONTROL!$C$32, 19.9855, 19.9823) * CHOOSE( CONTROL!$C$15, $D$11, 100%, $F$11)</f>
        <v>19.985499999999998</v>
      </c>
      <c r="E633" s="12">
        <f>CHOOSE( CONTROL!$C$32, 19.9834, 19.9802) * CHOOSE( CONTROL!$C$15, $D$11, 100%, $F$11)</f>
        <v>19.9834</v>
      </c>
      <c r="F633" s="4">
        <f>CHOOSE( CONTROL!$C$32, 20.6568, 20.6536) * CHOOSE(CONTROL!$C$15, $D$11, 100%, $F$11)</f>
        <v>20.6568</v>
      </c>
      <c r="G633" s="8">
        <f>CHOOSE( CONTROL!$C$32, 19.6112, 19.608) * CHOOSE( CONTROL!$C$15, $D$11, 100%, $F$11)</f>
        <v>19.6112</v>
      </c>
      <c r="H633" s="4">
        <f>CHOOSE( CONTROL!$C$32, 20.543, 20.5398) * CHOOSE(CONTROL!$C$15, $D$11, 100%, $F$11)</f>
        <v>20.542999999999999</v>
      </c>
      <c r="I633" s="8">
        <f>CHOOSE( CONTROL!$C$32, 19.3787, 19.3756) * CHOOSE(CONTROL!$C$15, $D$11, 100%, $F$11)</f>
        <v>19.378699999999998</v>
      </c>
      <c r="J633" s="4">
        <f>CHOOSE( CONTROL!$C$32, 19.2788, 19.2757) * CHOOSE(CONTROL!$C$15, $D$11, 100%, $F$11)</f>
        <v>19.2788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1.2183999999999999</v>
      </c>
      <c r="Q633" s="9">
        <v>19.688099999999999</v>
      </c>
      <c r="R633" s="9"/>
      <c r="S633" s="11"/>
    </row>
    <row r="634" spans="1:19" ht="15.75">
      <c r="A634" s="13">
        <v>60813</v>
      </c>
      <c r="B634" s="8">
        <f>CHOOSE( CONTROL!$C$32, 19.6546, 19.6514) * CHOOSE(CONTROL!$C$15, $D$11, 100%, $F$11)</f>
        <v>19.654599999999999</v>
      </c>
      <c r="C634" s="8">
        <f>CHOOSE( CONTROL!$C$32, 19.6626, 19.6594) * CHOOSE(CONTROL!$C$15, $D$11, 100%, $F$11)</f>
        <v>19.662600000000001</v>
      </c>
      <c r="D634" s="8">
        <f>CHOOSE( CONTROL!$C$32, 19.6653, 19.6621) * CHOOSE( CONTROL!$C$15, $D$11, 100%, $F$11)</f>
        <v>19.665299999999998</v>
      </c>
      <c r="E634" s="12">
        <f>CHOOSE( CONTROL!$C$32, 19.6631, 19.6599) * CHOOSE( CONTROL!$C$15, $D$11, 100%, $F$11)</f>
        <v>19.6631</v>
      </c>
      <c r="F634" s="4">
        <f>CHOOSE( CONTROL!$C$32, 20.3362, 20.333) * CHOOSE(CONTROL!$C$15, $D$11, 100%, $F$11)</f>
        <v>20.336200000000002</v>
      </c>
      <c r="G634" s="8">
        <f>CHOOSE( CONTROL!$C$32, 19.2964, 19.2932) * CHOOSE( CONTROL!$C$15, $D$11, 100%, $F$11)</f>
        <v>19.296399999999998</v>
      </c>
      <c r="H634" s="4">
        <f>CHOOSE( CONTROL!$C$32, 20.2277, 20.2246) * CHOOSE(CONTROL!$C$15, $D$11, 100%, $F$11)</f>
        <v>20.227699999999999</v>
      </c>
      <c r="I634" s="8">
        <f>CHOOSE( CONTROL!$C$32, 19.0701, 19.067) * CHOOSE(CONTROL!$C$15, $D$11, 100%, $F$11)</f>
        <v>19.0701</v>
      </c>
      <c r="J634" s="4">
        <f>CHOOSE( CONTROL!$C$32, 18.9689, 18.9658) * CHOOSE(CONTROL!$C$15, $D$11, 100%, $F$11)</f>
        <v>18.968900000000001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1.1791</v>
      </c>
      <c r="Q634" s="9">
        <v>19.053000000000001</v>
      </c>
      <c r="R634" s="9"/>
      <c r="S634" s="11"/>
    </row>
    <row r="635" spans="1:19" ht="15.75">
      <c r="A635" s="13">
        <v>60844</v>
      </c>
      <c r="B635" s="8">
        <f>CHOOSE( CONTROL!$C$32, 20.4988, 20.4956) * CHOOSE(CONTROL!$C$15, $D$11, 100%, $F$11)</f>
        <v>20.498799999999999</v>
      </c>
      <c r="C635" s="8">
        <f>CHOOSE( CONTROL!$C$32, 20.5069, 20.5037) * CHOOSE(CONTROL!$C$15, $D$11, 100%, $F$11)</f>
        <v>20.506900000000002</v>
      </c>
      <c r="D635" s="8">
        <f>CHOOSE( CONTROL!$C$32, 20.5098, 20.5066) * CHOOSE( CONTROL!$C$15, $D$11, 100%, $F$11)</f>
        <v>20.509799999999998</v>
      </c>
      <c r="E635" s="12">
        <f>CHOOSE( CONTROL!$C$32, 20.5075, 20.5043) * CHOOSE( CONTROL!$C$15, $D$11, 100%, $F$11)</f>
        <v>20.5075</v>
      </c>
      <c r="F635" s="4">
        <f>CHOOSE( CONTROL!$C$32, 21.1804, 21.1772) * CHOOSE(CONTROL!$C$15, $D$11, 100%, $F$11)</f>
        <v>21.180399999999999</v>
      </c>
      <c r="G635" s="8">
        <f>CHOOSE( CONTROL!$C$32, 20.127, 20.1239) * CHOOSE( CONTROL!$C$15, $D$11, 100%, $F$11)</f>
        <v>20.126999999999999</v>
      </c>
      <c r="H635" s="4">
        <f>CHOOSE( CONTROL!$C$32, 21.0579, 21.0548) * CHOOSE(CONTROL!$C$15, $D$11, 100%, $F$11)</f>
        <v>21.0579</v>
      </c>
      <c r="I635" s="8">
        <f>CHOOSE( CONTROL!$C$32, 19.888, 19.8849) * CHOOSE(CONTROL!$C$15, $D$11, 100%, $F$11)</f>
        <v>19.888000000000002</v>
      </c>
      <c r="J635" s="4">
        <f>CHOOSE( CONTROL!$C$32, 19.785, 19.7819) * CHOOSE(CONTROL!$C$15, $D$11, 100%, $F$11)</f>
        <v>19.785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60875</v>
      </c>
      <c r="B636" s="8">
        <f>CHOOSE( CONTROL!$C$32, 18.9192, 18.916) * CHOOSE(CONTROL!$C$15, $D$11, 100%, $F$11)</f>
        <v>18.9192</v>
      </c>
      <c r="C636" s="8">
        <f>CHOOSE( CONTROL!$C$32, 18.9272, 18.924) * CHOOSE(CONTROL!$C$15, $D$11, 100%, $F$11)</f>
        <v>18.927199999999999</v>
      </c>
      <c r="D636" s="8">
        <f>CHOOSE( CONTROL!$C$32, 18.9303, 18.9271) * CHOOSE( CONTROL!$C$15, $D$11, 100%, $F$11)</f>
        <v>18.930299999999999</v>
      </c>
      <c r="E636" s="12">
        <f>CHOOSE( CONTROL!$C$32, 18.928, 18.9248) * CHOOSE( CONTROL!$C$15, $D$11, 100%, $F$11)</f>
        <v>18.928000000000001</v>
      </c>
      <c r="F636" s="4">
        <f>CHOOSE( CONTROL!$C$32, 19.6008, 19.5976) * CHOOSE(CONTROL!$C$15, $D$11, 100%, $F$11)</f>
        <v>19.6008</v>
      </c>
      <c r="G636" s="8">
        <f>CHOOSE( CONTROL!$C$32, 18.5739, 18.5707) * CHOOSE( CONTROL!$C$15, $D$11, 100%, $F$11)</f>
        <v>18.573899999999998</v>
      </c>
      <c r="H636" s="4">
        <f>CHOOSE( CONTROL!$C$32, 19.5045, 19.5014) * CHOOSE(CONTROL!$C$15, $D$11, 100%, $F$11)</f>
        <v>19.5045</v>
      </c>
      <c r="I636" s="8">
        <f>CHOOSE( CONTROL!$C$32, 18.361, 18.3579) * CHOOSE(CONTROL!$C$15, $D$11, 100%, $F$11)</f>
        <v>18.361000000000001</v>
      </c>
      <c r="J636" s="4">
        <f>CHOOSE( CONTROL!$C$32, 18.258, 18.2549) * CHOOSE(CONTROL!$C$15, $D$11, 100%, $F$11)</f>
        <v>18.257999999999999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1.2183999999999999</v>
      </c>
      <c r="Q636" s="9">
        <v>19.688099999999999</v>
      </c>
      <c r="R636" s="9"/>
      <c r="S636" s="11"/>
    </row>
    <row r="637" spans="1:19" ht="15.75">
      <c r="A637" s="13">
        <v>60905</v>
      </c>
      <c r="B637" s="8">
        <f>CHOOSE( CONTROL!$C$32, 18.5237, 18.5205) * CHOOSE(CONTROL!$C$15, $D$11, 100%, $F$11)</f>
        <v>18.523700000000002</v>
      </c>
      <c r="C637" s="8">
        <f>CHOOSE( CONTROL!$C$32, 18.5317, 18.5285) * CHOOSE(CONTROL!$C$15, $D$11, 100%, $F$11)</f>
        <v>18.531700000000001</v>
      </c>
      <c r="D637" s="8">
        <f>CHOOSE( CONTROL!$C$32, 18.5348, 18.5316) * CHOOSE( CONTROL!$C$15, $D$11, 100%, $F$11)</f>
        <v>18.534800000000001</v>
      </c>
      <c r="E637" s="12">
        <f>CHOOSE( CONTROL!$C$32, 18.5325, 18.5293) * CHOOSE( CONTROL!$C$15, $D$11, 100%, $F$11)</f>
        <v>18.532499999999999</v>
      </c>
      <c r="F637" s="4">
        <f>CHOOSE( CONTROL!$C$32, 19.2052, 19.202) * CHOOSE(CONTROL!$C$15, $D$11, 100%, $F$11)</f>
        <v>19.205200000000001</v>
      </c>
      <c r="G637" s="8">
        <f>CHOOSE( CONTROL!$C$32, 18.1849, 18.1818) * CHOOSE( CONTROL!$C$15, $D$11, 100%, $F$11)</f>
        <v>18.184899999999999</v>
      </c>
      <c r="H637" s="4">
        <f>CHOOSE( CONTROL!$C$32, 19.1155, 19.1124) * CHOOSE(CONTROL!$C$15, $D$11, 100%, $F$11)</f>
        <v>19.115500000000001</v>
      </c>
      <c r="I637" s="8">
        <f>CHOOSE( CONTROL!$C$32, 17.9786, 17.9755) * CHOOSE(CONTROL!$C$15, $D$11, 100%, $F$11)</f>
        <v>17.9786</v>
      </c>
      <c r="J637" s="4">
        <f>CHOOSE( CONTROL!$C$32, 17.8756, 17.8725) * CHOOSE(CONTROL!$C$15, $D$11, 100%, $F$11)</f>
        <v>17.875599999999999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1.1791</v>
      </c>
      <c r="Q637" s="9">
        <v>19.053000000000001</v>
      </c>
      <c r="R637" s="9"/>
      <c r="S637" s="11"/>
    </row>
    <row r="638" spans="1:19" ht="15.75">
      <c r="A638" s="13">
        <v>60936</v>
      </c>
      <c r="B638" s="8">
        <f>19.34 * CHOOSE(CONTROL!$C$15, $D$11, 100%, $F$11)</f>
        <v>19.34</v>
      </c>
      <c r="C638" s="8">
        <f>19.3454 * CHOOSE(CONTROL!$C$15, $D$11, 100%, $F$11)</f>
        <v>19.345400000000001</v>
      </c>
      <c r="D638" s="8">
        <f>19.3533 * CHOOSE( CONTROL!$C$15, $D$11, 100%, $F$11)</f>
        <v>19.353300000000001</v>
      </c>
      <c r="E638" s="12">
        <f>19.3501 * CHOOSE( CONTROL!$C$15, $D$11, 100%, $F$11)</f>
        <v>19.350100000000001</v>
      </c>
      <c r="F638" s="4">
        <f>20.0233 * CHOOSE(CONTROL!$C$15, $D$11, 100%, $F$11)</f>
        <v>20.023299999999999</v>
      </c>
      <c r="G638" s="8">
        <f>18.989 * CHOOSE( CONTROL!$C$15, $D$11, 100%, $F$11)</f>
        <v>18.989000000000001</v>
      </c>
      <c r="H638" s="4">
        <f>19.9201 * CHOOSE(CONTROL!$C$15, $D$11, 100%, $F$11)</f>
        <v>19.920100000000001</v>
      </c>
      <c r="I638" s="8">
        <f>18.7705 * CHOOSE(CONTROL!$C$15, $D$11, 100%, $F$11)</f>
        <v>18.770499999999998</v>
      </c>
      <c r="J638" s="4">
        <f>18.6665 * CHOOSE(CONTROL!$C$15, $D$11, 100%, $F$11)</f>
        <v>18.666499999999999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1.2183999999999999</v>
      </c>
      <c r="Q638" s="9">
        <v>19.688099999999999</v>
      </c>
      <c r="R638" s="9"/>
      <c r="S638" s="11"/>
    </row>
    <row r="639" spans="1:19" ht="15.75">
      <c r="A639" s="13">
        <v>60966</v>
      </c>
      <c r="B639" s="8">
        <f>20.8556 * CHOOSE(CONTROL!$C$15, $D$11, 100%, $F$11)</f>
        <v>20.855599999999999</v>
      </c>
      <c r="C639" s="8">
        <f>20.8607 * CHOOSE(CONTROL!$C$15, $D$11, 100%, $F$11)</f>
        <v>20.860700000000001</v>
      </c>
      <c r="D639" s="8">
        <f>20.8382 * CHOOSE( CONTROL!$C$15, $D$11, 100%, $F$11)</f>
        <v>20.838200000000001</v>
      </c>
      <c r="E639" s="12">
        <f>20.8459 * CHOOSE( CONTROL!$C$15, $D$11, 100%, $F$11)</f>
        <v>20.8459</v>
      </c>
      <c r="F639" s="4">
        <f>21.5005 * CHOOSE(CONTROL!$C$15, $D$11, 100%, $F$11)</f>
        <v>21.500499999999999</v>
      </c>
      <c r="G639" s="8">
        <f>20.4924 * CHOOSE( CONTROL!$C$15, $D$11, 100%, $F$11)</f>
        <v>20.4924</v>
      </c>
      <c r="H639" s="4">
        <f>21.3727 * CHOOSE(CONTROL!$C$15, $D$11, 100%, $F$11)</f>
        <v>21.372699999999998</v>
      </c>
      <c r="I639" s="8">
        <f>20.2623 * CHOOSE(CONTROL!$C$15, $D$11, 100%, $F$11)</f>
        <v>20.2623</v>
      </c>
      <c r="J639" s="4">
        <f>20.1319 * CHOOSE(CONTROL!$C$15, $D$11, 100%, $F$11)</f>
        <v>20.131900000000002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60997</v>
      </c>
      <c r="B640" s="8">
        <f>20.8177 * CHOOSE(CONTROL!$C$15, $D$11, 100%, $F$11)</f>
        <v>20.817699999999999</v>
      </c>
      <c r="C640" s="8">
        <f>20.8229 * CHOOSE(CONTROL!$C$15, $D$11, 100%, $F$11)</f>
        <v>20.822900000000001</v>
      </c>
      <c r="D640" s="8">
        <f>20.8018 * CHOOSE( CONTROL!$C$15, $D$11, 100%, $F$11)</f>
        <v>20.8018</v>
      </c>
      <c r="E640" s="12">
        <f>20.809 * CHOOSE( CONTROL!$C$15, $D$11, 100%, $F$11)</f>
        <v>20.809000000000001</v>
      </c>
      <c r="F640" s="4">
        <f>21.4626 * CHOOSE(CONTROL!$C$15, $D$11, 100%, $F$11)</f>
        <v>21.462599999999998</v>
      </c>
      <c r="G640" s="8">
        <f>20.4562 * CHOOSE( CONTROL!$C$15, $D$11, 100%, $F$11)</f>
        <v>20.456199999999999</v>
      </c>
      <c r="H640" s="4">
        <f>21.3355 * CHOOSE(CONTROL!$C$15, $D$11, 100%, $F$11)</f>
        <v>21.3355</v>
      </c>
      <c r="I640" s="8">
        <f>20.2303 * CHOOSE(CONTROL!$C$15, $D$11, 100%, $F$11)</f>
        <v>20.2303</v>
      </c>
      <c r="J640" s="4">
        <f>20.0953 * CHOOSE(CONTROL!$C$15, $D$11, 100%, $F$11)</f>
        <v>20.095300000000002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61028</v>
      </c>
      <c r="B641" s="8">
        <f>21.6122 * CHOOSE(CONTROL!$C$15, $D$11, 100%, $F$11)</f>
        <v>21.612200000000001</v>
      </c>
      <c r="C641" s="8">
        <f>21.6173 * CHOOSE(CONTROL!$C$15, $D$11, 100%, $F$11)</f>
        <v>21.6173</v>
      </c>
      <c r="D641" s="8">
        <f>21.5953 * CHOOSE( CONTROL!$C$15, $D$11, 100%, $F$11)</f>
        <v>21.595300000000002</v>
      </c>
      <c r="E641" s="12">
        <f>21.6028 * CHOOSE( CONTROL!$C$15, $D$11, 100%, $F$11)</f>
        <v>21.602799999999998</v>
      </c>
      <c r="F641" s="4">
        <f>22.2571 * CHOOSE(CONTROL!$C$15, $D$11, 100%, $F$11)</f>
        <v>22.257100000000001</v>
      </c>
      <c r="G641" s="8">
        <f>21.2349 * CHOOSE( CONTROL!$C$15, $D$11, 100%, $F$11)</f>
        <v>21.2349</v>
      </c>
      <c r="H641" s="4">
        <f>22.1168 * CHOOSE(CONTROL!$C$15, $D$11, 100%, $F$11)</f>
        <v>22.116800000000001</v>
      </c>
      <c r="I641" s="8">
        <f>20.9705 * CHOOSE(CONTROL!$C$15, $D$11, 100%, $F$11)</f>
        <v>20.970500000000001</v>
      </c>
      <c r="J641" s="4">
        <f>20.8634 * CHOOSE(CONTROL!$C$15, $D$11, 100%, $F$11)</f>
        <v>20.863399999999999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61056</v>
      </c>
      <c r="B642" s="8">
        <f>20.217 * CHOOSE(CONTROL!$C$15, $D$11, 100%, $F$11)</f>
        <v>20.216999999999999</v>
      </c>
      <c r="C642" s="8">
        <f>20.2221 * CHOOSE(CONTROL!$C$15, $D$11, 100%, $F$11)</f>
        <v>20.222100000000001</v>
      </c>
      <c r="D642" s="8">
        <f>20.1957 * CHOOSE( CONTROL!$C$15, $D$11, 100%, $F$11)</f>
        <v>20.195699999999999</v>
      </c>
      <c r="E642" s="12">
        <f>20.2048 * CHOOSE( CONTROL!$C$15, $D$11, 100%, $F$11)</f>
        <v>20.204799999999999</v>
      </c>
      <c r="F642" s="4">
        <f>20.8619 * CHOOSE(CONTROL!$C$15, $D$11, 100%, $F$11)</f>
        <v>20.861899999999999</v>
      </c>
      <c r="G642" s="8">
        <f>19.8544 * CHOOSE( CONTROL!$C$15, $D$11, 100%, $F$11)</f>
        <v>19.854399999999998</v>
      </c>
      <c r="H642" s="4">
        <f>20.7447 * CHOOSE(CONTROL!$C$15, $D$11, 100%, $F$11)</f>
        <v>20.744700000000002</v>
      </c>
      <c r="I642" s="8">
        <f>19.592 * CHOOSE(CONTROL!$C$15, $D$11, 100%, $F$11)</f>
        <v>19.591999999999999</v>
      </c>
      <c r="J642" s="4">
        <f>19.5146 * CHOOSE(CONTROL!$C$15, $D$11, 100%, $F$11)</f>
        <v>19.514600000000002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61087</v>
      </c>
      <c r="B643" s="8">
        <f>19.7872 * CHOOSE(CONTROL!$C$15, $D$11, 100%, $F$11)</f>
        <v>19.787199999999999</v>
      </c>
      <c r="C643" s="8">
        <f>19.7924 * CHOOSE(CONTROL!$C$15, $D$11, 100%, $F$11)</f>
        <v>19.792400000000001</v>
      </c>
      <c r="D643" s="8">
        <f>19.7664 * CHOOSE( CONTROL!$C$15, $D$11, 100%, $F$11)</f>
        <v>19.766400000000001</v>
      </c>
      <c r="E643" s="12">
        <f>19.7754 * CHOOSE( CONTROL!$C$15, $D$11, 100%, $F$11)</f>
        <v>19.775400000000001</v>
      </c>
      <c r="F643" s="4">
        <f>20.4321 * CHOOSE(CONTROL!$C$15, $D$11, 100%, $F$11)</f>
        <v>20.432099999999998</v>
      </c>
      <c r="G643" s="8">
        <f>19.432 * CHOOSE( CONTROL!$C$15, $D$11, 100%, $F$11)</f>
        <v>19.431999999999999</v>
      </c>
      <c r="H643" s="4">
        <f>20.3221 * CHOOSE(CONTROL!$C$15, $D$11, 100%, $F$11)</f>
        <v>20.322099999999999</v>
      </c>
      <c r="I643" s="8">
        <f>19.1776 * CHOOSE(CONTROL!$C$15, $D$11, 100%, $F$11)</f>
        <v>19.177600000000002</v>
      </c>
      <c r="J643" s="4">
        <f>19.0992 * CHOOSE(CONTROL!$C$15, $D$11, 100%, $F$11)</f>
        <v>19.0992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61117</v>
      </c>
      <c r="B644" s="8">
        <f>20.0883 * CHOOSE(CONTROL!$C$15, $D$11, 100%, $F$11)</f>
        <v>20.0883</v>
      </c>
      <c r="C644" s="8">
        <f>20.0928 * CHOOSE(CONTROL!$C$15, $D$11, 100%, $F$11)</f>
        <v>20.0928</v>
      </c>
      <c r="D644" s="8">
        <f>20.1 * CHOOSE( CONTROL!$C$15, $D$11, 100%, $F$11)</f>
        <v>20.100000000000001</v>
      </c>
      <c r="E644" s="12">
        <f>20.0971 * CHOOSE( CONTROL!$C$15, $D$11, 100%, $F$11)</f>
        <v>20.097100000000001</v>
      </c>
      <c r="F644" s="4">
        <f>20.7712 * CHOOSE(CONTROL!$C$15, $D$11, 100%, $F$11)</f>
        <v>20.7712</v>
      </c>
      <c r="G644" s="8">
        <f>19.7226 * CHOOSE( CONTROL!$C$15, $D$11, 100%, $F$11)</f>
        <v>19.7226</v>
      </c>
      <c r="H644" s="4">
        <f>20.6556 * CHOOSE(CONTROL!$C$15, $D$11, 100%, $F$11)</f>
        <v>20.6556</v>
      </c>
      <c r="I644" s="8">
        <f>19.4879 * CHOOSE(CONTROL!$C$15, $D$11, 100%, $F$11)</f>
        <v>19.4879</v>
      </c>
      <c r="J644" s="4">
        <f>19.3894 * CHOOSE(CONTROL!$C$15, $D$11, 100%, $F$11)</f>
        <v>19.389399999999998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1.1791</v>
      </c>
      <c r="Q644" s="9">
        <v>19.053000000000001</v>
      </c>
      <c r="R644" s="9"/>
      <c r="S644" s="11"/>
    </row>
    <row r="645" spans="1:19" ht="15.75">
      <c r="A645" s="13">
        <v>61148</v>
      </c>
      <c r="B645" s="8">
        <f>CHOOSE( CONTROL!$C$32, 20.6273, 20.6241) * CHOOSE(CONTROL!$C$15, $D$11, 100%, $F$11)</f>
        <v>20.627300000000002</v>
      </c>
      <c r="C645" s="8">
        <f>CHOOSE( CONTROL!$C$32, 20.6353, 20.6321) * CHOOSE(CONTROL!$C$15, $D$11, 100%, $F$11)</f>
        <v>20.635300000000001</v>
      </c>
      <c r="D645" s="8">
        <f>CHOOSE( CONTROL!$C$32, 20.6376, 20.6344) * CHOOSE( CONTROL!$C$15, $D$11, 100%, $F$11)</f>
        <v>20.637599999999999</v>
      </c>
      <c r="E645" s="12">
        <f>CHOOSE( CONTROL!$C$32, 20.6355, 20.6323) * CHOOSE( CONTROL!$C$15, $D$11, 100%, $F$11)</f>
        <v>20.6355</v>
      </c>
      <c r="F645" s="4">
        <f>CHOOSE( CONTROL!$C$32, 21.3089, 21.3057) * CHOOSE(CONTROL!$C$15, $D$11, 100%, $F$11)</f>
        <v>21.308900000000001</v>
      </c>
      <c r="G645" s="8">
        <f>CHOOSE( CONTROL!$C$32, 20.2525, 20.2493) * CHOOSE( CONTROL!$C$15, $D$11, 100%, $F$11)</f>
        <v>20.252500000000001</v>
      </c>
      <c r="H645" s="4">
        <f>CHOOSE( CONTROL!$C$32, 21.1843, 21.1811) * CHOOSE(CONTROL!$C$15, $D$11, 100%, $F$11)</f>
        <v>21.1843</v>
      </c>
      <c r="I645" s="8">
        <f>CHOOSE( CONTROL!$C$32, 20.0094, 20.0063) * CHOOSE(CONTROL!$C$15, $D$11, 100%, $F$11)</f>
        <v>20.009399999999999</v>
      </c>
      <c r="J645" s="4">
        <f>CHOOSE( CONTROL!$C$32, 19.9092, 19.9061) * CHOOSE(CONTROL!$C$15, $D$11, 100%, $F$11)</f>
        <v>19.909199999999998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1.2183999999999999</v>
      </c>
      <c r="Q645" s="9">
        <v>19.688099999999999</v>
      </c>
      <c r="R645" s="9"/>
      <c r="S645" s="11"/>
    </row>
    <row r="646" spans="1:19" ht="15.75">
      <c r="A646" s="13">
        <v>61178</v>
      </c>
      <c r="B646" s="8">
        <f>CHOOSE( CONTROL!$C$32, 20.2962, 20.293) * CHOOSE(CONTROL!$C$15, $D$11, 100%, $F$11)</f>
        <v>20.296199999999999</v>
      </c>
      <c r="C646" s="8">
        <f>CHOOSE( CONTROL!$C$32, 20.3043, 20.3011) * CHOOSE(CONTROL!$C$15, $D$11, 100%, $F$11)</f>
        <v>20.304300000000001</v>
      </c>
      <c r="D646" s="8">
        <f>CHOOSE( CONTROL!$C$32, 20.3069, 20.3037) * CHOOSE( CONTROL!$C$15, $D$11, 100%, $F$11)</f>
        <v>20.306899999999999</v>
      </c>
      <c r="E646" s="12">
        <f>CHOOSE( CONTROL!$C$32, 20.3047, 20.3015) * CHOOSE( CONTROL!$C$15, $D$11, 100%, $F$11)</f>
        <v>20.3047</v>
      </c>
      <c r="F646" s="4">
        <f>CHOOSE( CONTROL!$C$32, 20.9778, 20.9746) * CHOOSE(CONTROL!$C$15, $D$11, 100%, $F$11)</f>
        <v>20.977799999999998</v>
      </c>
      <c r="G646" s="8">
        <f>CHOOSE( CONTROL!$C$32, 19.9273, 19.9242) * CHOOSE( CONTROL!$C$15, $D$11, 100%, $F$11)</f>
        <v>19.927299999999999</v>
      </c>
      <c r="H646" s="4">
        <f>CHOOSE( CONTROL!$C$32, 20.8587, 20.8556) * CHOOSE(CONTROL!$C$15, $D$11, 100%, $F$11)</f>
        <v>20.858699999999999</v>
      </c>
      <c r="I646" s="8">
        <f>CHOOSE( CONTROL!$C$32, 19.6906, 19.6876) * CHOOSE(CONTROL!$C$15, $D$11, 100%, $F$11)</f>
        <v>19.6906</v>
      </c>
      <c r="J646" s="4">
        <f>CHOOSE( CONTROL!$C$32, 19.5891, 19.586) * CHOOSE(CONTROL!$C$15, $D$11, 100%, $F$11)</f>
        <v>19.589099999999998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1.1791</v>
      </c>
      <c r="Q646" s="9">
        <v>19.053000000000001</v>
      </c>
      <c r="R646" s="9"/>
      <c r="S646" s="11"/>
    </row>
    <row r="647" spans="1:19" ht="15.75">
      <c r="A647" s="13">
        <v>61209</v>
      </c>
      <c r="B647" s="8">
        <f>CHOOSE( CONTROL!$C$32, 21.1681, 21.1649) * CHOOSE(CONTROL!$C$15, $D$11, 100%, $F$11)</f>
        <v>21.168099999999999</v>
      </c>
      <c r="C647" s="8">
        <f>CHOOSE( CONTROL!$C$32, 21.1761, 21.1729) * CHOOSE(CONTROL!$C$15, $D$11, 100%, $F$11)</f>
        <v>21.176100000000002</v>
      </c>
      <c r="D647" s="8">
        <f>CHOOSE( CONTROL!$C$32, 21.179, 21.1758) * CHOOSE( CONTROL!$C$15, $D$11, 100%, $F$11)</f>
        <v>21.178999999999998</v>
      </c>
      <c r="E647" s="12">
        <f>CHOOSE( CONTROL!$C$32, 21.1767, 21.1735) * CHOOSE( CONTROL!$C$15, $D$11, 100%, $F$11)</f>
        <v>21.1767</v>
      </c>
      <c r="F647" s="4">
        <f>CHOOSE( CONTROL!$C$32, 21.8496, 21.8464) * CHOOSE(CONTROL!$C$15, $D$11, 100%, $F$11)</f>
        <v>21.849599999999999</v>
      </c>
      <c r="G647" s="8">
        <f>CHOOSE( CONTROL!$C$32, 20.7852, 20.782) * CHOOSE( CONTROL!$C$15, $D$11, 100%, $F$11)</f>
        <v>20.7852</v>
      </c>
      <c r="H647" s="4">
        <f>CHOOSE( CONTROL!$C$32, 21.7161, 21.7129) * CHOOSE(CONTROL!$C$15, $D$11, 100%, $F$11)</f>
        <v>21.716100000000001</v>
      </c>
      <c r="I647" s="8">
        <f>CHOOSE( CONTROL!$C$32, 20.5353, 20.5322) * CHOOSE(CONTROL!$C$15, $D$11, 100%, $F$11)</f>
        <v>20.535299999999999</v>
      </c>
      <c r="J647" s="4">
        <f>CHOOSE( CONTROL!$C$32, 20.4319, 20.4288) * CHOOSE(CONTROL!$C$15, $D$11, 100%, $F$11)</f>
        <v>20.431899999999999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61240</v>
      </c>
      <c r="B648" s="8">
        <f>CHOOSE( CONTROL!$C$32, 19.5368, 19.5336) * CHOOSE(CONTROL!$C$15, $D$11, 100%, $F$11)</f>
        <v>19.536799999999999</v>
      </c>
      <c r="C648" s="8">
        <f>CHOOSE( CONTROL!$C$32, 19.5448, 19.5416) * CHOOSE(CONTROL!$C$15, $D$11, 100%, $F$11)</f>
        <v>19.544799999999999</v>
      </c>
      <c r="D648" s="8">
        <f>CHOOSE( CONTROL!$C$32, 19.5479, 19.5447) * CHOOSE( CONTROL!$C$15, $D$11, 100%, $F$11)</f>
        <v>19.547899999999998</v>
      </c>
      <c r="E648" s="12">
        <f>CHOOSE( CONTROL!$C$32, 19.5456, 19.5424) * CHOOSE( CONTROL!$C$15, $D$11, 100%, $F$11)</f>
        <v>19.5456</v>
      </c>
      <c r="F648" s="4">
        <f>CHOOSE( CONTROL!$C$32, 20.2183, 20.2151) * CHOOSE(CONTROL!$C$15, $D$11, 100%, $F$11)</f>
        <v>20.218299999999999</v>
      </c>
      <c r="G648" s="8">
        <f>CHOOSE( CONTROL!$C$32, 19.1812, 19.178) * CHOOSE( CONTROL!$C$15, $D$11, 100%, $F$11)</f>
        <v>19.1812</v>
      </c>
      <c r="H648" s="4">
        <f>CHOOSE( CONTROL!$C$32, 20.1118, 20.1087) * CHOOSE(CONTROL!$C$15, $D$11, 100%, $F$11)</f>
        <v>20.111799999999999</v>
      </c>
      <c r="I648" s="8">
        <f>CHOOSE( CONTROL!$C$32, 18.9583, 18.9552) * CHOOSE(CONTROL!$C$15, $D$11, 100%, $F$11)</f>
        <v>18.958300000000001</v>
      </c>
      <c r="J648" s="4">
        <f>CHOOSE( CONTROL!$C$32, 18.855, 18.8519) * CHOOSE(CONTROL!$C$15, $D$11, 100%, $F$11)</f>
        <v>18.855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1.2183999999999999</v>
      </c>
      <c r="Q648" s="9">
        <v>19.688099999999999</v>
      </c>
      <c r="R648" s="9"/>
      <c r="S648" s="11"/>
    </row>
    <row r="649" spans="1:19" ht="15.75">
      <c r="A649" s="13">
        <v>61270</v>
      </c>
      <c r="B649" s="8">
        <f>CHOOSE( CONTROL!$C$32, 19.1283, 19.1251) * CHOOSE(CONTROL!$C$15, $D$11, 100%, $F$11)</f>
        <v>19.128299999999999</v>
      </c>
      <c r="C649" s="8">
        <f>CHOOSE( CONTROL!$C$32, 19.1363, 19.1331) * CHOOSE(CONTROL!$C$15, $D$11, 100%, $F$11)</f>
        <v>19.136299999999999</v>
      </c>
      <c r="D649" s="8">
        <f>CHOOSE( CONTROL!$C$32, 19.1394, 19.1362) * CHOOSE( CONTROL!$C$15, $D$11, 100%, $F$11)</f>
        <v>19.139399999999998</v>
      </c>
      <c r="E649" s="12">
        <f>CHOOSE( CONTROL!$C$32, 19.1371, 19.1339) * CHOOSE( CONTROL!$C$15, $D$11, 100%, $F$11)</f>
        <v>19.1371</v>
      </c>
      <c r="F649" s="4">
        <f>CHOOSE( CONTROL!$C$32, 19.8098, 19.8066) * CHOOSE(CONTROL!$C$15, $D$11, 100%, $F$11)</f>
        <v>19.809799999999999</v>
      </c>
      <c r="G649" s="8">
        <f>CHOOSE( CONTROL!$C$32, 18.7795, 18.7764) * CHOOSE( CONTROL!$C$15, $D$11, 100%, $F$11)</f>
        <v>18.779499999999999</v>
      </c>
      <c r="H649" s="4">
        <f>CHOOSE( CONTROL!$C$32, 19.7101, 19.707) * CHOOSE(CONTROL!$C$15, $D$11, 100%, $F$11)</f>
        <v>19.710100000000001</v>
      </c>
      <c r="I649" s="8">
        <f>CHOOSE( CONTROL!$C$32, 18.5634, 18.5603) * CHOOSE(CONTROL!$C$15, $D$11, 100%, $F$11)</f>
        <v>18.563400000000001</v>
      </c>
      <c r="J649" s="4">
        <f>CHOOSE( CONTROL!$C$32, 18.4601, 18.457) * CHOOSE(CONTROL!$C$15, $D$11, 100%, $F$11)</f>
        <v>18.460100000000001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1.1791</v>
      </c>
      <c r="Q649" s="9">
        <v>19.053000000000001</v>
      </c>
      <c r="R649" s="9"/>
      <c r="S649" s="11"/>
    </row>
    <row r="650" spans="1:19" ht="15.75">
      <c r="A650" s="13">
        <v>61301</v>
      </c>
      <c r="B650" s="8">
        <f>19.9715 * CHOOSE(CONTROL!$C$15, $D$11, 100%, $F$11)</f>
        <v>19.971499999999999</v>
      </c>
      <c r="C650" s="8">
        <f>19.9769 * CHOOSE(CONTROL!$C$15, $D$11, 100%, $F$11)</f>
        <v>19.976900000000001</v>
      </c>
      <c r="D650" s="8">
        <f>19.9848 * CHOOSE( CONTROL!$C$15, $D$11, 100%, $F$11)</f>
        <v>19.9848</v>
      </c>
      <c r="E650" s="12">
        <f>19.9816 * CHOOSE( CONTROL!$C$15, $D$11, 100%, $F$11)</f>
        <v>19.9816</v>
      </c>
      <c r="F650" s="4">
        <f>20.6548 * CHOOSE(CONTROL!$C$15, $D$11, 100%, $F$11)</f>
        <v>20.654800000000002</v>
      </c>
      <c r="G650" s="8">
        <f>19.61 * CHOOSE( CONTROL!$C$15, $D$11, 100%, $F$11)</f>
        <v>19.61</v>
      </c>
      <c r="H650" s="4">
        <f>20.5411 * CHOOSE(CONTROL!$C$15, $D$11, 100%, $F$11)</f>
        <v>20.5411</v>
      </c>
      <c r="I650" s="8">
        <f>19.3812 * CHOOSE(CONTROL!$C$15, $D$11, 100%, $F$11)</f>
        <v>19.3812</v>
      </c>
      <c r="J650" s="4">
        <f>19.2769 * CHOOSE(CONTROL!$C$15, $D$11, 100%, $F$11)</f>
        <v>19.276900000000001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1.2183999999999999</v>
      </c>
      <c r="Q650" s="9">
        <v>19.688099999999999</v>
      </c>
      <c r="R650" s="9"/>
      <c r="S650" s="11"/>
    </row>
    <row r="651" spans="1:19" ht="15.75">
      <c r="A651" s="13">
        <v>61331</v>
      </c>
      <c r="B651" s="8">
        <f>21.5367 * CHOOSE(CONTROL!$C$15, $D$11, 100%, $F$11)</f>
        <v>21.5367</v>
      </c>
      <c r="C651" s="8">
        <f>21.5418 * CHOOSE(CONTROL!$C$15, $D$11, 100%, $F$11)</f>
        <v>21.541799999999999</v>
      </c>
      <c r="D651" s="8">
        <f>21.5193 * CHOOSE( CONTROL!$C$15, $D$11, 100%, $F$11)</f>
        <v>21.519300000000001</v>
      </c>
      <c r="E651" s="12">
        <f>21.527 * CHOOSE( CONTROL!$C$15, $D$11, 100%, $F$11)</f>
        <v>21.527000000000001</v>
      </c>
      <c r="F651" s="4">
        <f>22.1816 * CHOOSE(CONTROL!$C$15, $D$11, 100%, $F$11)</f>
        <v>22.1816</v>
      </c>
      <c r="G651" s="8">
        <f>21.1622 * CHOOSE( CONTROL!$C$15, $D$11, 100%, $F$11)</f>
        <v>21.162199999999999</v>
      </c>
      <c r="H651" s="4">
        <f>22.0425 * CHOOSE(CONTROL!$C$15, $D$11, 100%, $F$11)</f>
        <v>22.0425</v>
      </c>
      <c r="I651" s="8">
        <f>20.9211 * CHOOSE(CONTROL!$C$15, $D$11, 100%, $F$11)</f>
        <v>20.921099999999999</v>
      </c>
      <c r="J651" s="4">
        <f>20.7903 * CHOOSE(CONTROL!$C$15, $D$11, 100%, $F$11)</f>
        <v>20.790299999999998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61362</v>
      </c>
      <c r="B652" s="8">
        <f>21.4976 * CHOOSE(CONTROL!$C$15, $D$11, 100%, $F$11)</f>
        <v>21.497599999999998</v>
      </c>
      <c r="C652" s="8">
        <f>21.5027 * CHOOSE(CONTROL!$C$15, $D$11, 100%, $F$11)</f>
        <v>21.502700000000001</v>
      </c>
      <c r="D652" s="8">
        <f>21.4816 * CHOOSE( CONTROL!$C$15, $D$11, 100%, $F$11)</f>
        <v>21.4816</v>
      </c>
      <c r="E652" s="12">
        <f>21.4888 * CHOOSE( CONTROL!$C$15, $D$11, 100%, $F$11)</f>
        <v>21.488800000000001</v>
      </c>
      <c r="F652" s="4">
        <f>22.1425 * CHOOSE(CONTROL!$C$15, $D$11, 100%, $F$11)</f>
        <v>22.142499999999998</v>
      </c>
      <c r="G652" s="8">
        <f>21.1248 * CHOOSE( CONTROL!$C$15, $D$11, 100%, $F$11)</f>
        <v>21.1248</v>
      </c>
      <c r="H652" s="4">
        <f>22.0041 * CHOOSE(CONTROL!$C$15, $D$11, 100%, $F$11)</f>
        <v>22.004100000000001</v>
      </c>
      <c r="I652" s="8">
        <f>20.8878 * CHOOSE(CONTROL!$C$15, $D$11, 100%, $F$11)</f>
        <v>20.887799999999999</v>
      </c>
      <c r="J652" s="4">
        <f>20.7525 * CHOOSE(CONTROL!$C$15, $D$11, 100%, $F$11)</f>
        <v>20.752500000000001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61393</v>
      </c>
      <c r="B653" s="8">
        <f>22.318 * CHOOSE(CONTROL!$C$15, $D$11, 100%, $F$11)</f>
        <v>22.318000000000001</v>
      </c>
      <c r="C653" s="8">
        <f>22.3232 * CHOOSE(CONTROL!$C$15, $D$11, 100%, $F$11)</f>
        <v>22.3232</v>
      </c>
      <c r="D653" s="8">
        <f>22.3012 * CHOOSE( CONTROL!$C$15, $D$11, 100%, $F$11)</f>
        <v>22.301200000000001</v>
      </c>
      <c r="E653" s="12">
        <f>22.3087 * CHOOSE( CONTROL!$C$15, $D$11, 100%, $F$11)</f>
        <v>22.308700000000002</v>
      </c>
      <c r="F653" s="4">
        <f>22.9629 * CHOOSE(CONTROL!$C$15, $D$11, 100%, $F$11)</f>
        <v>22.962900000000001</v>
      </c>
      <c r="G653" s="8">
        <f>21.929 * CHOOSE( CONTROL!$C$15, $D$11, 100%, $F$11)</f>
        <v>21.928999999999998</v>
      </c>
      <c r="H653" s="4">
        <f>22.8109 * CHOOSE(CONTROL!$C$15, $D$11, 100%, $F$11)</f>
        <v>22.8109</v>
      </c>
      <c r="I653" s="8">
        <f>21.6532 * CHOOSE(CONTROL!$C$15, $D$11, 100%, $F$11)</f>
        <v>21.653199999999998</v>
      </c>
      <c r="J653" s="4">
        <f>21.5457 * CHOOSE(CONTROL!$C$15, $D$11, 100%, $F$11)</f>
        <v>21.5457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61422</v>
      </c>
      <c r="B654" s="8">
        <f>20.8772 * CHOOSE(CONTROL!$C$15, $D$11, 100%, $F$11)</f>
        <v>20.877199999999998</v>
      </c>
      <c r="C654" s="8">
        <f>20.8823 * CHOOSE(CONTROL!$C$15, $D$11, 100%, $F$11)</f>
        <v>20.882300000000001</v>
      </c>
      <c r="D654" s="8">
        <f>20.8559 * CHOOSE( CONTROL!$C$15, $D$11, 100%, $F$11)</f>
        <v>20.855899999999998</v>
      </c>
      <c r="E654" s="12">
        <f>20.865 * CHOOSE( CONTROL!$C$15, $D$11, 100%, $F$11)</f>
        <v>20.864999999999998</v>
      </c>
      <c r="F654" s="4">
        <f>21.522 * CHOOSE(CONTROL!$C$15, $D$11, 100%, $F$11)</f>
        <v>21.521999999999998</v>
      </c>
      <c r="G654" s="8">
        <f>20.5036 * CHOOSE( CONTROL!$C$15, $D$11, 100%, $F$11)</f>
        <v>20.503599999999999</v>
      </c>
      <c r="H654" s="4">
        <f>21.3939 * CHOOSE(CONTROL!$C$15, $D$11, 100%, $F$11)</f>
        <v>21.393899999999999</v>
      </c>
      <c r="I654" s="8">
        <f>20.2306 * CHOOSE(CONTROL!$C$15, $D$11, 100%, $F$11)</f>
        <v>20.230599999999999</v>
      </c>
      <c r="J654" s="4">
        <f>20.1528 * CHOOSE(CONTROL!$C$15, $D$11, 100%, $F$11)</f>
        <v>20.152799999999999</v>
      </c>
      <c r="K654" s="4"/>
      <c r="L654" s="9">
        <v>27.415299999999998</v>
      </c>
      <c r="M654" s="9">
        <v>11.285299999999999</v>
      </c>
      <c r="N654" s="9">
        <v>4.6254999999999997</v>
      </c>
      <c r="O654" s="9">
        <v>0.34989999999999999</v>
      </c>
      <c r="P654" s="9">
        <v>1.2093</v>
      </c>
      <c r="Q654" s="9">
        <v>18.417899999999999</v>
      </c>
      <c r="R654" s="9"/>
      <c r="S654" s="11"/>
    </row>
    <row r="655" spans="1:19" ht="15.75">
      <c r="A655" s="13">
        <v>61453</v>
      </c>
      <c r="B655" s="8">
        <f>20.4334 * CHOOSE(CONTROL!$C$15, $D$11, 100%, $F$11)</f>
        <v>20.433399999999999</v>
      </c>
      <c r="C655" s="8">
        <f>20.4385 * CHOOSE(CONTROL!$C$15, $D$11, 100%, $F$11)</f>
        <v>20.438500000000001</v>
      </c>
      <c r="D655" s="8">
        <f>20.4125 * CHOOSE( CONTROL!$C$15, $D$11, 100%, $F$11)</f>
        <v>20.412500000000001</v>
      </c>
      <c r="E655" s="12">
        <f>20.4215 * CHOOSE( CONTROL!$C$15, $D$11, 100%, $F$11)</f>
        <v>20.421500000000002</v>
      </c>
      <c r="F655" s="4">
        <f>21.0783 * CHOOSE(CONTROL!$C$15, $D$11, 100%, $F$11)</f>
        <v>21.078299999999999</v>
      </c>
      <c r="G655" s="8">
        <f>20.0674 * CHOOSE( CONTROL!$C$15, $D$11, 100%, $F$11)</f>
        <v>20.067399999999999</v>
      </c>
      <c r="H655" s="4">
        <f>20.9575 * CHOOSE(CONTROL!$C$15, $D$11, 100%, $F$11)</f>
        <v>20.9575</v>
      </c>
      <c r="I655" s="8">
        <f>19.8026 * CHOOSE(CONTROL!$C$15, $D$11, 100%, $F$11)</f>
        <v>19.802600000000002</v>
      </c>
      <c r="J655" s="4">
        <f>19.7238 * CHOOSE(CONTROL!$C$15, $D$11, 100%, $F$11)</f>
        <v>19.723800000000001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61483</v>
      </c>
      <c r="B656" s="8">
        <f>20.7443 * CHOOSE(CONTROL!$C$15, $D$11, 100%, $F$11)</f>
        <v>20.744299999999999</v>
      </c>
      <c r="C656" s="8">
        <f>20.7488 * CHOOSE(CONTROL!$C$15, $D$11, 100%, $F$11)</f>
        <v>20.748799999999999</v>
      </c>
      <c r="D656" s="8">
        <f>20.756 * CHOOSE( CONTROL!$C$15, $D$11, 100%, $F$11)</f>
        <v>20.756</v>
      </c>
      <c r="E656" s="12">
        <f>20.7531 * CHOOSE( CONTROL!$C$15, $D$11, 100%, $F$11)</f>
        <v>20.7531</v>
      </c>
      <c r="F656" s="4">
        <f>21.4272 * CHOOSE(CONTROL!$C$15, $D$11, 100%, $F$11)</f>
        <v>21.427199999999999</v>
      </c>
      <c r="G656" s="8">
        <f>20.3677 * CHOOSE( CONTROL!$C$15, $D$11, 100%, $F$11)</f>
        <v>20.367699999999999</v>
      </c>
      <c r="H656" s="4">
        <f>21.3006 * CHOOSE(CONTROL!$C$15, $D$11, 100%, $F$11)</f>
        <v>21.300599999999999</v>
      </c>
      <c r="I656" s="8">
        <f>20.1223 * CHOOSE(CONTROL!$C$15, $D$11, 100%, $F$11)</f>
        <v>20.122299999999999</v>
      </c>
      <c r="J656" s="4">
        <f>20.0236 * CHOOSE(CONTROL!$C$15, $D$11, 100%, $F$11)</f>
        <v>20.023599999999998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1.1791</v>
      </c>
      <c r="Q656" s="9">
        <v>19.053000000000001</v>
      </c>
      <c r="R656" s="9"/>
      <c r="S656" s="11"/>
    </row>
    <row r="657" spans="1:19" ht="15.75">
      <c r="A657" s="13">
        <v>61514</v>
      </c>
      <c r="B657" s="8">
        <f>CHOOSE( CONTROL!$C$32, 21.3007, 21.2975) * CHOOSE(CONTROL!$C$15, $D$11, 100%, $F$11)</f>
        <v>21.300699999999999</v>
      </c>
      <c r="C657" s="8">
        <f>CHOOSE( CONTROL!$C$32, 21.3087, 21.3055) * CHOOSE(CONTROL!$C$15, $D$11, 100%, $F$11)</f>
        <v>21.308700000000002</v>
      </c>
      <c r="D657" s="8">
        <f>CHOOSE( CONTROL!$C$32, 21.3111, 21.3079) * CHOOSE( CONTROL!$C$15, $D$11, 100%, $F$11)</f>
        <v>21.3111</v>
      </c>
      <c r="E657" s="12">
        <f>CHOOSE( CONTROL!$C$32, 21.309, 21.3058) * CHOOSE( CONTROL!$C$15, $D$11, 100%, $F$11)</f>
        <v>21.309000000000001</v>
      </c>
      <c r="F657" s="4">
        <f>CHOOSE( CONTROL!$C$32, 21.9823, 21.9791) * CHOOSE(CONTROL!$C$15, $D$11, 100%, $F$11)</f>
        <v>21.982299999999999</v>
      </c>
      <c r="G657" s="8">
        <f>CHOOSE( CONTROL!$C$32, 20.9147, 20.9116) * CHOOSE( CONTROL!$C$15, $D$11, 100%, $F$11)</f>
        <v>20.9147</v>
      </c>
      <c r="H657" s="4">
        <f>CHOOSE( CONTROL!$C$32, 21.8465, 21.8434) * CHOOSE(CONTROL!$C$15, $D$11, 100%, $F$11)</f>
        <v>21.846499999999999</v>
      </c>
      <c r="I657" s="8">
        <f>CHOOSE( CONTROL!$C$32, 20.6608, 20.6577) * CHOOSE(CONTROL!$C$15, $D$11, 100%, $F$11)</f>
        <v>20.660799999999998</v>
      </c>
      <c r="J657" s="4">
        <f>CHOOSE( CONTROL!$C$32, 20.5602, 20.5571) * CHOOSE(CONTROL!$C$15, $D$11, 100%, $F$11)</f>
        <v>20.560199999999998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1.2183999999999999</v>
      </c>
      <c r="Q657" s="9">
        <v>19.688099999999999</v>
      </c>
      <c r="R657" s="9"/>
      <c r="S657" s="11"/>
    </row>
    <row r="658" spans="1:19" ht="15.75">
      <c r="A658" s="13">
        <v>61544</v>
      </c>
      <c r="B658" s="8">
        <f>CHOOSE( CONTROL!$C$32, 20.9588, 20.9556) * CHOOSE(CONTROL!$C$15, $D$11, 100%, $F$11)</f>
        <v>20.9588</v>
      </c>
      <c r="C658" s="8">
        <f>CHOOSE( CONTROL!$C$32, 20.9669, 20.9637) * CHOOSE(CONTROL!$C$15, $D$11, 100%, $F$11)</f>
        <v>20.966899999999999</v>
      </c>
      <c r="D658" s="8">
        <f>CHOOSE( CONTROL!$C$32, 20.9695, 20.9663) * CHOOSE( CONTROL!$C$15, $D$11, 100%, $F$11)</f>
        <v>20.9695</v>
      </c>
      <c r="E658" s="12">
        <f>CHOOSE( CONTROL!$C$32, 20.9673, 20.9641) * CHOOSE( CONTROL!$C$15, $D$11, 100%, $F$11)</f>
        <v>20.967300000000002</v>
      </c>
      <c r="F658" s="4">
        <f>CHOOSE( CONTROL!$C$32, 21.6404, 21.6372) * CHOOSE(CONTROL!$C$15, $D$11, 100%, $F$11)</f>
        <v>21.6404</v>
      </c>
      <c r="G658" s="8">
        <f>CHOOSE( CONTROL!$C$32, 20.579, 20.5758) * CHOOSE( CONTROL!$C$15, $D$11, 100%, $F$11)</f>
        <v>20.579000000000001</v>
      </c>
      <c r="H658" s="4">
        <f>CHOOSE( CONTROL!$C$32, 21.5103, 21.5072) * CHOOSE(CONTROL!$C$15, $D$11, 100%, $F$11)</f>
        <v>21.510300000000001</v>
      </c>
      <c r="I658" s="8">
        <f>CHOOSE( CONTROL!$C$32, 20.3315, 20.3284) * CHOOSE(CONTROL!$C$15, $D$11, 100%, $F$11)</f>
        <v>20.331499999999998</v>
      </c>
      <c r="J658" s="4">
        <f>CHOOSE( CONTROL!$C$32, 20.2297, 20.2266) * CHOOSE(CONTROL!$C$15, $D$11, 100%, $F$11)</f>
        <v>20.229700000000001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1.1791</v>
      </c>
      <c r="Q658" s="9">
        <v>19.053000000000001</v>
      </c>
      <c r="R658" s="9"/>
      <c r="S658" s="11"/>
    </row>
    <row r="659" spans="1:19" ht="15.75">
      <c r="A659" s="13">
        <v>61575</v>
      </c>
      <c r="B659" s="8">
        <f>CHOOSE( CONTROL!$C$32, 21.8592, 21.856) * CHOOSE(CONTROL!$C$15, $D$11, 100%, $F$11)</f>
        <v>21.859200000000001</v>
      </c>
      <c r="C659" s="8">
        <f>CHOOSE( CONTROL!$C$32, 21.8672, 21.864) * CHOOSE(CONTROL!$C$15, $D$11, 100%, $F$11)</f>
        <v>21.8672</v>
      </c>
      <c r="D659" s="8">
        <f>CHOOSE( CONTROL!$C$32, 21.8701, 21.8669) * CHOOSE( CONTROL!$C$15, $D$11, 100%, $F$11)</f>
        <v>21.870100000000001</v>
      </c>
      <c r="E659" s="12">
        <f>CHOOSE( CONTROL!$C$32, 21.8678, 21.8646) * CHOOSE( CONTROL!$C$15, $D$11, 100%, $F$11)</f>
        <v>21.867799999999999</v>
      </c>
      <c r="F659" s="4">
        <f>CHOOSE( CONTROL!$C$32, 22.5407, 22.5375) * CHOOSE(CONTROL!$C$15, $D$11, 100%, $F$11)</f>
        <v>22.540700000000001</v>
      </c>
      <c r="G659" s="8">
        <f>CHOOSE( CONTROL!$C$32, 21.4648, 21.4617) * CHOOSE( CONTROL!$C$15, $D$11, 100%, $F$11)</f>
        <v>21.4648</v>
      </c>
      <c r="H659" s="4">
        <f>CHOOSE( CONTROL!$C$32, 22.3957, 22.3926) * CHOOSE(CONTROL!$C$15, $D$11, 100%, $F$11)</f>
        <v>22.395700000000001</v>
      </c>
      <c r="I659" s="8">
        <f>CHOOSE( CONTROL!$C$32, 21.2037, 21.2006) * CHOOSE(CONTROL!$C$15, $D$11, 100%, $F$11)</f>
        <v>21.203700000000001</v>
      </c>
      <c r="J659" s="4">
        <f>CHOOSE( CONTROL!$C$32, 21.1, 21.0969) * CHOOSE(CONTROL!$C$15, $D$11, 100%, $F$11)</f>
        <v>21.1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61606</v>
      </c>
      <c r="B660" s="8">
        <f>CHOOSE( CONTROL!$C$32, 20.1745, 20.1714) * CHOOSE(CONTROL!$C$15, $D$11, 100%, $F$11)</f>
        <v>20.174499999999998</v>
      </c>
      <c r="C660" s="8">
        <f>CHOOSE( CONTROL!$C$32, 20.1826, 20.1794) * CHOOSE(CONTROL!$C$15, $D$11, 100%, $F$11)</f>
        <v>20.182600000000001</v>
      </c>
      <c r="D660" s="8">
        <f>CHOOSE( CONTROL!$C$32, 20.1856, 20.1824) * CHOOSE( CONTROL!$C$15, $D$11, 100%, $F$11)</f>
        <v>20.185600000000001</v>
      </c>
      <c r="E660" s="12">
        <f>CHOOSE( CONTROL!$C$32, 20.1833, 20.1801) * CHOOSE( CONTROL!$C$15, $D$11, 100%, $F$11)</f>
        <v>20.183299999999999</v>
      </c>
      <c r="F660" s="4">
        <f>CHOOSE( CONTROL!$C$32, 20.8561, 20.8529) * CHOOSE(CONTROL!$C$15, $D$11, 100%, $F$11)</f>
        <v>20.856100000000001</v>
      </c>
      <c r="G660" s="8">
        <f>CHOOSE( CONTROL!$C$32, 19.8084, 19.8052) * CHOOSE( CONTROL!$C$15, $D$11, 100%, $F$11)</f>
        <v>19.808399999999999</v>
      </c>
      <c r="H660" s="4">
        <f>CHOOSE( CONTROL!$C$32, 20.739, 20.7359) * CHOOSE(CONTROL!$C$15, $D$11, 100%, $F$11)</f>
        <v>20.739000000000001</v>
      </c>
      <c r="I660" s="8">
        <f>CHOOSE( CONTROL!$C$32, 19.5752, 19.5721) * CHOOSE(CONTROL!$C$15, $D$11, 100%, $F$11)</f>
        <v>19.575199999999999</v>
      </c>
      <c r="J660" s="4">
        <f>CHOOSE( CONTROL!$C$32, 19.4715, 19.4684) * CHOOSE(CONTROL!$C$15, $D$11, 100%, $F$11)</f>
        <v>19.471499999999999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1.2183999999999999</v>
      </c>
      <c r="Q660" s="9">
        <v>19.688099999999999</v>
      </c>
      <c r="R660" s="9"/>
      <c r="S660" s="11"/>
    </row>
    <row r="661" spans="1:19" ht="15.75">
      <c r="A661" s="13">
        <v>61636</v>
      </c>
      <c r="B661" s="8">
        <f>CHOOSE( CONTROL!$C$32, 19.7527, 19.7495) * CHOOSE(CONTROL!$C$15, $D$11, 100%, $F$11)</f>
        <v>19.752700000000001</v>
      </c>
      <c r="C661" s="8">
        <f>CHOOSE( CONTROL!$C$32, 19.7607, 19.7575) * CHOOSE(CONTROL!$C$15, $D$11, 100%, $F$11)</f>
        <v>19.7607</v>
      </c>
      <c r="D661" s="8">
        <f>CHOOSE( CONTROL!$C$32, 19.7638, 19.7606) * CHOOSE( CONTROL!$C$15, $D$11, 100%, $F$11)</f>
        <v>19.7638</v>
      </c>
      <c r="E661" s="12">
        <f>CHOOSE( CONTROL!$C$32, 19.7615, 19.7583) * CHOOSE( CONTROL!$C$15, $D$11, 100%, $F$11)</f>
        <v>19.761500000000002</v>
      </c>
      <c r="F661" s="4">
        <f>CHOOSE( CONTROL!$C$32, 20.4342, 20.431) * CHOOSE(CONTROL!$C$15, $D$11, 100%, $F$11)</f>
        <v>20.434200000000001</v>
      </c>
      <c r="G661" s="8">
        <f>CHOOSE( CONTROL!$C$32, 19.3936, 19.3904) * CHOOSE( CONTROL!$C$15, $D$11, 100%, $F$11)</f>
        <v>19.393599999999999</v>
      </c>
      <c r="H661" s="4">
        <f>CHOOSE( CONTROL!$C$32, 20.3242, 20.321) * CHOOSE(CONTROL!$C$15, $D$11, 100%, $F$11)</f>
        <v>20.324200000000001</v>
      </c>
      <c r="I661" s="8">
        <f>CHOOSE( CONTROL!$C$32, 19.1673, 19.1642) * CHOOSE(CONTROL!$C$15, $D$11, 100%, $F$11)</f>
        <v>19.167300000000001</v>
      </c>
      <c r="J661" s="4">
        <f>CHOOSE( CONTROL!$C$32, 19.0637, 19.0606) * CHOOSE(CONTROL!$C$15, $D$11, 100%, $F$11)</f>
        <v>19.063700000000001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1.1791</v>
      </c>
      <c r="Q661" s="9">
        <v>19.053000000000001</v>
      </c>
      <c r="R661" s="9"/>
      <c r="S661" s="11"/>
    </row>
    <row r="662" spans="1:19" ht="15.75">
      <c r="A662" s="13">
        <v>61667</v>
      </c>
      <c r="B662" s="8">
        <f>20.6237 * CHOOSE(CONTROL!$C$15, $D$11, 100%, $F$11)</f>
        <v>20.623699999999999</v>
      </c>
      <c r="C662" s="8">
        <f>20.6291 * CHOOSE(CONTROL!$C$15, $D$11, 100%, $F$11)</f>
        <v>20.629100000000001</v>
      </c>
      <c r="D662" s="8">
        <f>20.6369 * CHOOSE( CONTROL!$C$15, $D$11, 100%, $F$11)</f>
        <v>20.636900000000001</v>
      </c>
      <c r="E662" s="12">
        <f>20.6338 * CHOOSE( CONTROL!$C$15, $D$11, 100%, $F$11)</f>
        <v>20.633800000000001</v>
      </c>
      <c r="F662" s="4">
        <f>21.307 * CHOOSE(CONTROL!$C$15, $D$11, 100%, $F$11)</f>
        <v>21.306999999999999</v>
      </c>
      <c r="G662" s="8">
        <f>20.2513 * CHOOSE( CONTROL!$C$15, $D$11, 100%, $F$11)</f>
        <v>20.251300000000001</v>
      </c>
      <c r="H662" s="4">
        <f>21.1824 * CHOOSE(CONTROL!$C$15, $D$11, 100%, $F$11)</f>
        <v>21.182400000000001</v>
      </c>
      <c r="I662" s="8">
        <f>20.012 * CHOOSE(CONTROL!$C$15, $D$11, 100%, $F$11)</f>
        <v>20.012</v>
      </c>
      <c r="J662" s="4">
        <f>19.9073 * CHOOSE(CONTROL!$C$15, $D$11, 100%, $F$11)</f>
        <v>19.907299999999999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1.2183999999999999</v>
      </c>
      <c r="Q662" s="9">
        <v>19.688099999999999</v>
      </c>
      <c r="R662" s="9"/>
      <c r="S662" s="11"/>
    </row>
    <row r="663" spans="1:19" ht="15.75">
      <c r="A663" s="13">
        <v>61697</v>
      </c>
      <c r="B663" s="8">
        <f>22.24 * CHOOSE(CONTROL!$C$15, $D$11, 100%, $F$11)</f>
        <v>22.24</v>
      </c>
      <c r="C663" s="8">
        <f>22.2451 * CHOOSE(CONTROL!$C$15, $D$11, 100%, $F$11)</f>
        <v>22.245100000000001</v>
      </c>
      <c r="D663" s="8">
        <f>22.2227 * CHOOSE( CONTROL!$C$15, $D$11, 100%, $F$11)</f>
        <v>22.2227</v>
      </c>
      <c r="E663" s="12">
        <f>22.2303 * CHOOSE( CONTROL!$C$15, $D$11, 100%, $F$11)</f>
        <v>22.2303</v>
      </c>
      <c r="F663" s="4">
        <f>22.8849 * CHOOSE(CONTROL!$C$15, $D$11, 100%, $F$11)</f>
        <v>22.884899999999998</v>
      </c>
      <c r="G663" s="8">
        <f>21.8538 * CHOOSE( CONTROL!$C$15, $D$11, 100%, $F$11)</f>
        <v>21.8538</v>
      </c>
      <c r="H663" s="4">
        <f>22.7342 * CHOOSE(CONTROL!$C$15, $D$11, 100%, $F$11)</f>
        <v>22.734200000000001</v>
      </c>
      <c r="I663" s="8">
        <f>21.6013 * CHOOSE(CONTROL!$C$15, $D$11, 100%, $F$11)</f>
        <v>21.601299999999998</v>
      </c>
      <c r="J663" s="4">
        <f>21.4703 * CHOOSE(CONTROL!$C$15, $D$11, 100%, $F$11)</f>
        <v>21.470300000000002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61728</v>
      </c>
      <c r="B664" s="8">
        <f>22.1996 * CHOOSE(CONTROL!$C$15, $D$11, 100%, $F$11)</f>
        <v>22.1996</v>
      </c>
      <c r="C664" s="8">
        <f>22.2047 * CHOOSE(CONTROL!$C$15, $D$11, 100%, $F$11)</f>
        <v>22.204699999999999</v>
      </c>
      <c r="D664" s="8">
        <f>22.1837 * CHOOSE( CONTROL!$C$15, $D$11, 100%, $F$11)</f>
        <v>22.183700000000002</v>
      </c>
      <c r="E664" s="12">
        <f>22.1908 * CHOOSE( CONTROL!$C$15, $D$11, 100%, $F$11)</f>
        <v>22.190799999999999</v>
      </c>
      <c r="F664" s="4">
        <f>22.8445 * CHOOSE(CONTROL!$C$15, $D$11, 100%, $F$11)</f>
        <v>22.8445</v>
      </c>
      <c r="G664" s="8">
        <f>21.8152 * CHOOSE( CONTROL!$C$15, $D$11, 100%, $F$11)</f>
        <v>21.815200000000001</v>
      </c>
      <c r="H664" s="4">
        <f>22.6945 * CHOOSE(CONTROL!$C$15, $D$11, 100%, $F$11)</f>
        <v>22.694500000000001</v>
      </c>
      <c r="I664" s="8">
        <f>21.5669 * CHOOSE(CONTROL!$C$15, $D$11, 100%, $F$11)</f>
        <v>21.5669</v>
      </c>
      <c r="J664" s="4">
        <f>21.4312 * CHOOSE(CONTROL!$C$15, $D$11, 100%, $F$11)</f>
        <v>21.4312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61759</v>
      </c>
      <c r="B665" s="8">
        <f>23.0469 * CHOOSE(CONTROL!$C$15, $D$11, 100%, $F$11)</f>
        <v>23.046900000000001</v>
      </c>
      <c r="C665" s="8">
        <f>23.052 * CHOOSE(CONTROL!$C$15, $D$11, 100%, $F$11)</f>
        <v>23.052</v>
      </c>
      <c r="D665" s="8">
        <f>23.0301 * CHOOSE( CONTROL!$C$15, $D$11, 100%, $F$11)</f>
        <v>23.030100000000001</v>
      </c>
      <c r="E665" s="12">
        <f>23.0376 * CHOOSE( CONTROL!$C$15, $D$11, 100%, $F$11)</f>
        <v>23.037600000000001</v>
      </c>
      <c r="F665" s="4">
        <f>23.6918 * CHOOSE(CONTROL!$C$15, $D$11, 100%, $F$11)</f>
        <v>23.691800000000001</v>
      </c>
      <c r="G665" s="8">
        <f>22.6459 * CHOOSE( CONTROL!$C$15, $D$11, 100%, $F$11)</f>
        <v>22.645900000000001</v>
      </c>
      <c r="H665" s="4">
        <f>23.5277 * CHOOSE(CONTROL!$C$15, $D$11, 100%, $F$11)</f>
        <v>23.527699999999999</v>
      </c>
      <c r="I665" s="8">
        <f>22.3581 * CHOOSE(CONTROL!$C$15, $D$11, 100%, $F$11)</f>
        <v>22.3581</v>
      </c>
      <c r="J665" s="4">
        <f>22.2503 * CHOOSE(CONTROL!$C$15, $D$11, 100%, $F$11)</f>
        <v>22.250299999999999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61787</v>
      </c>
      <c r="B666" s="8">
        <f>21.5589 * CHOOSE(CONTROL!$C$15, $D$11, 100%, $F$11)</f>
        <v>21.558900000000001</v>
      </c>
      <c r="C666" s="8">
        <f>21.5641 * CHOOSE(CONTROL!$C$15, $D$11, 100%, $F$11)</f>
        <v>21.5641</v>
      </c>
      <c r="D666" s="8">
        <f>21.5377 * CHOOSE( CONTROL!$C$15, $D$11, 100%, $F$11)</f>
        <v>21.537700000000001</v>
      </c>
      <c r="E666" s="12">
        <f>21.5468 * CHOOSE( CONTROL!$C$15, $D$11, 100%, $F$11)</f>
        <v>21.546800000000001</v>
      </c>
      <c r="F666" s="4">
        <f>22.2038 * CHOOSE(CONTROL!$C$15, $D$11, 100%, $F$11)</f>
        <v>22.203800000000001</v>
      </c>
      <c r="G666" s="8">
        <f>21.1741 * CHOOSE( CONTROL!$C$15, $D$11, 100%, $F$11)</f>
        <v>21.174099999999999</v>
      </c>
      <c r="H666" s="4">
        <f>22.0644 * CHOOSE(CONTROL!$C$15, $D$11, 100%, $F$11)</f>
        <v>22.064399999999999</v>
      </c>
      <c r="I666" s="8">
        <f>20.89 * CHOOSE(CONTROL!$C$15, $D$11, 100%, $F$11)</f>
        <v>20.89</v>
      </c>
      <c r="J666" s="4">
        <f>20.8119 * CHOOSE(CONTROL!$C$15, $D$11, 100%, $F$11)</f>
        <v>20.811900000000001</v>
      </c>
      <c r="K666" s="4"/>
      <c r="L666" s="9">
        <v>26.469899999999999</v>
      </c>
      <c r="M666" s="9">
        <v>10.8962</v>
      </c>
      <c r="N666" s="9">
        <v>4.4660000000000002</v>
      </c>
      <c r="O666" s="9">
        <v>0.33789999999999998</v>
      </c>
      <c r="P666" s="9">
        <v>1.1676</v>
      </c>
      <c r="Q666" s="9">
        <v>17.782800000000002</v>
      </c>
      <c r="R666" s="9"/>
      <c r="S666" s="11"/>
    </row>
    <row r="667" spans="1:19" ht="15.75">
      <c r="A667" s="13">
        <v>61818</v>
      </c>
      <c r="B667" s="8">
        <f>21.1006 * CHOOSE(CONTROL!$C$15, $D$11, 100%, $F$11)</f>
        <v>21.1006</v>
      </c>
      <c r="C667" s="8">
        <f>21.1058 * CHOOSE(CONTROL!$C$15, $D$11, 100%, $F$11)</f>
        <v>21.105799999999999</v>
      </c>
      <c r="D667" s="8">
        <f>21.0798 * CHOOSE( CONTROL!$C$15, $D$11, 100%, $F$11)</f>
        <v>21.079799999999999</v>
      </c>
      <c r="E667" s="12">
        <f>21.0888 * CHOOSE( CONTROL!$C$15, $D$11, 100%, $F$11)</f>
        <v>21.088799999999999</v>
      </c>
      <c r="F667" s="4">
        <f>21.7455 * CHOOSE(CONTROL!$C$15, $D$11, 100%, $F$11)</f>
        <v>21.7455</v>
      </c>
      <c r="G667" s="8">
        <f>20.7236 * CHOOSE( CONTROL!$C$15, $D$11, 100%, $F$11)</f>
        <v>20.723600000000001</v>
      </c>
      <c r="H667" s="4">
        <f>21.6137 * CHOOSE(CONTROL!$C$15, $D$11, 100%, $F$11)</f>
        <v>21.613700000000001</v>
      </c>
      <c r="I667" s="8">
        <f>20.4479 * CHOOSE(CONTROL!$C$15, $D$11, 100%, $F$11)</f>
        <v>20.447900000000001</v>
      </c>
      <c r="J667" s="4">
        <f>20.3688 * CHOOSE(CONTROL!$C$15, $D$11, 100%, $F$11)</f>
        <v>20.3688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61848</v>
      </c>
      <c r="B668" s="8">
        <f>21.4217 * CHOOSE(CONTROL!$C$15, $D$11, 100%, $F$11)</f>
        <v>21.421700000000001</v>
      </c>
      <c r="C668" s="8">
        <f>21.4262 * CHOOSE(CONTROL!$C$15, $D$11, 100%, $F$11)</f>
        <v>21.426200000000001</v>
      </c>
      <c r="D668" s="8">
        <f>21.4334 * CHOOSE( CONTROL!$C$15, $D$11, 100%, $F$11)</f>
        <v>21.433399999999999</v>
      </c>
      <c r="E668" s="12">
        <f>21.4305 * CHOOSE( CONTROL!$C$15, $D$11, 100%, $F$11)</f>
        <v>21.430499999999999</v>
      </c>
      <c r="F668" s="4">
        <f>22.1046 * CHOOSE(CONTROL!$C$15, $D$11, 100%, $F$11)</f>
        <v>22.104600000000001</v>
      </c>
      <c r="G668" s="8">
        <f>21.0339 * CHOOSE( CONTROL!$C$15, $D$11, 100%, $F$11)</f>
        <v>21.033899999999999</v>
      </c>
      <c r="H668" s="4">
        <f>21.9668 * CHOOSE(CONTROL!$C$15, $D$11, 100%, $F$11)</f>
        <v>21.966799999999999</v>
      </c>
      <c r="I668" s="8">
        <f>20.7775 * CHOOSE(CONTROL!$C$15, $D$11, 100%, $F$11)</f>
        <v>20.7775</v>
      </c>
      <c r="J668" s="4">
        <f>20.6784 * CHOOSE(CONTROL!$C$15, $D$11, 100%, $F$11)</f>
        <v>20.6784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1.1791</v>
      </c>
      <c r="Q668" s="9">
        <v>19.053000000000001</v>
      </c>
      <c r="R668" s="9"/>
      <c r="S668" s="11"/>
    </row>
    <row r="669" spans="1:19" ht="15.75">
      <c r="A669" s="13">
        <v>61879</v>
      </c>
      <c r="B669" s="8">
        <f>CHOOSE( CONTROL!$C$32, 21.9962, 21.993) * CHOOSE(CONTROL!$C$15, $D$11, 100%, $F$11)</f>
        <v>21.996200000000002</v>
      </c>
      <c r="C669" s="8">
        <f>CHOOSE( CONTROL!$C$32, 22.0042, 22.001) * CHOOSE(CONTROL!$C$15, $D$11, 100%, $F$11)</f>
        <v>22.004200000000001</v>
      </c>
      <c r="D669" s="8">
        <f>CHOOSE( CONTROL!$C$32, 22.0065, 22.0033) * CHOOSE( CONTROL!$C$15, $D$11, 100%, $F$11)</f>
        <v>22.006499999999999</v>
      </c>
      <c r="E669" s="12">
        <f>CHOOSE( CONTROL!$C$32, 22.0044, 22.0012) * CHOOSE( CONTROL!$C$15, $D$11, 100%, $F$11)</f>
        <v>22.0044</v>
      </c>
      <c r="F669" s="4">
        <f>CHOOSE( CONTROL!$C$32, 22.6777, 22.6745) * CHOOSE(CONTROL!$C$15, $D$11, 100%, $F$11)</f>
        <v>22.677700000000002</v>
      </c>
      <c r="G669" s="8">
        <f>CHOOSE( CONTROL!$C$32, 21.5987, 21.5955) * CHOOSE( CONTROL!$C$15, $D$11, 100%, $F$11)</f>
        <v>21.598700000000001</v>
      </c>
      <c r="H669" s="4">
        <f>CHOOSE( CONTROL!$C$32, 22.5305, 22.5273) * CHOOSE(CONTROL!$C$15, $D$11, 100%, $F$11)</f>
        <v>22.5305</v>
      </c>
      <c r="I669" s="8">
        <f>CHOOSE( CONTROL!$C$32, 21.3334, 21.3303) * CHOOSE(CONTROL!$C$15, $D$11, 100%, $F$11)</f>
        <v>21.333400000000001</v>
      </c>
      <c r="J669" s="4">
        <f>CHOOSE( CONTROL!$C$32, 21.2325, 21.2294) * CHOOSE(CONTROL!$C$15, $D$11, 100%, $F$11)</f>
        <v>21.232500000000002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1.2183999999999999</v>
      </c>
      <c r="Q669" s="9">
        <v>19.688099999999999</v>
      </c>
      <c r="R669" s="9"/>
      <c r="S669" s="11"/>
    </row>
    <row r="670" spans="1:19" ht="15.75">
      <c r="A670" s="13">
        <v>61909</v>
      </c>
      <c r="B670" s="8">
        <f>CHOOSE( CONTROL!$C$32, 21.6431, 21.6399) * CHOOSE(CONTROL!$C$15, $D$11, 100%, $F$11)</f>
        <v>21.6431</v>
      </c>
      <c r="C670" s="8">
        <f>CHOOSE( CONTROL!$C$32, 21.6511, 21.6479) * CHOOSE(CONTROL!$C$15, $D$11, 100%, $F$11)</f>
        <v>21.6511</v>
      </c>
      <c r="D670" s="8">
        <f>CHOOSE( CONTROL!$C$32, 21.6537, 21.6505) * CHOOSE( CONTROL!$C$15, $D$11, 100%, $F$11)</f>
        <v>21.653700000000001</v>
      </c>
      <c r="E670" s="12">
        <f>CHOOSE( CONTROL!$C$32, 21.6515, 21.6483) * CHOOSE( CONTROL!$C$15, $D$11, 100%, $F$11)</f>
        <v>21.651499999999999</v>
      </c>
      <c r="F670" s="4">
        <f>CHOOSE( CONTROL!$C$32, 22.3247, 22.3215) * CHOOSE(CONTROL!$C$15, $D$11, 100%, $F$11)</f>
        <v>22.3247</v>
      </c>
      <c r="G670" s="8">
        <f>CHOOSE( CONTROL!$C$32, 21.2519, 21.2487) * CHOOSE( CONTROL!$C$15, $D$11, 100%, $F$11)</f>
        <v>21.251899999999999</v>
      </c>
      <c r="H670" s="4">
        <f>CHOOSE( CONTROL!$C$32, 22.1832, 22.1801) * CHOOSE(CONTROL!$C$15, $D$11, 100%, $F$11)</f>
        <v>22.183199999999999</v>
      </c>
      <c r="I670" s="8">
        <f>CHOOSE( CONTROL!$C$32, 20.9933, 20.9902) * CHOOSE(CONTROL!$C$15, $D$11, 100%, $F$11)</f>
        <v>20.993300000000001</v>
      </c>
      <c r="J670" s="4">
        <f>CHOOSE( CONTROL!$C$32, 20.8912, 20.8881) * CHOOSE(CONTROL!$C$15, $D$11, 100%, $F$11)</f>
        <v>20.891200000000001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1.1791</v>
      </c>
      <c r="Q670" s="9">
        <v>19.053000000000001</v>
      </c>
      <c r="R670" s="9"/>
      <c r="S670" s="11"/>
    </row>
    <row r="671" spans="1:19" ht="15.75">
      <c r="A671" s="13">
        <v>61940</v>
      </c>
      <c r="B671" s="8">
        <f>CHOOSE( CONTROL!$C$32, 22.5729, 22.5697) * CHOOSE(CONTROL!$C$15, $D$11, 100%, $F$11)</f>
        <v>22.572900000000001</v>
      </c>
      <c r="C671" s="8">
        <f>CHOOSE( CONTROL!$C$32, 22.5809, 22.5777) * CHOOSE(CONTROL!$C$15, $D$11, 100%, $F$11)</f>
        <v>22.5809</v>
      </c>
      <c r="D671" s="8">
        <f>CHOOSE( CONTROL!$C$32, 22.5838, 22.5806) * CHOOSE( CONTROL!$C$15, $D$11, 100%, $F$11)</f>
        <v>22.5838</v>
      </c>
      <c r="E671" s="12">
        <f>CHOOSE( CONTROL!$C$32, 22.5815, 22.5783) * CHOOSE( CONTROL!$C$15, $D$11, 100%, $F$11)</f>
        <v>22.581499999999998</v>
      </c>
      <c r="F671" s="4">
        <f>CHOOSE( CONTROL!$C$32, 23.2544, 23.2512) * CHOOSE(CONTROL!$C$15, $D$11, 100%, $F$11)</f>
        <v>23.2544</v>
      </c>
      <c r="G671" s="8">
        <f>CHOOSE( CONTROL!$C$32, 22.1667, 22.1636) * CHOOSE( CONTROL!$C$15, $D$11, 100%, $F$11)</f>
        <v>22.166699999999999</v>
      </c>
      <c r="H671" s="4">
        <f>CHOOSE( CONTROL!$C$32, 23.0976, 23.0945) * CHOOSE(CONTROL!$C$15, $D$11, 100%, $F$11)</f>
        <v>23.0976</v>
      </c>
      <c r="I671" s="8">
        <f>CHOOSE( CONTROL!$C$32, 21.894, 21.8909) * CHOOSE(CONTROL!$C$15, $D$11, 100%, $F$11)</f>
        <v>21.893999999999998</v>
      </c>
      <c r="J671" s="4">
        <f>CHOOSE( CONTROL!$C$32, 21.79, 21.7869) * CHOOSE(CONTROL!$C$15, $D$11, 100%, $F$11)</f>
        <v>21.79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61971</v>
      </c>
      <c r="B672" s="8">
        <f>CHOOSE( CONTROL!$C$32, 20.8332, 20.83) * CHOOSE(CONTROL!$C$15, $D$11, 100%, $F$11)</f>
        <v>20.833200000000001</v>
      </c>
      <c r="C672" s="8">
        <f>CHOOSE( CONTROL!$C$32, 20.8412, 20.838) * CHOOSE(CONTROL!$C$15, $D$11, 100%, $F$11)</f>
        <v>20.841200000000001</v>
      </c>
      <c r="D672" s="8">
        <f>CHOOSE( CONTROL!$C$32, 20.8443, 20.8411) * CHOOSE( CONTROL!$C$15, $D$11, 100%, $F$11)</f>
        <v>20.8443</v>
      </c>
      <c r="E672" s="12">
        <f>CHOOSE( CONTROL!$C$32, 20.842, 20.8388) * CHOOSE( CONTROL!$C$15, $D$11, 100%, $F$11)</f>
        <v>20.841999999999999</v>
      </c>
      <c r="F672" s="4">
        <f>CHOOSE( CONTROL!$C$32, 21.5147, 21.5115) * CHOOSE(CONTROL!$C$15, $D$11, 100%, $F$11)</f>
        <v>21.514700000000001</v>
      </c>
      <c r="G672" s="8">
        <f>CHOOSE( CONTROL!$C$32, 20.4561, 20.4529) * CHOOSE( CONTROL!$C$15, $D$11, 100%, $F$11)</f>
        <v>20.456099999999999</v>
      </c>
      <c r="H672" s="4">
        <f>CHOOSE( CONTROL!$C$32, 21.3867, 21.3836) * CHOOSE(CONTROL!$C$15, $D$11, 100%, $F$11)</f>
        <v>21.386700000000001</v>
      </c>
      <c r="I672" s="8">
        <f>CHOOSE( CONTROL!$C$32, 20.2122, 20.2091) * CHOOSE(CONTROL!$C$15, $D$11, 100%, $F$11)</f>
        <v>20.212199999999999</v>
      </c>
      <c r="J672" s="4">
        <f>CHOOSE( CONTROL!$C$32, 20.1082, 20.1051) * CHOOSE(CONTROL!$C$15, $D$11, 100%, $F$11)</f>
        <v>20.1082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1.2183999999999999</v>
      </c>
      <c r="Q672" s="9">
        <v>19.688099999999999</v>
      </c>
      <c r="R672" s="9"/>
      <c r="S672" s="11"/>
    </row>
    <row r="673" spans="1:19" ht="15.75">
      <c r="A673" s="13">
        <v>62001</v>
      </c>
      <c r="B673" s="8">
        <f>CHOOSE( CONTROL!$C$32, 20.3975, 20.3943) * CHOOSE(CONTROL!$C$15, $D$11, 100%, $F$11)</f>
        <v>20.397500000000001</v>
      </c>
      <c r="C673" s="8">
        <f>CHOOSE( CONTROL!$C$32, 20.4055, 20.4023) * CHOOSE(CONTROL!$C$15, $D$11, 100%, $F$11)</f>
        <v>20.4055</v>
      </c>
      <c r="D673" s="8">
        <f>CHOOSE( CONTROL!$C$32, 20.4087, 20.4055) * CHOOSE( CONTROL!$C$15, $D$11, 100%, $F$11)</f>
        <v>20.4087</v>
      </c>
      <c r="E673" s="12">
        <f>CHOOSE( CONTROL!$C$32, 20.4063, 20.4031) * CHOOSE( CONTROL!$C$15, $D$11, 100%, $F$11)</f>
        <v>20.406300000000002</v>
      </c>
      <c r="F673" s="4">
        <f>CHOOSE( CONTROL!$C$32, 21.0791, 21.0759) * CHOOSE(CONTROL!$C$15, $D$11, 100%, $F$11)</f>
        <v>21.0791</v>
      </c>
      <c r="G673" s="8">
        <f>CHOOSE( CONTROL!$C$32, 20.0277, 20.0245) * CHOOSE( CONTROL!$C$15, $D$11, 100%, $F$11)</f>
        <v>20.027699999999999</v>
      </c>
      <c r="H673" s="4">
        <f>CHOOSE( CONTROL!$C$32, 20.9583, 20.9552) * CHOOSE(CONTROL!$C$15, $D$11, 100%, $F$11)</f>
        <v>20.958300000000001</v>
      </c>
      <c r="I673" s="8">
        <f>CHOOSE( CONTROL!$C$32, 19.791, 19.7879) * CHOOSE(CONTROL!$C$15, $D$11, 100%, $F$11)</f>
        <v>19.791</v>
      </c>
      <c r="J673" s="4">
        <f>CHOOSE( CONTROL!$C$32, 19.6871, 19.684) * CHOOSE(CONTROL!$C$15, $D$11, 100%, $F$11)</f>
        <v>19.687100000000001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1.1791</v>
      </c>
      <c r="Q673" s="9">
        <v>19.053000000000001</v>
      </c>
      <c r="R673" s="9"/>
      <c r="S673" s="11"/>
    </row>
    <row r="674" spans="1:19" ht="15.75">
      <c r="A674" s="13">
        <v>62032</v>
      </c>
      <c r="B674" s="8">
        <f>21.2972 * CHOOSE(CONTROL!$C$15, $D$11, 100%, $F$11)</f>
        <v>21.2972</v>
      </c>
      <c r="C674" s="8">
        <f>21.3025 * CHOOSE(CONTROL!$C$15, $D$11, 100%, $F$11)</f>
        <v>21.302499999999998</v>
      </c>
      <c r="D674" s="8">
        <f>21.3104 * CHOOSE( CONTROL!$C$15, $D$11, 100%, $F$11)</f>
        <v>21.310400000000001</v>
      </c>
      <c r="E674" s="12">
        <f>21.3072 * CHOOSE( CONTROL!$C$15, $D$11, 100%, $F$11)</f>
        <v>21.307200000000002</v>
      </c>
      <c r="F674" s="4">
        <f>21.9804 * CHOOSE(CONTROL!$C$15, $D$11, 100%, $F$11)</f>
        <v>21.980399999999999</v>
      </c>
      <c r="G674" s="8">
        <f>20.9136 * CHOOSE( CONTROL!$C$15, $D$11, 100%, $F$11)</f>
        <v>20.913599999999999</v>
      </c>
      <c r="H674" s="4">
        <f>21.8447 * CHOOSE(CONTROL!$C$15, $D$11, 100%, $F$11)</f>
        <v>21.8447</v>
      </c>
      <c r="I674" s="8">
        <f>20.6634 * CHOOSE(CONTROL!$C$15, $D$11, 100%, $F$11)</f>
        <v>20.663399999999999</v>
      </c>
      <c r="J674" s="4">
        <f>20.5584 * CHOOSE(CONTROL!$C$15, $D$11, 100%, $F$11)</f>
        <v>20.558399999999999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1.2183999999999999</v>
      </c>
      <c r="Q674" s="9">
        <v>19.688099999999999</v>
      </c>
      <c r="R674" s="9"/>
      <c r="S674" s="11"/>
    </row>
    <row r="675" spans="1:19" ht="15.75">
      <c r="A675" s="13">
        <v>62062</v>
      </c>
      <c r="B675" s="8">
        <f>22.9664 * CHOOSE(CONTROL!$C$15, $D$11, 100%, $F$11)</f>
        <v>22.9664</v>
      </c>
      <c r="C675" s="8">
        <f>22.9715 * CHOOSE(CONTROL!$C$15, $D$11, 100%, $F$11)</f>
        <v>22.971499999999999</v>
      </c>
      <c r="D675" s="8">
        <f>22.949 * CHOOSE( CONTROL!$C$15, $D$11, 100%, $F$11)</f>
        <v>22.949000000000002</v>
      </c>
      <c r="E675" s="12">
        <f>22.9567 * CHOOSE( CONTROL!$C$15, $D$11, 100%, $F$11)</f>
        <v>22.956700000000001</v>
      </c>
      <c r="F675" s="4">
        <f>23.6113 * CHOOSE(CONTROL!$C$15, $D$11, 100%, $F$11)</f>
        <v>23.6113</v>
      </c>
      <c r="G675" s="8">
        <f>22.5681 * CHOOSE( CONTROL!$C$15, $D$11, 100%, $F$11)</f>
        <v>22.568100000000001</v>
      </c>
      <c r="H675" s="4">
        <f>23.4485 * CHOOSE(CONTROL!$C$15, $D$11, 100%, $F$11)</f>
        <v>23.448499999999999</v>
      </c>
      <c r="I675" s="8">
        <f>22.3038 * CHOOSE(CONTROL!$C$15, $D$11, 100%, $F$11)</f>
        <v>22.303799999999999</v>
      </c>
      <c r="J675" s="4">
        <f>22.1724 * CHOOSE(CONTROL!$C$15, $D$11, 100%, $F$11)</f>
        <v>22.1724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62093</v>
      </c>
      <c r="B676" s="8">
        <f>22.9247 * CHOOSE(CONTROL!$C$15, $D$11, 100%, $F$11)</f>
        <v>22.924700000000001</v>
      </c>
      <c r="C676" s="8">
        <f>22.9298 * CHOOSE(CONTROL!$C$15, $D$11, 100%, $F$11)</f>
        <v>22.9298</v>
      </c>
      <c r="D676" s="8">
        <f>22.9087 * CHOOSE( CONTROL!$C$15, $D$11, 100%, $F$11)</f>
        <v>22.9087</v>
      </c>
      <c r="E676" s="12">
        <f>22.9159 * CHOOSE( CONTROL!$C$15, $D$11, 100%, $F$11)</f>
        <v>22.915900000000001</v>
      </c>
      <c r="F676" s="4">
        <f>23.5695 * CHOOSE(CONTROL!$C$15, $D$11, 100%, $F$11)</f>
        <v>23.569500000000001</v>
      </c>
      <c r="G676" s="8">
        <f>22.5282 * CHOOSE( CONTROL!$C$15, $D$11, 100%, $F$11)</f>
        <v>22.528199999999998</v>
      </c>
      <c r="H676" s="4">
        <f>23.4075 * CHOOSE(CONTROL!$C$15, $D$11, 100%, $F$11)</f>
        <v>23.407499999999999</v>
      </c>
      <c r="I676" s="8">
        <f>22.2681 * CHOOSE(CONTROL!$C$15, $D$11, 100%, $F$11)</f>
        <v>22.2681</v>
      </c>
      <c r="J676" s="4">
        <f>22.1321 * CHOOSE(CONTROL!$C$15, $D$11, 100%, $F$11)</f>
        <v>22.132100000000001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62124</v>
      </c>
      <c r="B677" s="8">
        <f>23.7997 * CHOOSE(CONTROL!$C$15, $D$11, 100%, $F$11)</f>
        <v>23.799700000000001</v>
      </c>
      <c r="C677" s="8">
        <f>23.8048 * CHOOSE(CONTROL!$C$15, $D$11, 100%, $F$11)</f>
        <v>23.8048</v>
      </c>
      <c r="D677" s="8">
        <f>23.7828 * CHOOSE( CONTROL!$C$15, $D$11, 100%, $F$11)</f>
        <v>23.782800000000002</v>
      </c>
      <c r="E677" s="12">
        <f>23.7903 * CHOOSE( CONTROL!$C$15, $D$11, 100%, $F$11)</f>
        <v>23.790299999999998</v>
      </c>
      <c r="F677" s="4">
        <f>24.4446 * CHOOSE(CONTROL!$C$15, $D$11, 100%, $F$11)</f>
        <v>24.444600000000001</v>
      </c>
      <c r="G677" s="8">
        <f>23.3861 * CHOOSE( CONTROL!$C$15, $D$11, 100%, $F$11)</f>
        <v>23.386099999999999</v>
      </c>
      <c r="H677" s="4">
        <f>24.268 * CHOOSE(CONTROL!$C$15, $D$11, 100%, $F$11)</f>
        <v>24.268000000000001</v>
      </c>
      <c r="I677" s="8">
        <f>23.0862 * CHOOSE(CONTROL!$C$15, $D$11, 100%, $F$11)</f>
        <v>23.086200000000002</v>
      </c>
      <c r="J677" s="4">
        <f>22.978 * CHOOSE(CONTROL!$C$15, $D$11, 100%, $F$11)</f>
        <v>22.978000000000002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62152</v>
      </c>
      <c r="B678" s="8">
        <f>22.263 * CHOOSE(CONTROL!$C$15, $D$11, 100%, $F$11)</f>
        <v>22.263000000000002</v>
      </c>
      <c r="C678" s="8">
        <f>22.2681 * CHOOSE(CONTROL!$C$15, $D$11, 100%, $F$11)</f>
        <v>22.2681</v>
      </c>
      <c r="D678" s="8">
        <f>22.2417 * CHOOSE( CONTROL!$C$15, $D$11, 100%, $F$11)</f>
        <v>22.241700000000002</v>
      </c>
      <c r="E678" s="12">
        <f>22.2508 * CHOOSE( CONTROL!$C$15, $D$11, 100%, $F$11)</f>
        <v>22.250800000000002</v>
      </c>
      <c r="F678" s="4">
        <f>22.9079 * CHOOSE(CONTROL!$C$15, $D$11, 100%, $F$11)</f>
        <v>22.907900000000001</v>
      </c>
      <c r="G678" s="8">
        <f>21.8665 * CHOOSE( CONTROL!$C$15, $D$11, 100%, $F$11)</f>
        <v>21.866499999999998</v>
      </c>
      <c r="H678" s="4">
        <f>22.7568 * CHOOSE(CONTROL!$C$15, $D$11, 100%, $F$11)</f>
        <v>22.756799999999998</v>
      </c>
      <c r="I678" s="8">
        <f>21.5709 * CHOOSE(CONTROL!$C$15, $D$11, 100%, $F$11)</f>
        <v>21.570900000000002</v>
      </c>
      <c r="J678" s="4">
        <f>21.4925 * CHOOSE(CONTROL!$C$15, $D$11, 100%, $F$11)</f>
        <v>21.4925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62183</v>
      </c>
      <c r="B679" s="8">
        <f>21.7897 * CHOOSE(CONTROL!$C$15, $D$11, 100%, $F$11)</f>
        <v>21.7897</v>
      </c>
      <c r="C679" s="8">
        <f>21.7948 * CHOOSE(CONTROL!$C$15, $D$11, 100%, $F$11)</f>
        <v>21.794799999999999</v>
      </c>
      <c r="D679" s="8">
        <f>21.7688 * CHOOSE( CONTROL!$C$15, $D$11, 100%, $F$11)</f>
        <v>21.768799999999999</v>
      </c>
      <c r="E679" s="12">
        <f>21.7778 * CHOOSE( CONTROL!$C$15, $D$11, 100%, $F$11)</f>
        <v>21.777799999999999</v>
      </c>
      <c r="F679" s="4">
        <f>22.4346 * CHOOSE(CONTROL!$C$15, $D$11, 100%, $F$11)</f>
        <v>22.4346</v>
      </c>
      <c r="G679" s="8">
        <f>21.4013 * CHOOSE( CONTROL!$C$15, $D$11, 100%, $F$11)</f>
        <v>21.401299999999999</v>
      </c>
      <c r="H679" s="4">
        <f>22.2914 * CHOOSE(CONTROL!$C$15, $D$11, 100%, $F$11)</f>
        <v>22.291399999999999</v>
      </c>
      <c r="I679" s="8">
        <f>21.1144 * CHOOSE(CONTROL!$C$15, $D$11, 100%, $F$11)</f>
        <v>21.1144</v>
      </c>
      <c r="J679" s="4">
        <f>21.035 * CHOOSE(CONTROL!$C$15, $D$11, 100%, $F$11)</f>
        <v>21.035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62213</v>
      </c>
      <c r="B680" s="8">
        <f>22.1212 * CHOOSE(CONTROL!$C$15, $D$11, 100%, $F$11)</f>
        <v>22.121200000000002</v>
      </c>
      <c r="C680" s="8">
        <f>22.1258 * CHOOSE(CONTROL!$C$15, $D$11, 100%, $F$11)</f>
        <v>22.125800000000002</v>
      </c>
      <c r="D680" s="8">
        <f>22.1329 * CHOOSE( CONTROL!$C$15, $D$11, 100%, $F$11)</f>
        <v>22.132899999999999</v>
      </c>
      <c r="E680" s="12">
        <f>22.13 * CHOOSE( CONTROL!$C$15, $D$11, 100%, $F$11)</f>
        <v>22.13</v>
      </c>
      <c r="F680" s="4">
        <f>22.8041 * CHOOSE(CONTROL!$C$15, $D$11, 100%, $F$11)</f>
        <v>22.804099999999998</v>
      </c>
      <c r="G680" s="8">
        <f>21.7218 * CHOOSE( CONTROL!$C$15, $D$11, 100%, $F$11)</f>
        <v>21.721800000000002</v>
      </c>
      <c r="H680" s="4">
        <f>22.6548 * CHOOSE(CONTROL!$C$15, $D$11, 100%, $F$11)</f>
        <v>22.654800000000002</v>
      </c>
      <c r="I680" s="8">
        <f>21.4541 * CHOOSE(CONTROL!$C$15, $D$11, 100%, $F$11)</f>
        <v>21.4541</v>
      </c>
      <c r="J680" s="4">
        <f>21.3547 * CHOOSE(CONTROL!$C$15, $D$11, 100%, $F$11)</f>
        <v>21.354700000000001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1.1791</v>
      </c>
      <c r="Q680" s="9">
        <v>19.053000000000001</v>
      </c>
      <c r="R680" s="9"/>
      <c r="S680" s="11"/>
    </row>
    <row r="681" spans="1:19" ht="15.75">
      <c r="A681" s="13">
        <v>62244</v>
      </c>
      <c r="B681" s="8">
        <f>CHOOSE( CONTROL!$C$32, 22.7144, 22.7112) * CHOOSE(CONTROL!$C$15, $D$11, 100%, $F$11)</f>
        <v>22.714400000000001</v>
      </c>
      <c r="C681" s="8">
        <f>CHOOSE( CONTROL!$C$32, 22.7224, 22.7192) * CHOOSE(CONTROL!$C$15, $D$11, 100%, $F$11)</f>
        <v>22.7224</v>
      </c>
      <c r="D681" s="8">
        <f>CHOOSE( CONTROL!$C$32, 22.7247, 22.7215) * CHOOSE( CONTROL!$C$15, $D$11, 100%, $F$11)</f>
        <v>22.724699999999999</v>
      </c>
      <c r="E681" s="12">
        <f>CHOOSE( CONTROL!$C$32, 22.7226, 22.7194) * CHOOSE( CONTROL!$C$15, $D$11, 100%, $F$11)</f>
        <v>22.7226</v>
      </c>
      <c r="F681" s="4">
        <f>CHOOSE( CONTROL!$C$32, 23.3959, 23.3927) * CHOOSE(CONTROL!$C$15, $D$11, 100%, $F$11)</f>
        <v>23.395900000000001</v>
      </c>
      <c r="G681" s="8">
        <f>CHOOSE( CONTROL!$C$32, 22.305, 22.3018) * CHOOSE( CONTROL!$C$15, $D$11, 100%, $F$11)</f>
        <v>22.305</v>
      </c>
      <c r="H681" s="4">
        <f>CHOOSE( CONTROL!$C$32, 23.2367, 23.2336) * CHOOSE(CONTROL!$C$15, $D$11, 100%, $F$11)</f>
        <v>23.236699999999999</v>
      </c>
      <c r="I681" s="8">
        <f>CHOOSE( CONTROL!$C$32, 22.028, 22.0249) * CHOOSE(CONTROL!$C$15, $D$11, 100%, $F$11)</f>
        <v>22.027999999999999</v>
      </c>
      <c r="J681" s="4">
        <f>CHOOSE( CONTROL!$C$32, 21.9268, 21.9237) * CHOOSE(CONTROL!$C$15, $D$11, 100%, $F$11)</f>
        <v>21.9268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1.2183999999999999</v>
      </c>
      <c r="Q681" s="9">
        <v>19.688099999999999</v>
      </c>
      <c r="R681" s="9"/>
      <c r="S681" s="11"/>
    </row>
    <row r="682" spans="1:19" ht="15.75">
      <c r="A682" s="13">
        <v>62274</v>
      </c>
      <c r="B682" s="8">
        <f>CHOOSE( CONTROL!$C$32, 22.3498, 22.3466) * CHOOSE(CONTROL!$C$15, $D$11, 100%, $F$11)</f>
        <v>22.349799999999998</v>
      </c>
      <c r="C682" s="8">
        <f>CHOOSE( CONTROL!$C$32, 22.3578, 22.3546) * CHOOSE(CONTROL!$C$15, $D$11, 100%, $F$11)</f>
        <v>22.357800000000001</v>
      </c>
      <c r="D682" s="8">
        <f>CHOOSE( CONTROL!$C$32, 22.3604, 22.3572) * CHOOSE( CONTROL!$C$15, $D$11, 100%, $F$11)</f>
        <v>22.360399999999998</v>
      </c>
      <c r="E682" s="12">
        <f>CHOOSE( CONTROL!$C$32, 22.3582, 22.355) * CHOOSE( CONTROL!$C$15, $D$11, 100%, $F$11)</f>
        <v>22.3582</v>
      </c>
      <c r="F682" s="4">
        <f>CHOOSE( CONTROL!$C$32, 23.0313, 23.0281) * CHOOSE(CONTROL!$C$15, $D$11, 100%, $F$11)</f>
        <v>23.031300000000002</v>
      </c>
      <c r="G682" s="8">
        <f>CHOOSE( CONTROL!$C$32, 21.9468, 21.9437) * CHOOSE( CONTROL!$C$15, $D$11, 100%, $F$11)</f>
        <v>21.9468</v>
      </c>
      <c r="H682" s="4">
        <f>CHOOSE( CONTROL!$C$32, 22.8782, 22.875) * CHOOSE(CONTROL!$C$15, $D$11, 100%, $F$11)</f>
        <v>22.8782</v>
      </c>
      <c r="I682" s="8">
        <f>CHOOSE( CONTROL!$C$32, 21.6768, 21.6737) * CHOOSE(CONTROL!$C$15, $D$11, 100%, $F$11)</f>
        <v>21.6768</v>
      </c>
      <c r="J682" s="4">
        <f>CHOOSE( CONTROL!$C$32, 21.5743, 21.5712) * CHOOSE(CONTROL!$C$15, $D$11, 100%, $F$11)</f>
        <v>21.574300000000001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1.1791</v>
      </c>
      <c r="Q682" s="9">
        <v>19.053000000000001</v>
      </c>
      <c r="R682" s="9"/>
      <c r="S682" s="11"/>
    </row>
    <row r="683" spans="1:19" ht="15.75">
      <c r="A683" s="13">
        <v>62305</v>
      </c>
      <c r="B683" s="8">
        <f>CHOOSE( CONTROL!$C$32, 23.3099, 23.3067) * CHOOSE(CONTROL!$C$15, $D$11, 100%, $F$11)</f>
        <v>23.309899999999999</v>
      </c>
      <c r="C683" s="8">
        <f>CHOOSE( CONTROL!$C$32, 23.318, 23.3148) * CHOOSE(CONTROL!$C$15, $D$11, 100%, $F$11)</f>
        <v>23.318000000000001</v>
      </c>
      <c r="D683" s="8">
        <f>CHOOSE( CONTROL!$C$32, 23.3209, 23.3177) * CHOOSE( CONTROL!$C$15, $D$11, 100%, $F$11)</f>
        <v>23.320900000000002</v>
      </c>
      <c r="E683" s="12">
        <f>CHOOSE( CONTROL!$C$32, 23.3186, 23.3154) * CHOOSE( CONTROL!$C$15, $D$11, 100%, $F$11)</f>
        <v>23.3186</v>
      </c>
      <c r="F683" s="4">
        <f>CHOOSE( CONTROL!$C$32, 23.9915, 23.9883) * CHOOSE(CONTROL!$C$15, $D$11, 100%, $F$11)</f>
        <v>23.991499999999998</v>
      </c>
      <c r="G683" s="8">
        <f>CHOOSE( CONTROL!$C$32, 22.8915, 22.8884) * CHOOSE( CONTROL!$C$15, $D$11, 100%, $F$11)</f>
        <v>22.891500000000001</v>
      </c>
      <c r="H683" s="4">
        <f>CHOOSE( CONTROL!$C$32, 23.8224, 23.8193) * CHOOSE(CONTROL!$C$15, $D$11, 100%, $F$11)</f>
        <v>23.822399999999998</v>
      </c>
      <c r="I683" s="8">
        <f>CHOOSE( CONTROL!$C$32, 22.6069, 22.6038) * CHOOSE(CONTROL!$C$15, $D$11, 100%, $F$11)</f>
        <v>22.6069</v>
      </c>
      <c r="J683" s="4">
        <f>CHOOSE( CONTROL!$C$32, 22.5025, 22.4994) * CHOOSE(CONTROL!$C$15, $D$11, 100%, $F$11)</f>
        <v>22.502500000000001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62336</v>
      </c>
      <c r="B684" s="8">
        <f>CHOOSE( CONTROL!$C$32, 21.5133, 21.5101) * CHOOSE(CONTROL!$C$15, $D$11, 100%, $F$11)</f>
        <v>21.513300000000001</v>
      </c>
      <c r="C684" s="8">
        <f>CHOOSE( CONTROL!$C$32, 21.5213, 21.5181) * CHOOSE(CONTROL!$C$15, $D$11, 100%, $F$11)</f>
        <v>21.5213</v>
      </c>
      <c r="D684" s="8">
        <f>CHOOSE( CONTROL!$C$32, 21.5244, 21.5212) * CHOOSE( CONTROL!$C$15, $D$11, 100%, $F$11)</f>
        <v>21.5244</v>
      </c>
      <c r="E684" s="12">
        <f>CHOOSE( CONTROL!$C$32, 21.5221, 21.5189) * CHOOSE( CONTROL!$C$15, $D$11, 100%, $F$11)</f>
        <v>21.522099999999998</v>
      </c>
      <c r="F684" s="4">
        <f>CHOOSE( CONTROL!$C$32, 22.1949, 22.1917) * CHOOSE(CONTROL!$C$15, $D$11, 100%, $F$11)</f>
        <v>22.194900000000001</v>
      </c>
      <c r="G684" s="8">
        <f>CHOOSE( CONTROL!$C$32, 21.125, 21.1218) * CHOOSE( CONTROL!$C$15, $D$11, 100%, $F$11)</f>
        <v>21.125</v>
      </c>
      <c r="H684" s="4">
        <f>CHOOSE( CONTROL!$C$32, 22.0556, 22.0525) * CHOOSE(CONTROL!$C$15, $D$11, 100%, $F$11)</f>
        <v>22.055599999999998</v>
      </c>
      <c r="I684" s="8">
        <f>CHOOSE( CONTROL!$C$32, 20.87, 20.8669) * CHOOSE(CONTROL!$C$15, $D$11, 100%, $F$11)</f>
        <v>20.87</v>
      </c>
      <c r="J684" s="4">
        <f>CHOOSE( CONTROL!$C$32, 20.7657, 20.7626) * CHOOSE(CONTROL!$C$15, $D$11, 100%, $F$11)</f>
        <v>20.765699999999999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1.2183999999999999</v>
      </c>
      <c r="Q684" s="9">
        <v>19.688099999999999</v>
      </c>
      <c r="R684" s="9"/>
      <c r="S684" s="11"/>
    </row>
    <row r="685" spans="1:19" ht="15.75">
      <c r="A685" s="13">
        <v>62366</v>
      </c>
      <c r="B685" s="8">
        <f>CHOOSE( CONTROL!$C$32, 21.0634, 21.0602) * CHOOSE(CONTROL!$C$15, $D$11, 100%, $F$11)</f>
        <v>21.063400000000001</v>
      </c>
      <c r="C685" s="8">
        <f>CHOOSE( CONTROL!$C$32, 21.0715, 21.0683) * CHOOSE(CONTROL!$C$15, $D$11, 100%, $F$11)</f>
        <v>21.0715</v>
      </c>
      <c r="D685" s="8">
        <f>CHOOSE( CONTROL!$C$32, 21.0746, 21.0714) * CHOOSE( CONTROL!$C$15, $D$11, 100%, $F$11)</f>
        <v>21.0746</v>
      </c>
      <c r="E685" s="12">
        <f>CHOOSE( CONTROL!$C$32, 21.0722, 21.069) * CHOOSE( CONTROL!$C$15, $D$11, 100%, $F$11)</f>
        <v>21.072199999999999</v>
      </c>
      <c r="F685" s="4">
        <f>CHOOSE( CONTROL!$C$32, 21.745, 21.7418) * CHOOSE(CONTROL!$C$15, $D$11, 100%, $F$11)</f>
        <v>21.745000000000001</v>
      </c>
      <c r="G685" s="8">
        <f>CHOOSE( CONTROL!$C$32, 20.6826, 20.6794) * CHOOSE( CONTROL!$C$15, $D$11, 100%, $F$11)</f>
        <v>20.682600000000001</v>
      </c>
      <c r="H685" s="4">
        <f>CHOOSE( CONTROL!$C$32, 21.6132, 21.61) * CHOOSE(CONTROL!$C$15, $D$11, 100%, $F$11)</f>
        <v>21.613199999999999</v>
      </c>
      <c r="I685" s="8">
        <f>CHOOSE( CONTROL!$C$32, 20.435, 20.4319) * CHOOSE(CONTROL!$C$15, $D$11, 100%, $F$11)</f>
        <v>20.434999999999999</v>
      </c>
      <c r="J685" s="4">
        <f>CHOOSE( CONTROL!$C$32, 20.3308, 20.3277) * CHOOSE(CONTROL!$C$15, $D$11, 100%, $F$11)</f>
        <v>20.3308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1.1791</v>
      </c>
      <c r="Q685" s="9">
        <v>19.053000000000001</v>
      </c>
      <c r="R685" s="9"/>
      <c r="S685" s="11"/>
    </row>
    <row r="686" spans="1:19" ht="15.75">
      <c r="A686" s="13">
        <v>62397</v>
      </c>
      <c r="B686" s="8">
        <f>21.9926 * CHOOSE(CONTROL!$C$15, $D$11, 100%, $F$11)</f>
        <v>21.992599999999999</v>
      </c>
      <c r="C686" s="8">
        <f>21.998 * CHOOSE(CONTROL!$C$15, $D$11, 100%, $F$11)</f>
        <v>21.998000000000001</v>
      </c>
      <c r="D686" s="8">
        <f>22.0059 * CHOOSE( CONTROL!$C$15, $D$11, 100%, $F$11)</f>
        <v>22.0059</v>
      </c>
      <c r="E686" s="12">
        <f>22.0027 * CHOOSE( CONTROL!$C$15, $D$11, 100%, $F$11)</f>
        <v>22.002700000000001</v>
      </c>
      <c r="F686" s="4">
        <f>22.6759 * CHOOSE(CONTROL!$C$15, $D$11, 100%, $F$11)</f>
        <v>22.675899999999999</v>
      </c>
      <c r="G686" s="8">
        <f>21.5976 * CHOOSE( CONTROL!$C$15, $D$11, 100%, $F$11)</f>
        <v>21.5976</v>
      </c>
      <c r="H686" s="4">
        <f>22.5287 * CHOOSE(CONTROL!$C$15, $D$11, 100%, $F$11)</f>
        <v>22.528700000000001</v>
      </c>
      <c r="I686" s="8">
        <f>21.336 * CHOOSE(CONTROL!$C$15, $D$11, 100%, $F$11)</f>
        <v>21.335999999999999</v>
      </c>
      <c r="J686" s="4">
        <f>21.2307 * CHOOSE(CONTROL!$C$15, $D$11, 100%, $F$11)</f>
        <v>21.230699999999999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1.2183999999999999</v>
      </c>
      <c r="Q686" s="9">
        <v>19.688099999999999</v>
      </c>
      <c r="R686" s="9"/>
      <c r="S686" s="11"/>
    </row>
    <row r="687" spans="1:19" ht="15.75">
      <c r="A687" s="13">
        <v>62427</v>
      </c>
      <c r="B687" s="8">
        <f>23.7165 * CHOOSE(CONTROL!$C$15, $D$11, 100%, $F$11)</f>
        <v>23.7165</v>
      </c>
      <c r="C687" s="8">
        <f>23.7216 * CHOOSE(CONTROL!$C$15, $D$11, 100%, $F$11)</f>
        <v>23.721599999999999</v>
      </c>
      <c r="D687" s="8">
        <f>23.6991 * CHOOSE( CONTROL!$C$15, $D$11, 100%, $F$11)</f>
        <v>23.699100000000001</v>
      </c>
      <c r="E687" s="12">
        <f>23.7068 * CHOOSE( CONTROL!$C$15, $D$11, 100%, $F$11)</f>
        <v>23.706800000000001</v>
      </c>
      <c r="F687" s="4">
        <f>24.3614 * CHOOSE(CONTROL!$C$15, $D$11, 100%, $F$11)</f>
        <v>24.3614</v>
      </c>
      <c r="G687" s="8">
        <f>23.3058 * CHOOSE( CONTROL!$C$15, $D$11, 100%, $F$11)</f>
        <v>23.305800000000001</v>
      </c>
      <c r="H687" s="4">
        <f>24.1862 * CHOOSE(CONTROL!$C$15, $D$11, 100%, $F$11)</f>
        <v>24.186199999999999</v>
      </c>
      <c r="I687" s="8">
        <f>23.0293 * CHOOSE(CONTROL!$C$15, $D$11, 100%, $F$11)</f>
        <v>23.029299999999999</v>
      </c>
      <c r="J687" s="4">
        <f>22.8975 * CHOOSE(CONTROL!$C$15, $D$11, 100%, $F$11)</f>
        <v>22.897500000000001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62458</v>
      </c>
      <c r="B688" s="8">
        <f>23.6734 * CHOOSE(CONTROL!$C$15, $D$11, 100%, $F$11)</f>
        <v>23.673400000000001</v>
      </c>
      <c r="C688" s="8">
        <f>23.6785 * CHOOSE(CONTROL!$C$15, $D$11, 100%, $F$11)</f>
        <v>23.6785</v>
      </c>
      <c r="D688" s="8">
        <f>23.6575 * CHOOSE( CONTROL!$C$15, $D$11, 100%, $F$11)</f>
        <v>23.657499999999999</v>
      </c>
      <c r="E688" s="12">
        <f>23.6646 * CHOOSE( CONTROL!$C$15, $D$11, 100%, $F$11)</f>
        <v>23.6646</v>
      </c>
      <c r="F688" s="4">
        <f>24.3183 * CHOOSE(CONTROL!$C$15, $D$11, 100%, $F$11)</f>
        <v>24.318300000000001</v>
      </c>
      <c r="G688" s="8">
        <f>23.2645 * CHOOSE( CONTROL!$C$15, $D$11, 100%, $F$11)</f>
        <v>23.264500000000002</v>
      </c>
      <c r="H688" s="4">
        <f>24.1438 * CHOOSE(CONTROL!$C$15, $D$11, 100%, $F$11)</f>
        <v>24.143799999999999</v>
      </c>
      <c r="I688" s="8">
        <f>22.9922 * CHOOSE(CONTROL!$C$15, $D$11, 100%, $F$11)</f>
        <v>22.9922</v>
      </c>
      <c r="J688" s="4">
        <f>22.8559 * CHOOSE(CONTROL!$C$15, $D$11, 100%, $F$11)</f>
        <v>22.855899999999998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62489</v>
      </c>
      <c r="B689" s="8">
        <f>24.577 * CHOOSE(CONTROL!$C$15, $D$11, 100%, $F$11)</f>
        <v>24.577000000000002</v>
      </c>
      <c r="C689" s="8">
        <f>24.5821 * CHOOSE(CONTROL!$C$15, $D$11, 100%, $F$11)</f>
        <v>24.582100000000001</v>
      </c>
      <c r="D689" s="8">
        <f>24.5601 * CHOOSE( CONTROL!$C$15, $D$11, 100%, $F$11)</f>
        <v>24.560099999999998</v>
      </c>
      <c r="E689" s="12">
        <f>24.5676 * CHOOSE( CONTROL!$C$15, $D$11, 100%, $F$11)</f>
        <v>24.567599999999999</v>
      </c>
      <c r="F689" s="4">
        <f>25.2219 * CHOOSE(CONTROL!$C$15, $D$11, 100%, $F$11)</f>
        <v>25.221900000000002</v>
      </c>
      <c r="G689" s="8">
        <f>24.1506 * CHOOSE( CONTROL!$C$15, $D$11, 100%, $F$11)</f>
        <v>24.150600000000001</v>
      </c>
      <c r="H689" s="4">
        <f>25.0324 * CHOOSE(CONTROL!$C$15, $D$11, 100%, $F$11)</f>
        <v>25.032399999999999</v>
      </c>
      <c r="I689" s="8">
        <f>23.838 * CHOOSE(CONTROL!$C$15, $D$11, 100%, $F$11)</f>
        <v>23.838000000000001</v>
      </c>
      <c r="J689" s="4">
        <f>23.7294 * CHOOSE(CONTROL!$C$15, $D$11, 100%, $F$11)</f>
        <v>23.729399999999998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62517</v>
      </c>
      <c r="B690" s="8">
        <f>22.9901 * CHOOSE(CONTROL!$C$15, $D$11, 100%, $F$11)</f>
        <v>22.990100000000002</v>
      </c>
      <c r="C690" s="8">
        <f>22.9952 * CHOOSE(CONTROL!$C$15, $D$11, 100%, $F$11)</f>
        <v>22.995200000000001</v>
      </c>
      <c r="D690" s="8">
        <f>22.9688 * CHOOSE( CONTROL!$C$15, $D$11, 100%, $F$11)</f>
        <v>22.968800000000002</v>
      </c>
      <c r="E690" s="12">
        <f>22.9779 * CHOOSE( CONTROL!$C$15, $D$11, 100%, $F$11)</f>
        <v>22.977900000000002</v>
      </c>
      <c r="F690" s="4">
        <f>23.635 * CHOOSE(CONTROL!$C$15, $D$11, 100%, $F$11)</f>
        <v>23.635000000000002</v>
      </c>
      <c r="G690" s="8">
        <f>22.5815 * CHOOSE( CONTROL!$C$15, $D$11, 100%, $F$11)</f>
        <v>22.581499999999998</v>
      </c>
      <c r="H690" s="4">
        <f>23.4718 * CHOOSE(CONTROL!$C$15, $D$11, 100%, $F$11)</f>
        <v>23.471800000000002</v>
      </c>
      <c r="I690" s="8">
        <f>22.2742 * CHOOSE(CONTROL!$C$15, $D$11, 100%, $F$11)</f>
        <v>22.2742</v>
      </c>
      <c r="J690" s="4">
        <f>22.1954 * CHOOSE(CONTROL!$C$15, $D$11, 100%, $F$11)</f>
        <v>22.195399999999999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62548</v>
      </c>
      <c r="B691" s="8">
        <f>22.5013 * CHOOSE(CONTROL!$C$15, $D$11, 100%, $F$11)</f>
        <v>22.501300000000001</v>
      </c>
      <c r="C691" s="8">
        <f>22.5065 * CHOOSE(CONTROL!$C$15, $D$11, 100%, $F$11)</f>
        <v>22.506499999999999</v>
      </c>
      <c r="D691" s="8">
        <f>22.4805 * CHOOSE( CONTROL!$C$15, $D$11, 100%, $F$11)</f>
        <v>22.480499999999999</v>
      </c>
      <c r="E691" s="12">
        <f>22.4895 * CHOOSE( CONTROL!$C$15, $D$11, 100%, $F$11)</f>
        <v>22.4895</v>
      </c>
      <c r="F691" s="4">
        <f>23.1462 * CHOOSE(CONTROL!$C$15, $D$11, 100%, $F$11)</f>
        <v>23.1462</v>
      </c>
      <c r="G691" s="8">
        <f>22.1011 * CHOOSE( CONTROL!$C$15, $D$11, 100%, $F$11)</f>
        <v>22.101099999999999</v>
      </c>
      <c r="H691" s="4">
        <f>22.9912 * CHOOSE(CONTROL!$C$15, $D$11, 100%, $F$11)</f>
        <v>22.991199999999999</v>
      </c>
      <c r="I691" s="8">
        <f>21.8027 * CHOOSE(CONTROL!$C$15, $D$11, 100%, $F$11)</f>
        <v>21.802700000000002</v>
      </c>
      <c r="J691" s="4">
        <f>21.7229 * CHOOSE(CONTROL!$C$15, $D$11, 100%, $F$11)</f>
        <v>21.722899999999999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62578</v>
      </c>
      <c r="B692" s="8">
        <f>22.8436 * CHOOSE(CONTROL!$C$15, $D$11, 100%, $F$11)</f>
        <v>22.843599999999999</v>
      </c>
      <c r="C692" s="8">
        <f>22.8482 * CHOOSE(CONTROL!$C$15, $D$11, 100%, $F$11)</f>
        <v>22.848199999999999</v>
      </c>
      <c r="D692" s="8">
        <f>22.8553 * CHOOSE( CONTROL!$C$15, $D$11, 100%, $F$11)</f>
        <v>22.8553</v>
      </c>
      <c r="E692" s="12">
        <f>22.8524 * CHOOSE( CONTROL!$C$15, $D$11, 100%, $F$11)</f>
        <v>22.852399999999999</v>
      </c>
      <c r="F692" s="4">
        <f>23.5266 * CHOOSE(CONTROL!$C$15, $D$11, 100%, $F$11)</f>
        <v>23.526599999999998</v>
      </c>
      <c r="G692" s="8">
        <f>22.4323 * CHOOSE( CONTROL!$C$15, $D$11, 100%, $F$11)</f>
        <v>22.432300000000001</v>
      </c>
      <c r="H692" s="4">
        <f>23.3652 * CHOOSE(CONTROL!$C$15, $D$11, 100%, $F$11)</f>
        <v>23.365200000000002</v>
      </c>
      <c r="I692" s="8">
        <f>22.1528 * CHOOSE(CONTROL!$C$15, $D$11, 100%, $F$11)</f>
        <v>22.152799999999999</v>
      </c>
      <c r="J692" s="4">
        <f>22.053 * CHOOSE(CONTROL!$C$15, $D$11, 100%, $F$11)</f>
        <v>22.053000000000001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1.1791</v>
      </c>
      <c r="Q692" s="9">
        <v>19.053000000000001</v>
      </c>
      <c r="R692" s="9"/>
      <c r="S692" s="11"/>
    </row>
    <row r="693" spans="1:19" ht="15.75">
      <c r="A693" s="13">
        <v>62609</v>
      </c>
      <c r="B693" s="8">
        <f>CHOOSE( CONTROL!$C$32, 23.4561, 23.4529) * CHOOSE(CONTROL!$C$15, $D$11, 100%, $F$11)</f>
        <v>23.456099999999999</v>
      </c>
      <c r="C693" s="8">
        <f>CHOOSE( CONTROL!$C$32, 23.4641, 23.4609) * CHOOSE(CONTROL!$C$15, $D$11, 100%, $F$11)</f>
        <v>23.464099999999998</v>
      </c>
      <c r="D693" s="8">
        <f>CHOOSE( CONTROL!$C$32, 23.4664, 23.4632) * CHOOSE( CONTROL!$C$15, $D$11, 100%, $F$11)</f>
        <v>23.4664</v>
      </c>
      <c r="E693" s="12">
        <f>CHOOSE( CONTROL!$C$32, 23.4643, 23.4611) * CHOOSE( CONTROL!$C$15, $D$11, 100%, $F$11)</f>
        <v>23.464300000000001</v>
      </c>
      <c r="F693" s="4">
        <f>CHOOSE( CONTROL!$C$32, 24.1376, 24.1344) * CHOOSE(CONTROL!$C$15, $D$11, 100%, $F$11)</f>
        <v>24.137599999999999</v>
      </c>
      <c r="G693" s="8">
        <f>CHOOSE( CONTROL!$C$32, 23.0343, 23.0312) * CHOOSE( CONTROL!$C$15, $D$11, 100%, $F$11)</f>
        <v>23.034300000000002</v>
      </c>
      <c r="H693" s="4">
        <f>CHOOSE( CONTROL!$C$32, 23.9661, 23.963) * CHOOSE(CONTROL!$C$15, $D$11, 100%, $F$11)</f>
        <v>23.966100000000001</v>
      </c>
      <c r="I693" s="8">
        <f>CHOOSE( CONTROL!$C$32, 22.7454, 22.7423) * CHOOSE(CONTROL!$C$15, $D$11, 100%, $F$11)</f>
        <v>22.7454</v>
      </c>
      <c r="J693" s="4">
        <f>CHOOSE( CONTROL!$C$32, 22.6437, 22.6407) * CHOOSE(CONTROL!$C$15, $D$11, 100%, $F$11)</f>
        <v>22.643699999999999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1.2183999999999999</v>
      </c>
      <c r="Q693" s="9">
        <v>19.688099999999999</v>
      </c>
      <c r="R693" s="9"/>
      <c r="S693" s="11"/>
    </row>
    <row r="694" spans="1:19" ht="15.75">
      <c r="A694" s="13">
        <v>62639</v>
      </c>
      <c r="B694" s="8">
        <f>CHOOSE( CONTROL!$C$32, 23.0795, 23.0763) * CHOOSE(CONTROL!$C$15, $D$11, 100%, $F$11)</f>
        <v>23.079499999999999</v>
      </c>
      <c r="C694" s="8">
        <f>CHOOSE( CONTROL!$C$32, 23.0875, 23.0843) * CHOOSE(CONTROL!$C$15, $D$11, 100%, $F$11)</f>
        <v>23.087499999999999</v>
      </c>
      <c r="D694" s="8">
        <f>CHOOSE( CONTROL!$C$32, 23.0902, 23.087) * CHOOSE( CONTROL!$C$15, $D$11, 100%, $F$11)</f>
        <v>23.090199999999999</v>
      </c>
      <c r="E694" s="12">
        <f>CHOOSE( CONTROL!$C$32, 23.088, 23.0848) * CHOOSE( CONTROL!$C$15, $D$11, 100%, $F$11)</f>
        <v>23.088000000000001</v>
      </c>
      <c r="F694" s="4">
        <f>CHOOSE( CONTROL!$C$32, 23.7611, 23.7579) * CHOOSE(CONTROL!$C$15, $D$11, 100%, $F$11)</f>
        <v>23.761099999999999</v>
      </c>
      <c r="G694" s="8">
        <f>CHOOSE( CONTROL!$C$32, 22.6645, 22.6613) * CHOOSE( CONTROL!$C$15, $D$11, 100%, $F$11)</f>
        <v>22.6645</v>
      </c>
      <c r="H694" s="4">
        <f>CHOOSE( CONTROL!$C$32, 23.5958, 23.5927) * CHOOSE(CONTROL!$C$15, $D$11, 100%, $F$11)</f>
        <v>23.595800000000001</v>
      </c>
      <c r="I694" s="8">
        <f>CHOOSE( CONTROL!$C$32, 22.3826, 22.3795) * CHOOSE(CONTROL!$C$15, $D$11, 100%, $F$11)</f>
        <v>22.3826</v>
      </c>
      <c r="J694" s="4">
        <f>CHOOSE( CONTROL!$C$32, 22.2797, 22.2766) * CHOOSE(CONTROL!$C$15, $D$11, 100%, $F$11)</f>
        <v>22.279699999999998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1.1791</v>
      </c>
      <c r="Q694" s="9">
        <v>19.053000000000001</v>
      </c>
      <c r="R694" s="9"/>
      <c r="S694" s="11"/>
    </row>
    <row r="695" spans="1:19" ht="15.75">
      <c r="A695" s="13">
        <v>62670</v>
      </c>
      <c r="B695" s="8">
        <f>CHOOSE( CONTROL!$C$32, 24.0711, 24.0679) * CHOOSE(CONTROL!$C$15, $D$11, 100%, $F$11)</f>
        <v>24.071100000000001</v>
      </c>
      <c r="C695" s="8">
        <f>CHOOSE( CONTROL!$C$32, 24.0791, 24.0759) * CHOOSE(CONTROL!$C$15, $D$11, 100%, $F$11)</f>
        <v>24.0791</v>
      </c>
      <c r="D695" s="8">
        <f>CHOOSE( CONTROL!$C$32, 24.082, 24.0788) * CHOOSE( CONTROL!$C$15, $D$11, 100%, $F$11)</f>
        <v>24.082000000000001</v>
      </c>
      <c r="E695" s="12">
        <f>CHOOSE( CONTROL!$C$32, 24.0797, 24.0765) * CHOOSE( CONTROL!$C$15, $D$11, 100%, $F$11)</f>
        <v>24.079699999999999</v>
      </c>
      <c r="F695" s="4">
        <f>CHOOSE( CONTROL!$C$32, 24.7527, 24.7495) * CHOOSE(CONTROL!$C$15, $D$11, 100%, $F$11)</f>
        <v>24.752700000000001</v>
      </c>
      <c r="G695" s="8">
        <f>CHOOSE( CONTROL!$C$32, 23.6401, 23.6369) * CHOOSE( CONTROL!$C$15, $D$11, 100%, $F$11)</f>
        <v>23.6401</v>
      </c>
      <c r="H695" s="4">
        <f>CHOOSE( CONTROL!$C$32, 24.571, 24.5678) * CHOOSE(CONTROL!$C$15, $D$11, 100%, $F$11)</f>
        <v>24.571000000000002</v>
      </c>
      <c r="I695" s="8">
        <f>CHOOSE( CONTROL!$C$32, 23.3431, 23.34) * CHOOSE(CONTROL!$C$15, $D$11, 100%, $F$11)</f>
        <v>23.3431</v>
      </c>
      <c r="J695" s="4">
        <f>CHOOSE( CONTROL!$C$32, 23.2383, 23.2352) * CHOOSE(CONTROL!$C$15, $D$11, 100%, $F$11)</f>
        <v>23.238299999999999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62701</v>
      </c>
      <c r="B696" s="8">
        <f>CHOOSE( CONTROL!$C$32, 22.2157, 22.2125) * CHOOSE(CONTROL!$C$15, $D$11, 100%, $F$11)</f>
        <v>22.215699999999998</v>
      </c>
      <c r="C696" s="8">
        <f>CHOOSE( CONTROL!$C$32, 22.2238, 22.2206) * CHOOSE(CONTROL!$C$15, $D$11, 100%, $F$11)</f>
        <v>22.223800000000001</v>
      </c>
      <c r="D696" s="8">
        <f>CHOOSE( CONTROL!$C$32, 22.2268, 22.2236) * CHOOSE( CONTROL!$C$15, $D$11, 100%, $F$11)</f>
        <v>22.226800000000001</v>
      </c>
      <c r="E696" s="12">
        <f>CHOOSE( CONTROL!$C$32, 22.2245, 22.2213) * CHOOSE( CONTROL!$C$15, $D$11, 100%, $F$11)</f>
        <v>22.224499999999999</v>
      </c>
      <c r="F696" s="4">
        <f>CHOOSE( CONTROL!$C$32, 22.8973, 22.8941) * CHOOSE(CONTROL!$C$15, $D$11, 100%, $F$11)</f>
        <v>22.897300000000001</v>
      </c>
      <c r="G696" s="8">
        <f>CHOOSE( CONTROL!$C$32, 21.8157, 21.8126) * CHOOSE( CONTROL!$C$15, $D$11, 100%, $F$11)</f>
        <v>21.8157</v>
      </c>
      <c r="H696" s="4">
        <f>CHOOSE( CONTROL!$C$32, 22.7464, 22.7432) * CHOOSE(CONTROL!$C$15, $D$11, 100%, $F$11)</f>
        <v>22.746400000000001</v>
      </c>
      <c r="I696" s="8">
        <f>CHOOSE( CONTROL!$C$32, 21.5494, 21.5463) * CHOOSE(CONTROL!$C$15, $D$11, 100%, $F$11)</f>
        <v>21.549399999999999</v>
      </c>
      <c r="J696" s="4">
        <f>CHOOSE( CONTROL!$C$32, 21.4447, 21.4416) * CHOOSE(CONTROL!$C$15, $D$11, 100%, $F$11)</f>
        <v>21.444700000000001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1.2183999999999999</v>
      </c>
      <c r="Q696" s="9">
        <v>19.688099999999999</v>
      </c>
      <c r="R696" s="9"/>
      <c r="S696" s="11"/>
    </row>
    <row r="697" spans="1:19" ht="15.75">
      <c r="A697" s="13">
        <v>62731</v>
      </c>
      <c r="B697" s="8">
        <f>CHOOSE( CONTROL!$C$32, 21.7511, 21.7479) * CHOOSE(CONTROL!$C$15, $D$11, 100%, $F$11)</f>
        <v>21.751100000000001</v>
      </c>
      <c r="C697" s="8">
        <f>CHOOSE( CONTROL!$C$32, 21.7591, 21.7559) * CHOOSE(CONTROL!$C$15, $D$11, 100%, $F$11)</f>
        <v>21.7591</v>
      </c>
      <c r="D697" s="8">
        <f>CHOOSE( CONTROL!$C$32, 21.7623, 21.7591) * CHOOSE( CONTROL!$C$15, $D$11, 100%, $F$11)</f>
        <v>21.7623</v>
      </c>
      <c r="E697" s="12">
        <f>CHOOSE( CONTROL!$C$32, 21.7599, 21.7567) * CHOOSE( CONTROL!$C$15, $D$11, 100%, $F$11)</f>
        <v>21.759899999999998</v>
      </c>
      <c r="F697" s="4">
        <f>CHOOSE( CONTROL!$C$32, 22.4327, 22.4295) * CHOOSE(CONTROL!$C$15, $D$11, 100%, $F$11)</f>
        <v>22.432700000000001</v>
      </c>
      <c r="G697" s="8">
        <f>CHOOSE( CONTROL!$C$32, 21.3588, 21.3557) * CHOOSE( CONTROL!$C$15, $D$11, 100%, $F$11)</f>
        <v>21.358799999999999</v>
      </c>
      <c r="H697" s="4">
        <f>CHOOSE( CONTROL!$C$32, 22.2895, 22.2863) * CHOOSE(CONTROL!$C$15, $D$11, 100%, $F$11)</f>
        <v>22.2895</v>
      </c>
      <c r="I697" s="8">
        <f>CHOOSE( CONTROL!$C$32, 21.1002, 21.0971) * CHOOSE(CONTROL!$C$15, $D$11, 100%, $F$11)</f>
        <v>21.100200000000001</v>
      </c>
      <c r="J697" s="4">
        <f>CHOOSE( CONTROL!$C$32, 20.9956, 20.9925) * CHOOSE(CONTROL!$C$15, $D$11, 100%, $F$11)</f>
        <v>20.9956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1.1791</v>
      </c>
      <c r="Q697" s="9">
        <v>19.053000000000001</v>
      </c>
      <c r="R697" s="9"/>
      <c r="S697" s="11"/>
    </row>
    <row r="698" spans="1:19" ht="15.75">
      <c r="A698" s="13">
        <v>62762</v>
      </c>
      <c r="B698" s="8">
        <f>22.7109 * CHOOSE(CONTROL!$C$15, $D$11, 100%, $F$11)</f>
        <v>22.710899999999999</v>
      </c>
      <c r="C698" s="8">
        <f>22.7163 * CHOOSE(CONTROL!$C$15, $D$11, 100%, $F$11)</f>
        <v>22.7163</v>
      </c>
      <c r="D698" s="8">
        <f>22.7241 * CHOOSE( CONTROL!$C$15, $D$11, 100%, $F$11)</f>
        <v>22.7241</v>
      </c>
      <c r="E698" s="12">
        <f>22.721 * CHOOSE( CONTROL!$C$15, $D$11, 100%, $F$11)</f>
        <v>22.721</v>
      </c>
      <c r="F698" s="4">
        <f>23.3942 * CHOOSE(CONTROL!$C$15, $D$11, 100%, $F$11)</f>
        <v>23.394200000000001</v>
      </c>
      <c r="G698" s="8">
        <f>22.3039 * CHOOSE( CONTROL!$C$15, $D$11, 100%, $F$11)</f>
        <v>22.303899999999999</v>
      </c>
      <c r="H698" s="4">
        <f>23.235 * CHOOSE(CONTROL!$C$15, $D$11, 100%, $F$11)</f>
        <v>23.234999999999999</v>
      </c>
      <c r="I698" s="8">
        <f>22.0307 * CHOOSE(CONTROL!$C$15, $D$11, 100%, $F$11)</f>
        <v>22.0307</v>
      </c>
      <c r="J698" s="4">
        <f>21.925 * CHOOSE(CONTROL!$C$15, $D$11, 100%, $F$11)</f>
        <v>21.925000000000001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1.2183999999999999</v>
      </c>
      <c r="Q698" s="9">
        <v>19.688099999999999</v>
      </c>
      <c r="R698" s="9"/>
      <c r="S698" s="11"/>
    </row>
    <row r="699" spans="1:19" ht="15.75">
      <c r="A699" s="13">
        <v>62792</v>
      </c>
      <c r="B699" s="8">
        <f>24.4911 * CHOOSE(CONTROL!$C$15, $D$11, 100%, $F$11)</f>
        <v>24.491099999999999</v>
      </c>
      <c r="C699" s="8">
        <f>24.4962 * CHOOSE(CONTROL!$C$15, $D$11, 100%, $F$11)</f>
        <v>24.496200000000002</v>
      </c>
      <c r="D699" s="8">
        <f>24.4737 * CHOOSE( CONTROL!$C$15, $D$11, 100%, $F$11)</f>
        <v>24.473700000000001</v>
      </c>
      <c r="E699" s="12">
        <f>24.4814 * CHOOSE( CONTROL!$C$15, $D$11, 100%, $F$11)</f>
        <v>24.481400000000001</v>
      </c>
      <c r="F699" s="4">
        <f>25.136 * CHOOSE(CONTROL!$C$15, $D$11, 100%, $F$11)</f>
        <v>25.135999999999999</v>
      </c>
      <c r="G699" s="8">
        <f>24.0676 * CHOOSE( CONTROL!$C$15, $D$11, 100%, $F$11)</f>
        <v>24.067599999999999</v>
      </c>
      <c r="H699" s="4">
        <f>24.9479 * CHOOSE(CONTROL!$C$15, $D$11, 100%, $F$11)</f>
        <v>24.947900000000001</v>
      </c>
      <c r="I699" s="8">
        <f>23.7785 * CHOOSE(CONTROL!$C$15, $D$11, 100%, $F$11)</f>
        <v>23.778500000000001</v>
      </c>
      <c r="J699" s="4">
        <f>23.6464 * CHOOSE(CONTROL!$C$15, $D$11, 100%, $F$11)</f>
        <v>23.6464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62823</v>
      </c>
      <c r="B700" s="8">
        <f>24.4466 * CHOOSE(CONTROL!$C$15, $D$11, 100%, $F$11)</f>
        <v>24.4466</v>
      </c>
      <c r="C700" s="8">
        <f>24.4517 * CHOOSE(CONTROL!$C$15, $D$11, 100%, $F$11)</f>
        <v>24.451699999999999</v>
      </c>
      <c r="D700" s="8">
        <f>24.4307 * CHOOSE( CONTROL!$C$15, $D$11, 100%, $F$11)</f>
        <v>24.430700000000002</v>
      </c>
      <c r="E700" s="12">
        <f>24.4378 * CHOOSE( CONTROL!$C$15, $D$11, 100%, $F$11)</f>
        <v>24.437799999999999</v>
      </c>
      <c r="F700" s="4">
        <f>25.0915 * CHOOSE(CONTROL!$C$15, $D$11, 100%, $F$11)</f>
        <v>25.0915</v>
      </c>
      <c r="G700" s="8">
        <f>24.0249 * CHOOSE( CONTROL!$C$15, $D$11, 100%, $F$11)</f>
        <v>24.024899999999999</v>
      </c>
      <c r="H700" s="4">
        <f>24.9042 * CHOOSE(CONTROL!$C$15, $D$11, 100%, $F$11)</f>
        <v>24.904199999999999</v>
      </c>
      <c r="I700" s="8">
        <f>23.7401 * CHOOSE(CONTROL!$C$15, $D$11, 100%, $F$11)</f>
        <v>23.740100000000002</v>
      </c>
      <c r="J700" s="4">
        <f>23.6034 * CHOOSE(CONTROL!$C$15, $D$11, 100%, $F$11)</f>
        <v>23.603400000000001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62854</v>
      </c>
      <c r="B701" s="8">
        <f>25.3798 * CHOOSE(CONTROL!$C$15, $D$11, 100%, $F$11)</f>
        <v>25.379799999999999</v>
      </c>
      <c r="C701" s="8">
        <f>25.3849 * CHOOSE(CONTROL!$C$15, $D$11, 100%, $F$11)</f>
        <v>25.384899999999998</v>
      </c>
      <c r="D701" s="8">
        <f>25.3629 * CHOOSE( CONTROL!$C$15, $D$11, 100%, $F$11)</f>
        <v>25.3629</v>
      </c>
      <c r="E701" s="12">
        <f>25.3704 * CHOOSE( CONTROL!$C$15, $D$11, 100%, $F$11)</f>
        <v>25.3704</v>
      </c>
      <c r="F701" s="4">
        <f>26.0247 * CHOOSE(CONTROL!$C$15, $D$11, 100%, $F$11)</f>
        <v>26.024699999999999</v>
      </c>
      <c r="G701" s="8">
        <f>24.94 * CHOOSE( CONTROL!$C$15, $D$11, 100%, $F$11)</f>
        <v>24.94</v>
      </c>
      <c r="H701" s="4">
        <f>25.8219 * CHOOSE(CONTROL!$C$15, $D$11, 100%, $F$11)</f>
        <v>25.821899999999999</v>
      </c>
      <c r="I701" s="8">
        <f>24.6144 * CHOOSE(CONTROL!$C$15, $D$11, 100%, $F$11)</f>
        <v>24.6144</v>
      </c>
      <c r="J701" s="4">
        <f>24.5055 * CHOOSE(CONTROL!$C$15, $D$11, 100%, $F$11)</f>
        <v>24.505500000000001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62883</v>
      </c>
      <c r="B702" s="8">
        <f>23.741 * CHOOSE(CONTROL!$C$15, $D$11, 100%, $F$11)</f>
        <v>23.741</v>
      </c>
      <c r="C702" s="8">
        <f>23.7461 * CHOOSE(CONTROL!$C$15, $D$11, 100%, $F$11)</f>
        <v>23.746099999999998</v>
      </c>
      <c r="D702" s="8">
        <f>23.7197 * CHOOSE( CONTROL!$C$15, $D$11, 100%, $F$11)</f>
        <v>23.7197</v>
      </c>
      <c r="E702" s="12">
        <f>23.7288 * CHOOSE( CONTROL!$C$15, $D$11, 100%, $F$11)</f>
        <v>23.7288</v>
      </c>
      <c r="F702" s="4">
        <f>24.3859 * CHOOSE(CONTROL!$C$15, $D$11, 100%, $F$11)</f>
        <v>24.385899999999999</v>
      </c>
      <c r="G702" s="8">
        <f>23.3199 * CHOOSE( CONTROL!$C$15, $D$11, 100%, $F$11)</f>
        <v>23.319900000000001</v>
      </c>
      <c r="H702" s="4">
        <f>24.2103 * CHOOSE(CONTROL!$C$15, $D$11, 100%, $F$11)</f>
        <v>24.2103</v>
      </c>
      <c r="I702" s="8">
        <f>23.0004 * CHOOSE(CONTROL!$C$15, $D$11, 100%, $F$11)</f>
        <v>23.000399999999999</v>
      </c>
      <c r="J702" s="4">
        <f>22.9212 * CHOOSE(CONTROL!$C$15, $D$11, 100%, $F$11)</f>
        <v>22.921199999999999</v>
      </c>
      <c r="K702" s="4"/>
      <c r="L702" s="9">
        <v>27.415299999999998</v>
      </c>
      <c r="M702" s="9">
        <v>11.285299999999999</v>
      </c>
      <c r="N702" s="9">
        <v>4.6254999999999997</v>
      </c>
      <c r="O702" s="9">
        <v>0.34989999999999999</v>
      </c>
      <c r="P702" s="9">
        <v>1.2093</v>
      </c>
      <c r="Q702" s="9">
        <v>18.417899999999999</v>
      </c>
      <c r="R702" s="9"/>
      <c r="S702" s="11"/>
    </row>
    <row r="703" spans="1:19" ht="15.75">
      <c r="A703" s="13">
        <v>62914</v>
      </c>
      <c r="B703" s="8">
        <f>23.2362 * CHOOSE(CONTROL!$C$15, $D$11, 100%, $F$11)</f>
        <v>23.2362</v>
      </c>
      <c r="C703" s="8">
        <f>23.2413 * CHOOSE(CONTROL!$C$15, $D$11, 100%, $F$11)</f>
        <v>23.241299999999999</v>
      </c>
      <c r="D703" s="8">
        <f>23.2154 * CHOOSE( CONTROL!$C$15, $D$11, 100%, $F$11)</f>
        <v>23.215399999999999</v>
      </c>
      <c r="E703" s="12">
        <f>23.2243 * CHOOSE( CONTROL!$C$15, $D$11, 100%, $F$11)</f>
        <v>23.224299999999999</v>
      </c>
      <c r="F703" s="4">
        <f>23.8811 * CHOOSE(CONTROL!$C$15, $D$11, 100%, $F$11)</f>
        <v>23.8811</v>
      </c>
      <c r="G703" s="8">
        <f>22.8238 * CHOOSE( CONTROL!$C$15, $D$11, 100%, $F$11)</f>
        <v>22.823799999999999</v>
      </c>
      <c r="H703" s="4">
        <f>23.7139 * CHOOSE(CONTROL!$C$15, $D$11, 100%, $F$11)</f>
        <v>23.713899999999999</v>
      </c>
      <c r="I703" s="8">
        <f>22.5134 * CHOOSE(CONTROL!$C$15, $D$11, 100%, $F$11)</f>
        <v>22.513400000000001</v>
      </c>
      <c r="J703" s="4">
        <f>22.4333 * CHOOSE(CONTROL!$C$15, $D$11, 100%, $F$11)</f>
        <v>22.433299999999999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62944</v>
      </c>
      <c r="B704" s="8">
        <f>23.5897 * CHOOSE(CONTROL!$C$15, $D$11, 100%, $F$11)</f>
        <v>23.589700000000001</v>
      </c>
      <c r="C704" s="8">
        <f>23.5942 * CHOOSE(CONTROL!$C$15, $D$11, 100%, $F$11)</f>
        <v>23.594200000000001</v>
      </c>
      <c r="D704" s="8">
        <f>23.6014 * CHOOSE( CONTROL!$C$15, $D$11, 100%, $F$11)</f>
        <v>23.601400000000002</v>
      </c>
      <c r="E704" s="12">
        <f>23.5985 * CHOOSE( CONTROL!$C$15, $D$11, 100%, $F$11)</f>
        <v>23.598500000000001</v>
      </c>
      <c r="F704" s="4">
        <f>24.2726 * CHOOSE(CONTROL!$C$15, $D$11, 100%, $F$11)</f>
        <v>24.272600000000001</v>
      </c>
      <c r="G704" s="8">
        <f>23.166 * CHOOSE( CONTROL!$C$15, $D$11, 100%, $F$11)</f>
        <v>23.166</v>
      </c>
      <c r="H704" s="4">
        <f>24.0989 * CHOOSE(CONTROL!$C$15, $D$11, 100%, $F$11)</f>
        <v>24.0989</v>
      </c>
      <c r="I704" s="8">
        <f>22.8744 * CHOOSE(CONTROL!$C$15, $D$11, 100%, $F$11)</f>
        <v>22.874400000000001</v>
      </c>
      <c r="J704" s="4">
        <f>22.7743 * CHOOSE(CONTROL!$C$15, $D$11, 100%, $F$11)</f>
        <v>22.7743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1.1791</v>
      </c>
      <c r="Q704" s="9">
        <v>19.053000000000001</v>
      </c>
      <c r="R704" s="9"/>
      <c r="S704" s="11"/>
    </row>
    <row r="705" spans="1:19" ht="15.75">
      <c r="A705" s="13">
        <v>62975</v>
      </c>
      <c r="B705" s="8">
        <f>CHOOSE( CONTROL!$C$32, 24.222, 24.2188) * CHOOSE(CONTROL!$C$15, $D$11, 100%, $F$11)</f>
        <v>24.222000000000001</v>
      </c>
      <c r="C705" s="8">
        <f>CHOOSE( CONTROL!$C$32, 24.23, 24.2268) * CHOOSE(CONTROL!$C$15, $D$11, 100%, $F$11)</f>
        <v>24.23</v>
      </c>
      <c r="D705" s="8">
        <f>CHOOSE( CONTROL!$C$32, 24.2323, 24.2291) * CHOOSE( CONTROL!$C$15, $D$11, 100%, $F$11)</f>
        <v>24.232299999999999</v>
      </c>
      <c r="E705" s="12">
        <f>CHOOSE( CONTROL!$C$32, 24.2302, 24.227) * CHOOSE( CONTROL!$C$15, $D$11, 100%, $F$11)</f>
        <v>24.2302</v>
      </c>
      <c r="F705" s="4">
        <f>CHOOSE( CONTROL!$C$32, 24.9036, 24.9004) * CHOOSE(CONTROL!$C$15, $D$11, 100%, $F$11)</f>
        <v>24.903600000000001</v>
      </c>
      <c r="G705" s="8">
        <f>CHOOSE( CONTROL!$C$32, 23.7876, 23.7844) * CHOOSE( CONTROL!$C$15, $D$11, 100%, $F$11)</f>
        <v>23.787600000000001</v>
      </c>
      <c r="H705" s="4">
        <f>CHOOSE( CONTROL!$C$32, 24.7194, 24.7162) * CHOOSE(CONTROL!$C$15, $D$11, 100%, $F$11)</f>
        <v>24.7194</v>
      </c>
      <c r="I705" s="8">
        <f>CHOOSE( CONTROL!$C$32, 23.4862, 23.4831) * CHOOSE(CONTROL!$C$15, $D$11, 100%, $F$11)</f>
        <v>23.4862</v>
      </c>
      <c r="J705" s="4">
        <f>CHOOSE( CONTROL!$C$32, 23.3842, 23.3811) * CHOOSE(CONTROL!$C$15, $D$11, 100%, $F$11)</f>
        <v>23.3842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1.2183999999999999</v>
      </c>
      <c r="Q705" s="9">
        <v>19.688099999999999</v>
      </c>
      <c r="R705" s="9"/>
      <c r="S705" s="11"/>
    </row>
    <row r="706" spans="1:19" ht="15.75">
      <c r="A706" s="13">
        <v>63005</v>
      </c>
      <c r="B706" s="8">
        <f>CHOOSE( CONTROL!$C$32, 23.8331, 23.8299) * CHOOSE(CONTROL!$C$15, $D$11, 100%, $F$11)</f>
        <v>23.833100000000002</v>
      </c>
      <c r="C706" s="8">
        <f>CHOOSE( CONTROL!$C$32, 23.8412, 23.838) * CHOOSE(CONTROL!$C$15, $D$11, 100%, $F$11)</f>
        <v>23.841200000000001</v>
      </c>
      <c r="D706" s="8">
        <f>CHOOSE( CONTROL!$C$32, 23.8438, 23.8406) * CHOOSE( CONTROL!$C$15, $D$11, 100%, $F$11)</f>
        <v>23.843800000000002</v>
      </c>
      <c r="E706" s="12">
        <f>CHOOSE( CONTROL!$C$32, 23.8416, 23.8384) * CHOOSE( CONTROL!$C$15, $D$11, 100%, $F$11)</f>
        <v>23.8416</v>
      </c>
      <c r="F706" s="4">
        <f>CHOOSE( CONTROL!$C$32, 24.5147, 24.5115) * CHOOSE(CONTROL!$C$15, $D$11, 100%, $F$11)</f>
        <v>24.514700000000001</v>
      </c>
      <c r="G706" s="8">
        <f>CHOOSE( CONTROL!$C$32, 23.4056, 23.4025) * CHOOSE( CONTROL!$C$15, $D$11, 100%, $F$11)</f>
        <v>23.4056</v>
      </c>
      <c r="H706" s="4">
        <f>CHOOSE( CONTROL!$C$32, 24.337, 24.3338) * CHOOSE(CONTROL!$C$15, $D$11, 100%, $F$11)</f>
        <v>24.337</v>
      </c>
      <c r="I706" s="8">
        <f>CHOOSE( CONTROL!$C$32, 23.1115, 23.1084) * CHOOSE(CONTROL!$C$15, $D$11, 100%, $F$11)</f>
        <v>23.111499999999999</v>
      </c>
      <c r="J706" s="4">
        <f>CHOOSE( CONTROL!$C$32, 23.0083, 23.0052) * CHOOSE(CONTROL!$C$15, $D$11, 100%, $F$11)</f>
        <v>23.008299999999998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1.1791</v>
      </c>
      <c r="Q706" s="9">
        <v>19.053000000000001</v>
      </c>
      <c r="R706" s="9"/>
      <c r="S706" s="11"/>
    </row>
    <row r="707" spans="1:19" ht="15.75">
      <c r="A707" s="13">
        <v>63036</v>
      </c>
      <c r="B707" s="8">
        <f>CHOOSE( CONTROL!$C$32, 24.8572, 24.854) * CHOOSE(CONTROL!$C$15, $D$11, 100%, $F$11)</f>
        <v>24.857199999999999</v>
      </c>
      <c r="C707" s="8">
        <f>CHOOSE( CONTROL!$C$32, 24.8652, 24.862) * CHOOSE(CONTROL!$C$15, $D$11, 100%, $F$11)</f>
        <v>24.865200000000002</v>
      </c>
      <c r="D707" s="8">
        <f>CHOOSE( CONTROL!$C$32, 24.8681, 24.8649) * CHOOSE( CONTROL!$C$15, $D$11, 100%, $F$11)</f>
        <v>24.868099999999998</v>
      </c>
      <c r="E707" s="12">
        <f>CHOOSE( CONTROL!$C$32, 24.8658, 24.8626) * CHOOSE( CONTROL!$C$15, $D$11, 100%, $F$11)</f>
        <v>24.8658</v>
      </c>
      <c r="F707" s="4">
        <f>CHOOSE( CONTROL!$C$32, 25.5387, 25.5355) * CHOOSE(CONTROL!$C$15, $D$11, 100%, $F$11)</f>
        <v>25.538699999999999</v>
      </c>
      <c r="G707" s="8">
        <f>CHOOSE( CONTROL!$C$32, 24.4131, 24.4099) * CHOOSE( CONTROL!$C$15, $D$11, 100%, $F$11)</f>
        <v>24.4131</v>
      </c>
      <c r="H707" s="4">
        <f>CHOOSE( CONTROL!$C$32, 25.344, 25.3408) * CHOOSE(CONTROL!$C$15, $D$11, 100%, $F$11)</f>
        <v>25.344000000000001</v>
      </c>
      <c r="I707" s="8">
        <f>CHOOSE( CONTROL!$C$32, 24.1033, 24.1002) * CHOOSE(CONTROL!$C$15, $D$11, 100%, $F$11)</f>
        <v>24.103300000000001</v>
      </c>
      <c r="J707" s="4">
        <f>CHOOSE( CONTROL!$C$32, 23.9982, 23.9951) * CHOOSE(CONTROL!$C$15, $D$11, 100%, $F$11)</f>
        <v>23.998200000000001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63067</v>
      </c>
      <c r="B708" s="8">
        <f>CHOOSE( CONTROL!$C$32, 22.9411, 22.9379) * CHOOSE(CONTROL!$C$15, $D$11, 100%, $F$11)</f>
        <v>22.941099999999999</v>
      </c>
      <c r="C708" s="8">
        <f>CHOOSE( CONTROL!$C$32, 22.9491, 22.9459) * CHOOSE(CONTROL!$C$15, $D$11, 100%, $F$11)</f>
        <v>22.949100000000001</v>
      </c>
      <c r="D708" s="8">
        <f>CHOOSE( CONTROL!$C$32, 22.9522, 22.949) * CHOOSE( CONTROL!$C$15, $D$11, 100%, $F$11)</f>
        <v>22.952200000000001</v>
      </c>
      <c r="E708" s="12">
        <f>CHOOSE( CONTROL!$C$32, 22.9499, 22.9467) * CHOOSE( CONTROL!$C$15, $D$11, 100%, $F$11)</f>
        <v>22.9499</v>
      </c>
      <c r="F708" s="4">
        <f>CHOOSE( CONTROL!$C$32, 23.6227, 23.6195) * CHOOSE(CONTROL!$C$15, $D$11, 100%, $F$11)</f>
        <v>23.622699999999998</v>
      </c>
      <c r="G708" s="8">
        <f>CHOOSE( CONTROL!$C$32, 22.5291, 22.5259) * CHOOSE( CONTROL!$C$15, $D$11, 100%, $F$11)</f>
        <v>22.5291</v>
      </c>
      <c r="H708" s="4">
        <f>CHOOSE( CONTROL!$C$32, 23.4597, 23.4566) * CHOOSE(CONTROL!$C$15, $D$11, 100%, $F$11)</f>
        <v>23.459700000000002</v>
      </c>
      <c r="I708" s="8">
        <f>CHOOSE( CONTROL!$C$32, 22.2509, 22.2479) * CHOOSE(CONTROL!$C$15, $D$11, 100%, $F$11)</f>
        <v>22.250900000000001</v>
      </c>
      <c r="J708" s="4">
        <f>CHOOSE( CONTROL!$C$32, 22.1459, 22.1428) * CHOOSE(CONTROL!$C$15, $D$11, 100%, $F$11)</f>
        <v>22.145900000000001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1.2183999999999999</v>
      </c>
      <c r="Q708" s="9">
        <v>19.688099999999999</v>
      </c>
      <c r="R708" s="9"/>
      <c r="S708" s="11"/>
    </row>
    <row r="709" spans="1:19" ht="15.75">
      <c r="A709" s="13">
        <v>63097</v>
      </c>
      <c r="B709" s="8">
        <f>CHOOSE( CONTROL!$C$32, 22.4613, 22.4581) * CHOOSE(CONTROL!$C$15, $D$11, 100%, $F$11)</f>
        <v>22.461300000000001</v>
      </c>
      <c r="C709" s="8">
        <f>CHOOSE( CONTROL!$C$32, 22.4693, 22.4661) * CHOOSE(CONTROL!$C$15, $D$11, 100%, $F$11)</f>
        <v>22.4693</v>
      </c>
      <c r="D709" s="8">
        <f>CHOOSE( CONTROL!$C$32, 22.4724, 22.4692) * CHOOSE( CONTROL!$C$15, $D$11, 100%, $F$11)</f>
        <v>22.4724</v>
      </c>
      <c r="E709" s="12">
        <f>CHOOSE( CONTROL!$C$32, 22.4701, 22.4669) * CHOOSE( CONTROL!$C$15, $D$11, 100%, $F$11)</f>
        <v>22.470099999999999</v>
      </c>
      <c r="F709" s="4">
        <f>CHOOSE( CONTROL!$C$32, 23.1429, 23.1397) * CHOOSE(CONTROL!$C$15, $D$11, 100%, $F$11)</f>
        <v>23.142900000000001</v>
      </c>
      <c r="G709" s="8">
        <f>CHOOSE( CONTROL!$C$32, 22.0573, 22.0541) * CHOOSE( CONTROL!$C$15, $D$11, 100%, $F$11)</f>
        <v>22.057300000000001</v>
      </c>
      <c r="H709" s="4">
        <f>CHOOSE( CONTROL!$C$32, 22.9879, 22.9847) * CHOOSE(CONTROL!$C$15, $D$11, 100%, $F$11)</f>
        <v>22.9879</v>
      </c>
      <c r="I709" s="8">
        <f>CHOOSE( CONTROL!$C$32, 21.787, 21.7839) * CHOOSE(CONTROL!$C$15, $D$11, 100%, $F$11)</f>
        <v>21.786999999999999</v>
      </c>
      <c r="J709" s="4">
        <f>CHOOSE( CONTROL!$C$32, 21.6821, 21.679) * CHOOSE(CONTROL!$C$15, $D$11, 100%, $F$11)</f>
        <v>21.682099999999998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1.1791</v>
      </c>
      <c r="Q709" s="9">
        <v>19.053000000000001</v>
      </c>
      <c r="R709" s="9"/>
      <c r="S709" s="11"/>
    </row>
    <row r="710" spans="1:19" ht="15.75">
      <c r="A710" s="13">
        <v>63128</v>
      </c>
      <c r="B710" s="8">
        <f>23.4526 * CHOOSE(CONTROL!$C$15, $D$11, 100%, $F$11)</f>
        <v>23.4526</v>
      </c>
      <c r="C710" s="8">
        <f>23.458 * CHOOSE(CONTROL!$C$15, $D$11, 100%, $F$11)</f>
        <v>23.457999999999998</v>
      </c>
      <c r="D710" s="8">
        <f>23.4659 * CHOOSE( CONTROL!$C$15, $D$11, 100%, $F$11)</f>
        <v>23.465900000000001</v>
      </c>
      <c r="E710" s="12">
        <f>23.4627 * CHOOSE( CONTROL!$C$15, $D$11, 100%, $F$11)</f>
        <v>23.462700000000002</v>
      </c>
      <c r="F710" s="4">
        <f>24.1359 * CHOOSE(CONTROL!$C$15, $D$11, 100%, $F$11)</f>
        <v>24.135899999999999</v>
      </c>
      <c r="G710" s="8">
        <f>23.0334 * CHOOSE( CONTROL!$C$15, $D$11, 100%, $F$11)</f>
        <v>23.0334</v>
      </c>
      <c r="H710" s="4">
        <f>23.9644 * CHOOSE(CONTROL!$C$15, $D$11, 100%, $F$11)</f>
        <v>23.964400000000001</v>
      </c>
      <c r="I710" s="8">
        <f>22.7481 * CHOOSE(CONTROL!$C$15, $D$11, 100%, $F$11)</f>
        <v>22.748100000000001</v>
      </c>
      <c r="J710" s="4">
        <f>22.6421 * CHOOSE(CONTROL!$C$15, $D$11, 100%, $F$11)</f>
        <v>22.642099999999999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1.2183999999999999</v>
      </c>
      <c r="Q710" s="9">
        <v>19.688099999999999</v>
      </c>
      <c r="R710" s="9"/>
      <c r="S710" s="11"/>
    </row>
    <row r="711" spans="1:19" ht="15.75">
      <c r="A711" s="13">
        <v>63158</v>
      </c>
      <c r="B711" s="8">
        <f>25.2911 * CHOOSE(CONTROL!$C$15, $D$11, 100%, $F$11)</f>
        <v>25.2911</v>
      </c>
      <c r="C711" s="8">
        <f>25.2962 * CHOOSE(CONTROL!$C$15, $D$11, 100%, $F$11)</f>
        <v>25.296199999999999</v>
      </c>
      <c r="D711" s="8">
        <f>25.2737 * CHOOSE( CONTROL!$C$15, $D$11, 100%, $F$11)</f>
        <v>25.273700000000002</v>
      </c>
      <c r="E711" s="12">
        <f>25.2814 * CHOOSE( CONTROL!$C$15, $D$11, 100%, $F$11)</f>
        <v>25.281400000000001</v>
      </c>
      <c r="F711" s="4">
        <f>25.9359 * CHOOSE(CONTROL!$C$15, $D$11, 100%, $F$11)</f>
        <v>25.9359</v>
      </c>
      <c r="G711" s="8">
        <f>24.8543 * CHOOSE( CONTROL!$C$15, $D$11, 100%, $F$11)</f>
        <v>24.854299999999999</v>
      </c>
      <c r="H711" s="4">
        <f>25.7346 * CHOOSE(CONTROL!$C$15, $D$11, 100%, $F$11)</f>
        <v>25.7346</v>
      </c>
      <c r="I711" s="8">
        <f>24.5522 * CHOOSE(CONTROL!$C$15, $D$11, 100%, $F$11)</f>
        <v>24.552199999999999</v>
      </c>
      <c r="J711" s="4">
        <f>24.4197 * CHOOSE(CONTROL!$C$15, $D$11, 100%, $F$11)</f>
        <v>24.419699999999999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63189</v>
      </c>
      <c r="B712" s="8">
        <f>25.2451 * CHOOSE(CONTROL!$C$15, $D$11, 100%, $F$11)</f>
        <v>25.245100000000001</v>
      </c>
      <c r="C712" s="8">
        <f>25.2502 * CHOOSE(CONTROL!$C$15, $D$11, 100%, $F$11)</f>
        <v>25.2502</v>
      </c>
      <c r="D712" s="8">
        <f>25.2292 * CHOOSE( CONTROL!$C$15, $D$11, 100%, $F$11)</f>
        <v>25.229199999999999</v>
      </c>
      <c r="E712" s="12">
        <f>25.2363 * CHOOSE( CONTROL!$C$15, $D$11, 100%, $F$11)</f>
        <v>25.2363</v>
      </c>
      <c r="F712" s="4">
        <f>25.89 * CHOOSE(CONTROL!$C$15, $D$11, 100%, $F$11)</f>
        <v>25.89</v>
      </c>
      <c r="G712" s="8">
        <f>24.8102 * CHOOSE( CONTROL!$C$15, $D$11, 100%, $F$11)</f>
        <v>24.810199999999998</v>
      </c>
      <c r="H712" s="4">
        <f>25.6895 * CHOOSE(CONTROL!$C$15, $D$11, 100%, $F$11)</f>
        <v>25.689499999999999</v>
      </c>
      <c r="I712" s="8">
        <f>24.5124 * CHOOSE(CONTROL!$C$15, $D$11, 100%, $F$11)</f>
        <v>24.5124</v>
      </c>
      <c r="J712" s="4">
        <f>24.3753 * CHOOSE(CONTROL!$C$15, $D$11, 100%, $F$11)</f>
        <v>24.375299999999999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63220</v>
      </c>
      <c r="B713" s="8">
        <f>26.2088 * CHOOSE(CONTROL!$C$15, $D$11, 100%, $F$11)</f>
        <v>26.2088</v>
      </c>
      <c r="C713" s="8">
        <f>26.2139 * CHOOSE(CONTROL!$C$15, $D$11, 100%, $F$11)</f>
        <v>26.213899999999999</v>
      </c>
      <c r="D713" s="8">
        <f>26.1919 * CHOOSE( CONTROL!$C$15, $D$11, 100%, $F$11)</f>
        <v>26.1919</v>
      </c>
      <c r="E713" s="12">
        <f>26.1994 * CHOOSE( CONTROL!$C$15, $D$11, 100%, $F$11)</f>
        <v>26.199400000000001</v>
      </c>
      <c r="F713" s="4">
        <f>26.8537 * CHOOSE(CONTROL!$C$15, $D$11, 100%, $F$11)</f>
        <v>26.8537</v>
      </c>
      <c r="G713" s="8">
        <f>25.7553 * CHOOSE( CONTROL!$C$15, $D$11, 100%, $F$11)</f>
        <v>25.755299999999998</v>
      </c>
      <c r="H713" s="4">
        <f>26.6372 * CHOOSE(CONTROL!$C$15, $D$11, 100%, $F$11)</f>
        <v>26.6372</v>
      </c>
      <c r="I713" s="8">
        <f>25.4163 * CHOOSE(CONTROL!$C$15, $D$11, 100%, $F$11)</f>
        <v>25.4163</v>
      </c>
      <c r="J713" s="4">
        <f>25.3069 * CHOOSE(CONTROL!$C$15, $D$11, 100%, $F$11)</f>
        <v>25.306899999999999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63248</v>
      </c>
      <c r="B714" s="8">
        <f>24.5164 * CHOOSE(CONTROL!$C$15, $D$11, 100%, $F$11)</f>
        <v>24.516400000000001</v>
      </c>
      <c r="C714" s="8">
        <f>24.5215 * CHOOSE(CONTROL!$C$15, $D$11, 100%, $F$11)</f>
        <v>24.5215</v>
      </c>
      <c r="D714" s="8">
        <f>24.4952 * CHOOSE( CONTROL!$C$15, $D$11, 100%, $F$11)</f>
        <v>24.495200000000001</v>
      </c>
      <c r="E714" s="12">
        <f>24.5043 * CHOOSE( CONTROL!$C$15, $D$11, 100%, $F$11)</f>
        <v>24.504300000000001</v>
      </c>
      <c r="F714" s="4">
        <f>25.1613 * CHOOSE(CONTROL!$C$15, $D$11, 100%, $F$11)</f>
        <v>25.161300000000001</v>
      </c>
      <c r="G714" s="8">
        <f>24.0825 * CHOOSE( CONTROL!$C$15, $D$11, 100%, $F$11)</f>
        <v>24.0825</v>
      </c>
      <c r="H714" s="4">
        <f>24.9728 * CHOOSE(CONTROL!$C$15, $D$11, 100%, $F$11)</f>
        <v>24.972799999999999</v>
      </c>
      <c r="I714" s="8">
        <f>23.7504 * CHOOSE(CONTROL!$C$15, $D$11, 100%, $F$11)</f>
        <v>23.750399999999999</v>
      </c>
      <c r="J714" s="4">
        <f>23.6708 * CHOOSE(CONTROL!$C$15, $D$11, 100%, $F$11)</f>
        <v>23.6708</v>
      </c>
      <c r="K714" s="4"/>
      <c r="L714" s="9">
        <v>26.469899999999999</v>
      </c>
      <c r="M714" s="9">
        <v>10.8962</v>
      </c>
      <c r="N714" s="9">
        <v>4.4660000000000002</v>
      </c>
      <c r="O714" s="9">
        <v>0.33789999999999998</v>
      </c>
      <c r="P714" s="9">
        <v>1.1676</v>
      </c>
      <c r="Q714" s="9">
        <v>17.782800000000002</v>
      </c>
      <c r="R714" s="9"/>
      <c r="S714" s="11"/>
    </row>
    <row r="715" spans="1:19" ht="15.75">
      <c r="A715" s="13">
        <v>63279</v>
      </c>
      <c r="B715" s="8">
        <f>23.9952 * CHOOSE(CONTROL!$C$15, $D$11, 100%, $F$11)</f>
        <v>23.995200000000001</v>
      </c>
      <c r="C715" s="8">
        <f>24.0003 * CHOOSE(CONTROL!$C$15, $D$11, 100%, $F$11)</f>
        <v>24.000299999999999</v>
      </c>
      <c r="D715" s="8">
        <f>23.9743 * CHOOSE( CONTROL!$C$15, $D$11, 100%, $F$11)</f>
        <v>23.974299999999999</v>
      </c>
      <c r="E715" s="12">
        <f>23.9833 * CHOOSE( CONTROL!$C$15, $D$11, 100%, $F$11)</f>
        <v>23.9833</v>
      </c>
      <c r="F715" s="4">
        <f>24.64 * CHOOSE(CONTROL!$C$15, $D$11, 100%, $F$11)</f>
        <v>24.64</v>
      </c>
      <c r="G715" s="8">
        <f>23.5702 * CHOOSE( CONTROL!$C$15, $D$11, 100%, $F$11)</f>
        <v>23.5702</v>
      </c>
      <c r="H715" s="4">
        <f>24.4602 * CHOOSE(CONTROL!$C$15, $D$11, 100%, $F$11)</f>
        <v>24.4602</v>
      </c>
      <c r="I715" s="8">
        <f>23.2474 * CHOOSE(CONTROL!$C$15, $D$11, 100%, $F$11)</f>
        <v>23.247399999999999</v>
      </c>
      <c r="J715" s="4">
        <f>23.1669 * CHOOSE(CONTROL!$C$15, $D$11, 100%, $F$11)</f>
        <v>23.166899999999998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63309</v>
      </c>
      <c r="B716" s="8">
        <f>24.3602 * CHOOSE(CONTROL!$C$15, $D$11, 100%, $F$11)</f>
        <v>24.360199999999999</v>
      </c>
      <c r="C716" s="8">
        <f>24.3647 * CHOOSE(CONTROL!$C$15, $D$11, 100%, $F$11)</f>
        <v>24.364699999999999</v>
      </c>
      <c r="D716" s="8">
        <f>24.3719 * CHOOSE( CONTROL!$C$15, $D$11, 100%, $F$11)</f>
        <v>24.3719</v>
      </c>
      <c r="E716" s="12">
        <f>24.369 * CHOOSE( CONTROL!$C$15, $D$11, 100%, $F$11)</f>
        <v>24.369</v>
      </c>
      <c r="F716" s="4">
        <f>25.0431 * CHOOSE(CONTROL!$C$15, $D$11, 100%, $F$11)</f>
        <v>25.043099999999999</v>
      </c>
      <c r="G716" s="8">
        <f>23.9236 * CHOOSE( CONTROL!$C$15, $D$11, 100%, $F$11)</f>
        <v>23.9236</v>
      </c>
      <c r="H716" s="4">
        <f>24.8566 * CHOOSE(CONTROL!$C$15, $D$11, 100%, $F$11)</f>
        <v>24.8566</v>
      </c>
      <c r="I716" s="8">
        <f>23.6196 * CHOOSE(CONTROL!$C$15, $D$11, 100%, $F$11)</f>
        <v>23.619599999999998</v>
      </c>
      <c r="J716" s="4">
        <f>23.5191 * CHOOSE(CONTROL!$C$15, $D$11, 100%, $F$11)</f>
        <v>23.519100000000002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1.1791</v>
      </c>
      <c r="Q716" s="9">
        <v>19.053000000000001</v>
      </c>
      <c r="R716" s="9"/>
      <c r="S716" s="11"/>
    </row>
    <row r="717" spans="1:19" ht="15.75">
      <c r="A717" s="13">
        <v>63340</v>
      </c>
      <c r="B717" s="8">
        <f>CHOOSE( CONTROL!$C$32, 25.013, 25.0098) * CHOOSE(CONTROL!$C$15, $D$11, 100%, $F$11)</f>
        <v>25.013000000000002</v>
      </c>
      <c r="C717" s="8">
        <f>CHOOSE( CONTROL!$C$32, 25.021, 25.0178) * CHOOSE(CONTROL!$C$15, $D$11, 100%, $F$11)</f>
        <v>25.021000000000001</v>
      </c>
      <c r="D717" s="8">
        <f>CHOOSE( CONTROL!$C$32, 25.0233, 25.0201) * CHOOSE( CONTROL!$C$15, $D$11, 100%, $F$11)</f>
        <v>25.023299999999999</v>
      </c>
      <c r="E717" s="12">
        <f>CHOOSE( CONTROL!$C$32, 25.0212, 25.018) * CHOOSE( CONTROL!$C$15, $D$11, 100%, $F$11)</f>
        <v>25.0212</v>
      </c>
      <c r="F717" s="4">
        <f>CHOOSE( CONTROL!$C$32, 25.6945, 25.6913) * CHOOSE(CONTROL!$C$15, $D$11, 100%, $F$11)</f>
        <v>25.694500000000001</v>
      </c>
      <c r="G717" s="8">
        <f>CHOOSE( CONTROL!$C$32, 24.5654, 24.5623) * CHOOSE( CONTROL!$C$15, $D$11, 100%, $F$11)</f>
        <v>24.5654</v>
      </c>
      <c r="H717" s="4">
        <f>CHOOSE( CONTROL!$C$32, 25.4972, 25.4941) * CHOOSE(CONTROL!$C$15, $D$11, 100%, $F$11)</f>
        <v>25.497199999999999</v>
      </c>
      <c r="I717" s="8">
        <f>CHOOSE( CONTROL!$C$32, 24.2512, 24.2481) * CHOOSE(CONTROL!$C$15, $D$11, 100%, $F$11)</f>
        <v>24.251200000000001</v>
      </c>
      <c r="J717" s="4">
        <f>CHOOSE( CONTROL!$C$32, 24.1488, 24.1457) * CHOOSE(CONTROL!$C$15, $D$11, 100%, $F$11)</f>
        <v>24.148800000000001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1.2183999999999999</v>
      </c>
      <c r="Q717" s="9">
        <v>19.688099999999999</v>
      </c>
      <c r="R717" s="9"/>
      <c r="S717" s="11"/>
    </row>
    <row r="718" spans="1:19" ht="15.75">
      <c r="A718" s="13">
        <v>63370</v>
      </c>
      <c r="B718" s="8">
        <f>CHOOSE( CONTROL!$C$32, 24.6114, 24.6082) * CHOOSE(CONTROL!$C$15, $D$11, 100%, $F$11)</f>
        <v>24.6114</v>
      </c>
      <c r="C718" s="8">
        <f>CHOOSE( CONTROL!$C$32, 24.6194, 24.6162) * CHOOSE(CONTROL!$C$15, $D$11, 100%, $F$11)</f>
        <v>24.619399999999999</v>
      </c>
      <c r="D718" s="8">
        <f>CHOOSE( CONTROL!$C$32, 24.622, 24.6189) * CHOOSE( CONTROL!$C$15, $D$11, 100%, $F$11)</f>
        <v>24.622</v>
      </c>
      <c r="E718" s="12">
        <f>CHOOSE( CONTROL!$C$32, 24.6198, 24.6167) * CHOOSE( CONTROL!$C$15, $D$11, 100%, $F$11)</f>
        <v>24.619800000000001</v>
      </c>
      <c r="F718" s="4">
        <f>CHOOSE( CONTROL!$C$32, 25.293, 25.2898) * CHOOSE(CONTROL!$C$15, $D$11, 100%, $F$11)</f>
        <v>25.292999999999999</v>
      </c>
      <c r="G718" s="8">
        <f>CHOOSE( CONTROL!$C$32, 24.171, 24.1678) * CHOOSE( CONTROL!$C$15, $D$11, 100%, $F$11)</f>
        <v>24.170999999999999</v>
      </c>
      <c r="H718" s="4">
        <f>CHOOSE( CONTROL!$C$32, 25.1023, 25.0992) * CHOOSE(CONTROL!$C$15, $D$11, 100%, $F$11)</f>
        <v>25.1023</v>
      </c>
      <c r="I718" s="8">
        <f>CHOOSE( CONTROL!$C$32, 23.8642, 23.8611) * CHOOSE(CONTROL!$C$15, $D$11, 100%, $F$11)</f>
        <v>23.8642</v>
      </c>
      <c r="J718" s="4">
        <f>CHOOSE( CONTROL!$C$32, 23.7606, 23.7575) * CHOOSE(CONTROL!$C$15, $D$11, 100%, $F$11)</f>
        <v>23.7606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1.1791</v>
      </c>
      <c r="Q718" s="9">
        <v>19.053000000000001</v>
      </c>
      <c r="R718" s="9"/>
      <c r="S718" s="11"/>
    </row>
    <row r="719" spans="1:19" ht="15.75">
      <c r="A719" s="13">
        <v>63401</v>
      </c>
      <c r="B719" s="8">
        <f>CHOOSE( CONTROL!$C$32, 25.6689, 25.6657) * CHOOSE(CONTROL!$C$15, $D$11, 100%, $F$11)</f>
        <v>25.668900000000001</v>
      </c>
      <c r="C719" s="8">
        <f>CHOOSE( CONTROL!$C$32, 25.6769, 25.6737) * CHOOSE(CONTROL!$C$15, $D$11, 100%, $F$11)</f>
        <v>25.6769</v>
      </c>
      <c r="D719" s="8">
        <f>CHOOSE( CONTROL!$C$32, 25.6799, 25.6767) * CHOOSE( CONTROL!$C$15, $D$11, 100%, $F$11)</f>
        <v>25.6799</v>
      </c>
      <c r="E719" s="12">
        <f>CHOOSE( CONTROL!$C$32, 25.6776, 25.6744) * CHOOSE( CONTROL!$C$15, $D$11, 100%, $F$11)</f>
        <v>25.677600000000002</v>
      </c>
      <c r="F719" s="4">
        <f>CHOOSE( CONTROL!$C$32, 26.3505, 26.3473) * CHOOSE(CONTROL!$C$15, $D$11, 100%, $F$11)</f>
        <v>26.3505</v>
      </c>
      <c r="G719" s="8">
        <f>CHOOSE( CONTROL!$C$32, 25.2114, 25.2082) * CHOOSE( CONTROL!$C$15, $D$11, 100%, $F$11)</f>
        <v>25.211400000000001</v>
      </c>
      <c r="H719" s="4">
        <f>CHOOSE( CONTROL!$C$32, 26.1423, 26.1391) * CHOOSE(CONTROL!$C$15, $D$11, 100%, $F$11)</f>
        <v>26.142299999999999</v>
      </c>
      <c r="I719" s="8">
        <f>CHOOSE( CONTROL!$C$32, 24.8885, 24.8854) * CHOOSE(CONTROL!$C$15, $D$11, 100%, $F$11)</f>
        <v>24.888500000000001</v>
      </c>
      <c r="J719" s="4">
        <f>CHOOSE( CONTROL!$C$32, 24.7829, 24.7798) * CHOOSE(CONTROL!$C$15, $D$11, 100%, $F$11)</f>
        <v>24.782900000000001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63432</v>
      </c>
      <c r="B720" s="8">
        <f>CHOOSE( CONTROL!$C$32, 23.6902, 23.687) * CHOOSE(CONTROL!$C$15, $D$11, 100%, $F$11)</f>
        <v>23.690200000000001</v>
      </c>
      <c r="C720" s="8">
        <f>CHOOSE( CONTROL!$C$32, 23.6982, 23.695) * CHOOSE(CONTROL!$C$15, $D$11, 100%, $F$11)</f>
        <v>23.6982</v>
      </c>
      <c r="D720" s="8">
        <f>CHOOSE( CONTROL!$C$32, 23.7013, 23.6981) * CHOOSE( CONTROL!$C$15, $D$11, 100%, $F$11)</f>
        <v>23.7013</v>
      </c>
      <c r="E720" s="12">
        <f>CHOOSE( CONTROL!$C$32, 23.699, 23.6958) * CHOOSE( CONTROL!$C$15, $D$11, 100%, $F$11)</f>
        <v>23.699000000000002</v>
      </c>
      <c r="F720" s="4">
        <f>CHOOSE( CONTROL!$C$32, 24.3718, 24.3686) * CHOOSE(CONTROL!$C$15, $D$11, 100%, $F$11)</f>
        <v>24.3718</v>
      </c>
      <c r="G720" s="8">
        <f>CHOOSE( CONTROL!$C$32, 23.2657, 23.2626) * CHOOSE( CONTROL!$C$15, $D$11, 100%, $F$11)</f>
        <v>23.265699999999999</v>
      </c>
      <c r="H720" s="4">
        <f>CHOOSE( CONTROL!$C$32, 24.1964, 24.1932) * CHOOSE(CONTROL!$C$15, $D$11, 100%, $F$11)</f>
        <v>24.196400000000001</v>
      </c>
      <c r="I720" s="8">
        <f>CHOOSE( CONTROL!$C$32, 22.9755, 22.9724) * CHOOSE(CONTROL!$C$15, $D$11, 100%, $F$11)</f>
        <v>22.9755</v>
      </c>
      <c r="J720" s="4">
        <f>CHOOSE( CONTROL!$C$32, 22.8701, 22.867) * CHOOSE(CONTROL!$C$15, $D$11, 100%, $F$11)</f>
        <v>22.870100000000001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1.2183999999999999</v>
      </c>
      <c r="Q720" s="9">
        <v>19.688099999999999</v>
      </c>
      <c r="R720" s="9"/>
      <c r="S720" s="11"/>
    </row>
    <row r="721" spans="1:19" ht="15.75">
      <c r="A721" s="13">
        <v>63462</v>
      </c>
      <c r="B721" s="8">
        <f>CHOOSE( CONTROL!$C$32, 23.1947, 23.1915) * CHOOSE(CONTROL!$C$15, $D$11, 100%, $F$11)</f>
        <v>23.194700000000001</v>
      </c>
      <c r="C721" s="8">
        <f>CHOOSE( CONTROL!$C$32, 23.2027, 23.1995) * CHOOSE(CONTROL!$C$15, $D$11, 100%, $F$11)</f>
        <v>23.2027</v>
      </c>
      <c r="D721" s="8">
        <f>CHOOSE( CONTROL!$C$32, 23.2058, 23.2026) * CHOOSE( CONTROL!$C$15, $D$11, 100%, $F$11)</f>
        <v>23.2058</v>
      </c>
      <c r="E721" s="12">
        <f>CHOOSE( CONTROL!$C$32, 23.2035, 23.2003) * CHOOSE( CONTROL!$C$15, $D$11, 100%, $F$11)</f>
        <v>23.203499999999998</v>
      </c>
      <c r="F721" s="4">
        <f>CHOOSE( CONTROL!$C$32, 23.8763, 23.8731) * CHOOSE(CONTROL!$C$15, $D$11, 100%, $F$11)</f>
        <v>23.876300000000001</v>
      </c>
      <c r="G721" s="8">
        <f>CHOOSE( CONTROL!$C$32, 22.7785, 22.7754) * CHOOSE( CONTROL!$C$15, $D$11, 100%, $F$11)</f>
        <v>22.778500000000001</v>
      </c>
      <c r="H721" s="4">
        <f>CHOOSE( CONTROL!$C$32, 23.7091, 23.706) * CHOOSE(CONTROL!$C$15, $D$11, 100%, $F$11)</f>
        <v>23.709099999999999</v>
      </c>
      <c r="I721" s="8">
        <f>CHOOSE( CONTROL!$C$32, 22.4964, 22.4933) * CHOOSE(CONTROL!$C$15, $D$11, 100%, $F$11)</f>
        <v>22.496400000000001</v>
      </c>
      <c r="J721" s="4">
        <f>CHOOSE( CONTROL!$C$32, 22.3911, 22.388) * CHOOSE(CONTROL!$C$15, $D$11, 100%, $F$11)</f>
        <v>22.391100000000002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1.1791</v>
      </c>
      <c r="Q721" s="9">
        <v>19.053000000000001</v>
      </c>
      <c r="R721" s="9"/>
      <c r="S721" s="11"/>
    </row>
    <row r="722" spans="1:19" ht="15.75">
      <c r="A722" s="13">
        <v>63493</v>
      </c>
      <c r="B722" s="8">
        <f>24.2186 * CHOOSE(CONTROL!$C$15, $D$11, 100%, $F$11)</f>
        <v>24.218599999999999</v>
      </c>
      <c r="C722" s="8">
        <f>24.224 * CHOOSE(CONTROL!$C$15, $D$11, 100%, $F$11)</f>
        <v>24.224</v>
      </c>
      <c r="D722" s="8">
        <f>24.2319 * CHOOSE( CONTROL!$C$15, $D$11, 100%, $F$11)</f>
        <v>24.2319</v>
      </c>
      <c r="E722" s="12">
        <f>24.2287 * CHOOSE( CONTROL!$C$15, $D$11, 100%, $F$11)</f>
        <v>24.2287</v>
      </c>
      <c r="F722" s="4">
        <f>24.9019 * CHOOSE(CONTROL!$C$15, $D$11, 100%, $F$11)</f>
        <v>24.901900000000001</v>
      </c>
      <c r="G722" s="8">
        <f>23.7866 * CHOOSE( CONTROL!$C$15, $D$11, 100%, $F$11)</f>
        <v>23.7866</v>
      </c>
      <c r="H722" s="4">
        <f>24.7177 * CHOOSE(CONTROL!$C$15, $D$11, 100%, $F$11)</f>
        <v>24.717700000000001</v>
      </c>
      <c r="I722" s="8">
        <f>23.4889 * CHOOSE(CONTROL!$C$15, $D$11, 100%, $F$11)</f>
        <v>23.488900000000001</v>
      </c>
      <c r="J722" s="4">
        <f>23.3826 * CHOOSE(CONTROL!$C$15, $D$11, 100%, $F$11)</f>
        <v>23.3826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1.2183999999999999</v>
      </c>
      <c r="Q722" s="9">
        <v>19.688099999999999</v>
      </c>
      <c r="R722" s="9"/>
      <c r="S722" s="11"/>
    </row>
    <row r="723" spans="1:19" ht="15.75">
      <c r="A723" s="13">
        <v>63523</v>
      </c>
      <c r="B723" s="8">
        <f>26.1172 * CHOOSE(CONTROL!$C$15, $D$11, 100%, $F$11)</f>
        <v>26.1172</v>
      </c>
      <c r="C723" s="8">
        <f>26.1223 * CHOOSE(CONTROL!$C$15, $D$11, 100%, $F$11)</f>
        <v>26.122299999999999</v>
      </c>
      <c r="D723" s="8">
        <f>26.0998 * CHOOSE( CONTROL!$C$15, $D$11, 100%, $F$11)</f>
        <v>26.099799999999998</v>
      </c>
      <c r="E723" s="12">
        <f>26.1075 * CHOOSE( CONTROL!$C$15, $D$11, 100%, $F$11)</f>
        <v>26.107500000000002</v>
      </c>
      <c r="F723" s="4">
        <f>26.7621 * CHOOSE(CONTROL!$C$15, $D$11, 100%, $F$11)</f>
        <v>26.7621</v>
      </c>
      <c r="G723" s="8">
        <f>25.6667 * CHOOSE( CONTROL!$C$15, $D$11, 100%, $F$11)</f>
        <v>25.666699999999999</v>
      </c>
      <c r="H723" s="4">
        <f>26.5471 * CHOOSE(CONTROL!$C$15, $D$11, 100%, $F$11)</f>
        <v>26.5471</v>
      </c>
      <c r="I723" s="8">
        <f>25.3512 * CHOOSE(CONTROL!$C$15, $D$11, 100%, $F$11)</f>
        <v>25.351199999999999</v>
      </c>
      <c r="J723" s="4">
        <f>25.2183 * CHOOSE(CONTROL!$C$15, $D$11, 100%, $F$11)</f>
        <v>25.218299999999999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63554</v>
      </c>
      <c r="B724" s="8">
        <f>26.0697 * CHOOSE(CONTROL!$C$15, $D$11, 100%, $F$11)</f>
        <v>26.069700000000001</v>
      </c>
      <c r="C724" s="8">
        <f>26.0749 * CHOOSE(CONTROL!$C$15, $D$11, 100%, $F$11)</f>
        <v>26.0749</v>
      </c>
      <c r="D724" s="8">
        <f>26.0538 * CHOOSE( CONTROL!$C$15, $D$11, 100%, $F$11)</f>
        <v>26.053799999999999</v>
      </c>
      <c r="E724" s="12">
        <f>26.061 * CHOOSE( CONTROL!$C$15, $D$11, 100%, $F$11)</f>
        <v>26.061</v>
      </c>
      <c r="F724" s="4">
        <f>26.7146 * CHOOSE(CONTROL!$C$15, $D$11, 100%, $F$11)</f>
        <v>26.714600000000001</v>
      </c>
      <c r="G724" s="8">
        <f>25.6211 * CHOOSE( CONTROL!$C$15, $D$11, 100%, $F$11)</f>
        <v>25.621099999999998</v>
      </c>
      <c r="H724" s="4">
        <f>26.5004 * CHOOSE(CONTROL!$C$15, $D$11, 100%, $F$11)</f>
        <v>26.500399999999999</v>
      </c>
      <c r="I724" s="8">
        <f>25.31 * CHOOSE(CONTROL!$C$15, $D$11, 100%, $F$11)</f>
        <v>25.31</v>
      </c>
      <c r="J724" s="4">
        <f>25.1724 * CHOOSE(CONTROL!$C$15, $D$11, 100%, $F$11)</f>
        <v>25.1724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63585</v>
      </c>
      <c r="B725" s="8">
        <f>27.065 * CHOOSE(CONTROL!$C$15, $D$11, 100%, $F$11)</f>
        <v>27.065000000000001</v>
      </c>
      <c r="C725" s="8">
        <f>27.0701 * CHOOSE(CONTROL!$C$15, $D$11, 100%, $F$11)</f>
        <v>27.0701</v>
      </c>
      <c r="D725" s="8">
        <f>27.0481 * CHOOSE( CONTROL!$C$15, $D$11, 100%, $F$11)</f>
        <v>27.048100000000002</v>
      </c>
      <c r="E725" s="12">
        <f>27.0556 * CHOOSE( CONTROL!$C$15, $D$11, 100%, $F$11)</f>
        <v>27.055599999999998</v>
      </c>
      <c r="F725" s="4">
        <f>27.7098 * CHOOSE(CONTROL!$C$15, $D$11, 100%, $F$11)</f>
        <v>27.709800000000001</v>
      </c>
      <c r="G725" s="8">
        <f>26.5973 * CHOOSE( CONTROL!$C$15, $D$11, 100%, $F$11)</f>
        <v>26.597300000000001</v>
      </c>
      <c r="H725" s="4">
        <f>27.4791 * CHOOSE(CONTROL!$C$15, $D$11, 100%, $F$11)</f>
        <v>27.479099999999999</v>
      </c>
      <c r="I725" s="8">
        <f>26.2443 * CHOOSE(CONTROL!$C$15, $D$11, 100%, $F$11)</f>
        <v>26.244299999999999</v>
      </c>
      <c r="J725" s="4">
        <f>26.1345 * CHOOSE(CONTROL!$C$15, $D$11, 100%, $F$11)</f>
        <v>26.134499999999999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63613</v>
      </c>
      <c r="B726" s="8">
        <f>25.3172 * CHOOSE(CONTROL!$C$15, $D$11, 100%, $F$11)</f>
        <v>25.3172</v>
      </c>
      <c r="C726" s="8">
        <f>25.3223 * CHOOSE(CONTROL!$C$15, $D$11, 100%, $F$11)</f>
        <v>25.322299999999998</v>
      </c>
      <c r="D726" s="8">
        <f>25.2959 * CHOOSE( CONTROL!$C$15, $D$11, 100%, $F$11)</f>
        <v>25.2959</v>
      </c>
      <c r="E726" s="12">
        <f>25.305 * CHOOSE( CONTROL!$C$15, $D$11, 100%, $F$11)</f>
        <v>25.305</v>
      </c>
      <c r="F726" s="4">
        <f>25.9621 * CHOOSE(CONTROL!$C$15, $D$11, 100%, $F$11)</f>
        <v>25.9621</v>
      </c>
      <c r="G726" s="8">
        <f>24.87 * CHOOSE( CONTROL!$C$15, $D$11, 100%, $F$11)</f>
        <v>24.87</v>
      </c>
      <c r="H726" s="4">
        <f>25.7603 * CHOOSE(CONTROL!$C$15, $D$11, 100%, $F$11)</f>
        <v>25.760300000000001</v>
      </c>
      <c r="I726" s="8">
        <f>24.5249 * CHOOSE(CONTROL!$C$15, $D$11, 100%, $F$11)</f>
        <v>24.524899999999999</v>
      </c>
      <c r="J726" s="4">
        <f>24.445 * CHOOSE(CONTROL!$C$15, $D$11, 100%, $F$11)</f>
        <v>24.445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63644</v>
      </c>
      <c r="B727" s="8">
        <f>24.7789 * CHOOSE(CONTROL!$C$15, $D$11, 100%, $F$11)</f>
        <v>24.7789</v>
      </c>
      <c r="C727" s="8">
        <f>24.784 * CHOOSE(CONTROL!$C$15, $D$11, 100%, $F$11)</f>
        <v>24.783999999999999</v>
      </c>
      <c r="D727" s="8">
        <f>24.758 * CHOOSE( CONTROL!$C$15, $D$11, 100%, $F$11)</f>
        <v>24.757999999999999</v>
      </c>
      <c r="E727" s="12">
        <f>24.767 * CHOOSE( CONTROL!$C$15, $D$11, 100%, $F$11)</f>
        <v>24.766999999999999</v>
      </c>
      <c r="F727" s="4">
        <f>25.4238 * CHOOSE(CONTROL!$C$15, $D$11, 100%, $F$11)</f>
        <v>25.4238</v>
      </c>
      <c r="G727" s="8">
        <f>24.3409 * CHOOSE( CONTROL!$C$15, $D$11, 100%, $F$11)</f>
        <v>24.340900000000001</v>
      </c>
      <c r="H727" s="4">
        <f>25.231 * CHOOSE(CONTROL!$C$15, $D$11, 100%, $F$11)</f>
        <v>25.231000000000002</v>
      </c>
      <c r="I727" s="8">
        <f>24.0055 * CHOOSE(CONTROL!$C$15, $D$11, 100%, $F$11)</f>
        <v>24.005500000000001</v>
      </c>
      <c r="J727" s="4">
        <f>23.9246 * CHOOSE(CONTROL!$C$15, $D$11, 100%, $F$11)</f>
        <v>23.924600000000002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63674</v>
      </c>
      <c r="B728" s="8">
        <f>25.1558 * CHOOSE(CONTROL!$C$15, $D$11, 100%, $F$11)</f>
        <v>25.155799999999999</v>
      </c>
      <c r="C728" s="8">
        <f>25.1604 * CHOOSE(CONTROL!$C$15, $D$11, 100%, $F$11)</f>
        <v>25.160399999999999</v>
      </c>
      <c r="D728" s="8">
        <f>25.1675 * CHOOSE( CONTROL!$C$15, $D$11, 100%, $F$11)</f>
        <v>25.1675</v>
      </c>
      <c r="E728" s="12">
        <f>25.1646 * CHOOSE( CONTROL!$C$15, $D$11, 100%, $F$11)</f>
        <v>25.1646</v>
      </c>
      <c r="F728" s="4">
        <f>25.8387 * CHOOSE(CONTROL!$C$15, $D$11, 100%, $F$11)</f>
        <v>25.838699999999999</v>
      </c>
      <c r="G728" s="8">
        <f>24.7061 * CHOOSE( CONTROL!$C$15, $D$11, 100%, $F$11)</f>
        <v>24.706099999999999</v>
      </c>
      <c r="H728" s="4">
        <f>25.639 * CHOOSE(CONTROL!$C$15, $D$11, 100%, $F$11)</f>
        <v>25.638999999999999</v>
      </c>
      <c r="I728" s="8">
        <f>24.3891 * CHOOSE(CONTROL!$C$15, $D$11, 100%, $F$11)</f>
        <v>24.389099999999999</v>
      </c>
      <c r="J728" s="4">
        <f>24.2882 * CHOOSE(CONTROL!$C$15, $D$11, 100%, $F$11)</f>
        <v>24.2882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1.1791</v>
      </c>
      <c r="Q728" s="9">
        <v>19.053000000000001</v>
      </c>
      <c r="R728" s="9"/>
      <c r="S728" s="11"/>
    </row>
    <row r="729" spans="1:19" ht="15.75">
      <c r="A729" s="13">
        <v>63705</v>
      </c>
      <c r="B729" s="8">
        <f>CHOOSE( CONTROL!$C$32, 25.8298, 25.8267) * CHOOSE(CONTROL!$C$15, $D$11, 100%, $F$11)</f>
        <v>25.829799999999999</v>
      </c>
      <c r="C729" s="8">
        <f>CHOOSE( CONTROL!$C$32, 25.8379, 25.8347) * CHOOSE(CONTROL!$C$15, $D$11, 100%, $F$11)</f>
        <v>25.837900000000001</v>
      </c>
      <c r="D729" s="8">
        <f>CHOOSE( CONTROL!$C$32, 25.8402, 25.837) * CHOOSE( CONTROL!$C$15, $D$11, 100%, $F$11)</f>
        <v>25.840199999999999</v>
      </c>
      <c r="E729" s="12">
        <f>CHOOSE( CONTROL!$C$32, 25.8381, 25.8349) * CHOOSE( CONTROL!$C$15, $D$11, 100%, $F$11)</f>
        <v>25.838100000000001</v>
      </c>
      <c r="F729" s="4">
        <f>CHOOSE( CONTROL!$C$32, 26.5114, 26.5082) * CHOOSE(CONTROL!$C$15, $D$11, 100%, $F$11)</f>
        <v>26.511399999999998</v>
      </c>
      <c r="G729" s="8">
        <f>CHOOSE( CONTROL!$C$32, 25.3688, 25.3656) * CHOOSE( CONTROL!$C$15, $D$11, 100%, $F$11)</f>
        <v>25.3688</v>
      </c>
      <c r="H729" s="4">
        <f>CHOOSE( CONTROL!$C$32, 26.3006, 26.2974) * CHOOSE(CONTROL!$C$15, $D$11, 100%, $F$11)</f>
        <v>26.300599999999999</v>
      </c>
      <c r="I729" s="8">
        <f>CHOOSE( CONTROL!$C$32, 25.0413, 25.0382) * CHOOSE(CONTROL!$C$15, $D$11, 100%, $F$11)</f>
        <v>25.0413</v>
      </c>
      <c r="J729" s="4">
        <f>CHOOSE( CONTROL!$C$32, 24.9385, 24.9354) * CHOOSE(CONTROL!$C$15, $D$11, 100%, $F$11)</f>
        <v>24.938500000000001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1.2183999999999999</v>
      </c>
      <c r="Q729" s="9">
        <v>19.688099999999999</v>
      </c>
      <c r="R729" s="9"/>
      <c r="S729" s="11"/>
    </row>
    <row r="730" spans="1:19" ht="15.75">
      <c r="A730" s="13">
        <v>63735</v>
      </c>
      <c r="B730" s="8">
        <f>CHOOSE( CONTROL!$C$32, 25.4151, 25.4119) * CHOOSE(CONTROL!$C$15, $D$11, 100%, $F$11)</f>
        <v>25.415099999999999</v>
      </c>
      <c r="C730" s="8">
        <f>CHOOSE( CONTROL!$C$32, 25.4232, 25.42) * CHOOSE(CONTROL!$C$15, $D$11, 100%, $F$11)</f>
        <v>25.423200000000001</v>
      </c>
      <c r="D730" s="8">
        <f>CHOOSE( CONTROL!$C$32, 25.4258, 25.4226) * CHOOSE( CONTROL!$C$15, $D$11, 100%, $F$11)</f>
        <v>25.425799999999999</v>
      </c>
      <c r="E730" s="12">
        <f>CHOOSE( CONTROL!$C$32, 25.4236, 25.4204) * CHOOSE( CONTROL!$C$15, $D$11, 100%, $F$11)</f>
        <v>25.4236</v>
      </c>
      <c r="F730" s="4">
        <f>CHOOSE( CONTROL!$C$32, 26.0967, 26.0935) * CHOOSE(CONTROL!$C$15, $D$11, 100%, $F$11)</f>
        <v>26.096699999999998</v>
      </c>
      <c r="G730" s="8">
        <f>CHOOSE( CONTROL!$C$32, 24.9614, 24.9582) * CHOOSE( CONTROL!$C$15, $D$11, 100%, $F$11)</f>
        <v>24.961400000000001</v>
      </c>
      <c r="H730" s="4">
        <f>CHOOSE( CONTROL!$C$32, 25.8927, 25.8896) * CHOOSE(CONTROL!$C$15, $D$11, 100%, $F$11)</f>
        <v>25.892700000000001</v>
      </c>
      <c r="I730" s="8">
        <f>CHOOSE( CONTROL!$C$32, 24.6416, 24.6385) * CHOOSE(CONTROL!$C$15, $D$11, 100%, $F$11)</f>
        <v>24.6416</v>
      </c>
      <c r="J730" s="4">
        <f>CHOOSE( CONTROL!$C$32, 24.5376, 24.5345) * CHOOSE(CONTROL!$C$15, $D$11, 100%, $F$11)</f>
        <v>24.537600000000001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1.1791</v>
      </c>
      <c r="Q730" s="9">
        <v>19.053000000000001</v>
      </c>
      <c r="R730" s="9"/>
      <c r="S730" s="11"/>
    </row>
    <row r="731" spans="1:19" ht="15.75">
      <c r="A731" s="13">
        <v>63766</v>
      </c>
      <c r="B731" s="8">
        <f>CHOOSE( CONTROL!$C$32, 26.5072, 26.504) * CHOOSE(CONTROL!$C$15, $D$11, 100%, $F$11)</f>
        <v>26.507200000000001</v>
      </c>
      <c r="C731" s="8">
        <f>CHOOSE( CONTROL!$C$32, 26.5152, 26.512) * CHOOSE(CONTROL!$C$15, $D$11, 100%, $F$11)</f>
        <v>26.5152</v>
      </c>
      <c r="D731" s="8">
        <f>CHOOSE( CONTROL!$C$32, 26.5182, 26.515) * CHOOSE( CONTROL!$C$15, $D$11, 100%, $F$11)</f>
        <v>26.5182</v>
      </c>
      <c r="E731" s="12">
        <f>CHOOSE( CONTROL!$C$32, 26.5159, 26.5127) * CHOOSE( CONTROL!$C$15, $D$11, 100%, $F$11)</f>
        <v>26.515899999999998</v>
      </c>
      <c r="F731" s="4">
        <f>CHOOSE( CONTROL!$C$32, 27.1888, 27.1856) * CHOOSE(CONTROL!$C$15, $D$11, 100%, $F$11)</f>
        <v>27.188800000000001</v>
      </c>
      <c r="G731" s="8">
        <f>CHOOSE( CONTROL!$C$32, 26.0358, 26.0327) * CHOOSE( CONTROL!$C$15, $D$11, 100%, $F$11)</f>
        <v>26.035799999999998</v>
      </c>
      <c r="H731" s="4">
        <f>CHOOSE( CONTROL!$C$32, 26.9667, 26.9636) * CHOOSE(CONTROL!$C$15, $D$11, 100%, $F$11)</f>
        <v>26.966699999999999</v>
      </c>
      <c r="I731" s="8">
        <f>CHOOSE( CONTROL!$C$32, 25.6993, 25.6962) * CHOOSE(CONTROL!$C$15, $D$11, 100%, $F$11)</f>
        <v>25.699300000000001</v>
      </c>
      <c r="J731" s="4">
        <f>CHOOSE( CONTROL!$C$32, 25.5933, 25.5902) * CHOOSE(CONTROL!$C$15, $D$11, 100%, $F$11)</f>
        <v>25.593299999999999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63797</v>
      </c>
      <c r="B732" s="8">
        <f>CHOOSE( CONTROL!$C$32, 24.4638, 24.4606) * CHOOSE(CONTROL!$C$15, $D$11, 100%, $F$11)</f>
        <v>24.463799999999999</v>
      </c>
      <c r="C732" s="8">
        <f>CHOOSE( CONTROL!$C$32, 24.4718, 24.4686) * CHOOSE(CONTROL!$C$15, $D$11, 100%, $F$11)</f>
        <v>24.471800000000002</v>
      </c>
      <c r="D732" s="8">
        <f>CHOOSE( CONTROL!$C$32, 24.4749, 24.4717) * CHOOSE( CONTROL!$C$15, $D$11, 100%, $F$11)</f>
        <v>24.474900000000002</v>
      </c>
      <c r="E732" s="12">
        <f>CHOOSE( CONTROL!$C$32, 24.4726, 24.4694) * CHOOSE( CONTROL!$C$15, $D$11, 100%, $F$11)</f>
        <v>24.4726</v>
      </c>
      <c r="F732" s="4">
        <f>CHOOSE( CONTROL!$C$32, 25.1454, 25.1422) * CHOOSE(CONTROL!$C$15, $D$11, 100%, $F$11)</f>
        <v>25.145399999999999</v>
      </c>
      <c r="G732" s="8">
        <f>CHOOSE( CONTROL!$C$32, 24.0265, 24.0234) * CHOOSE( CONTROL!$C$15, $D$11, 100%, $F$11)</f>
        <v>24.026499999999999</v>
      </c>
      <c r="H732" s="4">
        <f>CHOOSE( CONTROL!$C$32, 24.9572, 24.954) * CHOOSE(CONTROL!$C$15, $D$11, 100%, $F$11)</f>
        <v>24.9572</v>
      </c>
      <c r="I732" s="8">
        <f>CHOOSE( CONTROL!$C$32, 23.7237, 23.7206) * CHOOSE(CONTROL!$C$15, $D$11, 100%, $F$11)</f>
        <v>23.723700000000001</v>
      </c>
      <c r="J732" s="4">
        <f>CHOOSE( CONTROL!$C$32, 23.6179, 23.6148) * CHOOSE(CONTROL!$C$15, $D$11, 100%, $F$11)</f>
        <v>23.617899999999999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1.2183999999999999</v>
      </c>
      <c r="Q732" s="9">
        <v>19.688099999999999</v>
      </c>
      <c r="R732" s="9"/>
      <c r="S732" s="11"/>
    </row>
    <row r="733" spans="1:19" ht="15.75">
      <c r="A733" s="13">
        <v>63827</v>
      </c>
      <c r="B733" s="8">
        <f>CHOOSE( CONTROL!$C$32, 23.9521, 23.9489) * CHOOSE(CONTROL!$C$15, $D$11, 100%, $F$11)</f>
        <v>23.952100000000002</v>
      </c>
      <c r="C733" s="8">
        <f>CHOOSE( CONTROL!$C$32, 23.9601, 23.9569) * CHOOSE(CONTROL!$C$15, $D$11, 100%, $F$11)</f>
        <v>23.960100000000001</v>
      </c>
      <c r="D733" s="8">
        <f>CHOOSE( CONTROL!$C$32, 23.9632, 23.96) * CHOOSE( CONTROL!$C$15, $D$11, 100%, $F$11)</f>
        <v>23.963200000000001</v>
      </c>
      <c r="E733" s="12">
        <f>CHOOSE( CONTROL!$C$32, 23.9609, 23.9577) * CHOOSE( CONTROL!$C$15, $D$11, 100%, $F$11)</f>
        <v>23.960899999999999</v>
      </c>
      <c r="F733" s="4">
        <f>CHOOSE( CONTROL!$C$32, 24.6337, 24.6305) * CHOOSE(CONTROL!$C$15, $D$11, 100%, $F$11)</f>
        <v>24.633700000000001</v>
      </c>
      <c r="G733" s="8">
        <f>CHOOSE( CONTROL!$C$32, 23.5233, 23.5202) * CHOOSE( CONTROL!$C$15, $D$11, 100%, $F$11)</f>
        <v>23.523299999999999</v>
      </c>
      <c r="H733" s="4">
        <f>CHOOSE( CONTROL!$C$32, 24.4539, 24.4508) * CHOOSE(CONTROL!$C$15, $D$11, 100%, $F$11)</f>
        <v>24.453900000000001</v>
      </c>
      <c r="I733" s="8">
        <f>CHOOSE( CONTROL!$C$32, 23.2289, 23.2258) * CHOOSE(CONTROL!$C$15, $D$11, 100%, $F$11)</f>
        <v>23.228899999999999</v>
      </c>
      <c r="J733" s="4">
        <f>CHOOSE( CONTROL!$C$32, 23.1233, 23.1202) * CHOOSE(CONTROL!$C$15, $D$11, 100%, $F$11)</f>
        <v>23.1233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1.1791</v>
      </c>
      <c r="Q733" s="9">
        <v>19.053000000000001</v>
      </c>
      <c r="R733" s="9"/>
      <c r="S733" s="11"/>
    </row>
    <row r="734" spans="1:19" ht="15.75">
      <c r="A734" s="13">
        <v>63858</v>
      </c>
      <c r="B734" s="8">
        <f>25.0096 * CHOOSE(CONTROL!$C$15, $D$11, 100%, $F$11)</f>
        <v>25.009599999999999</v>
      </c>
      <c r="C734" s="8">
        <f>25.015 * CHOOSE(CONTROL!$C$15, $D$11, 100%, $F$11)</f>
        <v>25.015000000000001</v>
      </c>
      <c r="D734" s="8">
        <f>25.0229 * CHOOSE( CONTROL!$C$15, $D$11, 100%, $F$11)</f>
        <v>25.0229</v>
      </c>
      <c r="E734" s="12">
        <f>25.0197 * CHOOSE( CONTROL!$C$15, $D$11, 100%, $F$11)</f>
        <v>25.0197</v>
      </c>
      <c r="F734" s="4">
        <f>25.6929 * CHOOSE(CONTROL!$C$15, $D$11, 100%, $F$11)</f>
        <v>25.692900000000002</v>
      </c>
      <c r="G734" s="8">
        <f>24.5646 * CHOOSE( CONTROL!$C$15, $D$11, 100%, $F$11)</f>
        <v>24.564599999999999</v>
      </c>
      <c r="H734" s="4">
        <f>25.4956 * CHOOSE(CONTROL!$C$15, $D$11, 100%, $F$11)</f>
        <v>25.4956</v>
      </c>
      <c r="I734" s="8">
        <f>24.254 * CHOOSE(CONTROL!$C$15, $D$11, 100%, $F$11)</f>
        <v>24.254000000000001</v>
      </c>
      <c r="J734" s="4">
        <f>24.1473 * CHOOSE(CONTROL!$C$15, $D$11, 100%, $F$11)</f>
        <v>24.147300000000001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1.2183999999999999</v>
      </c>
      <c r="Q734" s="9">
        <v>19.688099999999999</v>
      </c>
      <c r="R734" s="9"/>
      <c r="S734" s="11"/>
    </row>
    <row r="735" spans="1:19" ht="15.75">
      <c r="A735" s="13">
        <v>63888</v>
      </c>
      <c r="B735" s="8">
        <f>26.9703 * CHOOSE(CONTROL!$C$15, $D$11, 100%, $F$11)</f>
        <v>26.970300000000002</v>
      </c>
      <c r="C735" s="8">
        <f>26.9754 * CHOOSE(CONTROL!$C$15, $D$11, 100%, $F$11)</f>
        <v>26.9754</v>
      </c>
      <c r="D735" s="8">
        <f>26.953 * CHOOSE( CONTROL!$C$15, $D$11, 100%, $F$11)</f>
        <v>26.952999999999999</v>
      </c>
      <c r="E735" s="12">
        <f>26.9606 * CHOOSE( CONTROL!$C$15, $D$11, 100%, $F$11)</f>
        <v>26.960599999999999</v>
      </c>
      <c r="F735" s="4">
        <f>27.6152 * CHOOSE(CONTROL!$C$15, $D$11, 100%, $F$11)</f>
        <v>27.615200000000002</v>
      </c>
      <c r="G735" s="8">
        <f>26.5057 * CHOOSE( CONTROL!$C$15, $D$11, 100%, $F$11)</f>
        <v>26.505700000000001</v>
      </c>
      <c r="H735" s="4">
        <f>27.3861 * CHOOSE(CONTROL!$C$15, $D$11, 100%, $F$11)</f>
        <v>27.386099999999999</v>
      </c>
      <c r="I735" s="8">
        <f>26.1764 * CHOOSE(CONTROL!$C$15, $D$11, 100%, $F$11)</f>
        <v>26.176400000000001</v>
      </c>
      <c r="J735" s="4">
        <f>26.043 * CHOOSE(CONTROL!$C$15, $D$11, 100%, $F$11)</f>
        <v>26.042999999999999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63919</v>
      </c>
      <c r="B736" s="8">
        <f>26.9213 * CHOOSE(CONTROL!$C$15, $D$11, 100%, $F$11)</f>
        <v>26.921299999999999</v>
      </c>
      <c r="C736" s="8">
        <f>26.9264 * CHOOSE(CONTROL!$C$15, $D$11, 100%, $F$11)</f>
        <v>26.926400000000001</v>
      </c>
      <c r="D736" s="8">
        <f>26.9054 * CHOOSE( CONTROL!$C$15, $D$11, 100%, $F$11)</f>
        <v>26.9054</v>
      </c>
      <c r="E736" s="12">
        <f>26.9125 * CHOOSE( CONTROL!$C$15, $D$11, 100%, $F$11)</f>
        <v>26.912500000000001</v>
      </c>
      <c r="F736" s="4">
        <f>27.5662 * CHOOSE(CONTROL!$C$15, $D$11, 100%, $F$11)</f>
        <v>27.566199999999998</v>
      </c>
      <c r="G736" s="8">
        <f>26.4586 * CHOOSE( CONTROL!$C$15, $D$11, 100%, $F$11)</f>
        <v>26.458600000000001</v>
      </c>
      <c r="H736" s="4">
        <f>27.3379 * CHOOSE(CONTROL!$C$15, $D$11, 100%, $F$11)</f>
        <v>27.337900000000001</v>
      </c>
      <c r="I736" s="8">
        <f>26.1336 * CHOOSE(CONTROL!$C$15, $D$11, 100%, $F$11)</f>
        <v>26.133600000000001</v>
      </c>
      <c r="J736" s="4">
        <f>25.9957 * CHOOSE(CONTROL!$C$15, $D$11, 100%, $F$11)</f>
        <v>25.995699999999999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63950</v>
      </c>
      <c r="B737" s="8">
        <f>27.9491 * CHOOSE(CONTROL!$C$15, $D$11, 100%, $F$11)</f>
        <v>27.949100000000001</v>
      </c>
      <c r="C737" s="8">
        <f>27.9542 * CHOOSE(CONTROL!$C$15, $D$11, 100%, $F$11)</f>
        <v>27.9542</v>
      </c>
      <c r="D737" s="8">
        <f>27.9322 * CHOOSE( CONTROL!$C$15, $D$11, 100%, $F$11)</f>
        <v>27.932200000000002</v>
      </c>
      <c r="E737" s="12">
        <f>27.9397 * CHOOSE( CONTROL!$C$15, $D$11, 100%, $F$11)</f>
        <v>27.939699999999998</v>
      </c>
      <c r="F737" s="4">
        <f>28.594 * CHOOSE(CONTROL!$C$15, $D$11, 100%, $F$11)</f>
        <v>28.594000000000001</v>
      </c>
      <c r="G737" s="8">
        <f>27.4667 * CHOOSE( CONTROL!$C$15, $D$11, 100%, $F$11)</f>
        <v>27.466699999999999</v>
      </c>
      <c r="H737" s="4">
        <f>28.3486 * CHOOSE(CONTROL!$C$15, $D$11, 100%, $F$11)</f>
        <v>28.348600000000001</v>
      </c>
      <c r="I737" s="8">
        <f>27.0994 * CHOOSE(CONTROL!$C$15, $D$11, 100%, $F$11)</f>
        <v>27.099399999999999</v>
      </c>
      <c r="J737" s="4">
        <f>26.9892 * CHOOSE(CONTROL!$C$15, $D$11, 100%, $F$11)</f>
        <v>26.9892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63978</v>
      </c>
      <c r="B738" s="8">
        <f>26.1442 * CHOOSE(CONTROL!$C$15, $D$11, 100%, $F$11)</f>
        <v>26.144200000000001</v>
      </c>
      <c r="C738" s="8">
        <f>26.1493 * CHOOSE(CONTROL!$C$15, $D$11, 100%, $F$11)</f>
        <v>26.1493</v>
      </c>
      <c r="D738" s="8">
        <f>26.1229 * CHOOSE( CONTROL!$C$15, $D$11, 100%, $F$11)</f>
        <v>26.122900000000001</v>
      </c>
      <c r="E738" s="12">
        <f>26.132 * CHOOSE( CONTROL!$C$15, $D$11, 100%, $F$11)</f>
        <v>26.132000000000001</v>
      </c>
      <c r="F738" s="4">
        <f>26.7891 * CHOOSE(CONTROL!$C$15, $D$11, 100%, $F$11)</f>
        <v>26.789100000000001</v>
      </c>
      <c r="G738" s="8">
        <f>25.6833 * CHOOSE( CONTROL!$C$15, $D$11, 100%, $F$11)</f>
        <v>25.683299999999999</v>
      </c>
      <c r="H738" s="4">
        <f>26.5736 * CHOOSE(CONTROL!$C$15, $D$11, 100%, $F$11)</f>
        <v>26.573599999999999</v>
      </c>
      <c r="I738" s="8">
        <f>25.3247 * CHOOSE(CONTROL!$C$15, $D$11, 100%, $F$11)</f>
        <v>25.3247</v>
      </c>
      <c r="J738" s="4">
        <f>25.2444 * CHOOSE(CONTROL!$C$15, $D$11, 100%, $F$11)</f>
        <v>25.244399999999999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64009</v>
      </c>
      <c r="B739" s="8">
        <f>25.5883 * CHOOSE(CONTROL!$C$15, $D$11, 100%, $F$11)</f>
        <v>25.5883</v>
      </c>
      <c r="C739" s="8">
        <f>25.5934 * CHOOSE(CONTROL!$C$15, $D$11, 100%, $F$11)</f>
        <v>25.593399999999999</v>
      </c>
      <c r="D739" s="8">
        <f>25.5674 * CHOOSE( CONTROL!$C$15, $D$11, 100%, $F$11)</f>
        <v>25.567399999999999</v>
      </c>
      <c r="E739" s="12">
        <f>25.5764 * CHOOSE( CONTROL!$C$15, $D$11, 100%, $F$11)</f>
        <v>25.5764</v>
      </c>
      <c r="F739" s="4">
        <f>26.2332 * CHOOSE(CONTROL!$C$15, $D$11, 100%, $F$11)</f>
        <v>26.2332</v>
      </c>
      <c r="G739" s="8">
        <f>25.1369 * CHOOSE( CONTROL!$C$15, $D$11, 100%, $F$11)</f>
        <v>25.136900000000001</v>
      </c>
      <c r="H739" s="4">
        <f>26.0269 * CHOOSE(CONTROL!$C$15, $D$11, 100%, $F$11)</f>
        <v>26.026900000000001</v>
      </c>
      <c r="I739" s="8">
        <f>24.7883 * CHOOSE(CONTROL!$C$15, $D$11, 100%, $F$11)</f>
        <v>24.7883</v>
      </c>
      <c r="J739" s="4">
        <f>24.707 * CHOOSE(CONTROL!$C$15, $D$11, 100%, $F$11)</f>
        <v>24.707000000000001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64039</v>
      </c>
      <c r="B740" s="8">
        <f>25.9775 * CHOOSE(CONTROL!$C$15, $D$11, 100%, $F$11)</f>
        <v>25.977499999999999</v>
      </c>
      <c r="C740" s="8">
        <f>25.982 * CHOOSE(CONTROL!$C$15, $D$11, 100%, $F$11)</f>
        <v>25.981999999999999</v>
      </c>
      <c r="D740" s="8">
        <f>25.9892 * CHOOSE( CONTROL!$C$15, $D$11, 100%, $F$11)</f>
        <v>25.9892</v>
      </c>
      <c r="E740" s="12">
        <f>25.9863 * CHOOSE( CONTROL!$C$15, $D$11, 100%, $F$11)</f>
        <v>25.9863</v>
      </c>
      <c r="F740" s="4">
        <f>26.6604 * CHOOSE(CONTROL!$C$15, $D$11, 100%, $F$11)</f>
        <v>26.660399999999999</v>
      </c>
      <c r="G740" s="8">
        <f>25.5142 * CHOOSE( CONTROL!$C$15, $D$11, 100%, $F$11)</f>
        <v>25.514199999999999</v>
      </c>
      <c r="H740" s="4">
        <f>26.4471 * CHOOSE(CONTROL!$C$15, $D$11, 100%, $F$11)</f>
        <v>26.447099999999999</v>
      </c>
      <c r="I740" s="8">
        <f>25.1838 * CHOOSE(CONTROL!$C$15, $D$11, 100%, $F$11)</f>
        <v>25.183800000000002</v>
      </c>
      <c r="J740" s="4">
        <f>25.0825 * CHOOSE(CONTROL!$C$15, $D$11, 100%, $F$11)</f>
        <v>25.0825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1.1791</v>
      </c>
      <c r="Q740" s="9">
        <v>19.053000000000001</v>
      </c>
      <c r="R740" s="9"/>
      <c r="S740" s="11"/>
    </row>
    <row r="741" spans="1:19" ht="15.75">
      <c r="A741" s="13">
        <v>64070</v>
      </c>
      <c r="B741" s="8">
        <f>CHOOSE( CONTROL!$C$32, 26.6734, 26.6702) * CHOOSE(CONTROL!$C$15, $D$11, 100%, $F$11)</f>
        <v>26.673400000000001</v>
      </c>
      <c r="C741" s="8">
        <f>CHOOSE( CONTROL!$C$32, 26.6814, 26.6782) * CHOOSE(CONTROL!$C$15, $D$11, 100%, $F$11)</f>
        <v>26.6814</v>
      </c>
      <c r="D741" s="8">
        <f>CHOOSE( CONTROL!$C$32, 26.6838, 26.6806) * CHOOSE( CONTROL!$C$15, $D$11, 100%, $F$11)</f>
        <v>26.683800000000002</v>
      </c>
      <c r="E741" s="12">
        <f>CHOOSE( CONTROL!$C$32, 26.6817, 26.6785) * CHOOSE( CONTROL!$C$15, $D$11, 100%, $F$11)</f>
        <v>26.681699999999999</v>
      </c>
      <c r="F741" s="4">
        <f>CHOOSE( CONTROL!$C$32, 27.355, 27.3518) * CHOOSE(CONTROL!$C$15, $D$11, 100%, $F$11)</f>
        <v>27.355</v>
      </c>
      <c r="G741" s="8">
        <f>CHOOSE( CONTROL!$C$32, 26.1983, 26.1952) * CHOOSE( CONTROL!$C$15, $D$11, 100%, $F$11)</f>
        <v>26.1983</v>
      </c>
      <c r="H741" s="4">
        <f>CHOOSE( CONTROL!$C$32, 27.1301, 27.127) * CHOOSE(CONTROL!$C$15, $D$11, 100%, $F$11)</f>
        <v>27.130099999999999</v>
      </c>
      <c r="I741" s="8">
        <f>CHOOSE( CONTROL!$C$32, 25.8571, 25.854) * CHOOSE(CONTROL!$C$15, $D$11, 100%, $F$11)</f>
        <v>25.857099999999999</v>
      </c>
      <c r="J741" s="4">
        <f>CHOOSE( CONTROL!$C$32, 25.754, 25.7509) * CHOOSE(CONTROL!$C$15, $D$11, 100%, $F$11)</f>
        <v>25.754000000000001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1.2183999999999999</v>
      </c>
      <c r="Q741" s="9">
        <v>19.688099999999999</v>
      </c>
      <c r="R741" s="9"/>
      <c r="S741" s="11"/>
    </row>
    <row r="742" spans="1:19" ht="15.75">
      <c r="A742" s="13">
        <v>64100</v>
      </c>
      <c r="B742" s="8">
        <f>CHOOSE( CONTROL!$C$32, 26.2451, 26.2419) * CHOOSE(CONTROL!$C$15, $D$11, 100%, $F$11)</f>
        <v>26.245100000000001</v>
      </c>
      <c r="C742" s="8">
        <f>CHOOSE( CONTROL!$C$32, 26.2532, 26.25) * CHOOSE(CONTROL!$C$15, $D$11, 100%, $F$11)</f>
        <v>26.2532</v>
      </c>
      <c r="D742" s="8">
        <f>CHOOSE( CONTROL!$C$32, 26.2558, 26.2526) * CHOOSE( CONTROL!$C$15, $D$11, 100%, $F$11)</f>
        <v>26.255800000000001</v>
      </c>
      <c r="E742" s="12">
        <f>CHOOSE( CONTROL!$C$32, 26.2536, 26.2504) * CHOOSE( CONTROL!$C$15, $D$11, 100%, $F$11)</f>
        <v>26.253599999999999</v>
      </c>
      <c r="F742" s="4">
        <f>CHOOSE( CONTROL!$C$32, 26.9267, 26.9235) * CHOOSE(CONTROL!$C$15, $D$11, 100%, $F$11)</f>
        <v>26.9267</v>
      </c>
      <c r="G742" s="8">
        <f>CHOOSE( CONTROL!$C$32, 25.7776, 25.7745) * CHOOSE( CONTROL!$C$15, $D$11, 100%, $F$11)</f>
        <v>25.7776</v>
      </c>
      <c r="H742" s="4">
        <f>CHOOSE( CONTROL!$C$32, 26.709, 26.7058) * CHOOSE(CONTROL!$C$15, $D$11, 100%, $F$11)</f>
        <v>26.709</v>
      </c>
      <c r="I742" s="8">
        <f>CHOOSE( CONTROL!$C$32, 25.4443, 25.4412) * CHOOSE(CONTROL!$C$15, $D$11, 100%, $F$11)</f>
        <v>25.444299999999998</v>
      </c>
      <c r="J742" s="4">
        <f>CHOOSE( CONTROL!$C$32, 25.3399, 25.3369) * CHOOSE(CONTROL!$C$15, $D$11, 100%, $F$11)</f>
        <v>25.3399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1.1791</v>
      </c>
      <c r="Q742" s="9">
        <v>19.053000000000001</v>
      </c>
      <c r="R742" s="9"/>
      <c r="S742" s="11"/>
    </row>
    <row r="743" spans="1:19" ht="15.75">
      <c r="A743" s="13">
        <v>64131</v>
      </c>
      <c r="B743" s="8">
        <f>CHOOSE( CONTROL!$C$32, 27.373, 27.3698) * CHOOSE(CONTROL!$C$15, $D$11, 100%, $F$11)</f>
        <v>27.373000000000001</v>
      </c>
      <c r="C743" s="8">
        <f>CHOOSE( CONTROL!$C$32, 27.381, 27.3778) * CHOOSE(CONTROL!$C$15, $D$11, 100%, $F$11)</f>
        <v>27.381</v>
      </c>
      <c r="D743" s="8">
        <f>CHOOSE( CONTROL!$C$32, 27.3839, 27.3807) * CHOOSE( CONTROL!$C$15, $D$11, 100%, $F$11)</f>
        <v>27.383900000000001</v>
      </c>
      <c r="E743" s="12">
        <f>CHOOSE( CONTROL!$C$32, 27.3816, 27.3784) * CHOOSE( CONTROL!$C$15, $D$11, 100%, $F$11)</f>
        <v>27.381599999999999</v>
      </c>
      <c r="F743" s="4">
        <f>CHOOSE( CONTROL!$C$32, 28.0545, 28.0513) * CHOOSE(CONTROL!$C$15, $D$11, 100%, $F$11)</f>
        <v>28.054500000000001</v>
      </c>
      <c r="G743" s="8">
        <f>CHOOSE( CONTROL!$C$32, 26.8872, 26.884) * CHOOSE( CONTROL!$C$15, $D$11, 100%, $F$11)</f>
        <v>26.8872</v>
      </c>
      <c r="H743" s="4">
        <f>CHOOSE( CONTROL!$C$32, 27.8181, 27.8149) * CHOOSE(CONTROL!$C$15, $D$11, 100%, $F$11)</f>
        <v>27.818100000000001</v>
      </c>
      <c r="I743" s="8">
        <f>CHOOSE( CONTROL!$C$32, 26.5366, 26.5335) * CHOOSE(CONTROL!$C$15, $D$11, 100%, $F$11)</f>
        <v>26.5366</v>
      </c>
      <c r="J743" s="4">
        <f>CHOOSE( CONTROL!$C$32, 26.4302, 26.4271) * CHOOSE(CONTROL!$C$15, $D$11, 100%, $F$11)</f>
        <v>26.430199999999999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64162</v>
      </c>
      <c r="B744" s="8">
        <f>CHOOSE( CONTROL!$C$32, 25.2627, 25.2595) * CHOOSE(CONTROL!$C$15, $D$11, 100%, $F$11)</f>
        <v>25.262699999999999</v>
      </c>
      <c r="C744" s="8">
        <f>CHOOSE( CONTROL!$C$32, 25.2707, 25.2675) * CHOOSE(CONTROL!$C$15, $D$11, 100%, $F$11)</f>
        <v>25.270700000000001</v>
      </c>
      <c r="D744" s="8">
        <f>CHOOSE( CONTROL!$C$32, 25.2738, 25.2706) * CHOOSE( CONTROL!$C$15, $D$11, 100%, $F$11)</f>
        <v>25.273800000000001</v>
      </c>
      <c r="E744" s="12">
        <f>CHOOSE( CONTROL!$C$32, 25.2715, 25.2683) * CHOOSE( CONTROL!$C$15, $D$11, 100%, $F$11)</f>
        <v>25.2715</v>
      </c>
      <c r="F744" s="4">
        <f>CHOOSE( CONTROL!$C$32, 25.9443, 25.9411) * CHOOSE(CONTROL!$C$15, $D$11, 100%, $F$11)</f>
        <v>25.944299999999998</v>
      </c>
      <c r="G744" s="8">
        <f>CHOOSE( CONTROL!$C$32, 24.8121, 24.809) * CHOOSE( CONTROL!$C$15, $D$11, 100%, $F$11)</f>
        <v>24.812100000000001</v>
      </c>
      <c r="H744" s="4">
        <f>CHOOSE( CONTROL!$C$32, 25.7428, 25.7397) * CHOOSE(CONTROL!$C$15, $D$11, 100%, $F$11)</f>
        <v>25.742799999999999</v>
      </c>
      <c r="I744" s="8">
        <f>CHOOSE( CONTROL!$C$32, 24.4964, 24.4933) * CHOOSE(CONTROL!$C$15, $D$11, 100%, $F$11)</f>
        <v>24.496400000000001</v>
      </c>
      <c r="J744" s="4">
        <f>CHOOSE( CONTROL!$C$32, 24.3902, 24.3871) * CHOOSE(CONTROL!$C$15, $D$11, 100%, $F$11)</f>
        <v>24.3902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1.2183999999999999</v>
      </c>
      <c r="Q744" s="9">
        <v>19.688099999999999</v>
      </c>
      <c r="R744" s="9"/>
      <c r="S744" s="11"/>
    </row>
    <row r="745" spans="1:19" ht="15.75">
      <c r="A745" s="13">
        <v>64192</v>
      </c>
      <c r="B745" s="8">
        <f>CHOOSE( CONTROL!$C$32, 24.7343, 24.7311) * CHOOSE(CONTROL!$C$15, $D$11, 100%, $F$11)</f>
        <v>24.734300000000001</v>
      </c>
      <c r="C745" s="8">
        <f>CHOOSE( CONTROL!$C$32, 24.7423, 24.7391) * CHOOSE(CONTROL!$C$15, $D$11, 100%, $F$11)</f>
        <v>24.7423</v>
      </c>
      <c r="D745" s="8">
        <f>CHOOSE( CONTROL!$C$32, 24.7454, 24.7422) * CHOOSE( CONTROL!$C$15, $D$11, 100%, $F$11)</f>
        <v>24.7454</v>
      </c>
      <c r="E745" s="12">
        <f>CHOOSE( CONTROL!$C$32, 24.7431, 24.7399) * CHOOSE( CONTROL!$C$15, $D$11, 100%, $F$11)</f>
        <v>24.743099999999998</v>
      </c>
      <c r="F745" s="4">
        <f>CHOOSE( CONTROL!$C$32, 25.4158, 25.4126) * CHOOSE(CONTROL!$C$15, $D$11, 100%, $F$11)</f>
        <v>25.415800000000001</v>
      </c>
      <c r="G745" s="8">
        <f>CHOOSE( CONTROL!$C$32, 24.2925, 24.2894) * CHOOSE( CONTROL!$C$15, $D$11, 100%, $F$11)</f>
        <v>24.2925</v>
      </c>
      <c r="H745" s="4">
        <f>CHOOSE( CONTROL!$C$32, 25.2231, 25.22) * CHOOSE(CONTROL!$C$15, $D$11, 100%, $F$11)</f>
        <v>25.223099999999999</v>
      </c>
      <c r="I745" s="8">
        <f>CHOOSE( CONTROL!$C$32, 23.9854, 23.9823) * CHOOSE(CONTROL!$C$15, $D$11, 100%, $F$11)</f>
        <v>23.985399999999998</v>
      </c>
      <c r="J745" s="4">
        <f>CHOOSE( CONTROL!$C$32, 23.8794, 23.8763) * CHOOSE(CONTROL!$C$15, $D$11, 100%, $F$11)</f>
        <v>23.8794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1.1791</v>
      </c>
      <c r="Q745" s="9">
        <v>19.053000000000001</v>
      </c>
      <c r="R745" s="9"/>
      <c r="S745" s="11"/>
    </row>
    <row r="746" spans="1:19" ht="15.75">
      <c r="A746" s="13">
        <v>64223</v>
      </c>
      <c r="B746" s="8">
        <f>25.8266 * CHOOSE(CONTROL!$C$15, $D$11, 100%, $F$11)</f>
        <v>25.826599999999999</v>
      </c>
      <c r="C746" s="8">
        <f>25.8319 * CHOOSE(CONTROL!$C$15, $D$11, 100%, $F$11)</f>
        <v>25.831900000000001</v>
      </c>
      <c r="D746" s="8">
        <f>25.8398 * CHOOSE( CONTROL!$C$15, $D$11, 100%, $F$11)</f>
        <v>25.8398</v>
      </c>
      <c r="E746" s="12">
        <f>25.8366 * CHOOSE( CONTROL!$C$15, $D$11, 100%, $F$11)</f>
        <v>25.836600000000001</v>
      </c>
      <c r="F746" s="4">
        <f>26.5098 * CHOOSE(CONTROL!$C$15, $D$11, 100%, $F$11)</f>
        <v>26.509799999999998</v>
      </c>
      <c r="G746" s="8">
        <f>25.3679 * CHOOSE( CONTROL!$C$15, $D$11, 100%, $F$11)</f>
        <v>25.367899999999999</v>
      </c>
      <c r="H746" s="4">
        <f>26.299 * CHOOSE(CONTROL!$C$15, $D$11, 100%, $F$11)</f>
        <v>26.298999999999999</v>
      </c>
      <c r="I746" s="8">
        <f>25.0441 * CHOOSE(CONTROL!$C$15, $D$11, 100%, $F$11)</f>
        <v>25.0441</v>
      </c>
      <c r="J746" s="4">
        <f>24.937 * CHOOSE(CONTROL!$C$15, $D$11, 100%, $F$11)</f>
        <v>24.937000000000001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1.2183999999999999</v>
      </c>
      <c r="Q746" s="9">
        <v>19.688099999999999</v>
      </c>
      <c r="R746" s="9"/>
      <c r="S746" s="11"/>
    </row>
    <row r="747" spans="1:19" ht="15.75">
      <c r="A747" s="13">
        <v>64253</v>
      </c>
      <c r="B747" s="8">
        <f>27.8514 * CHOOSE(CONTROL!$C$15, $D$11, 100%, $F$11)</f>
        <v>27.851400000000002</v>
      </c>
      <c r="C747" s="8">
        <f>27.8565 * CHOOSE(CONTROL!$C$15, $D$11, 100%, $F$11)</f>
        <v>27.8565</v>
      </c>
      <c r="D747" s="8">
        <f>27.834 * CHOOSE( CONTROL!$C$15, $D$11, 100%, $F$11)</f>
        <v>27.834</v>
      </c>
      <c r="E747" s="12">
        <f>27.8417 * CHOOSE( CONTROL!$C$15, $D$11, 100%, $F$11)</f>
        <v>27.841699999999999</v>
      </c>
      <c r="F747" s="4">
        <f>28.4963 * CHOOSE(CONTROL!$C$15, $D$11, 100%, $F$11)</f>
        <v>28.496300000000002</v>
      </c>
      <c r="G747" s="8">
        <f>27.3721 * CHOOSE( CONTROL!$C$15, $D$11, 100%, $F$11)</f>
        <v>27.3721</v>
      </c>
      <c r="H747" s="4">
        <f>28.2525 * CHOOSE(CONTROL!$C$15, $D$11, 100%, $F$11)</f>
        <v>28.252500000000001</v>
      </c>
      <c r="I747" s="8">
        <f>27.0285 * CHOOSE(CONTROL!$C$15, $D$11, 100%, $F$11)</f>
        <v>27.028500000000001</v>
      </c>
      <c r="J747" s="4">
        <f>26.8947 * CHOOSE(CONTROL!$C$15, $D$11, 100%, $F$11)</f>
        <v>26.8947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64284</v>
      </c>
      <c r="B748" s="8">
        <f>27.8008 * CHOOSE(CONTROL!$C$15, $D$11, 100%, $F$11)</f>
        <v>27.800799999999999</v>
      </c>
      <c r="C748" s="8">
        <f>27.8059 * CHOOSE(CONTROL!$C$15, $D$11, 100%, $F$11)</f>
        <v>27.805900000000001</v>
      </c>
      <c r="D748" s="8">
        <f>27.7848 * CHOOSE( CONTROL!$C$15, $D$11, 100%, $F$11)</f>
        <v>27.784800000000001</v>
      </c>
      <c r="E748" s="12">
        <f>27.792 * CHOOSE( CONTROL!$C$15, $D$11, 100%, $F$11)</f>
        <v>27.792000000000002</v>
      </c>
      <c r="F748" s="4">
        <f>28.4457 * CHOOSE(CONTROL!$C$15, $D$11, 100%, $F$11)</f>
        <v>28.445699999999999</v>
      </c>
      <c r="G748" s="8">
        <f>27.3234 * CHOOSE( CONTROL!$C$15, $D$11, 100%, $F$11)</f>
        <v>27.323399999999999</v>
      </c>
      <c r="H748" s="4">
        <f>28.2027 * CHOOSE(CONTROL!$C$15, $D$11, 100%, $F$11)</f>
        <v>28.2027</v>
      </c>
      <c r="I748" s="8">
        <f>26.9842 * CHOOSE(CONTROL!$C$15, $D$11, 100%, $F$11)</f>
        <v>26.984200000000001</v>
      </c>
      <c r="J748" s="4">
        <f>26.8458 * CHOOSE(CONTROL!$C$15, $D$11, 100%, $F$11)</f>
        <v>26.845800000000001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64315</v>
      </c>
      <c r="B749" s="8">
        <f>28.8621 * CHOOSE(CONTROL!$C$15, $D$11, 100%, $F$11)</f>
        <v>28.862100000000002</v>
      </c>
      <c r="C749" s="8">
        <f>28.8673 * CHOOSE(CONTROL!$C$15, $D$11, 100%, $F$11)</f>
        <v>28.8673</v>
      </c>
      <c r="D749" s="8">
        <f>28.8453 * CHOOSE( CONTROL!$C$15, $D$11, 100%, $F$11)</f>
        <v>28.845300000000002</v>
      </c>
      <c r="E749" s="12">
        <f>28.8528 * CHOOSE( CONTROL!$C$15, $D$11, 100%, $F$11)</f>
        <v>28.852799999999998</v>
      </c>
      <c r="F749" s="4">
        <f>29.507 * CHOOSE(CONTROL!$C$15, $D$11, 100%, $F$11)</f>
        <v>29.507000000000001</v>
      </c>
      <c r="G749" s="8">
        <f>28.3646 * CHOOSE( CONTROL!$C$15, $D$11, 100%, $F$11)</f>
        <v>28.364599999999999</v>
      </c>
      <c r="H749" s="4">
        <f>29.2465 * CHOOSE(CONTROL!$C$15, $D$11, 100%, $F$11)</f>
        <v>29.246500000000001</v>
      </c>
      <c r="I749" s="8">
        <f>27.9825 * CHOOSE(CONTROL!$C$15, $D$11, 100%, $F$11)</f>
        <v>27.982500000000002</v>
      </c>
      <c r="J749" s="4">
        <f>27.8719 * CHOOSE(CONTROL!$C$15, $D$11, 100%, $F$11)</f>
        <v>27.8719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64344</v>
      </c>
      <c r="B750" s="8">
        <f>26.9982 * CHOOSE(CONTROL!$C$15, $D$11, 100%, $F$11)</f>
        <v>26.998200000000001</v>
      </c>
      <c r="C750" s="8">
        <f>27.0033 * CHOOSE(CONTROL!$C$15, $D$11, 100%, $F$11)</f>
        <v>27.003299999999999</v>
      </c>
      <c r="D750" s="8">
        <f>26.9769 * CHOOSE( CONTROL!$C$15, $D$11, 100%, $F$11)</f>
        <v>26.976900000000001</v>
      </c>
      <c r="E750" s="12">
        <f>26.986 * CHOOSE( CONTROL!$C$15, $D$11, 100%, $F$11)</f>
        <v>26.986000000000001</v>
      </c>
      <c r="F750" s="4">
        <f>27.6431 * CHOOSE(CONTROL!$C$15, $D$11, 100%, $F$11)</f>
        <v>27.6431</v>
      </c>
      <c r="G750" s="8">
        <f>26.5231 * CHOOSE( CONTROL!$C$15, $D$11, 100%, $F$11)</f>
        <v>26.523099999999999</v>
      </c>
      <c r="H750" s="4">
        <f>27.4135 * CHOOSE(CONTROL!$C$15, $D$11, 100%, $F$11)</f>
        <v>27.413499999999999</v>
      </c>
      <c r="I750" s="8">
        <f>26.1507 * CHOOSE(CONTROL!$C$15, $D$11, 100%, $F$11)</f>
        <v>26.150700000000001</v>
      </c>
      <c r="J750" s="4">
        <f>26.07 * CHOOSE(CONTROL!$C$15, $D$11, 100%, $F$11)</f>
        <v>26.07</v>
      </c>
      <c r="K750" s="4"/>
      <c r="L750" s="9">
        <v>27.415299999999998</v>
      </c>
      <c r="M750" s="9">
        <v>11.285299999999999</v>
      </c>
      <c r="N750" s="9">
        <v>4.6254999999999997</v>
      </c>
      <c r="O750" s="9">
        <v>0.34989999999999999</v>
      </c>
      <c r="P750" s="9">
        <v>1.2093</v>
      </c>
      <c r="Q750" s="9">
        <v>18.417899999999999</v>
      </c>
      <c r="R750" s="9"/>
      <c r="S750" s="11"/>
    </row>
    <row r="751" spans="1:19" ht="15.75">
      <c r="A751" s="13">
        <v>64375</v>
      </c>
      <c r="B751" s="8">
        <f>26.4241 * CHOOSE(CONTROL!$C$15, $D$11, 100%, $F$11)</f>
        <v>26.424099999999999</v>
      </c>
      <c r="C751" s="8">
        <f>26.4292 * CHOOSE(CONTROL!$C$15, $D$11, 100%, $F$11)</f>
        <v>26.429200000000002</v>
      </c>
      <c r="D751" s="8">
        <f>26.4032 * CHOOSE( CONTROL!$C$15, $D$11, 100%, $F$11)</f>
        <v>26.403199999999998</v>
      </c>
      <c r="E751" s="12">
        <f>26.4122 * CHOOSE( CONTROL!$C$15, $D$11, 100%, $F$11)</f>
        <v>26.412199999999999</v>
      </c>
      <c r="F751" s="4">
        <f>27.069 * CHOOSE(CONTROL!$C$15, $D$11, 100%, $F$11)</f>
        <v>27.068999999999999</v>
      </c>
      <c r="G751" s="8">
        <f>25.9588 * CHOOSE( CONTROL!$C$15, $D$11, 100%, $F$11)</f>
        <v>25.9588</v>
      </c>
      <c r="H751" s="4">
        <f>26.8489 * CHOOSE(CONTROL!$C$15, $D$11, 100%, $F$11)</f>
        <v>26.8489</v>
      </c>
      <c r="I751" s="8">
        <f>25.5967 * CHOOSE(CONTROL!$C$15, $D$11, 100%, $F$11)</f>
        <v>25.596699999999998</v>
      </c>
      <c r="J751" s="4">
        <f>25.515 * CHOOSE(CONTROL!$C$15, $D$11, 100%, $F$11)</f>
        <v>25.515000000000001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64405</v>
      </c>
      <c r="B752" s="8">
        <f>26.826 * CHOOSE(CONTROL!$C$15, $D$11, 100%, $F$11)</f>
        <v>26.826000000000001</v>
      </c>
      <c r="C752" s="8">
        <f>26.8306 * CHOOSE(CONTROL!$C$15, $D$11, 100%, $F$11)</f>
        <v>26.8306</v>
      </c>
      <c r="D752" s="8">
        <f>26.8377 * CHOOSE( CONTROL!$C$15, $D$11, 100%, $F$11)</f>
        <v>26.837700000000002</v>
      </c>
      <c r="E752" s="12">
        <f>26.8348 * CHOOSE( CONTROL!$C$15, $D$11, 100%, $F$11)</f>
        <v>26.834800000000001</v>
      </c>
      <c r="F752" s="4">
        <f>27.509 * CHOOSE(CONTROL!$C$15, $D$11, 100%, $F$11)</f>
        <v>27.509</v>
      </c>
      <c r="G752" s="8">
        <f>26.3486 * CHOOSE( CONTROL!$C$15, $D$11, 100%, $F$11)</f>
        <v>26.348600000000001</v>
      </c>
      <c r="H752" s="4">
        <f>27.2816 * CHOOSE(CONTROL!$C$15, $D$11, 100%, $F$11)</f>
        <v>27.281600000000001</v>
      </c>
      <c r="I752" s="8">
        <f>26.0045 * CHOOSE(CONTROL!$C$15, $D$11, 100%, $F$11)</f>
        <v>26.0045</v>
      </c>
      <c r="J752" s="4">
        <f>25.9028 * CHOOSE(CONTROL!$C$15, $D$11, 100%, $F$11)</f>
        <v>25.902799999999999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1.1791</v>
      </c>
      <c r="Q752" s="9">
        <v>19.053000000000001</v>
      </c>
      <c r="R752" s="9"/>
      <c r="S752" s="11"/>
    </row>
    <row r="753" spans="1:19" ht="15.75">
      <c r="A753" s="13">
        <v>64436</v>
      </c>
      <c r="B753" s="8">
        <f>CHOOSE( CONTROL!$C$32, 27.5446, 27.5414) * CHOOSE(CONTROL!$C$15, $D$11, 100%, $F$11)</f>
        <v>27.544599999999999</v>
      </c>
      <c r="C753" s="8">
        <f>CHOOSE( CONTROL!$C$32, 27.5526, 27.5494) * CHOOSE(CONTROL!$C$15, $D$11, 100%, $F$11)</f>
        <v>27.552600000000002</v>
      </c>
      <c r="D753" s="8">
        <f>CHOOSE( CONTROL!$C$32, 27.5549, 27.5517) * CHOOSE( CONTROL!$C$15, $D$11, 100%, $F$11)</f>
        <v>27.5549</v>
      </c>
      <c r="E753" s="12">
        <f>CHOOSE( CONTROL!$C$32, 27.5528, 27.5496) * CHOOSE( CONTROL!$C$15, $D$11, 100%, $F$11)</f>
        <v>27.552800000000001</v>
      </c>
      <c r="F753" s="4">
        <f>CHOOSE( CONTROL!$C$32, 28.2261, 28.2229) * CHOOSE(CONTROL!$C$15, $D$11, 100%, $F$11)</f>
        <v>28.226099999999999</v>
      </c>
      <c r="G753" s="8">
        <f>CHOOSE( CONTROL!$C$32, 27.0551, 27.0519) * CHOOSE( CONTROL!$C$15, $D$11, 100%, $F$11)</f>
        <v>27.055099999999999</v>
      </c>
      <c r="H753" s="4">
        <f>CHOOSE( CONTROL!$C$32, 27.9868, 27.9837) * CHOOSE(CONTROL!$C$15, $D$11, 100%, $F$11)</f>
        <v>27.986799999999999</v>
      </c>
      <c r="I753" s="8">
        <f>CHOOSE( CONTROL!$C$32, 26.6997, 26.6966) * CHOOSE(CONTROL!$C$15, $D$11, 100%, $F$11)</f>
        <v>26.6997</v>
      </c>
      <c r="J753" s="4">
        <f>CHOOSE( CONTROL!$C$32, 26.5961, 26.593) * CHOOSE(CONTROL!$C$15, $D$11, 100%, $F$11)</f>
        <v>26.5961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1.2183999999999999</v>
      </c>
      <c r="Q753" s="9">
        <v>19.688099999999999</v>
      </c>
      <c r="R753" s="9"/>
      <c r="S753" s="11"/>
    </row>
    <row r="754" spans="1:19" ht="15.75">
      <c r="A754" s="13">
        <v>64466</v>
      </c>
      <c r="B754" s="8">
        <f>CHOOSE( CONTROL!$C$32, 27.1023, 27.0991) * CHOOSE(CONTROL!$C$15, $D$11, 100%, $F$11)</f>
        <v>27.1023</v>
      </c>
      <c r="C754" s="8">
        <f>CHOOSE( CONTROL!$C$32, 27.1103, 27.1071) * CHOOSE(CONTROL!$C$15, $D$11, 100%, $F$11)</f>
        <v>27.110299999999999</v>
      </c>
      <c r="D754" s="8">
        <f>CHOOSE( CONTROL!$C$32, 27.1129, 27.1097) * CHOOSE( CONTROL!$C$15, $D$11, 100%, $F$11)</f>
        <v>27.1129</v>
      </c>
      <c r="E754" s="12">
        <f>CHOOSE( CONTROL!$C$32, 27.1107, 27.1075) * CHOOSE( CONTROL!$C$15, $D$11, 100%, $F$11)</f>
        <v>27.110700000000001</v>
      </c>
      <c r="F754" s="4">
        <f>CHOOSE( CONTROL!$C$32, 27.7838, 27.7806) * CHOOSE(CONTROL!$C$15, $D$11, 100%, $F$11)</f>
        <v>27.783799999999999</v>
      </c>
      <c r="G754" s="8">
        <f>CHOOSE( CONTROL!$C$32, 26.6205, 26.6174) * CHOOSE( CONTROL!$C$15, $D$11, 100%, $F$11)</f>
        <v>26.6205</v>
      </c>
      <c r="H754" s="4">
        <f>CHOOSE( CONTROL!$C$32, 27.5519, 27.5488) * CHOOSE(CONTROL!$C$15, $D$11, 100%, $F$11)</f>
        <v>27.5519</v>
      </c>
      <c r="I754" s="8">
        <f>CHOOSE( CONTROL!$C$32, 26.2734, 26.2703) * CHOOSE(CONTROL!$C$15, $D$11, 100%, $F$11)</f>
        <v>26.273399999999999</v>
      </c>
      <c r="J754" s="4">
        <f>CHOOSE( CONTROL!$C$32, 26.1686, 26.1655) * CHOOSE(CONTROL!$C$15, $D$11, 100%, $F$11)</f>
        <v>26.168600000000001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1.1791</v>
      </c>
      <c r="Q754" s="9">
        <v>19.053000000000001</v>
      </c>
      <c r="R754" s="9"/>
      <c r="S754" s="11"/>
    </row>
    <row r="755" spans="1:19" ht="15.75">
      <c r="A755" s="13">
        <v>64497</v>
      </c>
      <c r="B755" s="8">
        <f>CHOOSE( CONTROL!$C$32, 28.267, 28.2638) * CHOOSE(CONTROL!$C$15, $D$11, 100%, $F$11)</f>
        <v>28.266999999999999</v>
      </c>
      <c r="C755" s="8">
        <f>CHOOSE( CONTROL!$C$32, 28.275, 28.2718) * CHOOSE(CONTROL!$C$15, $D$11, 100%, $F$11)</f>
        <v>28.274999999999999</v>
      </c>
      <c r="D755" s="8">
        <f>CHOOSE( CONTROL!$C$32, 28.2779, 28.2747) * CHOOSE( CONTROL!$C$15, $D$11, 100%, $F$11)</f>
        <v>28.277899999999999</v>
      </c>
      <c r="E755" s="12">
        <f>CHOOSE( CONTROL!$C$32, 28.2756, 28.2724) * CHOOSE( CONTROL!$C$15, $D$11, 100%, $F$11)</f>
        <v>28.275600000000001</v>
      </c>
      <c r="F755" s="4">
        <f>CHOOSE( CONTROL!$C$32, 28.9485, 28.9453) * CHOOSE(CONTROL!$C$15, $D$11, 100%, $F$11)</f>
        <v>28.948499999999999</v>
      </c>
      <c r="G755" s="8">
        <f>CHOOSE( CONTROL!$C$32, 27.7664, 27.7632) * CHOOSE( CONTROL!$C$15, $D$11, 100%, $F$11)</f>
        <v>27.766400000000001</v>
      </c>
      <c r="H755" s="4">
        <f>CHOOSE( CONTROL!$C$32, 28.6973, 28.6941) * CHOOSE(CONTROL!$C$15, $D$11, 100%, $F$11)</f>
        <v>28.697299999999998</v>
      </c>
      <c r="I755" s="8">
        <f>CHOOSE( CONTROL!$C$32, 27.4013, 27.3982) * CHOOSE(CONTROL!$C$15, $D$11, 100%, $F$11)</f>
        <v>27.401299999999999</v>
      </c>
      <c r="J755" s="4">
        <f>CHOOSE( CONTROL!$C$32, 27.2945, 27.2914) * CHOOSE(CONTROL!$C$15, $D$11, 100%, $F$11)</f>
        <v>27.294499999999999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64528</v>
      </c>
      <c r="B756" s="8">
        <f>CHOOSE( CONTROL!$C$32, 26.0877, 26.0845) * CHOOSE(CONTROL!$C$15, $D$11, 100%, $F$11)</f>
        <v>26.087700000000002</v>
      </c>
      <c r="C756" s="8">
        <f>CHOOSE( CONTROL!$C$32, 26.0957, 26.0925) * CHOOSE(CONTROL!$C$15, $D$11, 100%, $F$11)</f>
        <v>26.095700000000001</v>
      </c>
      <c r="D756" s="8">
        <f>CHOOSE( CONTROL!$C$32, 26.0988, 26.0956) * CHOOSE( CONTROL!$C$15, $D$11, 100%, $F$11)</f>
        <v>26.098800000000001</v>
      </c>
      <c r="E756" s="12">
        <f>CHOOSE( CONTROL!$C$32, 26.0965, 26.0933) * CHOOSE( CONTROL!$C$15, $D$11, 100%, $F$11)</f>
        <v>26.096499999999999</v>
      </c>
      <c r="F756" s="4">
        <f>CHOOSE( CONTROL!$C$32, 26.7693, 26.7661) * CHOOSE(CONTROL!$C$15, $D$11, 100%, $F$11)</f>
        <v>26.769300000000001</v>
      </c>
      <c r="G756" s="8">
        <f>CHOOSE( CONTROL!$C$32, 25.6235, 25.6203) * CHOOSE( CONTROL!$C$15, $D$11, 100%, $F$11)</f>
        <v>25.6235</v>
      </c>
      <c r="H756" s="4">
        <f>CHOOSE( CONTROL!$C$32, 26.5542, 26.551) * CHOOSE(CONTROL!$C$15, $D$11, 100%, $F$11)</f>
        <v>26.554200000000002</v>
      </c>
      <c r="I756" s="8">
        <f>CHOOSE( CONTROL!$C$32, 25.2943, 25.2912) * CHOOSE(CONTROL!$C$15, $D$11, 100%, $F$11)</f>
        <v>25.2943</v>
      </c>
      <c r="J756" s="4">
        <f>CHOOSE( CONTROL!$C$32, 25.1878, 25.1847) * CHOOSE(CONTROL!$C$15, $D$11, 100%, $F$11)</f>
        <v>25.187799999999999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1.2183999999999999</v>
      </c>
      <c r="Q756" s="9">
        <v>19.688099999999999</v>
      </c>
      <c r="R756" s="9"/>
      <c r="S756" s="11"/>
    </row>
    <row r="757" spans="1:19" ht="15.75">
      <c r="A757" s="13">
        <v>64558</v>
      </c>
      <c r="B757" s="8">
        <f>CHOOSE( CONTROL!$C$32, 25.542, 25.5388) * CHOOSE(CONTROL!$C$15, $D$11, 100%, $F$11)</f>
        <v>25.542000000000002</v>
      </c>
      <c r="C757" s="8">
        <f>CHOOSE( CONTROL!$C$32, 25.55, 25.5468) * CHOOSE(CONTROL!$C$15, $D$11, 100%, $F$11)</f>
        <v>25.55</v>
      </c>
      <c r="D757" s="8">
        <f>CHOOSE( CONTROL!$C$32, 25.5531, 25.5499) * CHOOSE( CONTROL!$C$15, $D$11, 100%, $F$11)</f>
        <v>25.553100000000001</v>
      </c>
      <c r="E757" s="12">
        <f>CHOOSE( CONTROL!$C$32, 25.5508, 25.5476) * CHOOSE( CONTROL!$C$15, $D$11, 100%, $F$11)</f>
        <v>25.550799999999999</v>
      </c>
      <c r="F757" s="4">
        <f>CHOOSE( CONTROL!$C$32, 26.2236, 26.2204) * CHOOSE(CONTROL!$C$15, $D$11, 100%, $F$11)</f>
        <v>26.223600000000001</v>
      </c>
      <c r="G757" s="8">
        <f>CHOOSE( CONTROL!$C$32, 25.0869, 25.0837) * CHOOSE( CONTROL!$C$15, $D$11, 100%, $F$11)</f>
        <v>25.0869</v>
      </c>
      <c r="H757" s="4">
        <f>CHOOSE( CONTROL!$C$32, 26.0175, 26.0143) * CHOOSE(CONTROL!$C$15, $D$11, 100%, $F$11)</f>
        <v>26.017499999999998</v>
      </c>
      <c r="I757" s="8">
        <f>CHOOSE( CONTROL!$C$32, 24.7666, 24.7635) * CHOOSE(CONTROL!$C$15, $D$11, 100%, $F$11)</f>
        <v>24.7666</v>
      </c>
      <c r="J757" s="4">
        <f>CHOOSE( CONTROL!$C$32, 24.6602, 24.6571) * CHOOSE(CONTROL!$C$15, $D$11, 100%, $F$11)</f>
        <v>24.6602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1.1791</v>
      </c>
      <c r="Q757" s="9">
        <v>19.053000000000001</v>
      </c>
      <c r="R757" s="9"/>
      <c r="S757" s="11"/>
    </row>
    <row r="758" spans="1:19" ht="15.75">
      <c r="A758" s="13">
        <v>64589</v>
      </c>
      <c r="B758" s="8">
        <f>26.6702 * CHOOSE(CONTROL!$C$15, $D$11, 100%, $F$11)</f>
        <v>26.670200000000001</v>
      </c>
      <c r="C758" s="8">
        <f>26.6755 * CHOOSE(CONTROL!$C$15, $D$11, 100%, $F$11)</f>
        <v>26.6755</v>
      </c>
      <c r="D758" s="8">
        <f>26.6834 * CHOOSE( CONTROL!$C$15, $D$11, 100%, $F$11)</f>
        <v>26.683399999999999</v>
      </c>
      <c r="E758" s="12">
        <f>26.6802 * CHOOSE( CONTROL!$C$15, $D$11, 100%, $F$11)</f>
        <v>26.680199999999999</v>
      </c>
      <c r="F758" s="4">
        <f>27.3534 * CHOOSE(CONTROL!$C$15, $D$11, 100%, $F$11)</f>
        <v>27.353400000000001</v>
      </c>
      <c r="G758" s="8">
        <f>26.1976 * CHOOSE( CONTROL!$C$15, $D$11, 100%, $F$11)</f>
        <v>26.197600000000001</v>
      </c>
      <c r="H758" s="4">
        <f>27.1286 * CHOOSE(CONTROL!$C$15, $D$11, 100%, $F$11)</f>
        <v>27.128599999999999</v>
      </c>
      <c r="I758" s="8">
        <f>25.8601 * CHOOSE(CONTROL!$C$15, $D$11, 100%, $F$11)</f>
        <v>25.860099999999999</v>
      </c>
      <c r="J758" s="4">
        <f>25.7525 * CHOOSE(CONTROL!$C$15, $D$11, 100%, $F$11)</f>
        <v>25.752500000000001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1.2183999999999999</v>
      </c>
      <c r="Q758" s="9">
        <v>19.688099999999999</v>
      </c>
      <c r="R758" s="9"/>
      <c r="S758" s="11"/>
    </row>
    <row r="759" spans="1:19" ht="15.75">
      <c r="A759" s="13">
        <v>64619</v>
      </c>
      <c r="B759" s="8">
        <f>28.7612 * CHOOSE(CONTROL!$C$15, $D$11, 100%, $F$11)</f>
        <v>28.761199999999999</v>
      </c>
      <c r="C759" s="8">
        <f>28.7663 * CHOOSE(CONTROL!$C$15, $D$11, 100%, $F$11)</f>
        <v>28.766300000000001</v>
      </c>
      <c r="D759" s="8">
        <f>28.7439 * CHOOSE( CONTROL!$C$15, $D$11, 100%, $F$11)</f>
        <v>28.7439</v>
      </c>
      <c r="E759" s="12">
        <f>28.7515 * CHOOSE( CONTROL!$C$15, $D$11, 100%, $F$11)</f>
        <v>28.7515</v>
      </c>
      <c r="F759" s="4">
        <f>29.4061 * CHOOSE(CONTROL!$C$15, $D$11, 100%, $F$11)</f>
        <v>29.406099999999999</v>
      </c>
      <c r="G759" s="8">
        <f>28.2669 * CHOOSE( CONTROL!$C$15, $D$11, 100%, $F$11)</f>
        <v>28.2669</v>
      </c>
      <c r="H759" s="4">
        <f>29.1473 * CHOOSE(CONTROL!$C$15, $D$11, 100%, $F$11)</f>
        <v>29.147300000000001</v>
      </c>
      <c r="I759" s="8">
        <f>27.9085 * CHOOSE(CONTROL!$C$15, $D$11, 100%, $F$11)</f>
        <v>27.9085</v>
      </c>
      <c r="J759" s="4">
        <f>27.7743 * CHOOSE(CONTROL!$C$15, $D$11, 100%, $F$11)</f>
        <v>27.7743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64650</v>
      </c>
      <c r="B760" s="8">
        <f>28.709 * CHOOSE(CONTROL!$C$15, $D$11, 100%, $F$11)</f>
        <v>28.709</v>
      </c>
      <c r="C760" s="8">
        <f>28.7141 * CHOOSE(CONTROL!$C$15, $D$11, 100%, $F$11)</f>
        <v>28.714099999999998</v>
      </c>
      <c r="D760" s="8">
        <f>28.693 * CHOOSE( CONTROL!$C$15, $D$11, 100%, $F$11)</f>
        <v>28.693000000000001</v>
      </c>
      <c r="E760" s="12">
        <f>28.7002 * CHOOSE( CONTROL!$C$15, $D$11, 100%, $F$11)</f>
        <v>28.700199999999999</v>
      </c>
      <c r="F760" s="4">
        <f>29.3539 * CHOOSE(CONTROL!$C$15, $D$11, 100%, $F$11)</f>
        <v>29.353899999999999</v>
      </c>
      <c r="G760" s="8">
        <f>28.2166 * CHOOSE( CONTROL!$C$15, $D$11, 100%, $F$11)</f>
        <v>28.2166</v>
      </c>
      <c r="H760" s="4">
        <f>29.0959 * CHOOSE(CONTROL!$C$15, $D$11, 100%, $F$11)</f>
        <v>29.0959</v>
      </c>
      <c r="I760" s="8">
        <f>27.8626 * CHOOSE(CONTROL!$C$15, $D$11, 100%, $F$11)</f>
        <v>27.8626</v>
      </c>
      <c r="J760" s="4">
        <f>27.7238 * CHOOSE(CONTROL!$C$15, $D$11, 100%, $F$11)</f>
        <v>27.723800000000001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64681</v>
      </c>
      <c r="B761" s="8">
        <f>29.8051 * CHOOSE(CONTROL!$C$15, $D$11, 100%, $F$11)</f>
        <v>29.805099999999999</v>
      </c>
      <c r="C761" s="8">
        <f>29.8102 * CHOOSE(CONTROL!$C$15, $D$11, 100%, $F$11)</f>
        <v>29.810199999999998</v>
      </c>
      <c r="D761" s="8">
        <f>29.7882 * CHOOSE( CONTROL!$C$15, $D$11, 100%, $F$11)</f>
        <v>29.7882</v>
      </c>
      <c r="E761" s="12">
        <f>29.7957 * CHOOSE( CONTROL!$C$15, $D$11, 100%, $F$11)</f>
        <v>29.7957</v>
      </c>
      <c r="F761" s="4">
        <f>30.4499 * CHOOSE(CONTROL!$C$15, $D$11, 100%, $F$11)</f>
        <v>30.4499</v>
      </c>
      <c r="G761" s="8">
        <f>29.2919 * CHOOSE( CONTROL!$C$15, $D$11, 100%, $F$11)</f>
        <v>29.291899999999998</v>
      </c>
      <c r="H761" s="4">
        <f>30.1738 * CHOOSE(CONTROL!$C$15, $D$11, 100%, $F$11)</f>
        <v>30.1738</v>
      </c>
      <c r="I761" s="8">
        <f>28.8945 * CHOOSE(CONTROL!$C$15, $D$11, 100%, $F$11)</f>
        <v>28.894500000000001</v>
      </c>
      <c r="J761" s="4">
        <f>28.7834 * CHOOSE(CONTROL!$C$15, $D$11, 100%, $F$11)</f>
        <v>28.7834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64709</v>
      </c>
      <c r="B762" s="8">
        <f>27.8802 * CHOOSE(CONTROL!$C$15, $D$11, 100%, $F$11)</f>
        <v>27.880199999999999</v>
      </c>
      <c r="C762" s="8">
        <f>27.8853 * CHOOSE(CONTROL!$C$15, $D$11, 100%, $F$11)</f>
        <v>27.885300000000001</v>
      </c>
      <c r="D762" s="8">
        <f>27.8589 * CHOOSE( CONTROL!$C$15, $D$11, 100%, $F$11)</f>
        <v>27.858899999999998</v>
      </c>
      <c r="E762" s="12">
        <f>27.868 * CHOOSE( CONTROL!$C$15, $D$11, 100%, $F$11)</f>
        <v>27.867999999999999</v>
      </c>
      <c r="F762" s="4">
        <f>28.525 * CHOOSE(CONTROL!$C$15, $D$11, 100%, $F$11)</f>
        <v>28.524999999999999</v>
      </c>
      <c r="G762" s="8">
        <f>27.3905 * CHOOSE( CONTROL!$C$15, $D$11, 100%, $F$11)</f>
        <v>27.390499999999999</v>
      </c>
      <c r="H762" s="4">
        <f>28.2808 * CHOOSE(CONTROL!$C$15, $D$11, 100%, $F$11)</f>
        <v>28.280799999999999</v>
      </c>
      <c r="I762" s="8">
        <f>27.0037 * CHOOSE(CONTROL!$C$15, $D$11, 100%, $F$11)</f>
        <v>27.003699999999998</v>
      </c>
      <c r="J762" s="4">
        <f>26.9226 * CHOOSE(CONTROL!$C$15, $D$11, 100%, $F$11)</f>
        <v>26.922599999999999</v>
      </c>
      <c r="K762" s="4"/>
      <c r="L762" s="9">
        <v>26.469899999999999</v>
      </c>
      <c r="M762" s="9">
        <v>10.8962</v>
      </c>
      <c r="N762" s="9">
        <v>4.4660000000000002</v>
      </c>
      <c r="O762" s="9">
        <v>0.33789999999999998</v>
      </c>
      <c r="P762" s="9">
        <v>1.1676</v>
      </c>
      <c r="Q762" s="9">
        <v>17.782800000000002</v>
      </c>
      <c r="R762" s="9"/>
      <c r="S762" s="11"/>
    </row>
    <row r="763" spans="1:19" ht="15.75">
      <c r="A763" s="13">
        <v>64740</v>
      </c>
      <c r="B763" s="8">
        <f>27.2873 * CHOOSE(CONTROL!$C$15, $D$11, 100%, $F$11)</f>
        <v>27.287299999999998</v>
      </c>
      <c r="C763" s="8">
        <f>27.2924 * CHOOSE(CONTROL!$C$15, $D$11, 100%, $F$11)</f>
        <v>27.292400000000001</v>
      </c>
      <c r="D763" s="8">
        <f>27.2664 * CHOOSE( CONTROL!$C$15, $D$11, 100%, $F$11)</f>
        <v>27.266400000000001</v>
      </c>
      <c r="E763" s="12">
        <f>27.2754 * CHOOSE( CONTROL!$C$15, $D$11, 100%, $F$11)</f>
        <v>27.275400000000001</v>
      </c>
      <c r="F763" s="4">
        <f>27.9322 * CHOOSE(CONTROL!$C$15, $D$11, 100%, $F$11)</f>
        <v>27.932200000000002</v>
      </c>
      <c r="G763" s="8">
        <f>26.8077 * CHOOSE( CONTROL!$C$15, $D$11, 100%, $F$11)</f>
        <v>26.807700000000001</v>
      </c>
      <c r="H763" s="4">
        <f>27.6978 * CHOOSE(CONTROL!$C$15, $D$11, 100%, $F$11)</f>
        <v>27.697800000000001</v>
      </c>
      <c r="I763" s="8">
        <f>26.4316 * CHOOSE(CONTROL!$C$15, $D$11, 100%, $F$11)</f>
        <v>26.4316</v>
      </c>
      <c r="J763" s="4">
        <f>26.3495 * CHOOSE(CONTROL!$C$15, $D$11, 100%, $F$11)</f>
        <v>26.349499999999999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64770</v>
      </c>
      <c r="B764" s="8">
        <f>27.7023 * CHOOSE(CONTROL!$C$15, $D$11, 100%, $F$11)</f>
        <v>27.702300000000001</v>
      </c>
      <c r="C764" s="8">
        <f>27.7069 * CHOOSE(CONTROL!$C$15, $D$11, 100%, $F$11)</f>
        <v>27.706900000000001</v>
      </c>
      <c r="D764" s="8">
        <f>27.714 * CHOOSE( CONTROL!$C$15, $D$11, 100%, $F$11)</f>
        <v>27.713999999999999</v>
      </c>
      <c r="E764" s="12">
        <f>27.7111 * CHOOSE( CONTROL!$C$15, $D$11, 100%, $F$11)</f>
        <v>27.711099999999998</v>
      </c>
      <c r="F764" s="4">
        <f>28.3853 * CHOOSE(CONTROL!$C$15, $D$11, 100%, $F$11)</f>
        <v>28.385300000000001</v>
      </c>
      <c r="G764" s="8">
        <f>27.2104 * CHOOSE( CONTROL!$C$15, $D$11, 100%, $F$11)</f>
        <v>27.2104</v>
      </c>
      <c r="H764" s="4">
        <f>28.1433 * CHOOSE(CONTROL!$C$15, $D$11, 100%, $F$11)</f>
        <v>28.1433</v>
      </c>
      <c r="I764" s="8">
        <f>26.8521 * CHOOSE(CONTROL!$C$15, $D$11, 100%, $F$11)</f>
        <v>26.8521</v>
      </c>
      <c r="J764" s="4">
        <f>26.7499 * CHOOSE(CONTROL!$C$15, $D$11, 100%, $F$11)</f>
        <v>26.7499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1.1791</v>
      </c>
      <c r="Q764" s="9">
        <v>19.053000000000001</v>
      </c>
      <c r="R764" s="9"/>
      <c r="S764" s="11"/>
    </row>
    <row r="765" spans="1:19" ht="15.75">
      <c r="A765" s="13">
        <v>64801</v>
      </c>
      <c r="B765" s="8">
        <f>CHOOSE( CONTROL!$C$32, 28.4442, 28.441) * CHOOSE(CONTROL!$C$15, $D$11, 100%, $F$11)</f>
        <v>28.444199999999999</v>
      </c>
      <c r="C765" s="8">
        <f>CHOOSE( CONTROL!$C$32, 28.4522, 28.449) * CHOOSE(CONTROL!$C$15, $D$11, 100%, $F$11)</f>
        <v>28.452200000000001</v>
      </c>
      <c r="D765" s="8">
        <f>CHOOSE( CONTROL!$C$32, 28.4546, 28.4514) * CHOOSE( CONTROL!$C$15, $D$11, 100%, $F$11)</f>
        <v>28.454599999999999</v>
      </c>
      <c r="E765" s="12">
        <f>CHOOSE( CONTROL!$C$32, 28.4525, 28.4493) * CHOOSE( CONTROL!$C$15, $D$11, 100%, $F$11)</f>
        <v>28.452500000000001</v>
      </c>
      <c r="F765" s="4">
        <f>CHOOSE( CONTROL!$C$32, 29.1258, 29.1226) * CHOOSE(CONTROL!$C$15, $D$11, 100%, $F$11)</f>
        <v>29.125800000000002</v>
      </c>
      <c r="G765" s="8">
        <f>CHOOSE( CONTROL!$C$32, 27.9398, 27.9366) * CHOOSE( CONTROL!$C$15, $D$11, 100%, $F$11)</f>
        <v>27.939800000000002</v>
      </c>
      <c r="H765" s="4">
        <f>CHOOSE( CONTROL!$C$32, 28.8716, 28.8684) * CHOOSE(CONTROL!$C$15, $D$11, 100%, $F$11)</f>
        <v>28.871600000000001</v>
      </c>
      <c r="I765" s="8">
        <f>CHOOSE( CONTROL!$C$32, 27.5698, 27.5667) * CHOOSE(CONTROL!$C$15, $D$11, 100%, $F$11)</f>
        <v>27.569800000000001</v>
      </c>
      <c r="J765" s="4">
        <f>CHOOSE( CONTROL!$C$32, 27.4658, 27.4627) * CHOOSE(CONTROL!$C$15, $D$11, 100%, $F$11)</f>
        <v>27.465800000000002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1.2183999999999999</v>
      </c>
      <c r="Q765" s="9">
        <v>19.688099999999999</v>
      </c>
      <c r="R765" s="9"/>
      <c r="S765" s="11"/>
    </row>
    <row r="766" spans="1:19" ht="15.75">
      <c r="A766" s="13">
        <v>64831</v>
      </c>
      <c r="B766" s="8">
        <f>CHOOSE( CONTROL!$C$32, 27.9875, 27.9843) * CHOOSE(CONTROL!$C$15, $D$11, 100%, $F$11)</f>
        <v>27.987500000000001</v>
      </c>
      <c r="C766" s="8">
        <f>CHOOSE( CONTROL!$C$32, 27.9955, 27.9923) * CHOOSE(CONTROL!$C$15, $D$11, 100%, $F$11)</f>
        <v>27.9955</v>
      </c>
      <c r="D766" s="8">
        <f>CHOOSE( CONTROL!$C$32, 27.9981, 27.9949) * CHOOSE( CONTROL!$C$15, $D$11, 100%, $F$11)</f>
        <v>27.998100000000001</v>
      </c>
      <c r="E766" s="12">
        <f>CHOOSE( CONTROL!$C$32, 27.9959, 27.9927) * CHOOSE( CONTROL!$C$15, $D$11, 100%, $F$11)</f>
        <v>27.995899999999999</v>
      </c>
      <c r="F766" s="4">
        <f>CHOOSE( CONTROL!$C$32, 28.669, 28.6658) * CHOOSE(CONTROL!$C$15, $D$11, 100%, $F$11)</f>
        <v>28.669</v>
      </c>
      <c r="G766" s="8">
        <f>CHOOSE( CONTROL!$C$32, 27.4911, 27.4879) * CHOOSE( CONTROL!$C$15, $D$11, 100%, $F$11)</f>
        <v>27.491099999999999</v>
      </c>
      <c r="H766" s="4">
        <f>CHOOSE( CONTROL!$C$32, 28.4224, 28.4193) * CHOOSE(CONTROL!$C$15, $D$11, 100%, $F$11)</f>
        <v>28.4224</v>
      </c>
      <c r="I766" s="8">
        <f>CHOOSE( CONTROL!$C$32, 27.1295, 27.1264) * CHOOSE(CONTROL!$C$15, $D$11, 100%, $F$11)</f>
        <v>27.1295</v>
      </c>
      <c r="J766" s="4">
        <f>CHOOSE( CONTROL!$C$32, 27.0243, 27.0212) * CHOOSE(CONTROL!$C$15, $D$11, 100%, $F$11)</f>
        <v>27.0243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1.1791</v>
      </c>
      <c r="Q766" s="9">
        <v>19.053000000000001</v>
      </c>
      <c r="R766" s="9"/>
      <c r="S766" s="11"/>
    </row>
    <row r="767" spans="1:19" ht="15.75">
      <c r="A767" s="13">
        <v>64862</v>
      </c>
      <c r="B767" s="8">
        <f>CHOOSE( CONTROL!$C$32, 29.1903, 29.1871) * CHOOSE(CONTROL!$C$15, $D$11, 100%, $F$11)</f>
        <v>29.190300000000001</v>
      </c>
      <c r="C767" s="8">
        <f>CHOOSE( CONTROL!$C$32, 29.1983, 29.1951) * CHOOSE(CONTROL!$C$15, $D$11, 100%, $F$11)</f>
        <v>29.1983</v>
      </c>
      <c r="D767" s="8">
        <f>CHOOSE( CONTROL!$C$32, 29.2012, 29.198) * CHOOSE( CONTROL!$C$15, $D$11, 100%, $F$11)</f>
        <v>29.2012</v>
      </c>
      <c r="E767" s="12">
        <f>CHOOSE( CONTROL!$C$32, 29.1989, 29.1957) * CHOOSE( CONTROL!$C$15, $D$11, 100%, $F$11)</f>
        <v>29.198899999999998</v>
      </c>
      <c r="F767" s="4">
        <f>CHOOSE( CONTROL!$C$32, 29.8718, 29.8686) * CHOOSE(CONTROL!$C$15, $D$11, 100%, $F$11)</f>
        <v>29.8718</v>
      </c>
      <c r="G767" s="8">
        <f>CHOOSE( CONTROL!$C$32, 28.6743, 28.6712) * CHOOSE( CONTROL!$C$15, $D$11, 100%, $F$11)</f>
        <v>28.674299999999999</v>
      </c>
      <c r="H767" s="4">
        <f>CHOOSE( CONTROL!$C$32, 29.6052, 29.6021) * CHOOSE(CONTROL!$C$15, $D$11, 100%, $F$11)</f>
        <v>29.6052</v>
      </c>
      <c r="I767" s="8">
        <f>CHOOSE( CONTROL!$C$32, 28.2942, 28.2912) * CHOOSE(CONTROL!$C$15, $D$11, 100%, $F$11)</f>
        <v>28.2942</v>
      </c>
      <c r="J767" s="4">
        <f>CHOOSE( CONTROL!$C$32, 28.187, 28.1839) * CHOOSE(CONTROL!$C$15, $D$11, 100%, $F$11)</f>
        <v>28.187000000000001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64893</v>
      </c>
      <c r="B768" s="8">
        <f>CHOOSE( CONTROL!$C$32, 26.9397, 26.9365) * CHOOSE(CONTROL!$C$15, $D$11, 100%, $F$11)</f>
        <v>26.939699999999998</v>
      </c>
      <c r="C768" s="8">
        <f>CHOOSE( CONTROL!$C$32, 26.9477, 26.9445) * CHOOSE(CONTROL!$C$15, $D$11, 100%, $F$11)</f>
        <v>26.947700000000001</v>
      </c>
      <c r="D768" s="8">
        <f>CHOOSE( CONTROL!$C$32, 26.9508, 26.9476) * CHOOSE( CONTROL!$C$15, $D$11, 100%, $F$11)</f>
        <v>26.950800000000001</v>
      </c>
      <c r="E768" s="12">
        <f>CHOOSE( CONTROL!$C$32, 26.9485, 26.9453) * CHOOSE( CONTROL!$C$15, $D$11, 100%, $F$11)</f>
        <v>26.948499999999999</v>
      </c>
      <c r="F768" s="4">
        <f>CHOOSE( CONTROL!$C$32, 27.6213, 27.6181) * CHOOSE(CONTROL!$C$15, $D$11, 100%, $F$11)</f>
        <v>27.621300000000002</v>
      </c>
      <c r="G768" s="8">
        <f>CHOOSE( CONTROL!$C$32, 26.4614, 26.4582) * CHOOSE( CONTROL!$C$15, $D$11, 100%, $F$11)</f>
        <v>26.461400000000001</v>
      </c>
      <c r="H768" s="4">
        <f>CHOOSE( CONTROL!$C$32, 27.392, 27.3889) * CHOOSE(CONTROL!$C$15, $D$11, 100%, $F$11)</f>
        <v>27.391999999999999</v>
      </c>
      <c r="I768" s="8">
        <f>CHOOSE( CONTROL!$C$32, 26.1183, 26.1152) * CHOOSE(CONTROL!$C$15, $D$11, 100%, $F$11)</f>
        <v>26.118300000000001</v>
      </c>
      <c r="J768" s="4">
        <f>CHOOSE( CONTROL!$C$32, 26.0114, 26.0083) * CHOOSE(CONTROL!$C$15, $D$11, 100%, $F$11)</f>
        <v>26.011399999999998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1.2183999999999999</v>
      </c>
      <c r="Q768" s="9">
        <v>19.688099999999999</v>
      </c>
      <c r="R768" s="9"/>
      <c r="S768" s="11"/>
    </row>
    <row r="769" spans="1:19" ht="15.75">
      <c r="A769" s="13">
        <v>64923</v>
      </c>
      <c r="B769" s="8">
        <f>CHOOSE( CONTROL!$C$32, 26.3762, 26.373) * CHOOSE(CONTROL!$C$15, $D$11, 100%, $F$11)</f>
        <v>26.376200000000001</v>
      </c>
      <c r="C769" s="8">
        <f>CHOOSE( CONTROL!$C$32, 26.3842, 26.381) * CHOOSE(CONTROL!$C$15, $D$11, 100%, $F$11)</f>
        <v>26.3842</v>
      </c>
      <c r="D769" s="8">
        <f>CHOOSE( CONTROL!$C$32, 26.3873, 26.3841) * CHOOSE( CONTROL!$C$15, $D$11, 100%, $F$11)</f>
        <v>26.3873</v>
      </c>
      <c r="E769" s="12">
        <f>CHOOSE( CONTROL!$C$32, 26.385, 26.3818) * CHOOSE( CONTROL!$C$15, $D$11, 100%, $F$11)</f>
        <v>26.385000000000002</v>
      </c>
      <c r="F769" s="4">
        <f>CHOOSE( CONTROL!$C$32, 27.0577, 27.0545) * CHOOSE(CONTROL!$C$15, $D$11, 100%, $F$11)</f>
        <v>27.057700000000001</v>
      </c>
      <c r="G769" s="8">
        <f>CHOOSE( CONTROL!$C$32, 25.9072, 25.9041) * CHOOSE( CONTROL!$C$15, $D$11, 100%, $F$11)</f>
        <v>25.9072</v>
      </c>
      <c r="H769" s="4">
        <f>CHOOSE( CONTROL!$C$32, 26.8378, 26.8347) * CHOOSE(CONTROL!$C$15, $D$11, 100%, $F$11)</f>
        <v>26.837800000000001</v>
      </c>
      <c r="I769" s="8">
        <f>CHOOSE( CONTROL!$C$32, 25.5734, 25.5703) * CHOOSE(CONTROL!$C$15, $D$11, 100%, $F$11)</f>
        <v>25.573399999999999</v>
      </c>
      <c r="J769" s="4">
        <f>CHOOSE( CONTROL!$C$32, 25.4666, 25.4635) * CHOOSE(CONTROL!$C$15, $D$11, 100%, $F$11)</f>
        <v>25.4666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1.1791</v>
      </c>
      <c r="Q769" s="9">
        <v>19.053000000000001</v>
      </c>
      <c r="R769" s="9"/>
      <c r="S769" s="11"/>
    </row>
    <row r="770" spans="1:19" ht="15.75">
      <c r="A770" s="13">
        <v>64954</v>
      </c>
      <c r="B770" s="8">
        <f>27.5414 * CHOOSE(CONTROL!$C$15, $D$11, 100%, $F$11)</f>
        <v>27.541399999999999</v>
      </c>
      <c r="C770" s="8">
        <f>27.5468 * CHOOSE(CONTROL!$C$15, $D$11, 100%, $F$11)</f>
        <v>27.546800000000001</v>
      </c>
      <c r="D770" s="8">
        <f>27.5546 * CHOOSE( CONTROL!$C$15, $D$11, 100%, $F$11)</f>
        <v>27.554600000000001</v>
      </c>
      <c r="E770" s="12">
        <f>27.5515 * CHOOSE( CONTROL!$C$15, $D$11, 100%, $F$11)</f>
        <v>27.551500000000001</v>
      </c>
      <c r="F770" s="4">
        <f>28.2247 * CHOOSE(CONTROL!$C$15, $D$11, 100%, $F$11)</f>
        <v>28.224699999999999</v>
      </c>
      <c r="G770" s="8">
        <f>27.0543 * CHOOSE( CONTROL!$C$15, $D$11, 100%, $F$11)</f>
        <v>27.054300000000001</v>
      </c>
      <c r="H770" s="4">
        <f>27.9854 * CHOOSE(CONTROL!$C$15, $D$11, 100%, $F$11)</f>
        <v>27.985399999999998</v>
      </c>
      <c r="I770" s="8">
        <f>26.7027 * CHOOSE(CONTROL!$C$15, $D$11, 100%, $F$11)</f>
        <v>26.7027</v>
      </c>
      <c r="J770" s="4">
        <f>26.5947 * CHOOSE(CONTROL!$C$15, $D$11, 100%, $F$11)</f>
        <v>26.5947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1.2183999999999999</v>
      </c>
      <c r="Q770" s="9">
        <v>19.688099999999999</v>
      </c>
      <c r="R770" s="9"/>
      <c r="S770" s="11"/>
    </row>
    <row r="771" spans="1:19" ht="15.75">
      <c r="A771" s="13">
        <v>64984</v>
      </c>
      <c r="B771" s="8">
        <f>29.7008 * CHOOSE(CONTROL!$C$15, $D$11, 100%, $F$11)</f>
        <v>29.700800000000001</v>
      </c>
      <c r="C771" s="8">
        <f>29.706 * CHOOSE(CONTROL!$C$15, $D$11, 100%, $F$11)</f>
        <v>29.706</v>
      </c>
      <c r="D771" s="8">
        <f>29.6835 * CHOOSE( CONTROL!$C$15, $D$11, 100%, $F$11)</f>
        <v>29.683499999999999</v>
      </c>
      <c r="E771" s="12">
        <f>29.6912 * CHOOSE( CONTROL!$C$15, $D$11, 100%, $F$11)</f>
        <v>29.691199999999998</v>
      </c>
      <c r="F771" s="4">
        <f>30.3457 * CHOOSE(CONTROL!$C$15, $D$11, 100%, $F$11)</f>
        <v>30.345700000000001</v>
      </c>
      <c r="G771" s="8">
        <f>29.1909 * CHOOSE( CONTROL!$C$15, $D$11, 100%, $F$11)</f>
        <v>29.190899999999999</v>
      </c>
      <c r="H771" s="4">
        <f>30.0713 * CHOOSE(CONTROL!$C$15, $D$11, 100%, $F$11)</f>
        <v>30.071300000000001</v>
      </c>
      <c r="I771" s="8">
        <f>28.8173 * CHOOSE(CONTROL!$C$15, $D$11, 100%, $F$11)</f>
        <v>28.817299999999999</v>
      </c>
      <c r="J771" s="4">
        <f>28.6826 * CHOOSE(CONTROL!$C$15, $D$11, 100%, $F$11)</f>
        <v>28.682600000000001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65015</v>
      </c>
      <c r="B772" s="8">
        <f>29.6469 * CHOOSE(CONTROL!$C$15, $D$11, 100%, $F$11)</f>
        <v>29.646899999999999</v>
      </c>
      <c r="C772" s="8">
        <f>29.652 * CHOOSE(CONTROL!$C$15, $D$11, 100%, $F$11)</f>
        <v>29.652000000000001</v>
      </c>
      <c r="D772" s="8">
        <f>29.6309 * CHOOSE( CONTROL!$C$15, $D$11, 100%, $F$11)</f>
        <v>29.6309</v>
      </c>
      <c r="E772" s="12">
        <f>29.6381 * CHOOSE( CONTROL!$C$15, $D$11, 100%, $F$11)</f>
        <v>29.638100000000001</v>
      </c>
      <c r="F772" s="4">
        <f>30.2918 * CHOOSE(CONTROL!$C$15, $D$11, 100%, $F$11)</f>
        <v>30.291799999999999</v>
      </c>
      <c r="G772" s="8">
        <f>29.1389 * CHOOSE( CONTROL!$C$15, $D$11, 100%, $F$11)</f>
        <v>29.1389</v>
      </c>
      <c r="H772" s="4">
        <f>30.0182 * CHOOSE(CONTROL!$C$15, $D$11, 100%, $F$11)</f>
        <v>30.0182</v>
      </c>
      <c r="I772" s="8">
        <f>28.7697 * CHOOSE(CONTROL!$C$15, $D$11, 100%, $F$11)</f>
        <v>28.7697</v>
      </c>
      <c r="J772" s="4">
        <f>28.6305 * CHOOSE(CONTROL!$C$15, $D$11, 100%, $F$11)</f>
        <v>28.630500000000001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65046</v>
      </c>
      <c r="B773" s="8">
        <f>30.7788 * CHOOSE(CONTROL!$C$15, $D$11, 100%, $F$11)</f>
        <v>30.7788</v>
      </c>
      <c r="C773" s="8">
        <f>30.7839 * CHOOSE(CONTROL!$C$15, $D$11, 100%, $F$11)</f>
        <v>30.783899999999999</v>
      </c>
      <c r="D773" s="8">
        <f>30.7619 * CHOOSE( CONTROL!$C$15, $D$11, 100%, $F$11)</f>
        <v>30.761900000000001</v>
      </c>
      <c r="E773" s="12">
        <f>30.7694 * CHOOSE( CONTROL!$C$15, $D$11, 100%, $F$11)</f>
        <v>30.769400000000001</v>
      </c>
      <c r="F773" s="4">
        <f>31.4237 * CHOOSE(CONTROL!$C$15, $D$11, 100%, $F$11)</f>
        <v>31.4237</v>
      </c>
      <c r="G773" s="8">
        <f>30.2495 * CHOOSE( CONTROL!$C$15, $D$11, 100%, $F$11)</f>
        <v>30.249500000000001</v>
      </c>
      <c r="H773" s="4">
        <f>31.1314 * CHOOSE(CONTROL!$C$15, $D$11, 100%, $F$11)</f>
        <v>31.131399999999999</v>
      </c>
      <c r="I773" s="8">
        <f>29.8363 * CHOOSE(CONTROL!$C$15, $D$11, 100%, $F$11)</f>
        <v>29.836300000000001</v>
      </c>
      <c r="J773" s="4">
        <f>29.7247 * CHOOSE(CONTROL!$C$15, $D$11, 100%, $F$11)</f>
        <v>29.724699999999999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65074</v>
      </c>
      <c r="B774" s="8">
        <f>28.791 * CHOOSE(CONTROL!$C$15, $D$11, 100%, $F$11)</f>
        <v>28.791</v>
      </c>
      <c r="C774" s="8">
        <f>28.7961 * CHOOSE(CONTROL!$C$15, $D$11, 100%, $F$11)</f>
        <v>28.796099999999999</v>
      </c>
      <c r="D774" s="8">
        <f>28.7697 * CHOOSE( CONTROL!$C$15, $D$11, 100%, $F$11)</f>
        <v>28.7697</v>
      </c>
      <c r="E774" s="12">
        <f>28.7788 * CHOOSE( CONTROL!$C$15, $D$11, 100%, $F$11)</f>
        <v>28.7788</v>
      </c>
      <c r="F774" s="4">
        <f>29.4358 * CHOOSE(CONTROL!$C$15, $D$11, 100%, $F$11)</f>
        <v>29.4358</v>
      </c>
      <c r="G774" s="8">
        <f>28.2862 * CHOOSE( CONTROL!$C$15, $D$11, 100%, $F$11)</f>
        <v>28.286200000000001</v>
      </c>
      <c r="H774" s="4">
        <f>29.1765 * CHOOSE(CONTROL!$C$15, $D$11, 100%, $F$11)</f>
        <v>29.176500000000001</v>
      </c>
      <c r="I774" s="8">
        <f>27.8847 * CHOOSE(CONTROL!$C$15, $D$11, 100%, $F$11)</f>
        <v>27.884699999999999</v>
      </c>
      <c r="J774" s="4">
        <f>27.803 * CHOOSE(CONTROL!$C$15, $D$11, 100%, $F$11)</f>
        <v>27.803000000000001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65105</v>
      </c>
      <c r="B775" s="8">
        <f>28.1787 * CHOOSE(CONTROL!$C$15, $D$11, 100%, $F$11)</f>
        <v>28.178699999999999</v>
      </c>
      <c r="C775" s="8">
        <f>28.1838 * CHOOSE(CONTROL!$C$15, $D$11, 100%, $F$11)</f>
        <v>28.183800000000002</v>
      </c>
      <c r="D775" s="8">
        <f>28.1578 * CHOOSE( CONTROL!$C$15, $D$11, 100%, $F$11)</f>
        <v>28.157800000000002</v>
      </c>
      <c r="E775" s="12">
        <f>28.1668 * CHOOSE( CONTROL!$C$15, $D$11, 100%, $F$11)</f>
        <v>28.166799999999999</v>
      </c>
      <c r="F775" s="4">
        <f>28.8236 * CHOOSE(CONTROL!$C$15, $D$11, 100%, $F$11)</f>
        <v>28.823599999999999</v>
      </c>
      <c r="G775" s="8">
        <f>27.6843 * CHOOSE( CONTROL!$C$15, $D$11, 100%, $F$11)</f>
        <v>27.6843</v>
      </c>
      <c r="H775" s="4">
        <f>28.5744 * CHOOSE(CONTROL!$C$15, $D$11, 100%, $F$11)</f>
        <v>28.574400000000001</v>
      </c>
      <c r="I775" s="8">
        <f>27.2937 * CHOOSE(CONTROL!$C$15, $D$11, 100%, $F$11)</f>
        <v>27.293700000000001</v>
      </c>
      <c r="J775" s="4">
        <f>27.2112 * CHOOSE(CONTROL!$C$15, $D$11, 100%, $F$11)</f>
        <v>27.211200000000002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65135</v>
      </c>
      <c r="B776" s="8">
        <f>28.6073 * CHOOSE(CONTROL!$C$15, $D$11, 100%, $F$11)</f>
        <v>28.607299999999999</v>
      </c>
      <c r="C776" s="8">
        <f>28.6118 * CHOOSE(CONTROL!$C$15, $D$11, 100%, $F$11)</f>
        <v>28.611799999999999</v>
      </c>
      <c r="D776" s="8">
        <f>28.619 * CHOOSE( CONTROL!$C$15, $D$11, 100%, $F$11)</f>
        <v>28.619</v>
      </c>
      <c r="E776" s="12">
        <f>28.6161 * CHOOSE( CONTROL!$C$15, $D$11, 100%, $F$11)</f>
        <v>28.616099999999999</v>
      </c>
      <c r="F776" s="4">
        <f>29.2902 * CHOOSE(CONTROL!$C$15, $D$11, 100%, $F$11)</f>
        <v>29.290199999999999</v>
      </c>
      <c r="G776" s="8">
        <f>28.1004 * CHOOSE( CONTROL!$C$15, $D$11, 100%, $F$11)</f>
        <v>28.1004</v>
      </c>
      <c r="H776" s="4">
        <f>29.0333 * CHOOSE(CONTROL!$C$15, $D$11, 100%, $F$11)</f>
        <v>29.033300000000001</v>
      </c>
      <c r="I776" s="8">
        <f>27.7273 * CHOOSE(CONTROL!$C$15, $D$11, 100%, $F$11)</f>
        <v>27.7273</v>
      </c>
      <c r="J776" s="4">
        <f>27.6248 * CHOOSE(CONTROL!$C$15, $D$11, 100%, $F$11)</f>
        <v>27.6248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1.1791</v>
      </c>
      <c r="Q776" s="9">
        <v>19.053000000000001</v>
      </c>
      <c r="R776" s="9"/>
      <c r="S776" s="11"/>
    </row>
    <row r="777" spans="1:19" ht="15.75">
      <c r="A777" s="13">
        <v>65166</v>
      </c>
      <c r="B777" s="8">
        <f>CHOOSE( CONTROL!$C$32, 29.3733, 29.3701) * CHOOSE(CONTROL!$C$15, $D$11, 100%, $F$11)</f>
        <v>29.3733</v>
      </c>
      <c r="C777" s="8">
        <f>CHOOSE( CONTROL!$C$32, 29.3813, 29.3781) * CHOOSE(CONTROL!$C$15, $D$11, 100%, $F$11)</f>
        <v>29.3813</v>
      </c>
      <c r="D777" s="8">
        <f>CHOOSE( CONTROL!$C$32, 29.3836, 29.3804) * CHOOSE( CONTROL!$C$15, $D$11, 100%, $F$11)</f>
        <v>29.383600000000001</v>
      </c>
      <c r="E777" s="12">
        <f>CHOOSE( CONTROL!$C$32, 29.3815, 29.3783) * CHOOSE( CONTROL!$C$15, $D$11, 100%, $F$11)</f>
        <v>29.381499999999999</v>
      </c>
      <c r="F777" s="4">
        <f>CHOOSE( CONTROL!$C$32, 30.0548, 30.0516) * CHOOSE(CONTROL!$C$15, $D$11, 100%, $F$11)</f>
        <v>30.0548</v>
      </c>
      <c r="G777" s="8">
        <f>CHOOSE( CONTROL!$C$32, 28.8535, 28.8503) * CHOOSE( CONTROL!$C$15, $D$11, 100%, $F$11)</f>
        <v>28.8535</v>
      </c>
      <c r="H777" s="4">
        <f>CHOOSE( CONTROL!$C$32, 29.7852, 29.7821) * CHOOSE(CONTROL!$C$15, $D$11, 100%, $F$11)</f>
        <v>29.7852</v>
      </c>
      <c r="I777" s="8">
        <f>CHOOSE( CONTROL!$C$32, 28.4684, 28.4653) * CHOOSE(CONTROL!$C$15, $D$11, 100%, $F$11)</f>
        <v>28.468399999999999</v>
      </c>
      <c r="J777" s="4">
        <f>CHOOSE( CONTROL!$C$32, 28.3639, 28.3608) * CHOOSE(CONTROL!$C$15, $D$11, 100%, $F$11)</f>
        <v>28.363900000000001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1.2183999999999999</v>
      </c>
      <c r="Q777" s="9">
        <v>19.688099999999999</v>
      </c>
      <c r="R777" s="9"/>
      <c r="S777" s="11"/>
    </row>
    <row r="778" spans="1:19" ht="15.75">
      <c r="A778" s="13">
        <v>65196</v>
      </c>
      <c r="B778" s="8">
        <f>CHOOSE( CONTROL!$C$32, 28.9016, 28.8984) * CHOOSE(CONTROL!$C$15, $D$11, 100%, $F$11)</f>
        <v>28.901599999999998</v>
      </c>
      <c r="C778" s="8">
        <f>CHOOSE( CONTROL!$C$32, 28.9096, 28.9064) * CHOOSE(CONTROL!$C$15, $D$11, 100%, $F$11)</f>
        <v>28.909600000000001</v>
      </c>
      <c r="D778" s="8">
        <f>CHOOSE( CONTROL!$C$32, 28.9123, 28.9091) * CHOOSE( CONTROL!$C$15, $D$11, 100%, $F$11)</f>
        <v>28.912299999999998</v>
      </c>
      <c r="E778" s="12">
        <f>CHOOSE( CONTROL!$C$32, 28.9101, 28.9069) * CHOOSE( CONTROL!$C$15, $D$11, 100%, $F$11)</f>
        <v>28.9101</v>
      </c>
      <c r="F778" s="4">
        <f>CHOOSE( CONTROL!$C$32, 29.5832, 29.58) * CHOOSE(CONTROL!$C$15, $D$11, 100%, $F$11)</f>
        <v>29.583200000000001</v>
      </c>
      <c r="G778" s="8">
        <f>CHOOSE( CONTROL!$C$32, 28.39, 28.3869) * CHOOSE( CONTROL!$C$15, $D$11, 100%, $F$11)</f>
        <v>28.39</v>
      </c>
      <c r="H778" s="4">
        <f>CHOOSE( CONTROL!$C$32, 29.3214, 29.3182) * CHOOSE(CONTROL!$C$15, $D$11, 100%, $F$11)</f>
        <v>29.321400000000001</v>
      </c>
      <c r="I778" s="8">
        <f>CHOOSE( CONTROL!$C$32, 28.0136, 28.0105) * CHOOSE(CONTROL!$C$15, $D$11, 100%, $F$11)</f>
        <v>28.0136</v>
      </c>
      <c r="J778" s="4">
        <f>CHOOSE( CONTROL!$C$32, 27.908, 27.9049) * CHOOSE(CONTROL!$C$15, $D$11, 100%, $F$11)</f>
        <v>27.908000000000001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1.1791</v>
      </c>
      <c r="Q778" s="9">
        <v>19.053000000000001</v>
      </c>
      <c r="R778" s="9"/>
      <c r="S778" s="11"/>
    </row>
    <row r="779" spans="1:19" ht="15.75">
      <c r="A779" s="13">
        <v>65227</v>
      </c>
      <c r="B779" s="8">
        <f>CHOOSE( CONTROL!$C$32, 30.1437, 30.1405) * CHOOSE(CONTROL!$C$15, $D$11, 100%, $F$11)</f>
        <v>30.143699999999999</v>
      </c>
      <c r="C779" s="8">
        <f>CHOOSE( CONTROL!$C$32, 30.1517, 30.1485) * CHOOSE(CONTROL!$C$15, $D$11, 100%, $F$11)</f>
        <v>30.151700000000002</v>
      </c>
      <c r="D779" s="8">
        <f>CHOOSE( CONTROL!$C$32, 30.1547, 30.1515) * CHOOSE( CONTROL!$C$15, $D$11, 100%, $F$11)</f>
        <v>30.154699999999998</v>
      </c>
      <c r="E779" s="12">
        <f>CHOOSE( CONTROL!$C$32, 30.1524, 30.1492) * CHOOSE( CONTROL!$C$15, $D$11, 100%, $F$11)</f>
        <v>30.1524</v>
      </c>
      <c r="F779" s="4">
        <f>CHOOSE( CONTROL!$C$32, 30.8253, 30.8221) * CHOOSE(CONTROL!$C$15, $D$11, 100%, $F$11)</f>
        <v>30.825299999999999</v>
      </c>
      <c r="G779" s="8">
        <f>CHOOSE( CONTROL!$C$32, 29.612, 29.6089) * CHOOSE( CONTROL!$C$15, $D$11, 100%, $F$11)</f>
        <v>29.611999999999998</v>
      </c>
      <c r="H779" s="4">
        <f>CHOOSE( CONTROL!$C$32, 30.5429, 30.5398) * CHOOSE(CONTROL!$C$15, $D$11, 100%, $F$11)</f>
        <v>30.542899999999999</v>
      </c>
      <c r="I779" s="8">
        <f>CHOOSE( CONTROL!$C$32, 29.2164, 29.2133) * CHOOSE(CONTROL!$C$15, $D$11, 100%, $F$11)</f>
        <v>29.2164</v>
      </c>
      <c r="J779" s="4">
        <f>CHOOSE( CONTROL!$C$32, 29.1087, 29.1056) * CHOOSE(CONTROL!$C$15, $D$11, 100%, $F$11)</f>
        <v>29.108699999999999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65258</v>
      </c>
      <c r="B780" s="8">
        <f>CHOOSE( CONTROL!$C$32, 27.8196, 27.8164) * CHOOSE(CONTROL!$C$15, $D$11, 100%, $F$11)</f>
        <v>27.819600000000001</v>
      </c>
      <c r="C780" s="8">
        <f>CHOOSE( CONTROL!$C$32, 27.8276, 27.8244) * CHOOSE(CONTROL!$C$15, $D$11, 100%, $F$11)</f>
        <v>27.8276</v>
      </c>
      <c r="D780" s="8">
        <f>CHOOSE( CONTROL!$C$32, 27.8307, 27.8275) * CHOOSE( CONTROL!$C$15, $D$11, 100%, $F$11)</f>
        <v>27.8307</v>
      </c>
      <c r="E780" s="12">
        <f>CHOOSE( CONTROL!$C$32, 27.8284, 27.8252) * CHOOSE( CONTROL!$C$15, $D$11, 100%, $F$11)</f>
        <v>27.828399999999998</v>
      </c>
      <c r="F780" s="4">
        <f>CHOOSE( CONTROL!$C$32, 28.5011, 28.4979) * CHOOSE(CONTROL!$C$15, $D$11, 100%, $F$11)</f>
        <v>28.501100000000001</v>
      </c>
      <c r="G780" s="8">
        <f>CHOOSE( CONTROL!$C$32, 27.3266, 27.3235) * CHOOSE( CONTROL!$C$15, $D$11, 100%, $F$11)</f>
        <v>27.326599999999999</v>
      </c>
      <c r="H780" s="4">
        <f>CHOOSE( CONTROL!$C$32, 28.2573, 28.2542) * CHOOSE(CONTROL!$C$15, $D$11, 100%, $F$11)</f>
        <v>28.257300000000001</v>
      </c>
      <c r="I780" s="8">
        <f>CHOOSE( CONTROL!$C$32, 26.9693, 26.9662) * CHOOSE(CONTROL!$C$15, $D$11, 100%, $F$11)</f>
        <v>26.9693</v>
      </c>
      <c r="J780" s="4">
        <f>CHOOSE( CONTROL!$C$32, 26.862, 26.8589) * CHOOSE(CONTROL!$C$15, $D$11, 100%, $F$11)</f>
        <v>26.861999999999998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1.2183999999999999</v>
      </c>
      <c r="Q780" s="9">
        <v>19.688099999999999</v>
      </c>
      <c r="R780" s="9"/>
      <c r="S780" s="11"/>
    </row>
    <row r="781" spans="1:19" ht="15.75">
      <c r="A781" s="13">
        <v>65288</v>
      </c>
      <c r="B781" s="8">
        <f>CHOOSE( CONTROL!$C$32, 27.2376, 27.2344) * CHOOSE(CONTROL!$C$15, $D$11, 100%, $F$11)</f>
        <v>27.2376</v>
      </c>
      <c r="C781" s="8">
        <f>CHOOSE( CONTROL!$C$32, 27.2456, 27.2424) * CHOOSE(CONTROL!$C$15, $D$11, 100%, $F$11)</f>
        <v>27.2456</v>
      </c>
      <c r="D781" s="8">
        <f>CHOOSE( CONTROL!$C$32, 27.2487, 27.2455) * CHOOSE( CONTROL!$C$15, $D$11, 100%, $F$11)</f>
        <v>27.248699999999999</v>
      </c>
      <c r="E781" s="12">
        <f>CHOOSE( CONTROL!$C$32, 27.2464, 27.2432) * CHOOSE( CONTROL!$C$15, $D$11, 100%, $F$11)</f>
        <v>27.246400000000001</v>
      </c>
      <c r="F781" s="4">
        <f>CHOOSE( CONTROL!$C$32, 27.9192, 27.916) * CHOOSE(CONTROL!$C$15, $D$11, 100%, $F$11)</f>
        <v>27.9192</v>
      </c>
      <c r="G781" s="8">
        <f>CHOOSE( CONTROL!$C$32, 26.7544, 26.7512) * CHOOSE( CONTROL!$C$15, $D$11, 100%, $F$11)</f>
        <v>26.7544</v>
      </c>
      <c r="H781" s="4">
        <f>CHOOSE( CONTROL!$C$32, 27.685, 27.6818) * CHOOSE(CONTROL!$C$15, $D$11, 100%, $F$11)</f>
        <v>27.684999999999999</v>
      </c>
      <c r="I781" s="8">
        <f>CHOOSE( CONTROL!$C$32, 26.4066, 26.4035) * CHOOSE(CONTROL!$C$15, $D$11, 100%, $F$11)</f>
        <v>26.406600000000001</v>
      </c>
      <c r="J781" s="4">
        <f>CHOOSE( CONTROL!$C$32, 26.2994, 26.2963) * CHOOSE(CONTROL!$C$15, $D$11, 100%, $F$11)</f>
        <v>26.299399999999999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1.1791</v>
      </c>
      <c r="Q781" s="9">
        <v>19.053000000000001</v>
      </c>
      <c r="R781" s="9"/>
      <c r="S781" s="11"/>
    </row>
    <row r="782" spans="1:19" ht="15.75">
      <c r="A782" s="13">
        <v>65319</v>
      </c>
      <c r="B782" s="8">
        <f>28.4411 * CHOOSE(CONTROL!$C$15, $D$11, 100%, $F$11)</f>
        <v>28.441099999999999</v>
      </c>
      <c r="C782" s="8">
        <f>28.4465 * CHOOSE(CONTROL!$C$15, $D$11, 100%, $F$11)</f>
        <v>28.4465</v>
      </c>
      <c r="D782" s="8">
        <f>28.4544 * CHOOSE( CONTROL!$C$15, $D$11, 100%, $F$11)</f>
        <v>28.4544</v>
      </c>
      <c r="E782" s="12">
        <f>28.4512 * CHOOSE( CONTROL!$C$15, $D$11, 100%, $F$11)</f>
        <v>28.4512</v>
      </c>
      <c r="F782" s="4">
        <f>29.1244 * CHOOSE(CONTROL!$C$15, $D$11, 100%, $F$11)</f>
        <v>29.124400000000001</v>
      </c>
      <c r="G782" s="8">
        <f>27.9391 * CHOOSE( CONTROL!$C$15, $D$11, 100%, $F$11)</f>
        <v>27.9391</v>
      </c>
      <c r="H782" s="4">
        <f>28.8702 * CHOOSE(CONTROL!$C$15, $D$11, 100%, $F$11)</f>
        <v>28.870200000000001</v>
      </c>
      <c r="I782" s="8">
        <f>27.5729 * CHOOSE(CONTROL!$C$15, $D$11, 100%, $F$11)</f>
        <v>27.572900000000001</v>
      </c>
      <c r="J782" s="4">
        <f>27.4644 * CHOOSE(CONTROL!$C$15, $D$11, 100%, $F$11)</f>
        <v>27.464400000000001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1.2183999999999999</v>
      </c>
      <c r="Q782" s="9">
        <v>19.688099999999999</v>
      </c>
      <c r="R782" s="9"/>
      <c r="S782" s="11"/>
    </row>
    <row r="783" spans="1:19" ht="15.75">
      <c r="A783" s="13">
        <v>65349</v>
      </c>
      <c r="B783" s="8">
        <f>30.6712 * CHOOSE(CONTROL!$C$15, $D$11, 100%, $F$11)</f>
        <v>30.671199999999999</v>
      </c>
      <c r="C783" s="8">
        <f>30.6763 * CHOOSE(CONTROL!$C$15, $D$11, 100%, $F$11)</f>
        <v>30.676300000000001</v>
      </c>
      <c r="D783" s="8">
        <f>30.6538 * CHOOSE( CONTROL!$C$15, $D$11, 100%, $F$11)</f>
        <v>30.6538</v>
      </c>
      <c r="E783" s="12">
        <f>30.6615 * CHOOSE( CONTROL!$C$15, $D$11, 100%, $F$11)</f>
        <v>30.6615</v>
      </c>
      <c r="F783" s="4">
        <f>31.3161 * CHOOSE(CONTROL!$C$15, $D$11, 100%, $F$11)</f>
        <v>31.316099999999999</v>
      </c>
      <c r="G783" s="8">
        <f>30.1452 * CHOOSE( CONTROL!$C$15, $D$11, 100%, $F$11)</f>
        <v>30.145199999999999</v>
      </c>
      <c r="H783" s="4">
        <f>31.0255 * CHOOSE(CONTROL!$C$15, $D$11, 100%, $F$11)</f>
        <v>31.025500000000001</v>
      </c>
      <c r="I783" s="8">
        <f>29.7558 * CHOOSE(CONTROL!$C$15, $D$11, 100%, $F$11)</f>
        <v>29.755800000000001</v>
      </c>
      <c r="J783" s="4">
        <f>29.6207 * CHOOSE(CONTROL!$C$15, $D$11, 100%, $F$11)</f>
        <v>29.620699999999999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65380</v>
      </c>
      <c r="B784" s="8">
        <f>30.6154 * CHOOSE(CONTROL!$C$15, $D$11, 100%, $F$11)</f>
        <v>30.615400000000001</v>
      </c>
      <c r="C784" s="8">
        <f>30.6206 * CHOOSE(CONTROL!$C$15, $D$11, 100%, $F$11)</f>
        <v>30.6206</v>
      </c>
      <c r="D784" s="8">
        <f>30.5995 * CHOOSE( CONTROL!$C$15, $D$11, 100%, $F$11)</f>
        <v>30.599499999999999</v>
      </c>
      <c r="E784" s="12">
        <f>30.6067 * CHOOSE( CONTROL!$C$15, $D$11, 100%, $F$11)</f>
        <v>30.6067</v>
      </c>
      <c r="F784" s="4">
        <f>31.2603 * CHOOSE(CONTROL!$C$15, $D$11, 100%, $F$11)</f>
        <v>31.260300000000001</v>
      </c>
      <c r="G784" s="8">
        <f>30.0915 * CHOOSE( CONTROL!$C$15, $D$11, 100%, $F$11)</f>
        <v>30.0915</v>
      </c>
      <c r="H784" s="4">
        <f>30.9707 * CHOOSE(CONTROL!$C$15, $D$11, 100%, $F$11)</f>
        <v>30.970700000000001</v>
      </c>
      <c r="I784" s="8">
        <f>29.7065 * CHOOSE(CONTROL!$C$15, $D$11, 100%, $F$11)</f>
        <v>29.706499999999998</v>
      </c>
      <c r="J784" s="4">
        <f>29.5668 * CHOOSE(CONTROL!$C$15, $D$11, 100%, $F$11)</f>
        <v>29.566800000000001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65411</v>
      </c>
      <c r="B785" s="8">
        <f>31.7844 * CHOOSE(CONTROL!$C$15, $D$11, 100%, $F$11)</f>
        <v>31.784400000000002</v>
      </c>
      <c r="C785" s="8">
        <f>31.7895 * CHOOSE(CONTROL!$C$15, $D$11, 100%, $F$11)</f>
        <v>31.7895</v>
      </c>
      <c r="D785" s="8">
        <f>31.7675 * CHOOSE( CONTROL!$C$15, $D$11, 100%, $F$11)</f>
        <v>31.767499999999998</v>
      </c>
      <c r="E785" s="12">
        <f>31.775 * CHOOSE( CONTROL!$C$15, $D$11, 100%, $F$11)</f>
        <v>31.774999999999999</v>
      </c>
      <c r="F785" s="4">
        <f>32.4293 * CHOOSE(CONTROL!$C$15, $D$11, 100%, $F$11)</f>
        <v>32.429299999999998</v>
      </c>
      <c r="G785" s="8">
        <f>31.2384 * CHOOSE( CONTROL!$C$15, $D$11, 100%, $F$11)</f>
        <v>31.238399999999999</v>
      </c>
      <c r="H785" s="4">
        <f>32.1203 * CHOOSE(CONTROL!$C$15, $D$11, 100%, $F$11)</f>
        <v>32.1203</v>
      </c>
      <c r="I785" s="8">
        <f>30.8089 * CHOOSE(CONTROL!$C$15, $D$11, 100%, $F$11)</f>
        <v>30.808900000000001</v>
      </c>
      <c r="J785" s="4">
        <f>30.6968 * CHOOSE(CONTROL!$C$15, $D$11, 100%, $F$11)</f>
        <v>30.6968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65439</v>
      </c>
      <c r="B786" s="8">
        <f>29.7315 * CHOOSE(CONTROL!$C$15, $D$11, 100%, $F$11)</f>
        <v>29.7315</v>
      </c>
      <c r="C786" s="8">
        <f>29.7367 * CHOOSE(CONTROL!$C$15, $D$11, 100%, $F$11)</f>
        <v>29.736699999999999</v>
      </c>
      <c r="D786" s="8">
        <f>29.7103 * CHOOSE( CONTROL!$C$15, $D$11, 100%, $F$11)</f>
        <v>29.7103</v>
      </c>
      <c r="E786" s="12">
        <f>29.7194 * CHOOSE( CONTROL!$C$15, $D$11, 100%, $F$11)</f>
        <v>29.7194</v>
      </c>
      <c r="F786" s="4">
        <f>30.3764 * CHOOSE(CONTROL!$C$15, $D$11, 100%, $F$11)</f>
        <v>30.3764</v>
      </c>
      <c r="G786" s="8">
        <f>29.2111 * CHOOSE( CONTROL!$C$15, $D$11, 100%, $F$11)</f>
        <v>29.211099999999998</v>
      </c>
      <c r="H786" s="4">
        <f>30.1015 * CHOOSE(CONTROL!$C$15, $D$11, 100%, $F$11)</f>
        <v>30.101500000000001</v>
      </c>
      <c r="I786" s="8">
        <f>28.7944 * CHOOSE(CONTROL!$C$15, $D$11, 100%, $F$11)</f>
        <v>28.7944</v>
      </c>
      <c r="J786" s="4">
        <f>28.7123 * CHOOSE(CONTROL!$C$15, $D$11, 100%, $F$11)</f>
        <v>28.712299999999999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65470</v>
      </c>
      <c r="B787" s="8">
        <f>29.0993 * CHOOSE(CONTROL!$C$15, $D$11, 100%, $F$11)</f>
        <v>29.099299999999999</v>
      </c>
      <c r="C787" s="8">
        <f>29.1044 * CHOOSE(CONTROL!$C$15, $D$11, 100%, $F$11)</f>
        <v>29.104399999999998</v>
      </c>
      <c r="D787" s="8">
        <f>29.0784 * CHOOSE( CONTROL!$C$15, $D$11, 100%, $F$11)</f>
        <v>29.078399999999998</v>
      </c>
      <c r="E787" s="12">
        <f>29.0874 * CHOOSE( CONTROL!$C$15, $D$11, 100%, $F$11)</f>
        <v>29.087399999999999</v>
      </c>
      <c r="F787" s="4">
        <f>29.7442 * CHOOSE(CONTROL!$C$15, $D$11, 100%, $F$11)</f>
        <v>29.744199999999999</v>
      </c>
      <c r="G787" s="8">
        <f>28.5896 * CHOOSE( CONTROL!$C$15, $D$11, 100%, $F$11)</f>
        <v>28.589600000000001</v>
      </c>
      <c r="H787" s="4">
        <f>29.4797 * CHOOSE(CONTROL!$C$15, $D$11, 100%, $F$11)</f>
        <v>29.479700000000001</v>
      </c>
      <c r="I787" s="8">
        <f>28.1841 * CHOOSE(CONTROL!$C$15, $D$11, 100%, $F$11)</f>
        <v>28.184100000000001</v>
      </c>
      <c r="J787" s="4">
        <f>28.1011 * CHOOSE(CONTROL!$C$15, $D$11, 100%, $F$11)</f>
        <v>28.101099999999999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65500</v>
      </c>
      <c r="B788" s="8">
        <f>29.5419 * CHOOSE(CONTROL!$C$15, $D$11, 100%, $F$11)</f>
        <v>29.541899999999998</v>
      </c>
      <c r="C788" s="8">
        <f>29.5464 * CHOOSE(CONTROL!$C$15, $D$11, 100%, $F$11)</f>
        <v>29.546399999999998</v>
      </c>
      <c r="D788" s="8">
        <f>29.5536 * CHOOSE( CONTROL!$C$15, $D$11, 100%, $F$11)</f>
        <v>29.553599999999999</v>
      </c>
      <c r="E788" s="12">
        <f>29.5507 * CHOOSE( CONTROL!$C$15, $D$11, 100%, $F$11)</f>
        <v>29.550699999999999</v>
      </c>
      <c r="F788" s="4">
        <f>30.2248 * CHOOSE(CONTROL!$C$15, $D$11, 100%, $F$11)</f>
        <v>30.224799999999998</v>
      </c>
      <c r="G788" s="8">
        <f>29.0194 * CHOOSE( CONTROL!$C$15, $D$11, 100%, $F$11)</f>
        <v>29.019400000000001</v>
      </c>
      <c r="H788" s="4">
        <f>29.9523 * CHOOSE(CONTROL!$C$15, $D$11, 100%, $F$11)</f>
        <v>29.952300000000001</v>
      </c>
      <c r="I788" s="8">
        <f>28.6312 * CHOOSE(CONTROL!$C$15, $D$11, 100%, $F$11)</f>
        <v>28.6312</v>
      </c>
      <c r="J788" s="4">
        <f>28.5282 * CHOOSE(CONTROL!$C$15, $D$11, 100%, $F$11)</f>
        <v>28.528199999999998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1.1791</v>
      </c>
      <c r="Q788" s="9">
        <v>19.053000000000001</v>
      </c>
      <c r="R788" s="9"/>
      <c r="S788" s="11"/>
    </row>
    <row r="789" spans="1:19" ht="15.75">
      <c r="A789" s="13">
        <v>65531</v>
      </c>
      <c r="B789" s="8">
        <f>CHOOSE( CONTROL!$C$32, 30.3328, 30.3296) * CHOOSE(CONTROL!$C$15, $D$11, 100%, $F$11)</f>
        <v>30.332799999999999</v>
      </c>
      <c r="C789" s="8">
        <f>CHOOSE( CONTROL!$C$32, 30.3408, 30.3376) * CHOOSE(CONTROL!$C$15, $D$11, 100%, $F$11)</f>
        <v>30.340800000000002</v>
      </c>
      <c r="D789" s="8">
        <f>CHOOSE( CONTROL!$C$32, 30.3431, 30.3399) * CHOOSE( CONTROL!$C$15, $D$11, 100%, $F$11)</f>
        <v>30.3431</v>
      </c>
      <c r="E789" s="12">
        <f>CHOOSE( CONTROL!$C$32, 30.341, 30.3378) * CHOOSE( CONTROL!$C$15, $D$11, 100%, $F$11)</f>
        <v>30.341000000000001</v>
      </c>
      <c r="F789" s="4">
        <f>CHOOSE( CONTROL!$C$32, 31.0143, 31.0111) * CHOOSE(CONTROL!$C$15, $D$11, 100%, $F$11)</f>
        <v>31.014299999999999</v>
      </c>
      <c r="G789" s="8">
        <f>CHOOSE( CONTROL!$C$32, 29.797, 29.7938) * CHOOSE( CONTROL!$C$15, $D$11, 100%, $F$11)</f>
        <v>29.797000000000001</v>
      </c>
      <c r="H789" s="4">
        <f>CHOOSE( CONTROL!$C$32, 30.7288, 30.7256) * CHOOSE(CONTROL!$C$15, $D$11, 100%, $F$11)</f>
        <v>30.7288</v>
      </c>
      <c r="I789" s="8">
        <f>CHOOSE( CONTROL!$C$32, 29.3964, 29.3933) * CHOOSE(CONTROL!$C$15, $D$11, 100%, $F$11)</f>
        <v>29.3964</v>
      </c>
      <c r="J789" s="4">
        <f>CHOOSE( CONTROL!$C$32, 29.2914, 29.2883) * CHOOSE(CONTROL!$C$15, $D$11, 100%, $F$11)</f>
        <v>29.291399999999999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1.2183999999999999</v>
      </c>
      <c r="Q789" s="9">
        <v>19.688099999999999</v>
      </c>
      <c r="R789" s="9"/>
      <c r="S789" s="11"/>
    </row>
    <row r="790" spans="1:19" ht="15.75">
      <c r="A790" s="13">
        <v>65561</v>
      </c>
      <c r="B790" s="8">
        <f>CHOOSE( CONTROL!$C$32, 29.8456, 29.8424) * CHOOSE(CONTROL!$C$15, $D$11, 100%, $F$11)</f>
        <v>29.845600000000001</v>
      </c>
      <c r="C790" s="8">
        <f>CHOOSE( CONTROL!$C$32, 29.8537, 29.8505) * CHOOSE(CONTROL!$C$15, $D$11, 100%, $F$11)</f>
        <v>29.8537</v>
      </c>
      <c r="D790" s="8">
        <f>CHOOSE( CONTROL!$C$32, 29.8563, 29.8531) * CHOOSE( CONTROL!$C$15, $D$11, 100%, $F$11)</f>
        <v>29.856300000000001</v>
      </c>
      <c r="E790" s="12">
        <f>CHOOSE( CONTROL!$C$32, 29.8541, 29.8509) * CHOOSE( CONTROL!$C$15, $D$11, 100%, $F$11)</f>
        <v>29.854099999999999</v>
      </c>
      <c r="F790" s="4">
        <f>CHOOSE( CONTROL!$C$32, 30.5272, 30.524) * CHOOSE(CONTROL!$C$15, $D$11, 100%, $F$11)</f>
        <v>30.527200000000001</v>
      </c>
      <c r="G790" s="8">
        <f>CHOOSE( CONTROL!$C$32, 29.3184, 29.3153) * CHOOSE( CONTROL!$C$15, $D$11, 100%, $F$11)</f>
        <v>29.3184</v>
      </c>
      <c r="H790" s="4">
        <f>CHOOSE( CONTROL!$C$32, 30.2498, 30.2466) * CHOOSE(CONTROL!$C$15, $D$11, 100%, $F$11)</f>
        <v>30.2498</v>
      </c>
      <c r="I790" s="8">
        <f>CHOOSE( CONTROL!$C$32, 28.9267, 28.9236) * CHOOSE(CONTROL!$C$15, $D$11, 100%, $F$11)</f>
        <v>28.9267</v>
      </c>
      <c r="J790" s="4">
        <f>CHOOSE( CONTROL!$C$32, 28.8206, 28.8175) * CHOOSE(CONTROL!$C$15, $D$11, 100%, $F$11)</f>
        <v>28.820599999999999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1.1791</v>
      </c>
      <c r="Q790" s="9">
        <v>19.053000000000001</v>
      </c>
      <c r="R790" s="9"/>
      <c r="S790" s="11"/>
    </row>
    <row r="791" spans="1:19" ht="15.75">
      <c r="A791" s="13">
        <v>65592</v>
      </c>
      <c r="B791" s="8">
        <f>CHOOSE( CONTROL!$C$32, 31.1284, 31.1252) * CHOOSE(CONTROL!$C$15, $D$11, 100%, $F$11)</f>
        <v>31.128399999999999</v>
      </c>
      <c r="C791" s="8">
        <f>CHOOSE( CONTROL!$C$32, 31.1364, 31.1332) * CHOOSE(CONTROL!$C$15, $D$11, 100%, $F$11)</f>
        <v>31.136399999999998</v>
      </c>
      <c r="D791" s="8">
        <f>CHOOSE( CONTROL!$C$32, 31.1393, 31.1361) * CHOOSE( CONTROL!$C$15, $D$11, 100%, $F$11)</f>
        <v>31.139299999999999</v>
      </c>
      <c r="E791" s="12">
        <f>CHOOSE( CONTROL!$C$32, 31.137, 31.1338) * CHOOSE( CONTROL!$C$15, $D$11, 100%, $F$11)</f>
        <v>31.137</v>
      </c>
      <c r="F791" s="4">
        <f>CHOOSE( CONTROL!$C$32, 31.8099, 31.8067) * CHOOSE(CONTROL!$C$15, $D$11, 100%, $F$11)</f>
        <v>31.809899999999999</v>
      </c>
      <c r="G791" s="8">
        <f>CHOOSE( CONTROL!$C$32, 30.5803, 30.5772) * CHOOSE( CONTROL!$C$15, $D$11, 100%, $F$11)</f>
        <v>30.580300000000001</v>
      </c>
      <c r="H791" s="4">
        <f>CHOOSE( CONTROL!$C$32, 31.5112, 31.5081) * CHOOSE(CONTROL!$C$15, $D$11, 100%, $F$11)</f>
        <v>31.511199999999999</v>
      </c>
      <c r="I791" s="8">
        <f>CHOOSE( CONTROL!$C$32, 30.1688, 30.1657) * CHOOSE(CONTROL!$C$15, $D$11, 100%, $F$11)</f>
        <v>30.168800000000001</v>
      </c>
      <c r="J791" s="4">
        <f>CHOOSE( CONTROL!$C$32, 30.0606, 30.0575) * CHOOSE(CONTROL!$C$15, $D$11, 100%, $F$11)</f>
        <v>30.060600000000001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65623</v>
      </c>
      <c r="B792" s="8">
        <f>CHOOSE( CONTROL!$C$32, 28.7282, 28.725) * CHOOSE(CONTROL!$C$15, $D$11, 100%, $F$11)</f>
        <v>28.728200000000001</v>
      </c>
      <c r="C792" s="8">
        <f>CHOOSE( CONTROL!$C$32, 28.7363, 28.7331) * CHOOSE(CONTROL!$C$15, $D$11, 100%, $F$11)</f>
        <v>28.7363</v>
      </c>
      <c r="D792" s="8">
        <f>CHOOSE( CONTROL!$C$32, 28.7393, 28.7361) * CHOOSE( CONTROL!$C$15, $D$11, 100%, $F$11)</f>
        <v>28.7393</v>
      </c>
      <c r="E792" s="12">
        <f>CHOOSE( CONTROL!$C$32, 28.737, 28.7338) * CHOOSE( CONTROL!$C$15, $D$11, 100%, $F$11)</f>
        <v>28.736999999999998</v>
      </c>
      <c r="F792" s="4">
        <f>CHOOSE( CONTROL!$C$32, 29.4098, 29.4066) * CHOOSE(CONTROL!$C$15, $D$11, 100%, $F$11)</f>
        <v>29.409800000000001</v>
      </c>
      <c r="G792" s="8">
        <f>CHOOSE( CONTROL!$C$32, 28.2202, 28.2171) * CHOOSE( CONTROL!$C$15, $D$11, 100%, $F$11)</f>
        <v>28.220199999999998</v>
      </c>
      <c r="H792" s="4">
        <f>CHOOSE( CONTROL!$C$32, 29.1509, 29.1477) * CHOOSE(CONTROL!$C$15, $D$11, 100%, $F$11)</f>
        <v>29.1509</v>
      </c>
      <c r="I792" s="8">
        <f>CHOOSE( CONTROL!$C$32, 27.8482, 27.8451) * CHOOSE(CONTROL!$C$15, $D$11, 100%, $F$11)</f>
        <v>27.848199999999999</v>
      </c>
      <c r="J792" s="4">
        <f>CHOOSE( CONTROL!$C$32, 27.7404, 27.7373) * CHOOSE(CONTROL!$C$15, $D$11, 100%, $F$11)</f>
        <v>27.740400000000001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1.2183999999999999</v>
      </c>
      <c r="Q792" s="9">
        <v>19.688099999999999</v>
      </c>
      <c r="R792" s="9"/>
      <c r="S792" s="11"/>
    </row>
    <row r="793" spans="1:19" ht="15.75">
      <c r="A793" s="13">
        <v>65653</v>
      </c>
      <c r="B793" s="8">
        <f>CHOOSE( CONTROL!$C$32, 28.1272, 28.124) * CHOOSE(CONTROL!$C$15, $D$11, 100%, $F$11)</f>
        <v>28.127199999999998</v>
      </c>
      <c r="C793" s="8">
        <f>CHOOSE( CONTROL!$C$32, 28.1352, 28.132) * CHOOSE(CONTROL!$C$15, $D$11, 100%, $F$11)</f>
        <v>28.135200000000001</v>
      </c>
      <c r="D793" s="8">
        <f>CHOOSE( CONTROL!$C$32, 28.1383, 28.1351) * CHOOSE( CONTROL!$C$15, $D$11, 100%, $F$11)</f>
        <v>28.138300000000001</v>
      </c>
      <c r="E793" s="12">
        <f>CHOOSE( CONTROL!$C$32, 28.136, 28.1328) * CHOOSE( CONTROL!$C$15, $D$11, 100%, $F$11)</f>
        <v>28.135999999999999</v>
      </c>
      <c r="F793" s="4">
        <f>CHOOSE( CONTROL!$C$32, 28.8088, 28.8056) * CHOOSE(CONTROL!$C$15, $D$11, 100%, $F$11)</f>
        <v>28.808800000000002</v>
      </c>
      <c r="G793" s="8">
        <f>CHOOSE( CONTROL!$C$32, 27.6292, 27.6261) * CHOOSE( CONTROL!$C$15, $D$11, 100%, $F$11)</f>
        <v>27.629200000000001</v>
      </c>
      <c r="H793" s="4">
        <f>CHOOSE( CONTROL!$C$32, 28.5598, 28.5567) * CHOOSE(CONTROL!$C$15, $D$11, 100%, $F$11)</f>
        <v>28.559799999999999</v>
      </c>
      <c r="I793" s="8">
        <f>CHOOSE( CONTROL!$C$32, 27.267, 27.2639) * CHOOSE(CONTROL!$C$15, $D$11, 100%, $F$11)</f>
        <v>27.266999999999999</v>
      </c>
      <c r="J793" s="4">
        <f>CHOOSE( CONTROL!$C$32, 27.1593, 27.1563) * CHOOSE(CONTROL!$C$15, $D$11, 100%, $F$11)</f>
        <v>27.159300000000002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1.1791</v>
      </c>
      <c r="Q793" s="9">
        <v>19.053000000000001</v>
      </c>
      <c r="R793" s="9"/>
      <c r="S793" s="11"/>
    </row>
    <row r="794" spans="1:19" ht="15.75">
      <c r="A794" s="13">
        <v>65684</v>
      </c>
      <c r="B794" s="8">
        <f>29.3702 * CHOOSE(CONTROL!$C$15, $D$11, 100%, $F$11)</f>
        <v>29.370200000000001</v>
      </c>
      <c r="C794" s="8">
        <f>29.3756 * CHOOSE(CONTROL!$C$15, $D$11, 100%, $F$11)</f>
        <v>29.375599999999999</v>
      </c>
      <c r="D794" s="8">
        <f>29.3835 * CHOOSE( CONTROL!$C$15, $D$11, 100%, $F$11)</f>
        <v>29.383500000000002</v>
      </c>
      <c r="E794" s="12">
        <f>29.3803 * CHOOSE( CONTROL!$C$15, $D$11, 100%, $F$11)</f>
        <v>29.380299999999998</v>
      </c>
      <c r="F794" s="4">
        <f>30.0535 * CHOOSE(CONTROL!$C$15, $D$11, 100%, $F$11)</f>
        <v>30.0535</v>
      </c>
      <c r="G794" s="8">
        <f>28.8528 * CHOOSE( CONTROL!$C$15, $D$11, 100%, $F$11)</f>
        <v>28.852799999999998</v>
      </c>
      <c r="H794" s="4">
        <f>29.7839 * CHOOSE(CONTROL!$C$15, $D$11, 100%, $F$11)</f>
        <v>29.783899999999999</v>
      </c>
      <c r="I794" s="8">
        <f>28.4715 * CHOOSE(CONTROL!$C$15, $D$11, 100%, $F$11)</f>
        <v>28.471499999999999</v>
      </c>
      <c r="J794" s="4">
        <f>28.3626 * CHOOSE(CONTROL!$C$15, $D$11, 100%, $F$11)</f>
        <v>28.3626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1.2183999999999999</v>
      </c>
      <c r="Q794" s="9">
        <v>19.688099999999999</v>
      </c>
      <c r="R794" s="9"/>
      <c r="S794" s="11"/>
    </row>
    <row r="795" spans="1:19" ht="15.75">
      <c r="A795" s="13">
        <v>65714</v>
      </c>
      <c r="B795" s="8">
        <f>31.6733 * CHOOSE(CONTROL!$C$15, $D$11, 100%, $F$11)</f>
        <v>31.673300000000001</v>
      </c>
      <c r="C795" s="8">
        <f>31.6784 * CHOOSE(CONTROL!$C$15, $D$11, 100%, $F$11)</f>
        <v>31.6784</v>
      </c>
      <c r="D795" s="8">
        <f>31.6559 * CHOOSE( CONTROL!$C$15, $D$11, 100%, $F$11)</f>
        <v>31.655899999999999</v>
      </c>
      <c r="E795" s="12">
        <f>31.6636 * CHOOSE( CONTROL!$C$15, $D$11, 100%, $F$11)</f>
        <v>31.663599999999999</v>
      </c>
      <c r="F795" s="4">
        <f>32.3181 * CHOOSE(CONTROL!$C$15, $D$11, 100%, $F$11)</f>
        <v>32.318100000000001</v>
      </c>
      <c r="G795" s="8">
        <f>31.1307 * CHOOSE( CONTROL!$C$15, $D$11, 100%, $F$11)</f>
        <v>31.130700000000001</v>
      </c>
      <c r="H795" s="4">
        <f>32.011 * CHOOSE(CONTROL!$C$15, $D$11, 100%, $F$11)</f>
        <v>32.011000000000003</v>
      </c>
      <c r="I795" s="8">
        <f>30.725 * CHOOSE(CONTROL!$C$15, $D$11, 100%, $F$11)</f>
        <v>30.725000000000001</v>
      </c>
      <c r="J795" s="4">
        <f>30.5894 * CHOOSE(CONTROL!$C$15, $D$11, 100%, $F$11)</f>
        <v>30.589400000000001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65745</v>
      </c>
      <c r="B796" s="8">
        <f>31.6157 * CHOOSE(CONTROL!$C$15, $D$11, 100%, $F$11)</f>
        <v>31.6157</v>
      </c>
      <c r="C796" s="8">
        <f>31.6208 * CHOOSE(CONTROL!$C$15, $D$11, 100%, $F$11)</f>
        <v>31.620799999999999</v>
      </c>
      <c r="D796" s="8">
        <f>31.5998 * CHOOSE( CONTROL!$C$15, $D$11, 100%, $F$11)</f>
        <v>31.599799999999998</v>
      </c>
      <c r="E796" s="12">
        <f>31.6069 * CHOOSE( CONTROL!$C$15, $D$11, 100%, $F$11)</f>
        <v>31.6069</v>
      </c>
      <c r="F796" s="4">
        <f>32.2606 * CHOOSE(CONTROL!$C$15, $D$11, 100%, $F$11)</f>
        <v>32.260599999999997</v>
      </c>
      <c r="G796" s="8">
        <f>31.0751 * CHOOSE( CONTROL!$C$15, $D$11, 100%, $F$11)</f>
        <v>31.075099999999999</v>
      </c>
      <c r="H796" s="4">
        <f>31.9544 * CHOOSE(CONTROL!$C$15, $D$11, 100%, $F$11)</f>
        <v>31.9544</v>
      </c>
      <c r="I796" s="8">
        <f>30.6739 * CHOOSE(CONTROL!$C$15, $D$11, 100%, $F$11)</f>
        <v>30.6739</v>
      </c>
      <c r="J796" s="4">
        <f>30.5337 * CHOOSE(CONTROL!$C$15, $D$11, 100%, $F$11)</f>
        <v>30.5337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65776</v>
      </c>
      <c r="B797" s="8">
        <f>32.8229 * CHOOSE(CONTROL!$C$15, $D$11, 100%, $F$11)</f>
        <v>32.822899999999997</v>
      </c>
      <c r="C797" s="8">
        <f>32.828 * CHOOSE(CONTROL!$C$15, $D$11, 100%, $F$11)</f>
        <v>32.828000000000003</v>
      </c>
      <c r="D797" s="8">
        <f>32.806 * CHOOSE( CONTROL!$C$15, $D$11, 100%, $F$11)</f>
        <v>32.805999999999997</v>
      </c>
      <c r="E797" s="12">
        <f>32.8135 * CHOOSE( CONTROL!$C$15, $D$11, 100%, $F$11)</f>
        <v>32.813499999999998</v>
      </c>
      <c r="F797" s="4">
        <f>33.4678 * CHOOSE(CONTROL!$C$15, $D$11, 100%, $F$11)</f>
        <v>33.467799999999997</v>
      </c>
      <c r="G797" s="8">
        <f>32.2597 * CHOOSE( CONTROL!$C$15, $D$11, 100%, $F$11)</f>
        <v>32.259700000000002</v>
      </c>
      <c r="H797" s="4">
        <f>33.1416 * CHOOSE(CONTROL!$C$15, $D$11, 100%, $F$11)</f>
        <v>33.141599999999997</v>
      </c>
      <c r="I797" s="8">
        <f>31.8133 * CHOOSE(CONTROL!$C$15, $D$11, 100%, $F$11)</f>
        <v>31.813300000000002</v>
      </c>
      <c r="J797" s="4">
        <f>31.7007 * CHOOSE(CONTROL!$C$15, $D$11, 100%, $F$11)</f>
        <v>31.700700000000001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65805</v>
      </c>
      <c r="B798" s="8">
        <f>30.7029 * CHOOSE(CONTROL!$C$15, $D$11, 100%, $F$11)</f>
        <v>30.7029</v>
      </c>
      <c r="C798" s="8">
        <f>30.708 * CHOOSE(CONTROL!$C$15, $D$11, 100%, $F$11)</f>
        <v>30.707999999999998</v>
      </c>
      <c r="D798" s="8">
        <f>30.6816 * CHOOSE( CONTROL!$C$15, $D$11, 100%, $F$11)</f>
        <v>30.6816</v>
      </c>
      <c r="E798" s="12">
        <f>30.6907 * CHOOSE( CONTROL!$C$15, $D$11, 100%, $F$11)</f>
        <v>30.6907</v>
      </c>
      <c r="F798" s="4">
        <f>31.3478 * CHOOSE(CONTROL!$C$15, $D$11, 100%, $F$11)</f>
        <v>31.347799999999999</v>
      </c>
      <c r="G798" s="8">
        <f>30.1664 * CHOOSE( CONTROL!$C$15, $D$11, 100%, $F$11)</f>
        <v>30.166399999999999</v>
      </c>
      <c r="H798" s="4">
        <f>31.0567 * CHOOSE(CONTROL!$C$15, $D$11, 100%, $F$11)</f>
        <v>31.056699999999999</v>
      </c>
      <c r="I798" s="8">
        <f>29.7338 * CHOOSE(CONTROL!$C$15, $D$11, 100%, $F$11)</f>
        <v>29.733799999999999</v>
      </c>
      <c r="J798" s="4">
        <f>29.6513 * CHOOSE(CONTROL!$C$15, $D$11, 100%, $F$11)</f>
        <v>29.651299999999999</v>
      </c>
      <c r="K798" s="4"/>
      <c r="L798" s="9">
        <v>27.415299999999998</v>
      </c>
      <c r="M798" s="9">
        <v>11.285299999999999</v>
      </c>
      <c r="N798" s="9">
        <v>4.6254999999999997</v>
      </c>
      <c r="O798" s="9">
        <v>0.34989999999999999</v>
      </c>
      <c r="P798" s="9">
        <v>1.2093</v>
      </c>
      <c r="Q798" s="9">
        <v>18.417899999999999</v>
      </c>
      <c r="R798" s="9"/>
      <c r="S798" s="11"/>
    </row>
    <row r="799" spans="1:19" ht="15.75">
      <c r="A799" s="13">
        <v>65836</v>
      </c>
      <c r="B799" s="8">
        <f>30.0499 * CHOOSE(CONTROL!$C$15, $D$11, 100%, $F$11)</f>
        <v>30.049900000000001</v>
      </c>
      <c r="C799" s="8">
        <f>30.0551 * CHOOSE(CONTROL!$C$15, $D$11, 100%, $F$11)</f>
        <v>30.055099999999999</v>
      </c>
      <c r="D799" s="8">
        <f>30.0291 * CHOOSE( CONTROL!$C$15, $D$11, 100%, $F$11)</f>
        <v>30.0291</v>
      </c>
      <c r="E799" s="12">
        <f>30.0381 * CHOOSE( CONTROL!$C$15, $D$11, 100%, $F$11)</f>
        <v>30.0381</v>
      </c>
      <c r="F799" s="4">
        <f>30.6948 * CHOOSE(CONTROL!$C$15, $D$11, 100%, $F$11)</f>
        <v>30.694800000000001</v>
      </c>
      <c r="G799" s="8">
        <f>29.5245 * CHOOSE( CONTROL!$C$15, $D$11, 100%, $F$11)</f>
        <v>29.5245</v>
      </c>
      <c r="H799" s="4">
        <f>30.4146 * CHOOSE(CONTROL!$C$15, $D$11, 100%, $F$11)</f>
        <v>30.4146</v>
      </c>
      <c r="I799" s="8">
        <f>29.1035 * CHOOSE(CONTROL!$C$15, $D$11, 100%, $F$11)</f>
        <v>29.1035</v>
      </c>
      <c r="J799" s="4">
        <f>29.0201 * CHOOSE(CONTROL!$C$15, $D$11, 100%, $F$11)</f>
        <v>29.020099999999999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65866</v>
      </c>
      <c r="B800" s="8">
        <f>30.507 * CHOOSE(CONTROL!$C$15, $D$11, 100%, $F$11)</f>
        <v>30.507000000000001</v>
      </c>
      <c r="C800" s="8">
        <f>30.5115 * CHOOSE(CONTROL!$C$15, $D$11, 100%, $F$11)</f>
        <v>30.511500000000002</v>
      </c>
      <c r="D800" s="8">
        <f>30.5187 * CHOOSE( CONTROL!$C$15, $D$11, 100%, $F$11)</f>
        <v>30.518699999999999</v>
      </c>
      <c r="E800" s="12">
        <f>30.5158 * CHOOSE( CONTROL!$C$15, $D$11, 100%, $F$11)</f>
        <v>30.515799999999999</v>
      </c>
      <c r="F800" s="4">
        <f>31.1899 * CHOOSE(CONTROL!$C$15, $D$11, 100%, $F$11)</f>
        <v>31.189900000000002</v>
      </c>
      <c r="G800" s="8">
        <f>29.9685 * CHOOSE( CONTROL!$C$15, $D$11, 100%, $F$11)</f>
        <v>29.968499999999999</v>
      </c>
      <c r="H800" s="4">
        <f>30.9015 * CHOOSE(CONTROL!$C$15, $D$11, 100%, $F$11)</f>
        <v>30.901499999999999</v>
      </c>
      <c r="I800" s="8">
        <f>29.5647 * CHOOSE(CONTROL!$C$15, $D$11, 100%, $F$11)</f>
        <v>29.564699999999998</v>
      </c>
      <c r="J800" s="4">
        <f>29.4612 * CHOOSE(CONTROL!$C$15, $D$11, 100%, $F$11)</f>
        <v>29.461200000000002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1.1791</v>
      </c>
      <c r="Q800" s="9">
        <v>19.053000000000001</v>
      </c>
      <c r="R800" s="9"/>
      <c r="S800" s="11"/>
    </row>
    <row r="801" spans="1:19" ht="15.75">
      <c r="A801" s="13">
        <v>65897</v>
      </c>
      <c r="B801" s="8">
        <f>CHOOSE( CONTROL!$C$32, 31.3236, 31.3204) * CHOOSE(CONTROL!$C$15, $D$11, 100%, $F$11)</f>
        <v>31.323599999999999</v>
      </c>
      <c r="C801" s="8">
        <f>CHOOSE( CONTROL!$C$32, 31.3316, 31.3284) * CHOOSE(CONTROL!$C$15, $D$11, 100%, $F$11)</f>
        <v>31.331600000000002</v>
      </c>
      <c r="D801" s="8">
        <f>CHOOSE( CONTROL!$C$32, 31.3339, 31.3307) * CHOOSE( CONTROL!$C$15, $D$11, 100%, $F$11)</f>
        <v>31.3339</v>
      </c>
      <c r="E801" s="12">
        <f>CHOOSE( CONTROL!$C$32, 31.3318, 31.3286) * CHOOSE( CONTROL!$C$15, $D$11, 100%, $F$11)</f>
        <v>31.331800000000001</v>
      </c>
      <c r="F801" s="4">
        <f>CHOOSE( CONTROL!$C$32, 32.0051, 32.0019) * CHOOSE(CONTROL!$C$15, $D$11, 100%, $F$11)</f>
        <v>32.005099999999999</v>
      </c>
      <c r="G801" s="8">
        <f>CHOOSE( CONTROL!$C$32, 30.7714, 30.7683) * CHOOSE( CONTROL!$C$15, $D$11, 100%, $F$11)</f>
        <v>30.7714</v>
      </c>
      <c r="H801" s="4">
        <f>CHOOSE( CONTROL!$C$32, 31.7032, 31.7) * CHOOSE(CONTROL!$C$15, $D$11, 100%, $F$11)</f>
        <v>31.703199999999999</v>
      </c>
      <c r="I801" s="8">
        <f>CHOOSE( CONTROL!$C$32, 30.3547, 30.3516) * CHOOSE(CONTROL!$C$15, $D$11, 100%, $F$11)</f>
        <v>30.354700000000001</v>
      </c>
      <c r="J801" s="4">
        <f>CHOOSE( CONTROL!$C$32, 30.2493, 30.2462) * CHOOSE(CONTROL!$C$15, $D$11, 100%, $F$11)</f>
        <v>30.249300000000002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1.2183999999999999</v>
      </c>
      <c r="Q801" s="9">
        <v>19.688099999999999</v>
      </c>
      <c r="R801" s="9"/>
      <c r="S801" s="11"/>
    </row>
    <row r="802" spans="1:19" ht="15.75">
      <c r="A802" s="13">
        <v>65927</v>
      </c>
      <c r="B802" s="8">
        <f>CHOOSE( CONTROL!$C$32, 30.8205, 30.8173) * CHOOSE(CONTROL!$C$15, $D$11, 100%, $F$11)</f>
        <v>30.820499999999999</v>
      </c>
      <c r="C802" s="8">
        <f>CHOOSE( CONTROL!$C$32, 30.8286, 30.8254) * CHOOSE(CONTROL!$C$15, $D$11, 100%, $F$11)</f>
        <v>30.828600000000002</v>
      </c>
      <c r="D802" s="8">
        <f>CHOOSE( CONTROL!$C$32, 30.8312, 30.828) * CHOOSE( CONTROL!$C$15, $D$11, 100%, $F$11)</f>
        <v>30.831199999999999</v>
      </c>
      <c r="E802" s="12">
        <f>CHOOSE( CONTROL!$C$32, 30.829, 30.8258) * CHOOSE( CONTROL!$C$15, $D$11, 100%, $F$11)</f>
        <v>30.829000000000001</v>
      </c>
      <c r="F802" s="4">
        <f>CHOOSE( CONTROL!$C$32, 31.5021, 31.4989) * CHOOSE(CONTROL!$C$15, $D$11, 100%, $F$11)</f>
        <v>31.502099999999999</v>
      </c>
      <c r="G802" s="8">
        <f>CHOOSE( CONTROL!$C$32, 30.2771, 30.274) * CHOOSE( CONTROL!$C$15, $D$11, 100%, $F$11)</f>
        <v>30.277100000000001</v>
      </c>
      <c r="H802" s="4">
        <f>CHOOSE( CONTROL!$C$32, 31.2085, 31.2053) * CHOOSE(CONTROL!$C$15, $D$11, 100%, $F$11)</f>
        <v>31.208500000000001</v>
      </c>
      <c r="I802" s="8">
        <f>CHOOSE( CONTROL!$C$32, 29.8696, 29.8665) * CHOOSE(CONTROL!$C$15, $D$11, 100%, $F$11)</f>
        <v>29.869599999999998</v>
      </c>
      <c r="J802" s="4">
        <f>CHOOSE( CONTROL!$C$32, 29.763, 29.7599) * CHOOSE(CONTROL!$C$15, $D$11, 100%, $F$11)</f>
        <v>29.763000000000002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1.1791</v>
      </c>
      <c r="Q802" s="9">
        <v>19.053000000000001</v>
      </c>
      <c r="R802" s="9"/>
      <c r="S802" s="11"/>
    </row>
    <row r="803" spans="1:19" ht="15.75">
      <c r="A803" s="13">
        <v>65958</v>
      </c>
      <c r="B803" s="8">
        <f>CHOOSE( CONTROL!$C$32, 32.1452, 32.142) * CHOOSE(CONTROL!$C$15, $D$11, 100%, $F$11)</f>
        <v>32.145200000000003</v>
      </c>
      <c r="C803" s="8">
        <f>CHOOSE( CONTROL!$C$32, 32.1533, 32.1501) * CHOOSE(CONTROL!$C$15, $D$11, 100%, $F$11)</f>
        <v>32.153300000000002</v>
      </c>
      <c r="D803" s="8">
        <f>CHOOSE( CONTROL!$C$32, 32.1562, 32.153) * CHOOSE( CONTROL!$C$15, $D$11, 100%, $F$11)</f>
        <v>32.156199999999998</v>
      </c>
      <c r="E803" s="12">
        <f>CHOOSE( CONTROL!$C$32, 32.1539, 32.1507) * CHOOSE( CONTROL!$C$15, $D$11, 100%, $F$11)</f>
        <v>32.1539</v>
      </c>
      <c r="F803" s="4">
        <f>CHOOSE( CONTROL!$C$32, 32.8268, 32.8236) * CHOOSE(CONTROL!$C$15, $D$11, 100%, $F$11)</f>
        <v>32.826799999999999</v>
      </c>
      <c r="G803" s="8">
        <f>CHOOSE( CONTROL!$C$32, 31.5803, 31.5772) * CHOOSE( CONTROL!$C$15, $D$11, 100%, $F$11)</f>
        <v>31.580300000000001</v>
      </c>
      <c r="H803" s="4">
        <f>CHOOSE( CONTROL!$C$32, 32.5112, 32.5081) * CHOOSE(CONTROL!$C$15, $D$11, 100%, $F$11)</f>
        <v>32.511200000000002</v>
      </c>
      <c r="I803" s="8">
        <f>CHOOSE( CONTROL!$C$32, 31.1522, 31.1492) * CHOOSE(CONTROL!$C$15, $D$11, 100%, $F$11)</f>
        <v>31.152200000000001</v>
      </c>
      <c r="J803" s="4">
        <f>CHOOSE( CONTROL!$C$32, 31.0436, 31.0405) * CHOOSE(CONTROL!$C$15, $D$11, 100%, $F$11)</f>
        <v>31.043600000000001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65989</v>
      </c>
      <c r="B804" s="8">
        <f>CHOOSE( CONTROL!$C$32, 29.6666, 29.6634) * CHOOSE(CONTROL!$C$15, $D$11, 100%, $F$11)</f>
        <v>29.666599999999999</v>
      </c>
      <c r="C804" s="8">
        <f>CHOOSE( CONTROL!$C$32, 29.6746, 29.6714) * CHOOSE(CONTROL!$C$15, $D$11, 100%, $F$11)</f>
        <v>29.674600000000002</v>
      </c>
      <c r="D804" s="8">
        <f>CHOOSE( CONTROL!$C$32, 29.6777, 29.6745) * CHOOSE( CONTROL!$C$15, $D$11, 100%, $F$11)</f>
        <v>29.677700000000002</v>
      </c>
      <c r="E804" s="12">
        <f>CHOOSE( CONTROL!$C$32, 29.6754, 29.6722) * CHOOSE( CONTROL!$C$15, $D$11, 100%, $F$11)</f>
        <v>29.6754</v>
      </c>
      <c r="F804" s="4">
        <f>CHOOSE( CONTROL!$C$32, 30.3481, 30.3449) * CHOOSE(CONTROL!$C$15, $D$11, 100%, $F$11)</f>
        <v>30.348099999999999</v>
      </c>
      <c r="G804" s="8">
        <f>CHOOSE( CONTROL!$C$32, 29.143, 29.1399) * CHOOSE( CONTROL!$C$15, $D$11, 100%, $F$11)</f>
        <v>29.143000000000001</v>
      </c>
      <c r="H804" s="4">
        <f>CHOOSE( CONTROL!$C$32, 30.0737, 30.0705) * CHOOSE(CONTROL!$C$15, $D$11, 100%, $F$11)</f>
        <v>30.073699999999999</v>
      </c>
      <c r="I804" s="8">
        <f>CHOOSE( CONTROL!$C$32, 28.7557, 28.7526) * CHOOSE(CONTROL!$C$15, $D$11, 100%, $F$11)</f>
        <v>28.755700000000001</v>
      </c>
      <c r="J804" s="4">
        <f>CHOOSE( CONTROL!$C$32, 28.6475, 28.6444) * CHOOSE(CONTROL!$C$15, $D$11, 100%, $F$11)</f>
        <v>28.647500000000001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1.2183999999999999</v>
      </c>
      <c r="Q804" s="9">
        <v>19.688099999999999</v>
      </c>
      <c r="R804" s="9"/>
      <c r="S804" s="11"/>
    </row>
    <row r="805" spans="1:19" ht="15.75">
      <c r="A805" s="13">
        <v>66019</v>
      </c>
      <c r="B805" s="8">
        <f>CHOOSE( CONTROL!$C$32, 29.0459, 29.0427) * CHOOSE(CONTROL!$C$15, $D$11, 100%, $F$11)</f>
        <v>29.0459</v>
      </c>
      <c r="C805" s="8">
        <f>CHOOSE( CONTROL!$C$32, 29.0539, 29.0507) * CHOOSE(CONTROL!$C$15, $D$11, 100%, $F$11)</f>
        <v>29.053899999999999</v>
      </c>
      <c r="D805" s="8">
        <f>CHOOSE( CONTROL!$C$32, 29.057, 29.0538) * CHOOSE( CONTROL!$C$15, $D$11, 100%, $F$11)</f>
        <v>29.056999999999999</v>
      </c>
      <c r="E805" s="12">
        <f>CHOOSE( CONTROL!$C$32, 29.0547, 29.0515) * CHOOSE( CONTROL!$C$15, $D$11, 100%, $F$11)</f>
        <v>29.0547</v>
      </c>
      <c r="F805" s="4">
        <f>CHOOSE( CONTROL!$C$32, 29.7275, 29.7243) * CHOOSE(CONTROL!$C$15, $D$11, 100%, $F$11)</f>
        <v>29.727499999999999</v>
      </c>
      <c r="G805" s="8">
        <f>CHOOSE( CONTROL!$C$32, 28.5327, 28.5295) * CHOOSE( CONTROL!$C$15, $D$11, 100%, $F$11)</f>
        <v>28.532699999999998</v>
      </c>
      <c r="H805" s="4">
        <f>CHOOSE( CONTROL!$C$32, 29.4633, 29.4601) * CHOOSE(CONTROL!$C$15, $D$11, 100%, $F$11)</f>
        <v>29.4633</v>
      </c>
      <c r="I805" s="8">
        <f>CHOOSE( CONTROL!$C$32, 28.1556, 28.1525) * CHOOSE(CONTROL!$C$15, $D$11, 100%, $F$11)</f>
        <v>28.1556</v>
      </c>
      <c r="J805" s="4">
        <f>CHOOSE( CONTROL!$C$32, 28.0475, 28.0444) * CHOOSE(CONTROL!$C$15, $D$11, 100%, $F$11)</f>
        <v>28.047499999999999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1.1791</v>
      </c>
      <c r="Q805" s="9">
        <v>19.053000000000001</v>
      </c>
      <c r="R805" s="9"/>
      <c r="S805" s="11"/>
    </row>
    <row r="806" spans="1:19" ht="15.75">
      <c r="A806" s="13">
        <v>66050</v>
      </c>
      <c r="B806" s="8">
        <f>30.3297 * CHOOSE(CONTROL!$C$15, $D$11, 100%, $F$11)</f>
        <v>30.329699999999999</v>
      </c>
      <c r="C806" s="8">
        <f>30.3351 * CHOOSE(CONTROL!$C$15, $D$11, 100%, $F$11)</f>
        <v>30.335100000000001</v>
      </c>
      <c r="D806" s="8">
        <f>30.343 * CHOOSE( CONTROL!$C$15, $D$11, 100%, $F$11)</f>
        <v>30.343</v>
      </c>
      <c r="E806" s="12">
        <f>30.3398 * CHOOSE( CONTROL!$C$15, $D$11, 100%, $F$11)</f>
        <v>30.3398</v>
      </c>
      <c r="F806" s="4">
        <f>31.013 * CHOOSE(CONTROL!$C$15, $D$11, 100%, $F$11)</f>
        <v>31.013000000000002</v>
      </c>
      <c r="G806" s="8">
        <f>29.7964 * CHOOSE( CONTROL!$C$15, $D$11, 100%, $F$11)</f>
        <v>29.796399999999998</v>
      </c>
      <c r="H806" s="4">
        <f>30.7275 * CHOOSE(CONTROL!$C$15, $D$11, 100%, $F$11)</f>
        <v>30.727499999999999</v>
      </c>
      <c r="I806" s="8">
        <f>29.3995 * CHOOSE(CONTROL!$C$15, $D$11, 100%, $F$11)</f>
        <v>29.3995</v>
      </c>
      <c r="J806" s="4">
        <f>29.2902 * CHOOSE(CONTROL!$C$15, $D$11, 100%, $F$11)</f>
        <v>29.290199999999999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1.2183999999999999</v>
      </c>
      <c r="Q806" s="9">
        <v>19.688099999999999</v>
      </c>
      <c r="R806" s="9"/>
      <c r="S806" s="11"/>
    </row>
    <row r="807" spans="1:19" ht="15.75">
      <c r="A807" s="13">
        <v>66080</v>
      </c>
      <c r="B807" s="8">
        <f>32.7081 * CHOOSE(CONTROL!$C$15, $D$11, 100%, $F$11)</f>
        <v>32.708100000000002</v>
      </c>
      <c r="C807" s="8">
        <f>32.7132 * CHOOSE(CONTROL!$C$15, $D$11, 100%, $F$11)</f>
        <v>32.713200000000001</v>
      </c>
      <c r="D807" s="8">
        <f>32.6907 * CHOOSE( CONTROL!$C$15, $D$11, 100%, $F$11)</f>
        <v>32.6907</v>
      </c>
      <c r="E807" s="12">
        <f>32.6984 * CHOOSE( CONTROL!$C$15, $D$11, 100%, $F$11)</f>
        <v>32.698399999999999</v>
      </c>
      <c r="F807" s="4">
        <f>33.353 * CHOOSE(CONTROL!$C$15, $D$11, 100%, $F$11)</f>
        <v>33.353000000000002</v>
      </c>
      <c r="G807" s="8">
        <f>32.1483 * CHOOSE( CONTROL!$C$15, $D$11, 100%, $F$11)</f>
        <v>32.148299999999999</v>
      </c>
      <c r="H807" s="4">
        <f>33.0287 * CHOOSE(CONTROL!$C$15, $D$11, 100%, $F$11)</f>
        <v>33.028700000000001</v>
      </c>
      <c r="I807" s="8">
        <f>31.7259 * CHOOSE(CONTROL!$C$15, $D$11, 100%, $F$11)</f>
        <v>31.725899999999999</v>
      </c>
      <c r="J807" s="4">
        <f>31.5897 * CHOOSE(CONTROL!$C$15, $D$11, 100%, $F$11)</f>
        <v>31.589700000000001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66111</v>
      </c>
      <c r="B808" s="8">
        <f>32.6487 * CHOOSE(CONTROL!$C$15, $D$11, 100%, $F$11)</f>
        <v>32.648699999999998</v>
      </c>
      <c r="C808" s="8">
        <f>32.6538 * CHOOSE(CONTROL!$C$15, $D$11, 100%, $F$11)</f>
        <v>32.653799999999997</v>
      </c>
      <c r="D808" s="8">
        <f>32.6327 * CHOOSE( CONTROL!$C$15, $D$11, 100%, $F$11)</f>
        <v>32.6327</v>
      </c>
      <c r="E808" s="12">
        <f>32.6399 * CHOOSE( CONTROL!$C$15, $D$11, 100%, $F$11)</f>
        <v>32.639899999999997</v>
      </c>
      <c r="F808" s="4">
        <f>33.2935 * CHOOSE(CONTROL!$C$15, $D$11, 100%, $F$11)</f>
        <v>33.293500000000002</v>
      </c>
      <c r="G808" s="8">
        <f>32.091 * CHOOSE( CONTROL!$C$15, $D$11, 100%, $F$11)</f>
        <v>32.091000000000001</v>
      </c>
      <c r="H808" s="4">
        <f>32.9702 * CHOOSE(CONTROL!$C$15, $D$11, 100%, $F$11)</f>
        <v>32.970199999999998</v>
      </c>
      <c r="I808" s="8">
        <f>31.673 * CHOOSE(CONTROL!$C$15, $D$11, 100%, $F$11)</f>
        <v>31.672999999999998</v>
      </c>
      <c r="J808" s="4">
        <f>31.5323 * CHOOSE(CONTROL!$C$15, $D$11, 100%, $F$11)</f>
        <v>31.532299999999999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66142</v>
      </c>
      <c r="B809" s="8">
        <f>33.8953 * CHOOSE(CONTROL!$C$15, $D$11, 100%, $F$11)</f>
        <v>33.895299999999999</v>
      </c>
      <c r="C809" s="8">
        <f>33.9004 * CHOOSE(CONTROL!$C$15, $D$11, 100%, $F$11)</f>
        <v>33.900399999999998</v>
      </c>
      <c r="D809" s="8">
        <f>33.8784 * CHOOSE( CONTROL!$C$15, $D$11, 100%, $F$11)</f>
        <v>33.878399999999999</v>
      </c>
      <c r="E809" s="12">
        <f>33.8859 * CHOOSE( CONTROL!$C$15, $D$11, 100%, $F$11)</f>
        <v>33.885899999999999</v>
      </c>
      <c r="F809" s="4">
        <f>34.5402 * CHOOSE(CONTROL!$C$15, $D$11, 100%, $F$11)</f>
        <v>34.540199999999999</v>
      </c>
      <c r="G809" s="8">
        <f>33.3144 * CHOOSE( CONTROL!$C$15, $D$11, 100%, $F$11)</f>
        <v>33.314399999999999</v>
      </c>
      <c r="H809" s="4">
        <f>34.1962 * CHOOSE(CONTROL!$C$15, $D$11, 100%, $F$11)</f>
        <v>34.196199999999997</v>
      </c>
      <c r="I809" s="8">
        <f>32.8505 * CHOOSE(CONTROL!$C$15, $D$11, 100%, $F$11)</f>
        <v>32.850499999999997</v>
      </c>
      <c r="J809" s="4">
        <f>32.7374 * CHOOSE(CONTROL!$C$15, $D$11, 100%, $F$11)</f>
        <v>32.737400000000001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66170</v>
      </c>
      <c r="B810" s="8">
        <f>31.706 * CHOOSE(CONTROL!$C$15, $D$11, 100%, $F$11)</f>
        <v>31.706</v>
      </c>
      <c r="C810" s="8">
        <f>31.7111 * CHOOSE(CONTROL!$C$15, $D$11, 100%, $F$11)</f>
        <v>31.711099999999998</v>
      </c>
      <c r="D810" s="8">
        <f>31.6847 * CHOOSE( CONTROL!$C$15, $D$11, 100%, $F$11)</f>
        <v>31.684699999999999</v>
      </c>
      <c r="E810" s="12">
        <f>31.6938 * CHOOSE( CONTROL!$C$15, $D$11, 100%, $F$11)</f>
        <v>31.6938</v>
      </c>
      <c r="F810" s="4">
        <f>32.3509 * CHOOSE(CONTROL!$C$15, $D$11, 100%, $F$11)</f>
        <v>32.350900000000003</v>
      </c>
      <c r="G810" s="8">
        <f>31.1529 * CHOOSE( CONTROL!$C$15, $D$11, 100%, $F$11)</f>
        <v>31.152899999999999</v>
      </c>
      <c r="H810" s="4">
        <f>32.0432 * CHOOSE(CONTROL!$C$15, $D$11, 100%, $F$11)</f>
        <v>32.043199999999999</v>
      </c>
      <c r="I810" s="8">
        <f>30.704 * CHOOSE(CONTROL!$C$15, $D$11, 100%, $F$11)</f>
        <v>30.704000000000001</v>
      </c>
      <c r="J810" s="4">
        <f>30.621 * CHOOSE(CONTROL!$C$15, $D$11, 100%, $F$11)</f>
        <v>30.620999999999999</v>
      </c>
      <c r="K810" s="4"/>
      <c r="L810" s="9">
        <v>26.469899999999999</v>
      </c>
      <c r="M810" s="9">
        <v>10.8962</v>
      </c>
      <c r="N810" s="9">
        <v>4.4660000000000002</v>
      </c>
      <c r="O810" s="9">
        <v>0.33789999999999998</v>
      </c>
      <c r="P810" s="9">
        <v>1.1676</v>
      </c>
      <c r="Q810" s="9">
        <v>17.782800000000002</v>
      </c>
      <c r="R810" s="9"/>
      <c r="S810" s="11"/>
    </row>
    <row r="811" spans="1:19" ht="15.75">
      <c r="A811" s="13">
        <v>66201</v>
      </c>
      <c r="B811" s="8">
        <f>31.0317 * CHOOSE(CONTROL!$C$15, $D$11, 100%, $F$11)</f>
        <v>31.031700000000001</v>
      </c>
      <c r="C811" s="8">
        <f>31.0368 * CHOOSE(CONTROL!$C$15, $D$11, 100%, $F$11)</f>
        <v>31.036799999999999</v>
      </c>
      <c r="D811" s="8">
        <f>31.0108 * CHOOSE( CONTROL!$C$15, $D$11, 100%, $F$11)</f>
        <v>31.0108</v>
      </c>
      <c r="E811" s="12">
        <f>31.0198 * CHOOSE( CONTROL!$C$15, $D$11, 100%, $F$11)</f>
        <v>31.0198</v>
      </c>
      <c r="F811" s="4">
        <f>31.6766 * CHOOSE(CONTROL!$C$15, $D$11, 100%, $F$11)</f>
        <v>31.676600000000001</v>
      </c>
      <c r="G811" s="8">
        <f>30.49 * CHOOSE( CONTROL!$C$15, $D$11, 100%, $F$11)</f>
        <v>30.49</v>
      </c>
      <c r="H811" s="4">
        <f>31.3801 * CHOOSE(CONTROL!$C$15, $D$11, 100%, $F$11)</f>
        <v>31.380099999999999</v>
      </c>
      <c r="I811" s="8">
        <f>30.0531 * CHOOSE(CONTROL!$C$15, $D$11, 100%, $F$11)</f>
        <v>30.053100000000001</v>
      </c>
      <c r="J811" s="4">
        <f>29.9692 * CHOOSE(CONTROL!$C$15, $D$11, 100%, $F$11)</f>
        <v>29.969200000000001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66231</v>
      </c>
      <c r="B812" s="8">
        <f>31.5036 * CHOOSE(CONTROL!$C$15, $D$11, 100%, $F$11)</f>
        <v>31.503599999999999</v>
      </c>
      <c r="C812" s="8">
        <f>31.5082 * CHOOSE(CONTROL!$C$15, $D$11, 100%, $F$11)</f>
        <v>31.508199999999999</v>
      </c>
      <c r="D812" s="8">
        <f>31.5154 * CHOOSE( CONTROL!$C$15, $D$11, 100%, $F$11)</f>
        <v>31.5154</v>
      </c>
      <c r="E812" s="12">
        <f>31.5125 * CHOOSE( CONTROL!$C$15, $D$11, 100%, $F$11)</f>
        <v>31.512499999999999</v>
      </c>
      <c r="F812" s="4">
        <f>32.1866 * CHOOSE(CONTROL!$C$15, $D$11, 100%, $F$11)</f>
        <v>32.186599999999999</v>
      </c>
      <c r="G812" s="8">
        <f>30.9487 * CHOOSE( CONTROL!$C$15, $D$11, 100%, $F$11)</f>
        <v>30.948699999999999</v>
      </c>
      <c r="H812" s="4">
        <f>31.8816 * CHOOSE(CONTROL!$C$15, $D$11, 100%, $F$11)</f>
        <v>31.881599999999999</v>
      </c>
      <c r="I812" s="8">
        <f>30.5286 * CHOOSE(CONTROL!$C$15, $D$11, 100%, $F$11)</f>
        <v>30.528600000000001</v>
      </c>
      <c r="J812" s="4">
        <f>30.4247 * CHOOSE(CONTROL!$C$15, $D$11, 100%, $F$11)</f>
        <v>30.424700000000001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1.1791</v>
      </c>
      <c r="Q812" s="9">
        <v>19.053000000000001</v>
      </c>
      <c r="R812" s="9"/>
      <c r="S812" s="11"/>
    </row>
    <row r="813" spans="1:19" ht="15.75">
      <c r="A813" s="13">
        <v>66262</v>
      </c>
      <c r="B813" s="8">
        <f>CHOOSE( CONTROL!$C$32, 32.3468, 32.3436) * CHOOSE(CONTROL!$C$15, $D$11, 100%, $F$11)</f>
        <v>32.346800000000002</v>
      </c>
      <c r="C813" s="8">
        <f>CHOOSE( CONTROL!$C$32, 32.3548, 32.3516) * CHOOSE(CONTROL!$C$15, $D$11, 100%, $F$11)</f>
        <v>32.354799999999997</v>
      </c>
      <c r="D813" s="8">
        <f>CHOOSE( CONTROL!$C$32, 32.3572, 32.354) * CHOOSE( CONTROL!$C$15, $D$11, 100%, $F$11)</f>
        <v>32.357199999999999</v>
      </c>
      <c r="E813" s="12">
        <f>CHOOSE( CONTROL!$C$32, 32.3551, 32.3519) * CHOOSE( CONTROL!$C$15, $D$11, 100%, $F$11)</f>
        <v>32.3551</v>
      </c>
      <c r="F813" s="4">
        <f>CHOOSE( CONTROL!$C$32, 33.0284, 33.0252) * CHOOSE(CONTROL!$C$15, $D$11, 100%, $F$11)</f>
        <v>33.028399999999998</v>
      </c>
      <c r="G813" s="8">
        <f>CHOOSE( CONTROL!$C$32, 31.7777, 31.7745) * CHOOSE( CONTROL!$C$15, $D$11, 100%, $F$11)</f>
        <v>31.777699999999999</v>
      </c>
      <c r="H813" s="4">
        <f>CHOOSE( CONTROL!$C$32, 32.7095, 32.7063) * CHOOSE(CONTROL!$C$15, $D$11, 100%, $F$11)</f>
        <v>32.709499999999998</v>
      </c>
      <c r="I813" s="8">
        <f>CHOOSE( CONTROL!$C$32, 31.3444, 31.3413) * CHOOSE(CONTROL!$C$15, $D$11, 100%, $F$11)</f>
        <v>31.3444</v>
      </c>
      <c r="J813" s="4">
        <f>CHOOSE( CONTROL!$C$32, 31.2384, 31.2353) * CHOOSE(CONTROL!$C$15, $D$11, 100%, $F$11)</f>
        <v>31.238399999999999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1.2183999999999999</v>
      </c>
      <c r="Q813" s="9">
        <v>19.688099999999999</v>
      </c>
      <c r="R813" s="9"/>
      <c r="S813" s="11"/>
    </row>
    <row r="814" spans="1:19" ht="15.75">
      <c r="A814" s="13">
        <v>66292</v>
      </c>
      <c r="B814" s="8">
        <f>CHOOSE( CONTROL!$C$32, 31.8273, 31.8241) * CHOOSE(CONTROL!$C$15, $D$11, 100%, $F$11)</f>
        <v>31.827300000000001</v>
      </c>
      <c r="C814" s="8">
        <f>CHOOSE( CONTROL!$C$32, 31.8353, 31.8321) * CHOOSE(CONTROL!$C$15, $D$11, 100%, $F$11)</f>
        <v>31.8353</v>
      </c>
      <c r="D814" s="8">
        <f>CHOOSE( CONTROL!$C$32, 31.838, 31.8348) * CHOOSE( CONTROL!$C$15, $D$11, 100%, $F$11)</f>
        <v>31.838000000000001</v>
      </c>
      <c r="E814" s="12">
        <f>CHOOSE( CONTROL!$C$32, 31.8358, 31.8326) * CHOOSE( CONTROL!$C$15, $D$11, 100%, $F$11)</f>
        <v>31.835799999999999</v>
      </c>
      <c r="F814" s="4">
        <f>CHOOSE( CONTROL!$C$32, 32.5089, 32.5057) * CHOOSE(CONTROL!$C$15, $D$11, 100%, $F$11)</f>
        <v>32.508899999999997</v>
      </c>
      <c r="G814" s="8">
        <f>CHOOSE( CONTROL!$C$32, 31.2672, 31.2641) * CHOOSE( CONTROL!$C$15, $D$11, 100%, $F$11)</f>
        <v>31.267199999999999</v>
      </c>
      <c r="H814" s="4">
        <f>CHOOSE( CONTROL!$C$32, 32.1986, 32.1954) * CHOOSE(CONTROL!$C$15, $D$11, 100%, $F$11)</f>
        <v>32.198599999999999</v>
      </c>
      <c r="I814" s="8">
        <f>CHOOSE( CONTROL!$C$32, 30.8433, 30.8402) * CHOOSE(CONTROL!$C$15, $D$11, 100%, $F$11)</f>
        <v>30.843299999999999</v>
      </c>
      <c r="J814" s="4">
        <f>CHOOSE( CONTROL!$C$32, 30.7362, 30.7332) * CHOOSE(CONTROL!$C$15, $D$11, 100%, $F$11)</f>
        <v>30.7362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1.1791</v>
      </c>
      <c r="Q814" s="9">
        <v>19.053000000000001</v>
      </c>
      <c r="R814" s="9"/>
      <c r="S814" s="11"/>
    </row>
    <row r="815" spans="1:19" ht="15.75">
      <c r="A815" s="13">
        <v>66323</v>
      </c>
      <c r="B815" s="8">
        <f>CHOOSE( CONTROL!$C$32, 33.1953, 33.1921) * CHOOSE(CONTROL!$C$15, $D$11, 100%, $F$11)</f>
        <v>33.195300000000003</v>
      </c>
      <c r="C815" s="8">
        <f>CHOOSE( CONTROL!$C$32, 33.2034, 33.2002) * CHOOSE(CONTROL!$C$15, $D$11, 100%, $F$11)</f>
        <v>33.203400000000002</v>
      </c>
      <c r="D815" s="8">
        <f>CHOOSE( CONTROL!$C$32, 33.2063, 33.2031) * CHOOSE( CONTROL!$C$15, $D$11, 100%, $F$11)</f>
        <v>33.206299999999999</v>
      </c>
      <c r="E815" s="12">
        <f>CHOOSE( CONTROL!$C$32, 33.204, 33.2008) * CHOOSE( CONTROL!$C$15, $D$11, 100%, $F$11)</f>
        <v>33.204000000000001</v>
      </c>
      <c r="F815" s="4">
        <f>CHOOSE( CONTROL!$C$32, 33.8769, 33.8737) * CHOOSE(CONTROL!$C$15, $D$11, 100%, $F$11)</f>
        <v>33.876899999999999</v>
      </c>
      <c r="G815" s="8">
        <f>CHOOSE( CONTROL!$C$32, 32.613, 32.6099) * CHOOSE( CONTROL!$C$15, $D$11, 100%, $F$11)</f>
        <v>32.613</v>
      </c>
      <c r="H815" s="4">
        <f>CHOOSE( CONTROL!$C$32, 33.5439, 33.5408) * CHOOSE(CONTROL!$C$15, $D$11, 100%, $F$11)</f>
        <v>33.543900000000001</v>
      </c>
      <c r="I815" s="8">
        <f>CHOOSE( CONTROL!$C$32, 32.1679, 32.1648) * CHOOSE(CONTROL!$C$15, $D$11, 100%, $F$11)</f>
        <v>32.167900000000003</v>
      </c>
      <c r="J815" s="4">
        <f>CHOOSE( CONTROL!$C$32, 32.0587, 32.0556) * CHOOSE(CONTROL!$C$15, $D$11, 100%, $F$11)</f>
        <v>32.058700000000002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66354</v>
      </c>
      <c r="B816" s="8">
        <f>CHOOSE( CONTROL!$C$32, 30.6356, 30.6324) * CHOOSE(CONTROL!$C$15, $D$11, 100%, $F$11)</f>
        <v>30.6356</v>
      </c>
      <c r="C816" s="8">
        <f>CHOOSE( CONTROL!$C$32, 30.6437, 30.6405) * CHOOSE(CONTROL!$C$15, $D$11, 100%, $F$11)</f>
        <v>30.643699999999999</v>
      </c>
      <c r="D816" s="8">
        <f>CHOOSE( CONTROL!$C$32, 30.6467, 30.6435) * CHOOSE( CONTROL!$C$15, $D$11, 100%, $F$11)</f>
        <v>30.646699999999999</v>
      </c>
      <c r="E816" s="12">
        <f>CHOOSE( CONTROL!$C$32, 30.6444, 30.6412) * CHOOSE( CONTROL!$C$15, $D$11, 100%, $F$11)</f>
        <v>30.644400000000001</v>
      </c>
      <c r="F816" s="4">
        <f>CHOOSE( CONTROL!$C$32, 31.3172, 31.314) * CHOOSE(CONTROL!$C$15, $D$11, 100%, $F$11)</f>
        <v>31.3172</v>
      </c>
      <c r="G816" s="8">
        <f>CHOOSE( CONTROL!$C$32, 30.096, 30.0929) * CHOOSE( CONTROL!$C$15, $D$11, 100%, $F$11)</f>
        <v>30.096</v>
      </c>
      <c r="H816" s="4">
        <f>CHOOSE( CONTROL!$C$32, 31.0267, 31.0235) * CHOOSE(CONTROL!$C$15, $D$11, 100%, $F$11)</f>
        <v>31.026700000000002</v>
      </c>
      <c r="I816" s="8">
        <f>CHOOSE( CONTROL!$C$32, 29.693, 29.6899) * CHOOSE(CONTROL!$C$15, $D$11, 100%, $F$11)</f>
        <v>29.693000000000001</v>
      </c>
      <c r="J816" s="4">
        <f>CHOOSE( CONTROL!$C$32, 29.5842, 29.5812) * CHOOSE(CONTROL!$C$15, $D$11, 100%, $F$11)</f>
        <v>29.584199999999999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1.2183999999999999</v>
      </c>
      <c r="Q816" s="9">
        <v>19.688099999999999</v>
      </c>
      <c r="R816" s="9"/>
      <c r="S816" s="11"/>
    </row>
    <row r="817" spans="1:19" ht="15.75">
      <c r="A817" s="13">
        <v>66384</v>
      </c>
      <c r="B817" s="8">
        <f>CHOOSE( CONTROL!$C$32, 29.9947, 29.9915) * CHOOSE(CONTROL!$C$15, $D$11, 100%, $F$11)</f>
        <v>29.994700000000002</v>
      </c>
      <c r="C817" s="8">
        <f>CHOOSE( CONTROL!$C$32, 30.0027, 29.9995) * CHOOSE(CONTROL!$C$15, $D$11, 100%, $F$11)</f>
        <v>30.002700000000001</v>
      </c>
      <c r="D817" s="8">
        <f>CHOOSE( CONTROL!$C$32, 30.0058, 30.0026) * CHOOSE( CONTROL!$C$15, $D$11, 100%, $F$11)</f>
        <v>30.005800000000001</v>
      </c>
      <c r="E817" s="12">
        <f>CHOOSE( CONTROL!$C$32, 30.0035, 30.0003) * CHOOSE( CONTROL!$C$15, $D$11, 100%, $F$11)</f>
        <v>30.003499999999999</v>
      </c>
      <c r="F817" s="4">
        <f>CHOOSE( CONTROL!$C$32, 30.6762, 30.673) * CHOOSE(CONTROL!$C$15, $D$11, 100%, $F$11)</f>
        <v>30.676200000000001</v>
      </c>
      <c r="G817" s="8">
        <f>CHOOSE( CONTROL!$C$32, 29.4657, 29.4625) * CHOOSE( CONTROL!$C$15, $D$11, 100%, $F$11)</f>
        <v>29.465699999999998</v>
      </c>
      <c r="H817" s="4">
        <f>CHOOSE( CONTROL!$C$32, 30.3963, 30.3932) * CHOOSE(CONTROL!$C$15, $D$11, 100%, $F$11)</f>
        <v>30.3963</v>
      </c>
      <c r="I817" s="8">
        <f>CHOOSE( CONTROL!$C$32, 29.0732, 29.0701) * CHOOSE(CONTROL!$C$15, $D$11, 100%, $F$11)</f>
        <v>29.0732</v>
      </c>
      <c r="J817" s="4">
        <f>CHOOSE( CONTROL!$C$32, 28.9646, 28.9615) * CHOOSE(CONTROL!$C$15, $D$11, 100%, $F$11)</f>
        <v>28.964600000000001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1.1791</v>
      </c>
      <c r="Q817" s="9">
        <v>19.053000000000001</v>
      </c>
      <c r="R817" s="9"/>
      <c r="S817" s="11"/>
    </row>
    <row r="818" spans="1:19" ht="15.75">
      <c r="A818" s="13">
        <v>66415</v>
      </c>
      <c r="B818" s="8">
        <f>31.3206 * CHOOSE(CONTROL!$C$15, $D$11, 100%, $F$11)</f>
        <v>31.320599999999999</v>
      </c>
      <c r="C818" s="8">
        <f>31.326 * CHOOSE(CONTROL!$C$15, $D$11, 100%, $F$11)</f>
        <v>31.326000000000001</v>
      </c>
      <c r="D818" s="8">
        <f>31.3339 * CHOOSE( CONTROL!$C$15, $D$11, 100%, $F$11)</f>
        <v>31.3339</v>
      </c>
      <c r="E818" s="12">
        <f>31.3307 * CHOOSE( CONTROL!$C$15, $D$11, 100%, $F$11)</f>
        <v>31.3307</v>
      </c>
      <c r="F818" s="4">
        <f>32.0039 * CHOOSE(CONTROL!$C$15, $D$11, 100%, $F$11)</f>
        <v>32.003900000000002</v>
      </c>
      <c r="G818" s="8">
        <f>30.7709 * CHOOSE( CONTROL!$C$15, $D$11, 100%, $F$11)</f>
        <v>30.770900000000001</v>
      </c>
      <c r="H818" s="4">
        <f>31.702 * CHOOSE(CONTROL!$C$15, $D$11, 100%, $F$11)</f>
        <v>31.702000000000002</v>
      </c>
      <c r="I818" s="8">
        <f>30.3579 * CHOOSE(CONTROL!$C$15, $D$11, 100%, $F$11)</f>
        <v>30.357900000000001</v>
      </c>
      <c r="J818" s="4">
        <f>30.2481 * CHOOSE(CONTROL!$C$15, $D$11, 100%, $F$11)</f>
        <v>30.248100000000001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1.2183999999999999</v>
      </c>
      <c r="Q818" s="9">
        <v>19.688099999999999</v>
      </c>
      <c r="R818" s="9"/>
      <c r="S818" s="11"/>
    </row>
    <row r="819" spans="1:19" ht="15.75">
      <c r="A819" s="13">
        <v>66445</v>
      </c>
      <c r="B819" s="8">
        <f>33.7768 * CHOOSE(CONTROL!$C$15, $D$11, 100%, $F$11)</f>
        <v>33.776800000000001</v>
      </c>
      <c r="C819" s="8">
        <f>33.7819 * CHOOSE(CONTROL!$C$15, $D$11, 100%, $F$11)</f>
        <v>33.7819</v>
      </c>
      <c r="D819" s="8">
        <f>33.7594 * CHOOSE( CONTROL!$C$15, $D$11, 100%, $F$11)</f>
        <v>33.759399999999999</v>
      </c>
      <c r="E819" s="12">
        <f>33.7671 * CHOOSE( CONTROL!$C$15, $D$11, 100%, $F$11)</f>
        <v>33.767099999999999</v>
      </c>
      <c r="F819" s="4">
        <f>34.4217 * CHOOSE(CONTROL!$C$15, $D$11, 100%, $F$11)</f>
        <v>34.421700000000001</v>
      </c>
      <c r="G819" s="8">
        <f>33.1993 * CHOOSE( CONTROL!$C$15, $D$11, 100%, $F$11)</f>
        <v>33.199300000000001</v>
      </c>
      <c r="H819" s="4">
        <f>34.0797 * CHOOSE(CONTROL!$C$15, $D$11, 100%, $F$11)</f>
        <v>34.079700000000003</v>
      </c>
      <c r="I819" s="8">
        <f>32.7595 * CHOOSE(CONTROL!$C$15, $D$11, 100%, $F$11)</f>
        <v>32.759500000000003</v>
      </c>
      <c r="J819" s="4">
        <f>32.6228 * CHOOSE(CONTROL!$C$15, $D$11, 100%, $F$11)</f>
        <v>32.622799999999998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66476</v>
      </c>
      <c r="B820" s="8">
        <f>33.7154 * CHOOSE(CONTROL!$C$15, $D$11, 100%, $F$11)</f>
        <v>33.715400000000002</v>
      </c>
      <c r="C820" s="8">
        <f>33.7205 * CHOOSE(CONTROL!$C$15, $D$11, 100%, $F$11)</f>
        <v>33.720500000000001</v>
      </c>
      <c r="D820" s="8">
        <f>33.6995 * CHOOSE( CONTROL!$C$15, $D$11, 100%, $F$11)</f>
        <v>33.6995</v>
      </c>
      <c r="E820" s="12">
        <f>33.7066 * CHOOSE( CONTROL!$C$15, $D$11, 100%, $F$11)</f>
        <v>33.706600000000002</v>
      </c>
      <c r="F820" s="4">
        <f>34.3603 * CHOOSE(CONTROL!$C$15, $D$11, 100%, $F$11)</f>
        <v>34.360300000000002</v>
      </c>
      <c r="G820" s="8">
        <f>33.14 * CHOOSE( CONTROL!$C$15, $D$11, 100%, $F$11)</f>
        <v>33.14</v>
      </c>
      <c r="H820" s="4">
        <f>34.0193 * CHOOSE(CONTROL!$C$15, $D$11, 100%, $F$11)</f>
        <v>34.019300000000001</v>
      </c>
      <c r="I820" s="8">
        <f>32.7047 * CHOOSE(CONTROL!$C$15, $D$11, 100%, $F$11)</f>
        <v>32.704700000000003</v>
      </c>
      <c r="J820" s="4">
        <f>32.5635 * CHOOSE(CONTROL!$C$15, $D$11, 100%, $F$11)</f>
        <v>32.563499999999998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66507</v>
      </c>
      <c r="B821" s="8">
        <f>35.0028 * CHOOSE(CONTROL!$C$15, $D$11, 100%, $F$11)</f>
        <v>35.002800000000001</v>
      </c>
      <c r="C821" s="8">
        <f>35.008 * CHOOSE(CONTROL!$C$15, $D$11, 100%, $F$11)</f>
        <v>35.008000000000003</v>
      </c>
      <c r="D821" s="8">
        <f>34.986 * CHOOSE( CONTROL!$C$15, $D$11, 100%, $F$11)</f>
        <v>34.985999999999997</v>
      </c>
      <c r="E821" s="12">
        <f>34.9935 * CHOOSE( CONTROL!$C$15, $D$11, 100%, $F$11)</f>
        <v>34.993499999999997</v>
      </c>
      <c r="F821" s="4">
        <f>35.6477 * CHOOSE(CONTROL!$C$15, $D$11, 100%, $F$11)</f>
        <v>35.6477</v>
      </c>
      <c r="G821" s="8">
        <f>34.4035 * CHOOSE( CONTROL!$C$15, $D$11, 100%, $F$11)</f>
        <v>34.403500000000001</v>
      </c>
      <c r="H821" s="4">
        <f>35.2854 * CHOOSE(CONTROL!$C$15, $D$11, 100%, $F$11)</f>
        <v>35.285400000000003</v>
      </c>
      <c r="I821" s="8">
        <f>33.9217 * CHOOSE(CONTROL!$C$15, $D$11, 100%, $F$11)</f>
        <v>33.921700000000001</v>
      </c>
      <c r="J821" s="4">
        <f>33.8081 * CHOOSE(CONTROL!$C$15, $D$11, 100%, $F$11)</f>
        <v>33.808100000000003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66535</v>
      </c>
      <c r="B822" s="8">
        <f>32.7419 * CHOOSE(CONTROL!$C$15, $D$11, 100%, $F$11)</f>
        <v>32.741900000000001</v>
      </c>
      <c r="C822" s="8">
        <f>32.747 * CHOOSE(CONTROL!$C$15, $D$11, 100%, $F$11)</f>
        <v>32.747</v>
      </c>
      <c r="D822" s="8">
        <f>32.7207 * CHOOSE( CONTROL!$C$15, $D$11, 100%, $F$11)</f>
        <v>32.720700000000001</v>
      </c>
      <c r="E822" s="12">
        <f>32.7298 * CHOOSE( CONTROL!$C$15, $D$11, 100%, $F$11)</f>
        <v>32.729799999999997</v>
      </c>
      <c r="F822" s="4">
        <f>33.3868 * CHOOSE(CONTROL!$C$15, $D$11, 100%, $F$11)</f>
        <v>33.386800000000001</v>
      </c>
      <c r="G822" s="8">
        <f>32.1716 * CHOOSE( CONTROL!$C$15, $D$11, 100%, $F$11)</f>
        <v>32.171599999999998</v>
      </c>
      <c r="H822" s="4">
        <f>33.0619 * CHOOSE(CONTROL!$C$15, $D$11, 100%, $F$11)</f>
        <v>33.061900000000001</v>
      </c>
      <c r="I822" s="8">
        <f>31.706 * CHOOSE(CONTROL!$C$15, $D$11, 100%, $F$11)</f>
        <v>31.706</v>
      </c>
      <c r="J822" s="4">
        <f>31.6224 * CHOOSE(CONTROL!$C$15, $D$11, 100%, $F$11)</f>
        <v>31.622399999999999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66566</v>
      </c>
      <c r="B823" s="8">
        <f>32.0456 * CHOOSE(CONTROL!$C$15, $D$11, 100%, $F$11)</f>
        <v>32.0456</v>
      </c>
      <c r="C823" s="8">
        <f>32.0507 * CHOOSE(CONTROL!$C$15, $D$11, 100%, $F$11)</f>
        <v>32.050699999999999</v>
      </c>
      <c r="D823" s="8">
        <f>32.0247 * CHOOSE( CONTROL!$C$15, $D$11, 100%, $F$11)</f>
        <v>32.024700000000003</v>
      </c>
      <c r="E823" s="12">
        <f>32.0337 * CHOOSE( CONTROL!$C$15, $D$11, 100%, $F$11)</f>
        <v>32.033700000000003</v>
      </c>
      <c r="F823" s="4">
        <f>32.6904 * CHOOSE(CONTROL!$C$15, $D$11, 100%, $F$11)</f>
        <v>32.690399999999997</v>
      </c>
      <c r="G823" s="8">
        <f>31.4871 * CHOOSE( CONTROL!$C$15, $D$11, 100%, $F$11)</f>
        <v>31.487100000000002</v>
      </c>
      <c r="H823" s="4">
        <f>32.3771 * CHOOSE(CONTROL!$C$15, $D$11, 100%, $F$11)</f>
        <v>32.377099999999999</v>
      </c>
      <c r="I823" s="8">
        <f>31.0337 * CHOOSE(CONTROL!$C$15, $D$11, 100%, $F$11)</f>
        <v>31.0337</v>
      </c>
      <c r="J823" s="4">
        <f>30.9493 * CHOOSE(CONTROL!$C$15, $D$11, 100%, $F$11)</f>
        <v>30.949300000000001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66596</v>
      </c>
      <c r="B824" s="8">
        <f>32.5329 * CHOOSE(CONTROL!$C$15, $D$11, 100%, $F$11)</f>
        <v>32.532899999999998</v>
      </c>
      <c r="C824" s="8">
        <f>32.5375 * CHOOSE(CONTROL!$C$15, $D$11, 100%, $F$11)</f>
        <v>32.537500000000001</v>
      </c>
      <c r="D824" s="8">
        <f>32.5446 * CHOOSE( CONTROL!$C$15, $D$11, 100%, $F$11)</f>
        <v>32.544600000000003</v>
      </c>
      <c r="E824" s="12">
        <f>32.5417 * CHOOSE( CONTROL!$C$15, $D$11, 100%, $F$11)</f>
        <v>32.541699999999999</v>
      </c>
      <c r="F824" s="4">
        <f>33.2158 * CHOOSE(CONTROL!$C$15, $D$11, 100%, $F$11)</f>
        <v>33.215800000000002</v>
      </c>
      <c r="G824" s="8">
        <f>31.9609 * CHOOSE( CONTROL!$C$15, $D$11, 100%, $F$11)</f>
        <v>31.960899999999999</v>
      </c>
      <c r="H824" s="4">
        <f>32.8938 * CHOOSE(CONTROL!$C$15, $D$11, 100%, $F$11)</f>
        <v>32.893799999999999</v>
      </c>
      <c r="I824" s="8">
        <f>31.5241 * CHOOSE(CONTROL!$C$15, $D$11, 100%, $F$11)</f>
        <v>31.524100000000001</v>
      </c>
      <c r="J824" s="4">
        <f>31.4197 * CHOOSE(CONTROL!$C$15, $D$11, 100%, $F$11)</f>
        <v>31.419699999999999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1.1791</v>
      </c>
      <c r="Q824" s="9">
        <v>19.053000000000001</v>
      </c>
      <c r="R824" s="9"/>
      <c r="S824" s="11"/>
    </row>
    <row r="825" spans="1:19" ht="15.75">
      <c r="A825" s="13">
        <v>66627</v>
      </c>
      <c r="B825" s="8">
        <f>CHOOSE( CONTROL!$C$32, 33.4035, 33.4003) * CHOOSE(CONTROL!$C$15, $D$11, 100%, $F$11)</f>
        <v>33.403500000000001</v>
      </c>
      <c r="C825" s="8">
        <f>CHOOSE( CONTROL!$C$32, 33.4115, 33.4083) * CHOOSE(CONTROL!$C$15, $D$11, 100%, $F$11)</f>
        <v>33.411499999999997</v>
      </c>
      <c r="D825" s="8">
        <f>CHOOSE( CONTROL!$C$32, 33.4139, 33.4107) * CHOOSE( CONTROL!$C$15, $D$11, 100%, $F$11)</f>
        <v>33.413899999999998</v>
      </c>
      <c r="E825" s="12">
        <f>CHOOSE( CONTROL!$C$32, 33.4118, 33.4086) * CHOOSE( CONTROL!$C$15, $D$11, 100%, $F$11)</f>
        <v>33.411799999999999</v>
      </c>
      <c r="F825" s="4">
        <f>CHOOSE( CONTROL!$C$32, 34.0851, 34.0819) * CHOOSE(CONTROL!$C$15, $D$11, 100%, $F$11)</f>
        <v>34.085099999999997</v>
      </c>
      <c r="G825" s="8">
        <f>CHOOSE( CONTROL!$C$32, 32.8168, 32.8137) * CHOOSE( CONTROL!$C$15, $D$11, 100%, $F$11)</f>
        <v>32.816800000000001</v>
      </c>
      <c r="H825" s="4">
        <f>CHOOSE( CONTROL!$C$32, 33.7486, 33.7455) * CHOOSE(CONTROL!$C$15, $D$11, 100%, $F$11)</f>
        <v>33.748600000000003</v>
      </c>
      <c r="I825" s="8">
        <f>CHOOSE( CONTROL!$C$32, 32.3664, 32.3633) * CHOOSE(CONTROL!$C$15, $D$11, 100%, $F$11)</f>
        <v>32.366399999999999</v>
      </c>
      <c r="J825" s="4">
        <f>CHOOSE( CONTROL!$C$32, 32.26, 32.2569) * CHOOSE(CONTROL!$C$15, $D$11, 100%, $F$11)</f>
        <v>32.26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1.2183999999999999</v>
      </c>
      <c r="Q825" s="9">
        <v>19.688099999999999</v>
      </c>
      <c r="R825" s="9"/>
      <c r="S825" s="11"/>
    </row>
    <row r="826" spans="1:19" ht="15.75">
      <c r="A826" s="13">
        <v>66657</v>
      </c>
      <c r="B826" s="8">
        <f>CHOOSE( CONTROL!$C$32, 32.867, 32.8638) * CHOOSE(CONTROL!$C$15, $D$11, 100%, $F$11)</f>
        <v>32.866999999999997</v>
      </c>
      <c r="C826" s="8">
        <f>CHOOSE( CONTROL!$C$32, 32.8751, 32.8719) * CHOOSE(CONTROL!$C$15, $D$11, 100%, $F$11)</f>
        <v>32.875100000000003</v>
      </c>
      <c r="D826" s="8">
        <f>CHOOSE( CONTROL!$C$32, 32.8777, 32.8745) * CHOOSE( CONTROL!$C$15, $D$11, 100%, $F$11)</f>
        <v>32.877699999999997</v>
      </c>
      <c r="E826" s="12">
        <f>CHOOSE( CONTROL!$C$32, 32.8755, 32.8723) * CHOOSE( CONTROL!$C$15, $D$11, 100%, $F$11)</f>
        <v>32.875500000000002</v>
      </c>
      <c r="F826" s="4">
        <f>CHOOSE( CONTROL!$C$32, 33.5486, 33.5454) * CHOOSE(CONTROL!$C$15, $D$11, 100%, $F$11)</f>
        <v>33.5486</v>
      </c>
      <c r="G826" s="8">
        <f>CHOOSE( CONTROL!$C$32, 32.2897, 32.2866) * CHOOSE( CONTROL!$C$15, $D$11, 100%, $F$11)</f>
        <v>32.289700000000003</v>
      </c>
      <c r="H826" s="4">
        <f>CHOOSE( CONTROL!$C$32, 33.2211, 33.2179) * CHOOSE(CONTROL!$C$15, $D$11, 100%, $F$11)</f>
        <v>33.2211</v>
      </c>
      <c r="I826" s="8">
        <f>CHOOSE( CONTROL!$C$32, 31.8489, 31.8458) * CHOOSE(CONTROL!$C$15, $D$11, 100%, $F$11)</f>
        <v>31.8489</v>
      </c>
      <c r="J826" s="4">
        <f>CHOOSE( CONTROL!$C$32, 31.7413, 31.7382) * CHOOSE(CONTROL!$C$15, $D$11, 100%, $F$11)</f>
        <v>31.741299999999999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1.1791</v>
      </c>
      <c r="Q826" s="9">
        <v>19.053000000000001</v>
      </c>
      <c r="R826" s="9"/>
      <c r="S826" s="11"/>
    </row>
    <row r="827" spans="1:19" ht="15.75">
      <c r="A827" s="13">
        <v>66688</v>
      </c>
      <c r="B827" s="8">
        <f>CHOOSE( CONTROL!$C$32, 34.2798, 34.2766) * CHOOSE(CONTROL!$C$15, $D$11, 100%, $F$11)</f>
        <v>34.279800000000002</v>
      </c>
      <c r="C827" s="8">
        <f>CHOOSE( CONTROL!$C$32, 34.2878, 34.2846) * CHOOSE(CONTROL!$C$15, $D$11, 100%, $F$11)</f>
        <v>34.287799999999997</v>
      </c>
      <c r="D827" s="8">
        <f>CHOOSE( CONTROL!$C$32, 34.2907, 34.2875) * CHOOSE( CONTROL!$C$15, $D$11, 100%, $F$11)</f>
        <v>34.290700000000001</v>
      </c>
      <c r="E827" s="12">
        <f>CHOOSE( CONTROL!$C$32, 34.2884, 34.2852) * CHOOSE( CONTROL!$C$15, $D$11, 100%, $F$11)</f>
        <v>34.288400000000003</v>
      </c>
      <c r="F827" s="4">
        <f>CHOOSE( CONTROL!$C$32, 34.9613, 34.9581) * CHOOSE(CONTROL!$C$15, $D$11, 100%, $F$11)</f>
        <v>34.961300000000001</v>
      </c>
      <c r="G827" s="8">
        <f>CHOOSE( CONTROL!$C$32, 33.6795, 33.6763) * CHOOSE( CONTROL!$C$15, $D$11, 100%, $F$11)</f>
        <v>33.679499999999997</v>
      </c>
      <c r="H827" s="4">
        <f>CHOOSE( CONTROL!$C$32, 34.6104, 34.6072) * CHOOSE(CONTROL!$C$15, $D$11, 100%, $F$11)</f>
        <v>34.610399999999998</v>
      </c>
      <c r="I827" s="8">
        <f>CHOOSE( CONTROL!$C$32, 33.2168, 33.2137) * CHOOSE(CONTROL!$C$15, $D$11, 100%, $F$11)</f>
        <v>33.216799999999999</v>
      </c>
      <c r="J827" s="4">
        <f>CHOOSE( CONTROL!$C$32, 33.107, 33.104) * CHOOSE(CONTROL!$C$15, $D$11, 100%, $F$11)</f>
        <v>33.106999999999999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66719</v>
      </c>
      <c r="B828" s="8">
        <f>CHOOSE( CONTROL!$C$32, 31.6364, 31.6332) * CHOOSE(CONTROL!$C$15, $D$11, 100%, $F$11)</f>
        <v>31.636399999999998</v>
      </c>
      <c r="C828" s="8">
        <f>CHOOSE( CONTROL!$C$32, 31.6444, 31.6412) * CHOOSE(CONTROL!$C$15, $D$11, 100%, $F$11)</f>
        <v>31.644400000000001</v>
      </c>
      <c r="D828" s="8">
        <f>CHOOSE( CONTROL!$C$32, 31.6475, 31.6443) * CHOOSE( CONTROL!$C$15, $D$11, 100%, $F$11)</f>
        <v>31.647500000000001</v>
      </c>
      <c r="E828" s="12">
        <f>CHOOSE( CONTROL!$C$32, 31.6452, 31.642) * CHOOSE( CONTROL!$C$15, $D$11, 100%, $F$11)</f>
        <v>31.645199999999999</v>
      </c>
      <c r="F828" s="4">
        <f>CHOOSE( CONTROL!$C$32, 32.3179, 32.3147) * CHOOSE(CONTROL!$C$15, $D$11, 100%, $F$11)</f>
        <v>32.317900000000002</v>
      </c>
      <c r="G828" s="8">
        <f>CHOOSE( CONTROL!$C$32, 31.0801, 31.077) * CHOOSE( CONTROL!$C$15, $D$11, 100%, $F$11)</f>
        <v>31.080100000000002</v>
      </c>
      <c r="H828" s="4">
        <f>CHOOSE( CONTROL!$C$32, 32.0108, 32.0077) * CHOOSE(CONTROL!$C$15, $D$11, 100%, $F$11)</f>
        <v>32.010800000000003</v>
      </c>
      <c r="I828" s="8">
        <f>CHOOSE( CONTROL!$C$32, 30.6609, 30.6578) * CHOOSE(CONTROL!$C$15, $D$11, 100%, $F$11)</f>
        <v>30.660900000000002</v>
      </c>
      <c r="J828" s="4">
        <f>CHOOSE( CONTROL!$C$32, 30.5517, 30.5486) * CHOOSE(CONTROL!$C$15, $D$11, 100%, $F$11)</f>
        <v>30.5517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1.2183999999999999</v>
      </c>
      <c r="Q828" s="9">
        <v>19.688099999999999</v>
      </c>
      <c r="R828" s="9"/>
      <c r="S828" s="11"/>
    </row>
    <row r="829" spans="1:19" ht="15.75">
      <c r="A829" s="13">
        <v>66749</v>
      </c>
      <c r="B829" s="8">
        <f>CHOOSE( CONTROL!$C$32, 30.9744, 30.9712) * CHOOSE(CONTROL!$C$15, $D$11, 100%, $F$11)</f>
        <v>30.974399999999999</v>
      </c>
      <c r="C829" s="8">
        <f>CHOOSE( CONTROL!$C$32, 30.9825, 30.9793) * CHOOSE(CONTROL!$C$15, $D$11, 100%, $F$11)</f>
        <v>30.982500000000002</v>
      </c>
      <c r="D829" s="8">
        <f>CHOOSE( CONTROL!$C$32, 30.9856, 30.9824) * CHOOSE( CONTROL!$C$15, $D$11, 100%, $F$11)</f>
        <v>30.985600000000002</v>
      </c>
      <c r="E829" s="12">
        <f>CHOOSE( CONTROL!$C$32, 30.9832, 30.98) * CHOOSE( CONTROL!$C$15, $D$11, 100%, $F$11)</f>
        <v>30.9832</v>
      </c>
      <c r="F829" s="4">
        <f>CHOOSE( CONTROL!$C$32, 31.656, 31.6528) * CHOOSE(CONTROL!$C$15, $D$11, 100%, $F$11)</f>
        <v>31.655999999999999</v>
      </c>
      <c r="G829" s="8">
        <f>CHOOSE( CONTROL!$C$32, 30.4292, 30.4261) * CHOOSE( CONTROL!$C$15, $D$11, 100%, $F$11)</f>
        <v>30.429200000000002</v>
      </c>
      <c r="H829" s="4">
        <f>CHOOSE( CONTROL!$C$32, 31.3598, 31.3567) * CHOOSE(CONTROL!$C$15, $D$11, 100%, $F$11)</f>
        <v>31.3598</v>
      </c>
      <c r="I829" s="8">
        <f>CHOOSE( CONTROL!$C$32, 30.0208, 30.0177) * CHOOSE(CONTROL!$C$15, $D$11, 100%, $F$11)</f>
        <v>30.020800000000001</v>
      </c>
      <c r="J829" s="4">
        <f>CHOOSE( CONTROL!$C$32, 29.9118, 29.9087) * CHOOSE(CONTROL!$C$15, $D$11, 100%, $F$11)</f>
        <v>29.911799999999999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1.1791</v>
      </c>
      <c r="Q829" s="9">
        <v>19.053000000000001</v>
      </c>
      <c r="R829" s="9"/>
      <c r="S829" s="11"/>
    </row>
    <row r="830" spans="1:19" ht="15.75">
      <c r="A830" s="13">
        <v>66780</v>
      </c>
      <c r="B830" s="8">
        <f>32.3439 * CHOOSE(CONTROL!$C$15, $D$11, 100%, $F$11)</f>
        <v>32.343899999999998</v>
      </c>
      <c r="C830" s="8">
        <f>32.3493 * CHOOSE(CONTROL!$C$15, $D$11, 100%, $F$11)</f>
        <v>32.349299999999999</v>
      </c>
      <c r="D830" s="8">
        <f>32.3572 * CHOOSE( CONTROL!$C$15, $D$11, 100%, $F$11)</f>
        <v>32.357199999999999</v>
      </c>
      <c r="E830" s="12">
        <f>32.354 * CHOOSE( CONTROL!$C$15, $D$11, 100%, $F$11)</f>
        <v>32.353999999999999</v>
      </c>
      <c r="F830" s="4">
        <f>33.0272 * CHOOSE(CONTROL!$C$15, $D$11, 100%, $F$11)</f>
        <v>33.027200000000001</v>
      </c>
      <c r="G830" s="8">
        <f>31.7772 * CHOOSE( CONTROL!$C$15, $D$11, 100%, $F$11)</f>
        <v>31.777200000000001</v>
      </c>
      <c r="H830" s="4">
        <f>32.7083 * CHOOSE(CONTROL!$C$15, $D$11, 100%, $F$11)</f>
        <v>32.708300000000001</v>
      </c>
      <c r="I830" s="8">
        <f>31.3476 * CHOOSE(CONTROL!$C$15, $D$11, 100%, $F$11)</f>
        <v>31.3476</v>
      </c>
      <c r="J830" s="4">
        <f>31.2373 * CHOOSE(CONTROL!$C$15, $D$11, 100%, $F$11)</f>
        <v>31.237300000000001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1.2183999999999999</v>
      </c>
      <c r="Q830" s="9">
        <v>19.688099999999999</v>
      </c>
      <c r="R830" s="9"/>
      <c r="S830" s="11"/>
    </row>
    <row r="831" spans="1:19" ht="15.75">
      <c r="A831" s="13">
        <v>66810</v>
      </c>
      <c r="B831" s="8">
        <f>34.8804 * CHOOSE(CONTROL!$C$15, $D$11, 100%, $F$11)</f>
        <v>34.880400000000002</v>
      </c>
      <c r="C831" s="8">
        <f>34.8855 * CHOOSE(CONTROL!$C$15, $D$11, 100%, $F$11)</f>
        <v>34.8855</v>
      </c>
      <c r="D831" s="8">
        <f>34.8631 * CHOOSE( CONTROL!$C$15, $D$11, 100%, $F$11)</f>
        <v>34.863100000000003</v>
      </c>
      <c r="E831" s="12">
        <f>34.8707 * CHOOSE( CONTROL!$C$15, $D$11, 100%, $F$11)</f>
        <v>34.870699999999999</v>
      </c>
      <c r="F831" s="4">
        <f>35.5253 * CHOOSE(CONTROL!$C$15, $D$11, 100%, $F$11)</f>
        <v>35.525300000000001</v>
      </c>
      <c r="G831" s="8">
        <f>34.2846 * CHOOSE( CONTROL!$C$15, $D$11, 100%, $F$11)</f>
        <v>34.284599999999998</v>
      </c>
      <c r="H831" s="4">
        <f>35.165 * CHOOSE(CONTROL!$C$15, $D$11, 100%, $F$11)</f>
        <v>35.164999999999999</v>
      </c>
      <c r="I831" s="8">
        <f>33.8269 * CHOOSE(CONTROL!$C$15, $D$11, 100%, $F$11)</f>
        <v>33.826900000000002</v>
      </c>
      <c r="J831" s="4">
        <f>33.6897 * CHOOSE(CONTROL!$C$15, $D$11, 100%, $F$11)</f>
        <v>33.689700000000002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66841</v>
      </c>
      <c r="B832" s="8">
        <f>34.817 * CHOOSE(CONTROL!$C$15, $D$11, 100%, $F$11)</f>
        <v>34.817</v>
      </c>
      <c r="C832" s="8">
        <f>34.8222 * CHOOSE(CONTROL!$C$15, $D$11, 100%, $F$11)</f>
        <v>34.822200000000002</v>
      </c>
      <c r="D832" s="8">
        <f>34.8011 * CHOOSE( CONTROL!$C$15, $D$11, 100%, $F$11)</f>
        <v>34.801099999999998</v>
      </c>
      <c r="E832" s="12">
        <f>34.8083 * CHOOSE( CONTROL!$C$15, $D$11, 100%, $F$11)</f>
        <v>34.808300000000003</v>
      </c>
      <c r="F832" s="4">
        <f>35.4619 * CHOOSE(CONTROL!$C$15, $D$11, 100%, $F$11)</f>
        <v>35.4619</v>
      </c>
      <c r="G832" s="8">
        <f>34.2234 * CHOOSE( CONTROL!$C$15, $D$11, 100%, $F$11)</f>
        <v>34.223399999999998</v>
      </c>
      <c r="H832" s="4">
        <f>35.1027 * CHOOSE(CONTROL!$C$15, $D$11, 100%, $F$11)</f>
        <v>35.102699999999999</v>
      </c>
      <c r="I832" s="8">
        <f>33.7702 * CHOOSE(CONTROL!$C$15, $D$11, 100%, $F$11)</f>
        <v>33.770200000000003</v>
      </c>
      <c r="J832" s="4">
        <f>33.6285 * CHOOSE(CONTROL!$C$15, $D$11, 100%, $F$11)</f>
        <v>33.628500000000003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66872</v>
      </c>
      <c r="B833" s="8">
        <f>36.1466 * CHOOSE(CONTROL!$C$15, $D$11, 100%, $F$11)</f>
        <v>36.146599999999999</v>
      </c>
      <c r="C833" s="8">
        <f>36.1517 * CHOOSE(CONTROL!$C$15, $D$11, 100%, $F$11)</f>
        <v>36.151699999999998</v>
      </c>
      <c r="D833" s="8">
        <f>36.1297 * CHOOSE( CONTROL!$C$15, $D$11, 100%, $F$11)</f>
        <v>36.1297</v>
      </c>
      <c r="E833" s="12">
        <f>36.1372 * CHOOSE( CONTROL!$C$15, $D$11, 100%, $F$11)</f>
        <v>36.1372</v>
      </c>
      <c r="F833" s="4">
        <f>36.7915 * CHOOSE(CONTROL!$C$15, $D$11, 100%, $F$11)</f>
        <v>36.791499999999999</v>
      </c>
      <c r="G833" s="8">
        <f>35.5283 * CHOOSE( CONTROL!$C$15, $D$11, 100%, $F$11)</f>
        <v>35.528300000000002</v>
      </c>
      <c r="H833" s="4">
        <f>36.4102 * CHOOSE(CONTROL!$C$15, $D$11, 100%, $F$11)</f>
        <v>36.410200000000003</v>
      </c>
      <c r="I833" s="8">
        <f>35.0279 * CHOOSE(CONTROL!$C$15, $D$11, 100%, $F$11)</f>
        <v>35.027900000000002</v>
      </c>
      <c r="J833" s="4">
        <f>34.9137 * CHOOSE(CONTROL!$C$15, $D$11, 100%, $F$11)</f>
        <v>34.913699999999999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66900</v>
      </c>
      <c r="B834" s="8">
        <f>33.8117 * CHOOSE(CONTROL!$C$15, $D$11, 100%, $F$11)</f>
        <v>33.811700000000002</v>
      </c>
      <c r="C834" s="8">
        <f>33.8168 * CHOOSE(CONTROL!$C$15, $D$11, 100%, $F$11)</f>
        <v>33.816800000000001</v>
      </c>
      <c r="D834" s="8">
        <f>33.7905 * CHOOSE( CONTROL!$C$15, $D$11, 100%, $F$11)</f>
        <v>33.790500000000002</v>
      </c>
      <c r="E834" s="12">
        <f>33.7996 * CHOOSE( CONTROL!$C$15, $D$11, 100%, $F$11)</f>
        <v>33.799599999999998</v>
      </c>
      <c r="F834" s="4">
        <f>34.4566 * CHOOSE(CONTROL!$C$15, $D$11, 100%, $F$11)</f>
        <v>34.456600000000002</v>
      </c>
      <c r="G834" s="8">
        <f>33.2237 * CHOOSE( CONTROL!$C$15, $D$11, 100%, $F$11)</f>
        <v>33.223700000000001</v>
      </c>
      <c r="H834" s="4">
        <f>34.114 * CHOOSE(CONTROL!$C$15, $D$11, 100%, $F$11)</f>
        <v>34.113999999999997</v>
      </c>
      <c r="I834" s="8">
        <f>32.7406 * CHOOSE(CONTROL!$C$15, $D$11, 100%, $F$11)</f>
        <v>32.740600000000001</v>
      </c>
      <c r="J834" s="4">
        <f>32.6566 * CHOOSE(CONTROL!$C$15, $D$11, 100%, $F$11)</f>
        <v>32.656599999999997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66931</v>
      </c>
      <c r="B835" s="8">
        <f>33.0926 * CHOOSE(CONTROL!$C$15, $D$11, 100%, $F$11)</f>
        <v>33.092599999999997</v>
      </c>
      <c r="C835" s="8">
        <f>33.0977 * CHOOSE(CONTROL!$C$15, $D$11, 100%, $F$11)</f>
        <v>33.097700000000003</v>
      </c>
      <c r="D835" s="8">
        <f>33.0717 * CHOOSE( CONTROL!$C$15, $D$11, 100%, $F$11)</f>
        <v>33.0717</v>
      </c>
      <c r="E835" s="12">
        <f>33.0807 * CHOOSE( CONTROL!$C$15, $D$11, 100%, $F$11)</f>
        <v>33.0807</v>
      </c>
      <c r="F835" s="4">
        <f>33.7375 * CHOOSE(CONTROL!$C$15, $D$11, 100%, $F$11)</f>
        <v>33.737499999999997</v>
      </c>
      <c r="G835" s="8">
        <f>32.5167 * CHOOSE( CONTROL!$C$15, $D$11, 100%, $F$11)</f>
        <v>32.5167</v>
      </c>
      <c r="H835" s="4">
        <f>33.4068 * CHOOSE(CONTROL!$C$15, $D$11, 100%, $F$11)</f>
        <v>33.406799999999997</v>
      </c>
      <c r="I835" s="8">
        <f>32.0463 * CHOOSE(CONTROL!$C$15, $D$11, 100%, $F$11)</f>
        <v>32.046300000000002</v>
      </c>
      <c r="J835" s="4">
        <f>31.9614 * CHOOSE(CONTROL!$C$15, $D$11, 100%, $F$11)</f>
        <v>31.961400000000001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66961</v>
      </c>
      <c r="B836" s="8">
        <f>33.5959 * CHOOSE(CONTROL!$C$15, $D$11, 100%, $F$11)</f>
        <v>33.5959</v>
      </c>
      <c r="C836" s="8">
        <f>33.6004 * CHOOSE(CONTROL!$C$15, $D$11, 100%, $F$11)</f>
        <v>33.6004</v>
      </c>
      <c r="D836" s="8">
        <f>33.6076 * CHOOSE( CONTROL!$C$15, $D$11, 100%, $F$11)</f>
        <v>33.607599999999998</v>
      </c>
      <c r="E836" s="12">
        <f>33.6047 * CHOOSE( CONTROL!$C$15, $D$11, 100%, $F$11)</f>
        <v>33.604700000000001</v>
      </c>
      <c r="F836" s="4">
        <f>34.2788 * CHOOSE(CONTROL!$C$15, $D$11, 100%, $F$11)</f>
        <v>34.278799999999997</v>
      </c>
      <c r="G836" s="8">
        <f>33.0062 * CHOOSE( CONTROL!$C$15, $D$11, 100%, $F$11)</f>
        <v>33.0062</v>
      </c>
      <c r="H836" s="4">
        <f>33.9391 * CHOOSE(CONTROL!$C$15, $D$11, 100%, $F$11)</f>
        <v>33.939100000000003</v>
      </c>
      <c r="I836" s="8">
        <f>32.5522 * CHOOSE(CONTROL!$C$15, $D$11, 100%, $F$11)</f>
        <v>32.552199999999999</v>
      </c>
      <c r="J836" s="4">
        <f>32.4472 * CHOOSE(CONTROL!$C$15, $D$11, 100%, $F$11)</f>
        <v>32.447200000000002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1.1791</v>
      </c>
      <c r="Q836" s="9">
        <v>19.053000000000001</v>
      </c>
      <c r="R836" s="9"/>
      <c r="S836" s="11"/>
    </row>
    <row r="837" spans="1:19" ht="15.75">
      <c r="A837" s="13">
        <v>66992</v>
      </c>
      <c r="B837" s="8">
        <f>CHOOSE( CONTROL!$C$32, 34.4948, 34.4916) * CHOOSE(CONTROL!$C$15, $D$11, 100%, $F$11)</f>
        <v>34.494799999999998</v>
      </c>
      <c r="C837" s="8">
        <f>CHOOSE( CONTROL!$C$32, 34.5028, 34.4996) * CHOOSE(CONTROL!$C$15, $D$11, 100%, $F$11)</f>
        <v>34.502800000000001</v>
      </c>
      <c r="D837" s="8">
        <f>CHOOSE( CONTROL!$C$32, 34.5051, 34.5019) * CHOOSE( CONTROL!$C$15, $D$11, 100%, $F$11)</f>
        <v>34.505099999999999</v>
      </c>
      <c r="E837" s="12">
        <f>CHOOSE( CONTROL!$C$32, 34.503, 34.4998) * CHOOSE( CONTROL!$C$15, $D$11, 100%, $F$11)</f>
        <v>34.503</v>
      </c>
      <c r="F837" s="4">
        <f>CHOOSE( CONTROL!$C$32, 35.1763, 35.1731) * CHOOSE(CONTROL!$C$15, $D$11, 100%, $F$11)</f>
        <v>35.176299999999998</v>
      </c>
      <c r="G837" s="8">
        <f>CHOOSE( CONTROL!$C$32, 33.89, 33.8869) * CHOOSE( CONTROL!$C$15, $D$11, 100%, $F$11)</f>
        <v>33.89</v>
      </c>
      <c r="H837" s="4">
        <f>CHOOSE( CONTROL!$C$32, 34.8218, 34.8187) * CHOOSE(CONTROL!$C$15, $D$11, 100%, $F$11)</f>
        <v>34.821800000000003</v>
      </c>
      <c r="I837" s="8">
        <f>CHOOSE( CONTROL!$C$32, 33.4218, 33.4187) * CHOOSE(CONTROL!$C$15, $D$11, 100%, $F$11)</f>
        <v>33.421799999999998</v>
      </c>
      <c r="J837" s="4">
        <f>CHOOSE( CONTROL!$C$32, 33.3149, 33.3118) * CHOOSE(CONTROL!$C$15, $D$11, 100%, $F$11)</f>
        <v>33.314900000000002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1.2183999999999999</v>
      </c>
      <c r="Q837" s="9">
        <v>19.688099999999999</v>
      </c>
      <c r="R837" s="9"/>
      <c r="S837" s="11"/>
    </row>
    <row r="838" spans="1:19" ht="15.75">
      <c r="A838" s="13">
        <v>67022</v>
      </c>
      <c r="B838" s="8">
        <f>CHOOSE( CONTROL!$C$32, 33.9408, 33.9376) * CHOOSE(CONTROL!$C$15, $D$11, 100%, $F$11)</f>
        <v>33.940800000000003</v>
      </c>
      <c r="C838" s="8">
        <f>CHOOSE( CONTROL!$C$32, 33.9488, 33.9456) * CHOOSE(CONTROL!$C$15, $D$11, 100%, $F$11)</f>
        <v>33.948799999999999</v>
      </c>
      <c r="D838" s="8">
        <f>CHOOSE( CONTROL!$C$32, 33.9514, 33.9482) * CHOOSE( CONTROL!$C$15, $D$11, 100%, $F$11)</f>
        <v>33.9514</v>
      </c>
      <c r="E838" s="12">
        <f>CHOOSE( CONTROL!$C$32, 33.9492, 33.946) * CHOOSE( CONTROL!$C$15, $D$11, 100%, $F$11)</f>
        <v>33.949199999999998</v>
      </c>
      <c r="F838" s="4">
        <f>CHOOSE( CONTROL!$C$32, 34.6223, 34.6191) * CHOOSE(CONTROL!$C$15, $D$11, 100%, $F$11)</f>
        <v>34.622300000000003</v>
      </c>
      <c r="G838" s="8">
        <f>CHOOSE( CONTROL!$C$32, 33.3456, 33.3425) * CHOOSE( CONTROL!$C$15, $D$11, 100%, $F$11)</f>
        <v>33.345599999999997</v>
      </c>
      <c r="H838" s="4">
        <f>CHOOSE( CONTROL!$C$32, 34.277, 34.2738) * CHOOSE(CONTROL!$C$15, $D$11, 100%, $F$11)</f>
        <v>34.277000000000001</v>
      </c>
      <c r="I838" s="8">
        <f>CHOOSE( CONTROL!$C$32, 32.8874, 32.8843) * CHOOSE(CONTROL!$C$15, $D$11, 100%, $F$11)</f>
        <v>32.8874</v>
      </c>
      <c r="J838" s="4">
        <f>CHOOSE( CONTROL!$C$32, 32.7793, 32.7762) * CHOOSE(CONTROL!$C$15, $D$11, 100%, $F$11)</f>
        <v>32.779299999999999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1.1791</v>
      </c>
      <c r="Q838" s="9">
        <v>19.053000000000001</v>
      </c>
      <c r="R838" s="9"/>
      <c r="S838" s="11"/>
    </row>
    <row r="839" spans="1:19" ht="15.75">
      <c r="A839" s="13">
        <v>67053</v>
      </c>
      <c r="B839" s="8">
        <f>CHOOSE( CONTROL!$C$32, 35.3997, 35.3965) * CHOOSE(CONTROL!$C$15, $D$11, 100%, $F$11)</f>
        <v>35.399700000000003</v>
      </c>
      <c r="C839" s="8">
        <f>CHOOSE( CONTROL!$C$32, 35.4077, 35.4045) * CHOOSE(CONTROL!$C$15, $D$11, 100%, $F$11)</f>
        <v>35.407699999999998</v>
      </c>
      <c r="D839" s="8">
        <f>CHOOSE( CONTROL!$C$32, 35.4106, 35.4074) * CHOOSE( CONTROL!$C$15, $D$11, 100%, $F$11)</f>
        <v>35.410600000000002</v>
      </c>
      <c r="E839" s="12">
        <f>CHOOSE( CONTROL!$C$32, 35.4083, 35.4051) * CHOOSE( CONTROL!$C$15, $D$11, 100%, $F$11)</f>
        <v>35.408299999999997</v>
      </c>
      <c r="F839" s="4">
        <f>CHOOSE( CONTROL!$C$32, 36.0813, 36.0781) * CHOOSE(CONTROL!$C$15, $D$11, 100%, $F$11)</f>
        <v>36.081299999999999</v>
      </c>
      <c r="G839" s="8">
        <f>CHOOSE( CONTROL!$C$32, 34.7808, 34.7777) * CHOOSE( CONTROL!$C$15, $D$11, 100%, $F$11)</f>
        <v>34.780799999999999</v>
      </c>
      <c r="H839" s="4">
        <f>CHOOSE( CONTROL!$C$32, 35.7117, 35.7086) * CHOOSE(CONTROL!$C$15, $D$11, 100%, $F$11)</f>
        <v>35.7117</v>
      </c>
      <c r="I839" s="8">
        <f>CHOOSE( CONTROL!$C$32, 34.2999, 34.2968) * CHOOSE(CONTROL!$C$15, $D$11, 100%, $F$11)</f>
        <v>34.299900000000001</v>
      </c>
      <c r="J839" s="4">
        <f>CHOOSE( CONTROL!$C$32, 34.1897, 34.1866) * CHOOSE(CONTROL!$C$15, $D$11, 100%, $F$11)</f>
        <v>34.189700000000002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67084</v>
      </c>
      <c r="B840" s="8">
        <f>CHOOSE( CONTROL!$C$32, 32.6699, 32.6667) * CHOOSE(CONTROL!$C$15, $D$11, 100%, $F$11)</f>
        <v>32.669899999999998</v>
      </c>
      <c r="C840" s="8">
        <f>CHOOSE( CONTROL!$C$32, 32.6779, 32.6747) * CHOOSE(CONTROL!$C$15, $D$11, 100%, $F$11)</f>
        <v>32.677900000000001</v>
      </c>
      <c r="D840" s="8">
        <f>CHOOSE( CONTROL!$C$32, 32.6809, 32.6777) * CHOOSE( CONTROL!$C$15, $D$11, 100%, $F$11)</f>
        <v>32.680900000000001</v>
      </c>
      <c r="E840" s="12">
        <f>CHOOSE( CONTROL!$C$32, 32.6786, 32.6754) * CHOOSE( CONTROL!$C$15, $D$11, 100%, $F$11)</f>
        <v>32.678600000000003</v>
      </c>
      <c r="F840" s="4">
        <f>CHOOSE( CONTROL!$C$32, 33.3514, 33.3482) * CHOOSE(CONTROL!$C$15, $D$11, 100%, $F$11)</f>
        <v>33.351399999999998</v>
      </c>
      <c r="G840" s="8">
        <f>CHOOSE( CONTROL!$C$32, 32.0965, 32.0933) * CHOOSE( CONTROL!$C$15, $D$11, 100%, $F$11)</f>
        <v>32.096499999999999</v>
      </c>
      <c r="H840" s="4">
        <f>CHOOSE( CONTROL!$C$32, 33.0271, 33.024) * CHOOSE(CONTROL!$C$15, $D$11, 100%, $F$11)</f>
        <v>33.027099999999997</v>
      </c>
      <c r="I840" s="8">
        <f>CHOOSE( CONTROL!$C$32, 31.6604, 31.6573) * CHOOSE(CONTROL!$C$15, $D$11, 100%, $F$11)</f>
        <v>31.660399999999999</v>
      </c>
      <c r="J840" s="4">
        <f>CHOOSE( CONTROL!$C$32, 31.5507, 31.5476) * CHOOSE(CONTROL!$C$15, $D$11, 100%, $F$11)</f>
        <v>31.550699999999999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1.2183999999999999</v>
      </c>
      <c r="Q840" s="9">
        <v>19.688099999999999</v>
      </c>
      <c r="R840" s="9"/>
      <c r="S840" s="11"/>
    </row>
    <row r="841" spans="1:19" ht="15.75">
      <c r="A841" s="13">
        <v>67114</v>
      </c>
      <c r="B841" s="8">
        <f>CHOOSE( CONTROL!$C$32, 31.9863, 31.9831) * CHOOSE(CONTROL!$C$15, $D$11, 100%, $F$11)</f>
        <v>31.9863</v>
      </c>
      <c r="C841" s="8">
        <f>CHOOSE( CONTROL!$C$32, 31.9943, 31.9911) * CHOOSE(CONTROL!$C$15, $D$11, 100%, $F$11)</f>
        <v>31.994299999999999</v>
      </c>
      <c r="D841" s="8">
        <f>CHOOSE( CONTROL!$C$32, 31.9974, 31.9942) * CHOOSE( CONTROL!$C$15, $D$11, 100%, $F$11)</f>
        <v>31.997399999999999</v>
      </c>
      <c r="E841" s="12">
        <f>CHOOSE( CONTROL!$C$32, 31.9951, 31.9919) * CHOOSE( CONTROL!$C$15, $D$11, 100%, $F$11)</f>
        <v>31.995100000000001</v>
      </c>
      <c r="F841" s="4">
        <f>CHOOSE( CONTROL!$C$32, 32.6678, 32.6646) * CHOOSE(CONTROL!$C$15, $D$11, 100%, $F$11)</f>
        <v>32.6678</v>
      </c>
      <c r="G841" s="8">
        <f>CHOOSE( CONTROL!$C$32, 31.4243, 31.4211) * CHOOSE( CONTROL!$C$15, $D$11, 100%, $F$11)</f>
        <v>31.424299999999999</v>
      </c>
      <c r="H841" s="4">
        <f>CHOOSE( CONTROL!$C$32, 32.3549, 32.3517) * CHOOSE(CONTROL!$C$15, $D$11, 100%, $F$11)</f>
        <v>32.354900000000001</v>
      </c>
      <c r="I841" s="8">
        <f>CHOOSE( CONTROL!$C$32, 30.9994, 30.9963) * CHOOSE(CONTROL!$C$15, $D$11, 100%, $F$11)</f>
        <v>30.999400000000001</v>
      </c>
      <c r="J841" s="4">
        <f>CHOOSE( CONTROL!$C$32, 30.8899, 30.8868) * CHOOSE(CONTROL!$C$15, $D$11, 100%, $F$11)</f>
        <v>30.889900000000001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1.1791</v>
      </c>
      <c r="Q841" s="9">
        <v>19.053000000000001</v>
      </c>
      <c r="R841" s="9"/>
      <c r="S841" s="11"/>
    </row>
    <row r="842" spans="1:19" ht="15.75">
      <c r="A842" s="13">
        <v>67145</v>
      </c>
      <c r="B842" s="8">
        <f>33.4007 * CHOOSE(CONTROL!$C$15, $D$11, 100%, $F$11)</f>
        <v>33.400700000000001</v>
      </c>
      <c r="C842" s="8">
        <f>33.4061 * CHOOSE(CONTROL!$C$15, $D$11, 100%, $F$11)</f>
        <v>33.406100000000002</v>
      </c>
      <c r="D842" s="8">
        <f>33.414 * CHOOSE( CONTROL!$C$15, $D$11, 100%, $F$11)</f>
        <v>33.414000000000001</v>
      </c>
      <c r="E842" s="12">
        <f>33.4108 * CHOOSE( CONTROL!$C$15, $D$11, 100%, $F$11)</f>
        <v>33.410800000000002</v>
      </c>
      <c r="F842" s="4">
        <f>34.084 * CHOOSE(CONTROL!$C$15, $D$11, 100%, $F$11)</f>
        <v>34.084000000000003</v>
      </c>
      <c r="G842" s="8">
        <f>32.8165 * CHOOSE( CONTROL!$C$15, $D$11, 100%, $F$11)</f>
        <v>32.816499999999998</v>
      </c>
      <c r="H842" s="4">
        <f>33.7476 * CHOOSE(CONTROL!$C$15, $D$11, 100%, $F$11)</f>
        <v>33.747599999999998</v>
      </c>
      <c r="I842" s="8">
        <f>32.3697 * CHOOSE(CONTROL!$C$15, $D$11, 100%, $F$11)</f>
        <v>32.369700000000002</v>
      </c>
      <c r="J842" s="4">
        <f>32.2589 * CHOOSE(CONTROL!$C$15, $D$11, 100%, $F$11)</f>
        <v>32.258899999999997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1.2183999999999999</v>
      </c>
      <c r="Q842" s="9">
        <v>19.688099999999999</v>
      </c>
      <c r="R842" s="9"/>
      <c r="S842" s="11"/>
    </row>
    <row r="843" spans="1:19" ht="15.75">
      <c r="A843" s="13">
        <v>67175</v>
      </c>
      <c r="B843" s="8">
        <f>36.0202 * CHOOSE(CONTROL!$C$15, $D$11, 100%, $F$11)</f>
        <v>36.020200000000003</v>
      </c>
      <c r="C843" s="8">
        <f>36.0253 * CHOOSE(CONTROL!$C$15, $D$11, 100%, $F$11)</f>
        <v>36.025300000000001</v>
      </c>
      <c r="D843" s="8">
        <f>36.0028 * CHOOSE( CONTROL!$C$15, $D$11, 100%, $F$11)</f>
        <v>36.002800000000001</v>
      </c>
      <c r="E843" s="12">
        <f>36.0105 * CHOOSE( CONTROL!$C$15, $D$11, 100%, $F$11)</f>
        <v>36.0105</v>
      </c>
      <c r="F843" s="4">
        <f>36.665 * CHOOSE(CONTROL!$C$15, $D$11, 100%, $F$11)</f>
        <v>36.664999999999999</v>
      </c>
      <c r="G843" s="8">
        <f>35.4055 * CHOOSE( CONTROL!$C$15, $D$11, 100%, $F$11)</f>
        <v>35.405500000000004</v>
      </c>
      <c r="H843" s="4">
        <f>36.2858 * CHOOSE(CONTROL!$C$15, $D$11, 100%, $F$11)</f>
        <v>36.285800000000002</v>
      </c>
      <c r="I843" s="8">
        <f>34.9292 * CHOOSE(CONTROL!$C$15, $D$11, 100%, $F$11)</f>
        <v>34.929200000000002</v>
      </c>
      <c r="J843" s="4">
        <f>34.7915 * CHOOSE(CONTROL!$C$15, $D$11, 100%, $F$11)</f>
        <v>34.791499999999999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67206</v>
      </c>
      <c r="B844" s="8">
        <f>35.9547 * CHOOSE(CONTROL!$C$15, $D$11, 100%, $F$11)</f>
        <v>35.954700000000003</v>
      </c>
      <c r="C844" s="8">
        <f>35.9598 * CHOOSE(CONTROL!$C$15, $D$11, 100%, $F$11)</f>
        <v>35.959800000000001</v>
      </c>
      <c r="D844" s="8">
        <f>35.9388 * CHOOSE( CONTROL!$C$15, $D$11, 100%, $F$11)</f>
        <v>35.938800000000001</v>
      </c>
      <c r="E844" s="12">
        <f>35.9459 * CHOOSE( CONTROL!$C$15, $D$11, 100%, $F$11)</f>
        <v>35.945900000000002</v>
      </c>
      <c r="F844" s="4">
        <f>36.5996 * CHOOSE(CONTROL!$C$15, $D$11, 100%, $F$11)</f>
        <v>36.599600000000002</v>
      </c>
      <c r="G844" s="8">
        <f>35.3422 * CHOOSE( CONTROL!$C$15, $D$11, 100%, $F$11)</f>
        <v>35.342199999999998</v>
      </c>
      <c r="H844" s="4">
        <f>36.2215 * CHOOSE(CONTROL!$C$15, $D$11, 100%, $F$11)</f>
        <v>36.221499999999999</v>
      </c>
      <c r="I844" s="8">
        <f>34.8705 * CHOOSE(CONTROL!$C$15, $D$11, 100%, $F$11)</f>
        <v>34.8705</v>
      </c>
      <c r="J844" s="4">
        <f>34.7282 * CHOOSE(CONTROL!$C$15, $D$11, 100%, $F$11)</f>
        <v>34.728200000000001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67237</v>
      </c>
      <c r="B845" s="8">
        <f>37.3277 * CHOOSE(CONTROL!$C$15, $D$11, 100%, $F$11)</f>
        <v>37.3277</v>
      </c>
      <c r="C845" s="8">
        <f>37.3328 * CHOOSE(CONTROL!$C$15, $D$11, 100%, $F$11)</f>
        <v>37.332799999999999</v>
      </c>
      <c r="D845" s="8">
        <f>37.3108 * CHOOSE( CONTROL!$C$15, $D$11, 100%, $F$11)</f>
        <v>37.3108</v>
      </c>
      <c r="E845" s="12">
        <f>37.3183 * CHOOSE( CONTROL!$C$15, $D$11, 100%, $F$11)</f>
        <v>37.318300000000001</v>
      </c>
      <c r="F845" s="4">
        <f>37.9726 * CHOOSE(CONTROL!$C$15, $D$11, 100%, $F$11)</f>
        <v>37.9726</v>
      </c>
      <c r="G845" s="8">
        <f>36.6898 * CHOOSE( CONTROL!$C$15, $D$11, 100%, $F$11)</f>
        <v>36.689799999999998</v>
      </c>
      <c r="H845" s="4">
        <f>37.5717 * CHOOSE(CONTROL!$C$15, $D$11, 100%, $F$11)</f>
        <v>37.5717</v>
      </c>
      <c r="I845" s="8">
        <f>36.1703 * CHOOSE(CONTROL!$C$15, $D$11, 100%, $F$11)</f>
        <v>36.170299999999997</v>
      </c>
      <c r="J845" s="4">
        <f>36.0555 * CHOOSE(CONTROL!$C$15, $D$11, 100%, $F$11)</f>
        <v>36.055500000000002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67266</v>
      </c>
      <c r="B846" s="8">
        <f>34.9165 * CHOOSE(CONTROL!$C$15, $D$11, 100%, $F$11)</f>
        <v>34.916499999999999</v>
      </c>
      <c r="C846" s="8">
        <f>34.9216 * CHOOSE(CONTROL!$C$15, $D$11, 100%, $F$11)</f>
        <v>34.921599999999998</v>
      </c>
      <c r="D846" s="8">
        <f>34.8952 * CHOOSE( CONTROL!$C$15, $D$11, 100%, $F$11)</f>
        <v>34.895200000000003</v>
      </c>
      <c r="E846" s="12">
        <f>34.9043 * CHOOSE( CONTROL!$C$15, $D$11, 100%, $F$11)</f>
        <v>34.904299999999999</v>
      </c>
      <c r="F846" s="4">
        <f>35.5614 * CHOOSE(CONTROL!$C$15, $D$11, 100%, $F$11)</f>
        <v>35.561399999999999</v>
      </c>
      <c r="G846" s="8">
        <f>34.3101 * CHOOSE( CONTROL!$C$15, $D$11, 100%, $F$11)</f>
        <v>34.310099999999998</v>
      </c>
      <c r="H846" s="4">
        <f>35.2005 * CHOOSE(CONTROL!$C$15, $D$11, 100%, $F$11)</f>
        <v>35.200499999999998</v>
      </c>
      <c r="I846" s="8">
        <f>33.8092 * CHOOSE(CONTROL!$C$15, $D$11, 100%, $F$11)</f>
        <v>33.809199999999997</v>
      </c>
      <c r="J846" s="4">
        <f>33.7246 * CHOOSE(CONTROL!$C$15, $D$11, 100%, $F$11)</f>
        <v>33.724600000000002</v>
      </c>
      <c r="K846" s="4"/>
      <c r="L846" s="9">
        <v>27.415299999999998</v>
      </c>
      <c r="M846" s="9">
        <v>11.285299999999999</v>
      </c>
      <c r="N846" s="9">
        <v>4.6254999999999997</v>
      </c>
      <c r="O846" s="9">
        <v>0.34989999999999999</v>
      </c>
      <c r="P846" s="9">
        <v>1.2093</v>
      </c>
      <c r="Q846" s="9">
        <v>18.417899999999999</v>
      </c>
      <c r="R846" s="9"/>
      <c r="S846" s="11"/>
    </row>
    <row r="847" spans="1:19" ht="15.75">
      <c r="A847" s="13">
        <v>67297</v>
      </c>
      <c r="B847" s="8">
        <f>34.1738 * CHOOSE(CONTROL!$C$15, $D$11, 100%, $F$11)</f>
        <v>34.1738</v>
      </c>
      <c r="C847" s="8">
        <f>34.179 * CHOOSE(CONTROL!$C$15, $D$11, 100%, $F$11)</f>
        <v>34.179000000000002</v>
      </c>
      <c r="D847" s="8">
        <f>34.153 * CHOOSE( CONTROL!$C$15, $D$11, 100%, $F$11)</f>
        <v>34.152999999999999</v>
      </c>
      <c r="E847" s="12">
        <f>34.162 * CHOOSE( CONTROL!$C$15, $D$11, 100%, $F$11)</f>
        <v>34.161999999999999</v>
      </c>
      <c r="F847" s="4">
        <f>34.8187 * CHOOSE(CONTROL!$C$15, $D$11, 100%, $F$11)</f>
        <v>34.8187</v>
      </c>
      <c r="G847" s="8">
        <f>33.5801 * CHOOSE( CONTROL!$C$15, $D$11, 100%, $F$11)</f>
        <v>33.580100000000002</v>
      </c>
      <c r="H847" s="4">
        <f>34.4701 * CHOOSE(CONTROL!$C$15, $D$11, 100%, $F$11)</f>
        <v>34.470100000000002</v>
      </c>
      <c r="I847" s="8">
        <f>33.0921 * CHOOSE(CONTROL!$C$15, $D$11, 100%, $F$11)</f>
        <v>33.092100000000002</v>
      </c>
      <c r="J847" s="4">
        <f>33.0067 * CHOOSE(CONTROL!$C$15, $D$11, 100%, $F$11)</f>
        <v>33.006700000000002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67327</v>
      </c>
      <c r="B848" s="8">
        <f>34.6936 * CHOOSE(CONTROL!$C$15, $D$11, 100%, $F$11)</f>
        <v>34.693600000000004</v>
      </c>
      <c r="C848" s="8">
        <f>34.6981 * CHOOSE(CONTROL!$C$15, $D$11, 100%, $F$11)</f>
        <v>34.698099999999997</v>
      </c>
      <c r="D848" s="8">
        <f>34.7053 * CHOOSE( CONTROL!$C$15, $D$11, 100%, $F$11)</f>
        <v>34.705300000000001</v>
      </c>
      <c r="E848" s="12">
        <f>34.7024 * CHOOSE( CONTROL!$C$15, $D$11, 100%, $F$11)</f>
        <v>34.702399999999997</v>
      </c>
      <c r="F848" s="4">
        <f>35.3765 * CHOOSE(CONTROL!$C$15, $D$11, 100%, $F$11)</f>
        <v>35.3765</v>
      </c>
      <c r="G848" s="8">
        <f>34.0857 * CHOOSE( CONTROL!$C$15, $D$11, 100%, $F$11)</f>
        <v>34.085700000000003</v>
      </c>
      <c r="H848" s="4">
        <f>35.0186 * CHOOSE(CONTROL!$C$15, $D$11, 100%, $F$11)</f>
        <v>35.018599999999999</v>
      </c>
      <c r="I848" s="8">
        <f>33.6138 * CHOOSE(CONTROL!$C$15, $D$11, 100%, $F$11)</f>
        <v>33.613799999999998</v>
      </c>
      <c r="J848" s="4">
        <f>33.5083 * CHOOSE(CONTROL!$C$15, $D$11, 100%, $F$11)</f>
        <v>33.508299999999998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1.1791</v>
      </c>
      <c r="Q848" s="9">
        <v>19.053000000000001</v>
      </c>
      <c r="R848" s="9"/>
      <c r="S848" s="11"/>
    </row>
    <row r="849" spans="1:19" ht="15.75">
      <c r="A849" s="13">
        <v>67358</v>
      </c>
      <c r="B849" s="8">
        <f>CHOOSE( CONTROL!$C$32, 35.6217, 35.6185) * CHOOSE(CONTROL!$C$15, $D$11, 100%, $F$11)</f>
        <v>35.621699999999997</v>
      </c>
      <c r="C849" s="8">
        <f>CHOOSE( CONTROL!$C$32, 35.6297, 35.6265) * CHOOSE(CONTROL!$C$15, $D$11, 100%, $F$11)</f>
        <v>35.6297</v>
      </c>
      <c r="D849" s="8">
        <f>CHOOSE( CONTROL!$C$32, 35.6321, 35.6289) * CHOOSE( CONTROL!$C$15, $D$11, 100%, $F$11)</f>
        <v>35.632100000000001</v>
      </c>
      <c r="E849" s="12">
        <f>CHOOSE( CONTROL!$C$32, 35.63, 35.6268) * CHOOSE( CONTROL!$C$15, $D$11, 100%, $F$11)</f>
        <v>35.630000000000003</v>
      </c>
      <c r="F849" s="4">
        <f>CHOOSE( CONTROL!$C$32, 36.3033, 36.3001) * CHOOSE(CONTROL!$C$15, $D$11, 100%, $F$11)</f>
        <v>36.3033</v>
      </c>
      <c r="G849" s="8">
        <f>CHOOSE( CONTROL!$C$32, 34.9983, 34.9951) * CHOOSE( CONTROL!$C$15, $D$11, 100%, $F$11)</f>
        <v>34.9983</v>
      </c>
      <c r="H849" s="4">
        <f>CHOOSE( CONTROL!$C$32, 35.9301, 35.9269) * CHOOSE(CONTROL!$C$15, $D$11, 100%, $F$11)</f>
        <v>35.930100000000003</v>
      </c>
      <c r="I849" s="8">
        <f>CHOOSE( CONTROL!$C$32, 34.5118, 34.5087) * CHOOSE(CONTROL!$C$15, $D$11, 100%, $F$11)</f>
        <v>34.511800000000001</v>
      </c>
      <c r="J849" s="4">
        <f>CHOOSE( CONTROL!$C$32, 34.4043, 34.4012) * CHOOSE(CONTROL!$C$15, $D$11, 100%, $F$11)</f>
        <v>34.404299999999999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1.2183999999999999</v>
      </c>
      <c r="Q849" s="9">
        <v>19.688099999999999</v>
      </c>
      <c r="R849" s="9"/>
      <c r="S849" s="11"/>
    </row>
    <row r="850" spans="1:19" ht="15.75">
      <c r="A850" s="13">
        <v>67388</v>
      </c>
      <c r="B850" s="8">
        <f>CHOOSE( CONTROL!$C$32, 35.0496, 35.0464) * CHOOSE(CONTROL!$C$15, $D$11, 100%, $F$11)</f>
        <v>35.049599999999998</v>
      </c>
      <c r="C850" s="8">
        <f>CHOOSE( CONTROL!$C$32, 35.0576, 35.0544) * CHOOSE(CONTROL!$C$15, $D$11, 100%, $F$11)</f>
        <v>35.057600000000001</v>
      </c>
      <c r="D850" s="8">
        <f>CHOOSE( CONTROL!$C$32, 35.0602, 35.057) * CHOOSE( CONTROL!$C$15, $D$11, 100%, $F$11)</f>
        <v>35.060200000000002</v>
      </c>
      <c r="E850" s="12">
        <f>CHOOSE( CONTROL!$C$32, 35.058, 35.0548) * CHOOSE( CONTROL!$C$15, $D$11, 100%, $F$11)</f>
        <v>35.058</v>
      </c>
      <c r="F850" s="4">
        <f>CHOOSE( CONTROL!$C$32, 35.7311, 35.7279) * CHOOSE(CONTROL!$C$15, $D$11, 100%, $F$11)</f>
        <v>35.731099999999998</v>
      </c>
      <c r="G850" s="8">
        <f>CHOOSE( CONTROL!$C$32, 34.4361, 34.4329) * CHOOSE( CONTROL!$C$15, $D$11, 100%, $F$11)</f>
        <v>34.436100000000003</v>
      </c>
      <c r="H850" s="4">
        <f>CHOOSE( CONTROL!$C$32, 35.3674, 35.3643) * CHOOSE(CONTROL!$C$15, $D$11, 100%, $F$11)</f>
        <v>35.367400000000004</v>
      </c>
      <c r="I850" s="8">
        <f>CHOOSE( CONTROL!$C$32, 33.9598, 33.9567) * CHOOSE(CONTROL!$C$15, $D$11, 100%, $F$11)</f>
        <v>33.959800000000001</v>
      </c>
      <c r="J850" s="4">
        <f>CHOOSE( CONTROL!$C$32, 33.8512, 33.8481) * CHOOSE(CONTROL!$C$15, $D$11, 100%, $F$11)</f>
        <v>33.851199999999999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1.1791</v>
      </c>
      <c r="Q850" s="9">
        <v>19.053000000000001</v>
      </c>
      <c r="R850" s="9"/>
      <c r="S850" s="11"/>
    </row>
    <row r="851" spans="1:19" ht="15.75">
      <c r="A851" s="13">
        <v>67419</v>
      </c>
      <c r="B851" s="8">
        <f>CHOOSE( CONTROL!$C$32, 36.5562, 36.553) * CHOOSE(CONTROL!$C$15, $D$11, 100%, $F$11)</f>
        <v>36.556199999999997</v>
      </c>
      <c r="C851" s="8">
        <f>CHOOSE( CONTROL!$C$32, 36.5643, 36.5611) * CHOOSE(CONTROL!$C$15, $D$11, 100%, $F$11)</f>
        <v>36.564300000000003</v>
      </c>
      <c r="D851" s="8">
        <f>CHOOSE( CONTROL!$C$32, 36.5672, 36.564) * CHOOSE( CONTROL!$C$15, $D$11, 100%, $F$11)</f>
        <v>36.5672</v>
      </c>
      <c r="E851" s="12">
        <f>CHOOSE( CONTROL!$C$32, 36.5649, 36.5617) * CHOOSE( CONTROL!$C$15, $D$11, 100%, $F$11)</f>
        <v>36.564900000000002</v>
      </c>
      <c r="F851" s="4">
        <f>CHOOSE( CONTROL!$C$32, 37.2378, 37.2346) * CHOOSE(CONTROL!$C$15, $D$11, 100%, $F$11)</f>
        <v>37.2378</v>
      </c>
      <c r="G851" s="8">
        <f>CHOOSE( CONTROL!$C$32, 35.9182, 35.915) * CHOOSE( CONTROL!$C$15, $D$11, 100%, $F$11)</f>
        <v>35.918199999999999</v>
      </c>
      <c r="H851" s="4">
        <f>CHOOSE( CONTROL!$C$32, 36.8491, 36.8459) * CHOOSE(CONTROL!$C$15, $D$11, 100%, $F$11)</f>
        <v>36.8491</v>
      </c>
      <c r="I851" s="8">
        <f>CHOOSE( CONTROL!$C$32, 35.4185, 35.4154) * CHOOSE(CONTROL!$C$15, $D$11, 100%, $F$11)</f>
        <v>35.418500000000002</v>
      </c>
      <c r="J851" s="4">
        <f>CHOOSE( CONTROL!$C$32, 35.3077, 35.3046) * CHOOSE(CONTROL!$C$15, $D$11, 100%, $F$11)</f>
        <v>35.307699999999997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67450</v>
      </c>
      <c r="B852" s="8">
        <f>CHOOSE( CONTROL!$C$32, 33.7371, 33.7339) * CHOOSE(CONTROL!$C$15, $D$11, 100%, $F$11)</f>
        <v>33.737099999999998</v>
      </c>
      <c r="C852" s="8">
        <f>CHOOSE( CONTROL!$C$32, 33.7451, 33.7419) * CHOOSE(CONTROL!$C$15, $D$11, 100%, $F$11)</f>
        <v>33.745100000000001</v>
      </c>
      <c r="D852" s="8">
        <f>CHOOSE( CONTROL!$C$32, 33.7482, 33.745) * CHOOSE( CONTROL!$C$15, $D$11, 100%, $F$11)</f>
        <v>33.748199999999997</v>
      </c>
      <c r="E852" s="12">
        <f>CHOOSE( CONTROL!$C$32, 33.7459, 33.7427) * CHOOSE( CONTROL!$C$15, $D$11, 100%, $F$11)</f>
        <v>33.745899999999999</v>
      </c>
      <c r="F852" s="4">
        <f>CHOOSE( CONTROL!$C$32, 34.4187, 34.4155) * CHOOSE(CONTROL!$C$15, $D$11, 100%, $F$11)</f>
        <v>34.418700000000001</v>
      </c>
      <c r="G852" s="8">
        <f>CHOOSE( CONTROL!$C$32, 33.146, 33.1429) * CHOOSE( CONTROL!$C$15, $D$11, 100%, $F$11)</f>
        <v>33.146000000000001</v>
      </c>
      <c r="H852" s="4">
        <f>CHOOSE( CONTROL!$C$32, 34.0767, 34.0736) * CHOOSE(CONTROL!$C$15, $D$11, 100%, $F$11)</f>
        <v>34.076700000000002</v>
      </c>
      <c r="I852" s="8">
        <f>CHOOSE( CONTROL!$C$32, 32.6927, 32.6896) * CHOOSE(CONTROL!$C$15, $D$11, 100%, $F$11)</f>
        <v>32.692700000000002</v>
      </c>
      <c r="J852" s="4">
        <f>CHOOSE( CONTROL!$C$32, 32.5824, 32.5793) * CHOOSE(CONTROL!$C$15, $D$11, 100%, $F$11)</f>
        <v>32.5824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1.2183999999999999</v>
      </c>
      <c r="Q852" s="9">
        <v>19.688099999999999</v>
      </c>
      <c r="R852" s="9"/>
      <c r="S852" s="11"/>
    </row>
    <row r="853" spans="1:19" ht="15.75">
      <c r="A853" s="13">
        <v>67480</v>
      </c>
      <c r="B853" s="8">
        <f>CHOOSE( CONTROL!$C$32, 33.0312, 33.028) * CHOOSE(CONTROL!$C$15, $D$11, 100%, $F$11)</f>
        <v>33.031199999999998</v>
      </c>
      <c r="C853" s="8">
        <f>CHOOSE( CONTROL!$C$32, 33.0392, 33.036) * CHOOSE(CONTROL!$C$15, $D$11, 100%, $F$11)</f>
        <v>33.039200000000001</v>
      </c>
      <c r="D853" s="8">
        <f>CHOOSE( CONTROL!$C$32, 33.0423, 33.0391) * CHOOSE( CONTROL!$C$15, $D$11, 100%, $F$11)</f>
        <v>33.042299999999997</v>
      </c>
      <c r="E853" s="12">
        <f>CHOOSE( CONTROL!$C$32, 33.04, 33.0368) * CHOOSE( CONTROL!$C$15, $D$11, 100%, $F$11)</f>
        <v>33.04</v>
      </c>
      <c r="F853" s="4">
        <f>CHOOSE( CONTROL!$C$32, 33.7127, 33.7095) * CHOOSE(CONTROL!$C$15, $D$11, 100%, $F$11)</f>
        <v>33.712699999999998</v>
      </c>
      <c r="G853" s="8">
        <f>CHOOSE( CONTROL!$C$32, 32.4518, 32.4487) * CHOOSE( CONTROL!$C$15, $D$11, 100%, $F$11)</f>
        <v>32.451799999999999</v>
      </c>
      <c r="H853" s="4">
        <f>CHOOSE( CONTROL!$C$32, 33.3825, 33.3793) * CHOOSE(CONTROL!$C$15, $D$11, 100%, $F$11)</f>
        <v>33.3825</v>
      </c>
      <c r="I853" s="8">
        <f>CHOOSE( CONTROL!$C$32, 32.01, 32.0069) * CHOOSE(CONTROL!$C$15, $D$11, 100%, $F$11)</f>
        <v>32.01</v>
      </c>
      <c r="J853" s="4">
        <f>CHOOSE( CONTROL!$C$32, 31.9, 31.8969) * CHOOSE(CONTROL!$C$15, $D$11, 100%, $F$11)</f>
        <v>31.9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1.1791</v>
      </c>
      <c r="Q853" s="9">
        <v>19.053000000000001</v>
      </c>
      <c r="R853" s="9"/>
      <c r="S853" s="11"/>
    </row>
    <row r="854" spans="1:19" ht="15.75">
      <c r="A854" s="13">
        <v>67511</v>
      </c>
      <c r="B854" s="8">
        <f>34.492 * CHOOSE(CONTROL!$C$15, $D$11, 100%, $F$11)</f>
        <v>34.491999999999997</v>
      </c>
      <c r="C854" s="8">
        <f>34.4974 * CHOOSE(CONTROL!$C$15, $D$11, 100%, $F$11)</f>
        <v>34.497399999999999</v>
      </c>
      <c r="D854" s="8">
        <f>34.5053 * CHOOSE( CONTROL!$C$15, $D$11, 100%, $F$11)</f>
        <v>34.505299999999998</v>
      </c>
      <c r="E854" s="12">
        <f>34.5021 * CHOOSE( CONTROL!$C$15, $D$11, 100%, $F$11)</f>
        <v>34.502099999999999</v>
      </c>
      <c r="F854" s="4">
        <f>35.1753 * CHOOSE(CONTROL!$C$15, $D$11, 100%, $F$11)</f>
        <v>35.1753</v>
      </c>
      <c r="G854" s="8">
        <f>33.8897 * CHOOSE( CONTROL!$C$15, $D$11, 100%, $F$11)</f>
        <v>33.889699999999998</v>
      </c>
      <c r="H854" s="4">
        <f>34.8208 * CHOOSE(CONTROL!$C$15, $D$11, 100%, $F$11)</f>
        <v>34.820799999999998</v>
      </c>
      <c r="I854" s="8">
        <f>33.4252 * CHOOSE(CONTROL!$C$15, $D$11, 100%, $F$11)</f>
        <v>33.425199999999997</v>
      </c>
      <c r="J854" s="4">
        <f>33.3139 * CHOOSE(CONTROL!$C$15, $D$11, 100%, $F$11)</f>
        <v>33.313899999999997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1.2183999999999999</v>
      </c>
      <c r="Q854" s="9">
        <v>19.688099999999999</v>
      </c>
      <c r="R854" s="9"/>
      <c r="S854" s="11"/>
    </row>
    <row r="855" spans="1:19" ht="15.75">
      <c r="A855" s="13">
        <v>67541</v>
      </c>
      <c r="B855" s="8">
        <f>37.1972 * CHOOSE(CONTROL!$C$15, $D$11, 100%, $F$11)</f>
        <v>37.197200000000002</v>
      </c>
      <c r="C855" s="8">
        <f>37.2023 * CHOOSE(CONTROL!$C$15, $D$11, 100%, $F$11)</f>
        <v>37.202300000000001</v>
      </c>
      <c r="D855" s="8">
        <f>37.1798 * CHOOSE( CONTROL!$C$15, $D$11, 100%, $F$11)</f>
        <v>37.1798</v>
      </c>
      <c r="E855" s="12">
        <f>37.1875 * CHOOSE( CONTROL!$C$15, $D$11, 100%, $F$11)</f>
        <v>37.1875</v>
      </c>
      <c r="F855" s="4">
        <f>37.842 * CHOOSE(CONTROL!$C$15, $D$11, 100%, $F$11)</f>
        <v>37.841999999999999</v>
      </c>
      <c r="G855" s="8">
        <f>36.563 * CHOOSE( CONTROL!$C$15, $D$11, 100%, $F$11)</f>
        <v>36.563000000000002</v>
      </c>
      <c r="H855" s="4">
        <f>37.4433 * CHOOSE(CONTROL!$C$15, $D$11, 100%, $F$11)</f>
        <v>37.443300000000001</v>
      </c>
      <c r="I855" s="8">
        <f>36.0676 * CHOOSE(CONTROL!$C$15, $D$11, 100%, $F$11)</f>
        <v>36.067599999999999</v>
      </c>
      <c r="J855" s="4">
        <f>35.9293 * CHOOSE(CONTROL!$C$15, $D$11, 100%, $F$11)</f>
        <v>35.929299999999998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67572</v>
      </c>
      <c r="B856" s="8">
        <f>37.1296 * CHOOSE(CONTROL!$C$15, $D$11, 100%, $F$11)</f>
        <v>37.129600000000003</v>
      </c>
      <c r="C856" s="8">
        <f>37.1347 * CHOOSE(CONTROL!$C$15, $D$11, 100%, $F$11)</f>
        <v>37.134700000000002</v>
      </c>
      <c r="D856" s="8">
        <f>37.1136 * CHOOSE( CONTROL!$C$15, $D$11, 100%, $F$11)</f>
        <v>37.113599999999998</v>
      </c>
      <c r="E856" s="12">
        <f>37.1208 * CHOOSE( CONTROL!$C$15, $D$11, 100%, $F$11)</f>
        <v>37.120800000000003</v>
      </c>
      <c r="F856" s="4">
        <f>37.7745 * CHOOSE(CONTROL!$C$15, $D$11, 100%, $F$11)</f>
        <v>37.774500000000003</v>
      </c>
      <c r="G856" s="8">
        <f>36.4976 * CHOOSE( CONTROL!$C$15, $D$11, 100%, $F$11)</f>
        <v>36.497599999999998</v>
      </c>
      <c r="H856" s="4">
        <f>37.3768 * CHOOSE(CONTROL!$C$15, $D$11, 100%, $F$11)</f>
        <v>37.376800000000003</v>
      </c>
      <c r="I856" s="8">
        <f>36.0068 * CHOOSE(CONTROL!$C$15, $D$11, 100%, $F$11)</f>
        <v>36.006799999999998</v>
      </c>
      <c r="J856" s="4">
        <f>35.864 * CHOOSE(CONTROL!$C$15, $D$11, 100%, $F$11)</f>
        <v>35.863999999999997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67603</v>
      </c>
      <c r="B857" s="8">
        <f>38.5475 * CHOOSE(CONTROL!$C$15, $D$11, 100%, $F$11)</f>
        <v>38.547499999999999</v>
      </c>
      <c r="C857" s="8">
        <f>38.5526 * CHOOSE(CONTROL!$C$15, $D$11, 100%, $F$11)</f>
        <v>38.552599999999998</v>
      </c>
      <c r="D857" s="8">
        <f>38.5306 * CHOOSE( CONTROL!$C$15, $D$11, 100%, $F$11)</f>
        <v>38.5306</v>
      </c>
      <c r="E857" s="12">
        <f>38.5381 * CHOOSE( CONTROL!$C$15, $D$11, 100%, $F$11)</f>
        <v>38.5381</v>
      </c>
      <c r="F857" s="4">
        <f>39.1924 * CHOOSE(CONTROL!$C$15, $D$11, 100%, $F$11)</f>
        <v>39.192399999999999</v>
      </c>
      <c r="G857" s="8">
        <f>37.8894 * CHOOSE( CONTROL!$C$15, $D$11, 100%, $F$11)</f>
        <v>37.889400000000002</v>
      </c>
      <c r="H857" s="4">
        <f>38.7712 * CHOOSE(CONTROL!$C$15, $D$11, 100%, $F$11)</f>
        <v>38.7712</v>
      </c>
      <c r="I857" s="8">
        <f>37.35 * CHOOSE(CONTROL!$C$15, $D$11, 100%, $F$11)</f>
        <v>37.35</v>
      </c>
      <c r="J857" s="4">
        <f>37.2347 * CHOOSE(CONTROL!$C$15, $D$11, 100%, $F$11)</f>
        <v>37.234699999999997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67631</v>
      </c>
      <c r="B858" s="8">
        <f>36.0574 * CHOOSE(CONTROL!$C$15, $D$11, 100%, $F$11)</f>
        <v>36.057400000000001</v>
      </c>
      <c r="C858" s="8">
        <f>36.0625 * CHOOSE(CONTROL!$C$15, $D$11, 100%, $F$11)</f>
        <v>36.0625</v>
      </c>
      <c r="D858" s="8">
        <f>36.0361 * CHOOSE( CONTROL!$C$15, $D$11, 100%, $F$11)</f>
        <v>36.036099999999998</v>
      </c>
      <c r="E858" s="12">
        <f>36.0452 * CHOOSE( CONTROL!$C$15, $D$11, 100%, $F$11)</f>
        <v>36.045200000000001</v>
      </c>
      <c r="F858" s="4">
        <f>36.7023 * CHOOSE(CONTROL!$C$15, $D$11, 100%, $F$11)</f>
        <v>36.702300000000001</v>
      </c>
      <c r="G858" s="8">
        <f>35.4321 * CHOOSE( CONTROL!$C$15, $D$11, 100%, $F$11)</f>
        <v>35.432099999999998</v>
      </c>
      <c r="H858" s="4">
        <f>36.3225 * CHOOSE(CONTROL!$C$15, $D$11, 100%, $F$11)</f>
        <v>36.322499999999998</v>
      </c>
      <c r="I858" s="8">
        <f>34.9126 * CHOOSE(CONTROL!$C$15, $D$11, 100%, $F$11)</f>
        <v>34.912599999999998</v>
      </c>
      <c r="J858" s="4">
        <f>34.8275 * CHOOSE(CONTROL!$C$15, $D$11, 100%, $F$11)</f>
        <v>34.827500000000001</v>
      </c>
      <c r="K858" s="4"/>
      <c r="L858" s="9">
        <v>26.469899999999999</v>
      </c>
      <c r="M858" s="9">
        <v>10.8962</v>
      </c>
      <c r="N858" s="9">
        <v>4.4660000000000002</v>
      </c>
      <c r="O858" s="9">
        <v>0.33789999999999998</v>
      </c>
      <c r="P858" s="9">
        <v>1.1676</v>
      </c>
      <c r="Q858" s="9">
        <v>17.782800000000002</v>
      </c>
      <c r="R858" s="9"/>
      <c r="S858" s="11"/>
    </row>
    <row r="859" spans="1:19" ht="15.75">
      <c r="A859" s="13">
        <v>67662</v>
      </c>
      <c r="B859" s="8">
        <f>35.2905 * CHOOSE(CONTROL!$C$15, $D$11, 100%, $F$11)</f>
        <v>35.290500000000002</v>
      </c>
      <c r="C859" s="8">
        <f>35.2956 * CHOOSE(CONTROL!$C$15, $D$11, 100%, $F$11)</f>
        <v>35.2956</v>
      </c>
      <c r="D859" s="8">
        <f>35.2696 * CHOOSE( CONTROL!$C$15, $D$11, 100%, $F$11)</f>
        <v>35.269599999999997</v>
      </c>
      <c r="E859" s="12">
        <f>35.2786 * CHOOSE( CONTROL!$C$15, $D$11, 100%, $F$11)</f>
        <v>35.278599999999997</v>
      </c>
      <c r="F859" s="4">
        <f>35.9354 * CHOOSE(CONTROL!$C$15, $D$11, 100%, $F$11)</f>
        <v>35.935400000000001</v>
      </c>
      <c r="G859" s="8">
        <f>34.6782 * CHOOSE( CONTROL!$C$15, $D$11, 100%, $F$11)</f>
        <v>34.678199999999997</v>
      </c>
      <c r="H859" s="4">
        <f>35.5682 * CHOOSE(CONTROL!$C$15, $D$11, 100%, $F$11)</f>
        <v>35.568199999999997</v>
      </c>
      <c r="I859" s="8">
        <f>34.1721 * CHOOSE(CONTROL!$C$15, $D$11, 100%, $F$11)</f>
        <v>34.1721</v>
      </c>
      <c r="J859" s="4">
        <f>34.0861 * CHOOSE(CONTROL!$C$15, $D$11, 100%, $F$11)</f>
        <v>34.086100000000002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67692</v>
      </c>
      <c r="B860" s="8">
        <f>35.8272 * CHOOSE(CONTROL!$C$15, $D$11, 100%, $F$11)</f>
        <v>35.827199999999998</v>
      </c>
      <c r="C860" s="8">
        <f>35.8317 * CHOOSE(CONTROL!$C$15, $D$11, 100%, $F$11)</f>
        <v>35.831699999999998</v>
      </c>
      <c r="D860" s="8">
        <f>35.8389 * CHOOSE( CONTROL!$C$15, $D$11, 100%, $F$11)</f>
        <v>35.838900000000002</v>
      </c>
      <c r="E860" s="12">
        <f>35.836 * CHOOSE( CONTROL!$C$15, $D$11, 100%, $F$11)</f>
        <v>35.835999999999999</v>
      </c>
      <c r="F860" s="4">
        <f>36.5101 * CHOOSE(CONTROL!$C$15, $D$11, 100%, $F$11)</f>
        <v>36.510100000000001</v>
      </c>
      <c r="G860" s="8">
        <f>35.2005 * CHOOSE( CONTROL!$C$15, $D$11, 100%, $F$11)</f>
        <v>35.200499999999998</v>
      </c>
      <c r="H860" s="4">
        <f>36.1334 * CHOOSE(CONTROL!$C$15, $D$11, 100%, $F$11)</f>
        <v>36.133400000000002</v>
      </c>
      <c r="I860" s="8">
        <f>34.7102 * CHOOSE(CONTROL!$C$15, $D$11, 100%, $F$11)</f>
        <v>34.7102</v>
      </c>
      <c r="J860" s="4">
        <f>34.6042 * CHOOSE(CONTROL!$C$15, $D$11, 100%, $F$11)</f>
        <v>34.604199999999999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1.1791</v>
      </c>
      <c r="Q860" s="9">
        <v>19.053000000000001</v>
      </c>
      <c r="R860" s="9"/>
      <c r="S860" s="11"/>
    </row>
    <row r="861" spans="1:19" ht="15.75">
      <c r="A861" s="13">
        <v>67723</v>
      </c>
      <c r="B861" s="8">
        <f>CHOOSE( CONTROL!$C$32, 36.7855, 36.7823) * CHOOSE(CONTROL!$C$15, $D$11, 100%, $F$11)</f>
        <v>36.785499999999999</v>
      </c>
      <c r="C861" s="8">
        <f>CHOOSE( CONTROL!$C$32, 36.7935, 36.7903) * CHOOSE(CONTROL!$C$15, $D$11, 100%, $F$11)</f>
        <v>36.793500000000002</v>
      </c>
      <c r="D861" s="8">
        <f>CHOOSE( CONTROL!$C$32, 36.7959, 36.7927) * CHOOSE( CONTROL!$C$15, $D$11, 100%, $F$11)</f>
        <v>36.795900000000003</v>
      </c>
      <c r="E861" s="12">
        <f>CHOOSE( CONTROL!$C$32, 36.7938, 36.7906) * CHOOSE( CONTROL!$C$15, $D$11, 100%, $F$11)</f>
        <v>36.793799999999997</v>
      </c>
      <c r="F861" s="4">
        <f>CHOOSE( CONTROL!$C$32, 37.4671, 37.4639) * CHOOSE(CONTROL!$C$15, $D$11, 100%, $F$11)</f>
        <v>37.467100000000002</v>
      </c>
      <c r="G861" s="8">
        <f>CHOOSE( CONTROL!$C$32, 36.1428, 36.1396) * CHOOSE( CONTROL!$C$15, $D$11, 100%, $F$11)</f>
        <v>36.142800000000001</v>
      </c>
      <c r="H861" s="4">
        <f>CHOOSE( CONTROL!$C$32, 37.0746, 37.0714) * CHOOSE(CONTROL!$C$15, $D$11, 100%, $F$11)</f>
        <v>37.074599999999997</v>
      </c>
      <c r="I861" s="8">
        <f>CHOOSE( CONTROL!$C$32, 35.6374, 35.6343) * CHOOSE(CONTROL!$C$15, $D$11, 100%, $F$11)</f>
        <v>35.6374</v>
      </c>
      <c r="J861" s="4">
        <f>CHOOSE( CONTROL!$C$32, 35.5293, 35.5262) * CHOOSE(CONTROL!$C$15, $D$11, 100%, $F$11)</f>
        <v>35.529299999999999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1.2183999999999999</v>
      </c>
      <c r="Q861" s="9">
        <v>19.688099999999999</v>
      </c>
      <c r="R861" s="9"/>
      <c r="S861" s="11"/>
    </row>
    <row r="862" spans="1:19" ht="15.75">
      <c r="A862" s="13">
        <v>67753</v>
      </c>
      <c r="B862" s="8">
        <f>CHOOSE( CONTROL!$C$32, 36.1947, 36.1915) * CHOOSE(CONTROL!$C$15, $D$11, 100%, $F$11)</f>
        <v>36.194699999999997</v>
      </c>
      <c r="C862" s="8">
        <f>CHOOSE( CONTROL!$C$32, 36.2027, 36.1995) * CHOOSE(CONTROL!$C$15, $D$11, 100%, $F$11)</f>
        <v>36.2027</v>
      </c>
      <c r="D862" s="8">
        <f>CHOOSE( CONTROL!$C$32, 36.2053, 36.2021) * CHOOSE( CONTROL!$C$15, $D$11, 100%, $F$11)</f>
        <v>36.205300000000001</v>
      </c>
      <c r="E862" s="12">
        <f>CHOOSE( CONTROL!$C$32, 36.2031, 36.1999) * CHOOSE( CONTROL!$C$15, $D$11, 100%, $F$11)</f>
        <v>36.203099999999999</v>
      </c>
      <c r="F862" s="4">
        <f>CHOOSE( CONTROL!$C$32, 36.8762, 36.873) * CHOOSE(CONTROL!$C$15, $D$11, 100%, $F$11)</f>
        <v>36.876199999999997</v>
      </c>
      <c r="G862" s="8">
        <f>CHOOSE( CONTROL!$C$32, 35.5622, 35.559) * CHOOSE( CONTROL!$C$15, $D$11, 100%, $F$11)</f>
        <v>35.562199999999997</v>
      </c>
      <c r="H862" s="4">
        <f>CHOOSE( CONTROL!$C$32, 36.4935, 36.4904) * CHOOSE(CONTROL!$C$15, $D$11, 100%, $F$11)</f>
        <v>36.493499999999997</v>
      </c>
      <c r="I862" s="8">
        <f>CHOOSE( CONTROL!$C$32, 35.0674, 35.0643) * CHOOSE(CONTROL!$C$15, $D$11, 100%, $F$11)</f>
        <v>35.067399999999999</v>
      </c>
      <c r="J862" s="4">
        <f>CHOOSE( CONTROL!$C$32, 34.9582, 34.9551) * CHOOSE(CONTROL!$C$15, $D$11, 100%, $F$11)</f>
        <v>34.958199999999998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1.1791</v>
      </c>
      <c r="Q862" s="9">
        <v>19.053000000000001</v>
      </c>
      <c r="R862" s="9"/>
      <c r="S862" s="11"/>
    </row>
    <row r="863" spans="1:19" ht="15.75">
      <c r="A863" s="13">
        <v>67784</v>
      </c>
      <c r="B863" s="8">
        <f>CHOOSE( CONTROL!$C$32, 37.7506, 37.7474) * CHOOSE(CONTROL!$C$15, $D$11, 100%, $F$11)</f>
        <v>37.750599999999999</v>
      </c>
      <c r="C863" s="8">
        <f>CHOOSE( CONTROL!$C$32, 37.7586, 37.7554) * CHOOSE(CONTROL!$C$15, $D$11, 100%, $F$11)</f>
        <v>37.758600000000001</v>
      </c>
      <c r="D863" s="8">
        <f>CHOOSE( CONTROL!$C$32, 37.7615, 37.7583) * CHOOSE( CONTROL!$C$15, $D$11, 100%, $F$11)</f>
        <v>37.761499999999998</v>
      </c>
      <c r="E863" s="12">
        <f>CHOOSE( CONTROL!$C$32, 37.7592, 37.756) * CHOOSE( CONTROL!$C$15, $D$11, 100%, $F$11)</f>
        <v>37.7592</v>
      </c>
      <c r="F863" s="4">
        <f>CHOOSE( CONTROL!$C$32, 38.4322, 38.429) * CHOOSE(CONTROL!$C$15, $D$11, 100%, $F$11)</f>
        <v>38.432200000000002</v>
      </c>
      <c r="G863" s="8">
        <f>CHOOSE( CONTROL!$C$32, 37.0927, 37.0896) * CHOOSE( CONTROL!$C$15, $D$11, 100%, $F$11)</f>
        <v>37.092700000000001</v>
      </c>
      <c r="H863" s="4">
        <f>CHOOSE( CONTROL!$C$32, 38.0236, 38.0205) * CHOOSE(CONTROL!$C$15, $D$11, 100%, $F$11)</f>
        <v>38.023600000000002</v>
      </c>
      <c r="I863" s="8">
        <f>CHOOSE( CONTROL!$C$32, 36.5737, 36.5706) * CHOOSE(CONTROL!$C$15, $D$11, 100%, $F$11)</f>
        <v>36.573700000000002</v>
      </c>
      <c r="J863" s="4">
        <f>CHOOSE( CONTROL!$C$32, 36.4623, 36.4592) * CHOOSE(CONTROL!$C$15, $D$11, 100%, $F$11)</f>
        <v>36.462299999999999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67815</v>
      </c>
      <c r="B864" s="8">
        <f>CHOOSE( CONTROL!$C$32, 34.8393, 34.8361) * CHOOSE(CONTROL!$C$15, $D$11, 100%, $F$11)</f>
        <v>34.839300000000001</v>
      </c>
      <c r="C864" s="8">
        <f>CHOOSE( CONTROL!$C$32, 34.8473, 34.8441) * CHOOSE(CONTROL!$C$15, $D$11, 100%, $F$11)</f>
        <v>34.847299999999997</v>
      </c>
      <c r="D864" s="8">
        <f>CHOOSE( CONTROL!$C$32, 34.8504, 34.8472) * CHOOSE( CONTROL!$C$15, $D$11, 100%, $F$11)</f>
        <v>34.8504</v>
      </c>
      <c r="E864" s="12">
        <f>CHOOSE( CONTROL!$C$32, 34.8481, 34.8449) * CHOOSE( CONTROL!$C$15, $D$11, 100%, $F$11)</f>
        <v>34.848100000000002</v>
      </c>
      <c r="F864" s="4">
        <f>CHOOSE( CONTROL!$C$32, 35.5208, 35.5176) * CHOOSE(CONTROL!$C$15, $D$11, 100%, $F$11)</f>
        <v>35.520800000000001</v>
      </c>
      <c r="G864" s="8">
        <f>CHOOSE( CONTROL!$C$32, 34.2299, 34.2268) * CHOOSE( CONTROL!$C$15, $D$11, 100%, $F$11)</f>
        <v>34.229900000000001</v>
      </c>
      <c r="H864" s="4">
        <f>CHOOSE( CONTROL!$C$32, 35.1606, 35.1574) * CHOOSE(CONTROL!$C$15, $D$11, 100%, $F$11)</f>
        <v>35.160600000000002</v>
      </c>
      <c r="I864" s="8">
        <f>CHOOSE( CONTROL!$C$32, 33.7587, 33.7556) * CHOOSE(CONTROL!$C$15, $D$11, 100%, $F$11)</f>
        <v>33.758699999999997</v>
      </c>
      <c r="J864" s="4">
        <f>CHOOSE( CONTROL!$C$32, 33.6479, 33.6448) * CHOOSE(CONTROL!$C$15, $D$11, 100%, $F$11)</f>
        <v>33.6479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1.2183999999999999</v>
      </c>
      <c r="Q864" s="9">
        <v>19.688099999999999</v>
      </c>
      <c r="R864" s="9"/>
      <c r="S864" s="11"/>
    </row>
    <row r="865" spans="1:19" ht="15.75">
      <c r="A865" s="13">
        <v>67845</v>
      </c>
      <c r="B865" s="8">
        <f>CHOOSE( CONTROL!$C$32, 34.1103, 34.1071) * CHOOSE(CONTROL!$C$15, $D$11, 100%, $F$11)</f>
        <v>34.110300000000002</v>
      </c>
      <c r="C865" s="8">
        <f>CHOOSE( CONTROL!$C$32, 34.1183, 34.1151) * CHOOSE(CONTROL!$C$15, $D$11, 100%, $F$11)</f>
        <v>34.118299999999998</v>
      </c>
      <c r="D865" s="8">
        <f>CHOOSE( CONTROL!$C$32, 34.1214, 34.1182) * CHOOSE( CONTROL!$C$15, $D$11, 100%, $F$11)</f>
        <v>34.121400000000001</v>
      </c>
      <c r="E865" s="12">
        <f>CHOOSE( CONTROL!$C$32, 34.1191, 34.1159) * CHOOSE( CONTROL!$C$15, $D$11, 100%, $F$11)</f>
        <v>34.119100000000003</v>
      </c>
      <c r="F865" s="4">
        <f>CHOOSE( CONTROL!$C$32, 34.7918, 34.7886) * CHOOSE(CONTROL!$C$15, $D$11, 100%, $F$11)</f>
        <v>34.791800000000002</v>
      </c>
      <c r="G865" s="8">
        <f>CHOOSE( CONTROL!$C$32, 33.513, 33.5099) * CHOOSE( CONTROL!$C$15, $D$11, 100%, $F$11)</f>
        <v>33.512999999999998</v>
      </c>
      <c r="H865" s="4">
        <f>CHOOSE( CONTROL!$C$32, 34.4436, 34.4405) * CHOOSE(CONTROL!$C$15, $D$11, 100%, $F$11)</f>
        <v>34.443600000000004</v>
      </c>
      <c r="I865" s="8">
        <f>CHOOSE( CONTROL!$C$32, 33.0537, 33.0506) * CHOOSE(CONTROL!$C$15, $D$11, 100%, $F$11)</f>
        <v>33.053699999999999</v>
      </c>
      <c r="J865" s="4">
        <f>CHOOSE( CONTROL!$C$32, 32.9431, 32.9401) * CHOOSE(CONTROL!$C$15, $D$11, 100%, $F$11)</f>
        <v>32.943100000000001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1.1791</v>
      </c>
      <c r="Q865" s="9">
        <v>19.053000000000001</v>
      </c>
      <c r="R865" s="9"/>
      <c r="S865" s="11"/>
    </row>
    <row r="866" spans="1:19" ht="15.75">
      <c r="A866" s="13">
        <v>67876</v>
      </c>
      <c r="B866" s="8">
        <f>35.619 * CHOOSE(CONTROL!$C$15, $D$11, 100%, $F$11)</f>
        <v>35.619</v>
      </c>
      <c r="C866" s="8">
        <f>35.6244 * CHOOSE(CONTROL!$C$15, $D$11, 100%, $F$11)</f>
        <v>35.624400000000001</v>
      </c>
      <c r="D866" s="8">
        <f>35.6323 * CHOOSE( CONTROL!$C$15, $D$11, 100%, $F$11)</f>
        <v>35.632300000000001</v>
      </c>
      <c r="E866" s="12">
        <f>35.6291 * CHOOSE( CONTROL!$C$15, $D$11, 100%, $F$11)</f>
        <v>35.629100000000001</v>
      </c>
      <c r="F866" s="4">
        <f>36.3023 * CHOOSE(CONTROL!$C$15, $D$11, 100%, $F$11)</f>
        <v>36.302300000000002</v>
      </c>
      <c r="G866" s="8">
        <f>34.998 * CHOOSE( CONTROL!$C$15, $D$11, 100%, $F$11)</f>
        <v>34.997999999999998</v>
      </c>
      <c r="H866" s="4">
        <f>35.9291 * CHOOSE(CONTROL!$C$15, $D$11, 100%, $F$11)</f>
        <v>35.929099999999998</v>
      </c>
      <c r="I866" s="8">
        <f>34.5153 * CHOOSE(CONTROL!$C$15, $D$11, 100%, $F$11)</f>
        <v>34.515300000000003</v>
      </c>
      <c r="J866" s="4">
        <f>34.4034 * CHOOSE(CONTROL!$C$15, $D$11, 100%, $F$11)</f>
        <v>34.403399999999998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1.2183999999999999</v>
      </c>
      <c r="Q866" s="9">
        <v>19.688099999999999</v>
      </c>
      <c r="R866" s="9"/>
      <c r="S866" s="11"/>
    </row>
    <row r="867" spans="1:19" ht="15.75">
      <c r="A867" s="13">
        <v>67906</v>
      </c>
      <c r="B867" s="8">
        <f>38.4127 * CHOOSE(CONTROL!$C$15, $D$11, 100%, $F$11)</f>
        <v>38.412700000000001</v>
      </c>
      <c r="C867" s="8">
        <f>38.4178 * CHOOSE(CONTROL!$C$15, $D$11, 100%, $F$11)</f>
        <v>38.4178</v>
      </c>
      <c r="D867" s="8">
        <f>38.3953 * CHOOSE( CONTROL!$C$15, $D$11, 100%, $F$11)</f>
        <v>38.395299999999999</v>
      </c>
      <c r="E867" s="12">
        <f>38.403 * CHOOSE( CONTROL!$C$15, $D$11, 100%, $F$11)</f>
        <v>38.402999999999999</v>
      </c>
      <c r="F867" s="4">
        <f>39.0575 * CHOOSE(CONTROL!$C$15, $D$11, 100%, $F$11)</f>
        <v>39.057499999999997</v>
      </c>
      <c r="G867" s="8">
        <f>37.7583 * CHOOSE( CONTROL!$C$15, $D$11, 100%, $F$11)</f>
        <v>37.758299999999998</v>
      </c>
      <c r="H867" s="4">
        <f>38.6387 * CHOOSE(CONTROL!$C$15, $D$11, 100%, $F$11)</f>
        <v>38.6387</v>
      </c>
      <c r="I867" s="8">
        <f>37.2432 * CHOOSE(CONTROL!$C$15, $D$11, 100%, $F$11)</f>
        <v>37.243200000000002</v>
      </c>
      <c r="J867" s="4">
        <f>37.1043 * CHOOSE(CONTROL!$C$15, $D$11, 100%, $F$11)</f>
        <v>37.104300000000002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67937</v>
      </c>
      <c r="B868" s="8">
        <f>38.3429 * CHOOSE(CONTROL!$C$15, $D$11, 100%, $F$11)</f>
        <v>38.3429</v>
      </c>
      <c r="C868" s="8">
        <f>38.348 * CHOOSE(CONTROL!$C$15, $D$11, 100%, $F$11)</f>
        <v>38.347999999999999</v>
      </c>
      <c r="D868" s="8">
        <f>38.3269 * CHOOSE( CONTROL!$C$15, $D$11, 100%, $F$11)</f>
        <v>38.326900000000002</v>
      </c>
      <c r="E868" s="12">
        <f>38.3341 * CHOOSE( CONTROL!$C$15, $D$11, 100%, $F$11)</f>
        <v>38.334099999999999</v>
      </c>
      <c r="F868" s="4">
        <f>38.9877 * CHOOSE(CONTROL!$C$15, $D$11, 100%, $F$11)</f>
        <v>38.987699999999997</v>
      </c>
      <c r="G868" s="8">
        <f>37.6907 * CHOOSE( CONTROL!$C$15, $D$11, 100%, $F$11)</f>
        <v>37.6907</v>
      </c>
      <c r="H868" s="4">
        <f>38.57 * CHOOSE(CONTROL!$C$15, $D$11, 100%, $F$11)</f>
        <v>38.57</v>
      </c>
      <c r="I868" s="8">
        <f>37.1803 * CHOOSE(CONTROL!$C$15, $D$11, 100%, $F$11)</f>
        <v>37.180300000000003</v>
      </c>
      <c r="J868" s="4">
        <f>37.0369 * CHOOSE(CONTROL!$C$15, $D$11, 100%, $F$11)</f>
        <v>37.036900000000003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67968</v>
      </c>
      <c r="B869" s="8">
        <f>39.8071 * CHOOSE(CONTROL!$C$15, $D$11, 100%, $F$11)</f>
        <v>39.807099999999998</v>
      </c>
      <c r="C869" s="8">
        <f>39.8123 * CHOOSE(CONTROL!$C$15, $D$11, 100%, $F$11)</f>
        <v>39.8123</v>
      </c>
      <c r="D869" s="8">
        <f>39.7903 * CHOOSE( CONTROL!$C$15, $D$11, 100%, $F$11)</f>
        <v>39.790300000000002</v>
      </c>
      <c r="E869" s="12">
        <f>39.7978 * CHOOSE( CONTROL!$C$15, $D$11, 100%, $F$11)</f>
        <v>39.797800000000002</v>
      </c>
      <c r="F869" s="4">
        <f>40.452 * CHOOSE(CONTROL!$C$15, $D$11, 100%, $F$11)</f>
        <v>40.451999999999998</v>
      </c>
      <c r="G869" s="8">
        <f>39.1281 * CHOOSE( CONTROL!$C$15, $D$11, 100%, $F$11)</f>
        <v>39.128100000000003</v>
      </c>
      <c r="H869" s="4">
        <f>40.01 * CHOOSE(CONTROL!$C$15, $D$11, 100%, $F$11)</f>
        <v>40.01</v>
      </c>
      <c r="I869" s="8">
        <f>38.5683 * CHOOSE(CONTROL!$C$15, $D$11, 100%, $F$11)</f>
        <v>38.568300000000001</v>
      </c>
      <c r="J869" s="4">
        <f>38.4524 * CHOOSE(CONTROL!$C$15, $D$11, 100%, $F$11)</f>
        <v>38.452399999999997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67996</v>
      </c>
      <c r="B870" s="8">
        <f>37.2356 * CHOOSE(CONTROL!$C$15, $D$11, 100%, $F$11)</f>
        <v>37.235599999999998</v>
      </c>
      <c r="C870" s="8">
        <f>37.2407 * CHOOSE(CONTROL!$C$15, $D$11, 100%, $F$11)</f>
        <v>37.240699999999997</v>
      </c>
      <c r="D870" s="8">
        <f>37.2144 * CHOOSE( CONTROL!$C$15, $D$11, 100%, $F$11)</f>
        <v>37.214399999999998</v>
      </c>
      <c r="E870" s="12">
        <f>37.2235 * CHOOSE( CONTROL!$C$15, $D$11, 100%, $F$11)</f>
        <v>37.223500000000001</v>
      </c>
      <c r="F870" s="4">
        <f>37.8805 * CHOOSE(CONTROL!$C$15, $D$11, 100%, $F$11)</f>
        <v>37.880499999999998</v>
      </c>
      <c r="G870" s="8">
        <f>36.5908 * CHOOSE( CONTROL!$C$15, $D$11, 100%, $F$11)</f>
        <v>36.590800000000002</v>
      </c>
      <c r="H870" s="4">
        <f>37.4811 * CHOOSE(CONTROL!$C$15, $D$11, 100%, $F$11)</f>
        <v>37.481099999999998</v>
      </c>
      <c r="I870" s="8">
        <f>36.0522 * CHOOSE(CONTROL!$C$15, $D$11, 100%, $F$11)</f>
        <v>36.052199999999999</v>
      </c>
      <c r="J870" s="4">
        <f>35.9665 * CHOOSE(CONTROL!$C$15, $D$11, 100%, $F$11)</f>
        <v>35.966500000000003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68027</v>
      </c>
      <c r="B871" s="8">
        <f>36.4436 * CHOOSE(CONTROL!$C$15, $D$11, 100%, $F$11)</f>
        <v>36.443600000000004</v>
      </c>
      <c r="C871" s="8">
        <f>36.4487 * CHOOSE(CONTROL!$C$15, $D$11, 100%, $F$11)</f>
        <v>36.448700000000002</v>
      </c>
      <c r="D871" s="8">
        <f>36.4227 * CHOOSE( CONTROL!$C$15, $D$11, 100%, $F$11)</f>
        <v>36.422699999999999</v>
      </c>
      <c r="E871" s="12">
        <f>36.4317 * CHOOSE( CONTROL!$C$15, $D$11, 100%, $F$11)</f>
        <v>36.431699999999999</v>
      </c>
      <c r="F871" s="4">
        <f>37.0885 * CHOOSE(CONTROL!$C$15, $D$11, 100%, $F$11)</f>
        <v>37.088500000000003</v>
      </c>
      <c r="G871" s="8">
        <f>35.8122 * CHOOSE( CONTROL!$C$15, $D$11, 100%, $F$11)</f>
        <v>35.812199999999997</v>
      </c>
      <c r="H871" s="4">
        <f>36.7023 * CHOOSE(CONTROL!$C$15, $D$11, 100%, $F$11)</f>
        <v>36.702300000000001</v>
      </c>
      <c r="I871" s="8">
        <f>35.2874 * CHOOSE(CONTROL!$C$15, $D$11, 100%, $F$11)</f>
        <v>35.287399999999998</v>
      </c>
      <c r="J871" s="4">
        <f>35.2009 * CHOOSE(CONTROL!$C$15, $D$11, 100%, $F$11)</f>
        <v>35.200899999999997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68057</v>
      </c>
      <c r="B872" s="8">
        <f>36.9978 * CHOOSE(CONTROL!$C$15, $D$11, 100%, $F$11)</f>
        <v>36.997799999999998</v>
      </c>
      <c r="C872" s="8">
        <f>37.0024 * CHOOSE(CONTROL!$C$15, $D$11, 100%, $F$11)</f>
        <v>37.002400000000002</v>
      </c>
      <c r="D872" s="8">
        <f>37.0095 * CHOOSE( CONTROL!$C$15, $D$11, 100%, $F$11)</f>
        <v>37.009500000000003</v>
      </c>
      <c r="E872" s="12">
        <f>37.0066 * CHOOSE( CONTROL!$C$15, $D$11, 100%, $F$11)</f>
        <v>37.006599999999999</v>
      </c>
      <c r="F872" s="4">
        <f>37.6807 * CHOOSE(CONTROL!$C$15, $D$11, 100%, $F$11)</f>
        <v>37.680700000000002</v>
      </c>
      <c r="G872" s="8">
        <f>36.3517 * CHOOSE( CONTROL!$C$15, $D$11, 100%, $F$11)</f>
        <v>36.351700000000001</v>
      </c>
      <c r="H872" s="4">
        <f>37.2847 * CHOOSE(CONTROL!$C$15, $D$11, 100%, $F$11)</f>
        <v>37.284700000000001</v>
      </c>
      <c r="I872" s="8">
        <f>35.8425 * CHOOSE(CONTROL!$C$15, $D$11, 100%, $F$11)</f>
        <v>35.842500000000001</v>
      </c>
      <c r="J872" s="4">
        <f>35.7359 * CHOOSE(CONTROL!$C$15, $D$11, 100%, $F$11)</f>
        <v>35.735900000000001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1.1791</v>
      </c>
      <c r="Q872" s="9">
        <v>19.053000000000001</v>
      </c>
      <c r="R872" s="9"/>
      <c r="S872" s="11"/>
    </row>
    <row r="873" spans="1:19" ht="15.75">
      <c r="A873" s="13">
        <v>68088</v>
      </c>
      <c r="B873" s="8">
        <f>CHOOSE( CONTROL!$C$32, 37.9874, 37.9842) * CHOOSE(CONTROL!$C$15, $D$11, 100%, $F$11)</f>
        <v>37.987400000000001</v>
      </c>
      <c r="C873" s="8">
        <f>CHOOSE( CONTROL!$C$32, 37.9954, 37.9922) * CHOOSE(CONTROL!$C$15, $D$11, 100%, $F$11)</f>
        <v>37.995399999999997</v>
      </c>
      <c r="D873" s="8">
        <f>CHOOSE( CONTROL!$C$32, 37.9977, 37.9945) * CHOOSE( CONTROL!$C$15, $D$11, 100%, $F$11)</f>
        <v>37.997700000000002</v>
      </c>
      <c r="E873" s="12">
        <f>CHOOSE( CONTROL!$C$32, 37.9956, 37.9924) * CHOOSE( CONTROL!$C$15, $D$11, 100%, $F$11)</f>
        <v>37.995600000000003</v>
      </c>
      <c r="F873" s="4">
        <f>CHOOSE( CONTROL!$C$32, 38.6689, 38.6657) * CHOOSE(CONTROL!$C$15, $D$11, 100%, $F$11)</f>
        <v>38.668900000000001</v>
      </c>
      <c r="G873" s="8">
        <f>CHOOSE( CONTROL!$C$32, 37.3247, 37.3216) * CHOOSE( CONTROL!$C$15, $D$11, 100%, $F$11)</f>
        <v>37.3247</v>
      </c>
      <c r="H873" s="4">
        <f>CHOOSE( CONTROL!$C$32, 38.2565, 38.2534) * CHOOSE(CONTROL!$C$15, $D$11, 100%, $F$11)</f>
        <v>38.256500000000003</v>
      </c>
      <c r="I873" s="8">
        <f>CHOOSE( CONTROL!$C$32, 36.7998, 36.7967) * CHOOSE(CONTROL!$C$15, $D$11, 100%, $F$11)</f>
        <v>36.799799999999998</v>
      </c>
      <c r="J873" s="4">
        <f>CHOOSE( CONTROL!$C$32, 36.6912, 36.6881) * CHOOSE(CONTROL!$C$15, $D$11, 100%, $F$11)</f>
        <v>36.691200000000002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1.2183999999999999</v>
      </c>
      <c r="Q873" s="9">
        <v>19.688099999999999</v>
      </c>
      <c r="R873" s="9"/>
      <c r="S873" s="11"/>
    </row>
    <row r="874" spans="1:19" ht="15.75">
      <c r="A874" s="13">
        <v>68118</v>
      </c>
      <c r="B874" s="8">
        <f>CHOOSE( CONTROL!$C$32, 37.3772, 37.374) * CHOOSE(CONTROL!$C$15, $D$11, 100%, $F$11)</f>
        <v>37.377200000000002</v>
      </c>
      <c r="C874" s="8">
        <f>CHOOSE( CONTROL!$C$32, 37.3852, 37.382) * CHOOSE(CONTROL!$C$15, $D$11, 100%, $F$11)</f>
        <v>37.385199999999998</v>
      </c>
      <c r="D874" s="8">
        <f>CHOOSE( CONTROL!$C$32, 37.3878, 37.3846) * CHOOSE( CONTROL!$C$15, $D$11, 100%, $F$11)</f>
        <v>37.387799999999999</v>
      </c>
      <c r="E874" s="12">
        <f>CHOOSE( CONTROL!$C$32, 37.3856, 37.3824) * CHOOSE( CONTROL!$C$15, $D$11, 100%, $F$11)</f>
        <v>37.385599999999997</v>
      </c>
      <c r="F874" s="4">
        <f>CHOOSE( CONTROL!$C$32, 38.0588, 38.0556) * CHOOSE(CONTROL!$C$15, $D$11, 100%, $F$11)</f>
        <v>38.058799999999998</v>
      </c>
      <c r="G874" s="8">
        <f>CHOOSE( CONTROL!$C$32, 36.7251, 36.7219) * CHOOSE( CONTROL!$C$15, $D$11, 100%, $F$11)</f>
        <v>36.725099999999998</v>
      </c>
      <c r="H874" s="4">
        <f>CHOOSE( CONTROL!$C$32, 37.6564, 37.6533) * CHOOSE(CONTROL!$C$15, $D$11, 100%, $F$11)</f>
        <v>37.656399999999998</v>
      </c>
      <c r="I874" s="8">
        <f>CHOOSE( CONTROL!$C$32, 36.2111, 36.208) * CHOOSE(CONTROL!$C$15, $D$11, 100%, $F$11)</f>
        <v>36.211100000000002</v>
      </c>
      <c r="J874" s="4">
        <f>CHOOSE( CONTROL!$C$32, 36.1013, 36.0982) * CHOOSE(CONTROL!$C$15, $D$11, 100%, $F$11)</f>
        <v>36.101300000000002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1.1791</v>
      </c>
      <c r="Q874" s="9">
        <v>19.053000000000001</v>
      </c>
      <c r="R874" s="9"/>
      <c r="S874" s="11"/>
    </row>
    <row r="875" spans="1:19" ht="15.75">
      <c r="A875" s="13">
        <v>68149</v>
      </c>
      <c r="B875" s="8">
        <f>CHOOSE( CONTROL!$C$32, 38.984, 38.9808) * CHOOSE(CONTROL!$C$15, $D$11, 100%, $F$11)</f>
        <v>38.984000000000002</v>
      </c>
      <c r="C875" s="8">
        <f>CHOOSE( CONTROL!$C$32, 38.9921, 38.9889) * CHOOSE(CONTROL!$C$15, $D$11, 100%, $F$11)</f>
        <v>38.992100000000001</v>
      </c>
      <c r="D875" s="8">
        <f>CHOOSE( CONTROL!$C$32, 38.995, 38.9918) * CHOOSE( CONTROL!$C$15, $D$11, 100%, $F$11)</f>
        <v>38.994999999999997</v>
      </c>
      <c r="E875" s="12">
        <f>CHOOSE( CONTROL!$C$32, 38.9927, 38.9895) * CHOOSE( CONTROL!$C$15, $D$11, 100%, $F$11)</f>
        <v>38.992699999999999</v>
      </c>
      <c r="F875" s="4">
        <f>CHOOSE( CONTROL!$C$32, 39.6656, 39.6624) * CHOOSE(CONTROL!$C$15, $D$11, 100%, $F$11)</f>
        <v>39.665599999999998</v>
      </c>
      <c r="G875" s="8">
        <f>CHOOSE( CONTROL!$C$32, 38.3057, 38.3026) * CHOOSE( CONTROL!$C$15, $D$11, 100%, $F$11)</f>
        <v>38.305700000000002</v>
      </c>
      <c r="H875" s="4">
        <f>CHOOSE( CONTROL!$C$32, 39.2366, 39.2335) * CHOOSE(CONTROL!$C$15, $D$11, 100%, $F$11)</f>
        <v>39.236600000000003</v>
      </c>
      <c r="I875" s="8">
        <f>CHOOSE( CONTROL!$C$32, 37.7666, 37.7635) * CHOOSE(CONTROL!$C$15, $D$11, 100%, $F$11)</f>
        <v>37.766599999999997</v>
      </c>
      <c r="J875" s="4">
        <f>CHOOSE( CONTROL!$C$32, 37.6546, 37.6515) * CHOOSE(CONTROL!$C$15, $D$11, 100%, $F$11)</f>
        <v>37.654600000000002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68180</v>
      </c>
      <c r="B876" s="8">
        <f>CHOOSE( CONTROL!$C$32, 35.9775, 35.9743) * CHOOSE(CONTROL!$C$15, $D$11, 100%, $F$11)</f>
        <v>35.977499999999999</v>
      </c>
      <c r="C876" s="8">
        <f>CHOOSE( CONTROL!$C$32, 35.9855, 35.9823) * CHOOSE(CONTROL!$C$15, $D$11, 100%, $F$11)</f>
        <v>35.985500000000002</v>
      </c>
      <c r="D876" s="8">
        <f>CHOOSE( CONTROL!$C$32, 35.9886, 35.9854) * CHOOSE( CONTROL!$C$15, $D$11, 100%, $F$11)</f>
        <v>35.988599999999998</v>
      </c>
      <c r="E876" s="12">
        <f>CHOOSE( CONTROL!$C$32, 35.9863, 35.9831) * CHOOSE( CONTROL!$C$15, $D$11, 100%, $F$11)</f>
        <v>35.9863</v>
      </c>
      <c r="F876" s="4">
        <f>CHOOSE( CONTROL!$C$32, 36.659, 36.6558) * CHOOSE(CONTROL!$C$15, $D$11, 100%, $F$11)</f>
        <v>36.658999999999999</v>
      </c>
      <c r="G876" s="8">
        <f>CHOOSE( CONTROL!$C$32, 35.3493, 35.3461) * CHOOSE( CONTROL!$C$15, $D$11, 100%, $F$11)</f>
        <v>35.349299999999999</v>
      </c>
      <c r="H876" s="4">
        <f>CHOOSE( CONTROL!$C$32, 36.2799, 36.2768) * CHOOSE(CONTROL!$C$15, $D$11, 100%, $F$11)</f>
        <v>36.279899999999998</v>
      </c>
      <c r="I876" s="8">
        <f>CHOOSE( CONTROL!$C$32, 34.8595, 34.8564) * CHOOSE(CONTROL!$C$15, $D$11, 100%, $F$11)</f>
        <v>34.859499999999997</v>
      </c>
      <c r="J876" s="4">
        <f>CHOOSE( CONTROL!$C$32, 34.7482, 34.7451) * CHOOSE(CONTROL!$C$15, $D$11, 100%, $F$11)</f>
        <v>34.748199999999997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1.2183999999999999</v>
      </c>
      <c r="Q876" s="9">
        <v>19.688099999999999</v>
      </c>
      <c r="R876" s="9"/>
      <c r="S876" s="11"/>
    </row>
    <row r="877" spans="1:19" ht="15.75">
      <c r="A877" s="13">
        <v>68210</v>
      </c>
      <c r="B877" s="8">
        <f>CHOOSE( CONTROL!$C$32, 35.2246, 35.2214) * CHOOSE(CONTROL!$C$15, $D$11, 100%, $F$11)</f>
        <v>35.224600000000002</v>
      </c>
      <c r="C877" s="8">
        <f>CHOOSE( CONTROL!$C$32, 35.2326, 35.2294) * CHOOSE(CONTROL!$C$15, $D$11, 100%, $F$11)</f>
        <v>35.232599999999998</v>
      </c>
      <c r="D877" s="8">
        <f>CHOOSE( CONTROL!$C$32, 35.2358, 35.2326) * CHOOSE( CONTROL!$C$15, $D$11, 100%, $F$11)</f>
        <v>35.235799999999998</v>
      </c>
      <c r="E877" s="12">
        <f>CHOOSE( CONTROL!$C$32, 35.2334, 35.2302) * CHOOSE( CONTROL!$C$15, $D$11, 100%, $F$11)</f>
        <v>35.233400000000003</v>
      </c>
      <c r="F877" s="4">
        <f>CHOOSE( CONTROL!$C$32, 35.9062, 35.903) * CHOOSE(CONTROL!$C$15, $D$11, 100%, $F$11)</f>
        <v>35.906199999999998</v>
      </c>
      <c r="G877" s="8">
        <f>CHOOSE( CONTROL!$C$32, 34.6089, 34.6058) * CHOOSE( CONTROL!$C$15, $D$11, 100%, $F$11)</f>
        <v>34.608899999999998</v>
      </c>
      <c r="H877" s="4">
        <f>CHOOSE( CONTROL!$C$32, 35.5395, 35.5364) * CHOOSE(CONTROL!$C$15, $D$11, 100%, $F$11)</f>
        <v>35.539499999999997</v>
      </c>
      <c r="I877" s="8">
        <f>CHOOSE( CONTROL!$C$32, 34.1315, 34.1284) * CHOOSE(CONTROL!$C$15, $D$11, 100%, $F$11)</f>
        <v>34.131500000000003</v>
      </c>
      <c r="J877" s="4">
        <f>CHOOSE( CONTROL!$C$32, 34.0204, 34.0173) * CHOOSE(CONTROL!$C$15, $D$11, 100%, $F$11)</f>
        <v>34.020400000000002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1.1791</v>
      </c>
      <c r="Q877" s="9">
        <v>19.053000000000001</v>
      </c>
      <c r="R877" s="9"/>
      <c r="S877" s="11"/>
    </row>
    <row r="878" spans="1:19" ht="15.75">
      <c r="A878" s="13">
        <v>68241</v>
      </c>
      <c r="B878" s="8">
        <f>36.7829 * CHOOSE(CONTROL!$C$15, $D$11, 100%, $F$11)</f>
        <v>36.782899999999998</v>
      </c>
      <c r="C878" s="8">
        <f>36.7883 * CHOOSE(CONTROL!$C$15, $D$11, 100%, $F$11)</f>
        <v>36.7883</v>
      </c>
      <c r="D878" s="8">
        <f>36.7962 * CHOOSE( CONTROL!$C$15, $D$11, 100%, $F$11)</f>
        <v>36.796199999999999</v>
      </c>
      <c r="E878" s="12">
        <f>36.793 * CHOOSE( CONTROL!$C$15, $D$11, 100%, $F$11)</f>
        <v>36.792999999999999</v>
      </c>
      <c r="F878" s="4">
        <f>37.4662 * CHOOSE(CONTROL!$C$15, $D$11, 100%, $F$11)</f>
        <v>37.466200000000001</v>
      </c>
      <c r="G878" s="8">
        <f>36.1426 * CHOOSE( CONTROL!$C$15, $D$11, 100%, $F$11)</f>
        <v>36.142600000000002</v>
      </c>
      <c r="H878" s="4">
        <f>37.0737 * CHOOSE(CONTROL!$C$15, $D$11, 100%, $F$11)</f>
        <v>37.073700000000002</v>
      </c>
      <c r="I878" s="8">
        <f>35.6409 * CHOOSE(CONTROL!$C$15, $D$11, 100%, $F$11)</f>
        <v>35.640900000000002</v>
      </c>
      <c r="J878" s="4">
        <f>35.5285 * CHOOSE(CONTROL!$C$15, $D$11, 100%, $F$11)</f>
        <v>35.528500000000001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1.2183999999999999</v>
      </c>
      <c r="Q878" s="9">
        <v>19.688099999999999</v>
      </c>
      <c r="R878" s="9"/>
      <c r="S878" s="11"/>
    </row>
    <row r="879" spans="1:19" ht="15.75">
      <c r="A879" s="13">
        <v>68271</v>
      </c>
      <c r="B879" s="8">
        <f>39.6679 * CHOOSE(CONTROL!$C$15, $D$11, 100%, $F$11)</f>
        <v>39.667900000000003</v>
      </c>
      <c r="C879" s="8">
        <f>39.673 * CHOOSE(CONTROL!$C$15, $D$11, 100%, $F$11)</f>
        <v>39.673000000000002</v>
      </c>
      <c r="D879" s="8">
        <f>39.6505 * CHOOSE( CONTROL!$C$15, $D$11, 100%, $F$11)</f>
        <v>39.650500000000001</v>
      </c>
      <c r="E879" s="12">
        <f>39.6582 * CHOOSE( CONTROL!$C$15, $D$11, 100%, $F$11)</f>
        <v>39.658200000000001</v>
      </c>
      <c r="F879" s="4">
        <f>40.3128 * CHOOSE(CONTROL!$C$15, $D$11, 100%, $F$11)</f>
        <v>40.312800000000003</v>
      </c>
      <c r="G879" s="8">
        <f>38.9927 * CHOOSE( CONTROL!$C$15, $D$11, 100%, $F$11)</f>
        <v>38.992699999999999</v>
      </c>
      <c r="H879" s="4">
        <f>39.8731 * CHOOSE(CONTROL!$C$15, $D$11, 100%, $F$11)</f>
        <v>39.873100000000001</v>
      </c>
      <c r="I879" s="8">
        <f>38.4573 * CHOOSE(CONTROL!$C$15, $D$11, 100%, $F$11)</f>
        <v>38.457299999999996</v>
      </c>
      <c r="J879" s="4">
        <f>38.3178 * CHOOSE(CONTROL!$C$15, $D$11, 100%, $F$11)</f>
        <v>38.317799999999998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68302</v>
      </c>
      <c r="B880" s="8">
        <f>39.5958 * CHOOSE(CONTROL!$C$15, $D$11, 100%, $F$11)</f>
        <v>39.595799999999997</v>
      </c>
      <c r="C880" s="8">
        <f>39.6009 * CHOOSE(CONTROL!$C$15, $D$11, 100%, $F$11)</f>
        <v>39.600900000000003</v>
      </c>
      <c r="D880" s="8">
        <f>39.5799 * CHOOSE( CONTROL!$C$15, $D$11, 100%, $F$11)</f>
        <v>39.579900000000002</v>
      </c>
      <c r="E880" s="12">
        <f>39.587 * CHOOSE( CONTROL!$C$15, $D$11, 100%, $F$11)</f>
        <v>39.587000000000003</v>
      </c>
      <c r="F880" s="4">
        <f>40.2407 * CHOOSE(CONTROL!$C$15, $D$11, 100%, $F$11)</f>
        <v>40.240699999999997</v>
      </c>
      <c r="G880" s="8">
        <f>38.9229 * CHOOSE( CONTROL!$C$15, $D$11, 100%, $F$11)</f>
        <v>38.922899999999998</v>
      </c>
      <c r="H880" s="4">
        <f>39.8022 * CHOOSE(CONTROL!$C$15, $D$11, 100%, $F$11)</f>
        <v>39.802199999999999</v>
      </c>
      <c r="I880" s="8">
        <f>38.3922 * CHOOSE(CONTROL!$C$15, $D$11, 100%, $F$11)</f>
        <v>38.392200000000003</v>
      </c>
      <c r="J880" s="4">
        <f>38.2481 * CHOOSE(CONTROL!$C$15, $D$11, 100%, $F$11)</f>
        <v>38.248100000000001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68333</v>
      </c>
      <c r="B881" s="8">
        <f>41.108 * CHOOSE(CONTROL!$C$15, $D$11, 100%, $F$11)</f>
        <v>41.107999999999997</v>
      </c>
      <c r="C881" s="8">
        <f>41.1131 * CHOOSE(CONTROL!$C$15, $D$11, 100%, $F$11)</f>
        <v>41.113100000000003</v>
      </c>
      <c r="D881" s="8">
        <f>41.0911 * CHOOSE( CONTROL!$C$15, $D$11, 100%, $F$11)</f>
        <v>41.091099999999997</v>
      </c>
      <c r="E881" s="12">
        <f>41.0986 * CHOOSE( CONTROL!$C$15, $D$11, 100%, $F$11)</f>
        <v>41.098599999999998</v>
      </c>
      <c r="F881" s="4">
        <f>41.7529 * CHOOSE(CONTROL!$C$15, $D$11, 100%, $F$11)</f>
        <v>41.752899999999997</v>
      </c>
      <c r="G881" s="8">
        <f>40.4074 * CHOOSE( CONTROL!$C$15, $D$11, 100%, $F$11)</f>
        <v>40.407400000000003</v>
      </c>
      <c r="H881" s="4">
        <f>41.2893 * CHOOSE(CONTROL!$C$15, $D$11, 100%, $F$11)</f>
        <v>41.289299999999997</v>
      </c>
      <c r="I881" s="8">
        <f>39.8265 * CHOOSE(CONTROL!$C$15, $D$11, 100%, $F$11)</f>
        <v>39.826500000000003</v>
      </c>
      <c r="J881" s="4">
        <f>39.7099 * CHOOSE(CONTROL!$C$15, $D$11, 100%, $F$11)</f>
        <v>39.709899999999998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68361</v>
      </c>
      <c r="B882" s="8">
        <f>38.4524 * CHOOSE(CONTROL!$C$15, $D$11, 100%, $F$11)</f>
        <v>38.452399999999997</v>
      </c>
      <c r="C882" s="8">
        <f>38.4575 * CHOOSE(CONTROL!$C$15, $D$11, 100%, $F$11)</f>
        <v>38.457500000000003</v>
      </c>
      <c r="D882" s="8">
        <f>38.4311 * CHOOSE( CONTROL!$C$15, $D$11, 100%, $F$11)</f>
        <v>38.431100000000001</v>
      </c>
      <c r="E882" s="12">
        <f>38.4402 * CHOOSE( CONTROL!$C$15, $D$11, 100%, $F$11)</f>
        <v>38.440199999999997</v>
      </c>
      <c r="F882" s="4">
        <f>39.0973 * CHOOSE(CONTROL!$C$15, $D$11, 100%, $F$11)</f>
        <v>39.097299999999997</v>
      </c>
      <c r="G882" s="8">
        <f>37.7874 * CHOOSE( CONTROL!$C$15, $D$11, 100%, $F$11)</f>
        <v>37.787399999999998</v>
      </c>
      <c r="H882" s="4">
        <f>38.6777 * CHOOSE(CONTROL!$C$15, $D$11, 100%, $F$11)</f>
        <v>38.677700000000002</v>
      </c>
      <c r="I882" s="8">
        <f>37.229 * CHOOSE(CONTROL!$C$15, $D$11, 100%, $F$11)</f>
        <v>37.228999999999999</v>
      </c>
      <c r="J882" s="4">
        <f>37.1427 * CHOOSE(CONTROL!$C$15, $D$11, 100%, $F$11)</f>
        <v>37.142699999999998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68392</v>
      </c>
      <c r="B883" s="8">
        <f>37.6345 * CHOOSE(CONTROL!$C$15, $D$11, 100%, $F$11)</f>
        <v>37.634500000000003</v>
      </c>
      <c r="C883" s="8">
        <f>37.6396 * CHOOSE(CONTROL!$C$15, $D$11, 100%, $F$11)</f>
        <v>37.639600000000002</v>
      </c>
      <c r="D883" s="8">
        <f>37.6136 * CHOOSE( CONTROL!$C$15, $D$11, 100%, $F$11)</f>
        <v>37.613599999999998</v>
      </c>
      <c r="E883" s="12">
        <f>37.6226 * CHOOSE( CONTROL!$C$15, $D$11, 100%, $F$11)</f>
        <v>37.622599999999998</v>
      </c>
      <c r="F883" s="4">
        <f>38.2794 * CHOOSE(CONTROL!$C$15, $D$11, 100%, $F$11)</f>
        <v>38.279400000000003</v>
      </c>
      <c r="G883" s="8">
        <f>36.9833 * CHOOSE( CONTROL!$C$15, $D$11, 100%, $F$11)</f>
        <v>36.9833</v>
      </c>
      <c r="H883" s="4">
        <f>37.8734 * CHOOSE(CONTROL!$C$15, $D$11, 100%, $F$11)</f>
        <v>37.873399999999997</v>
      </c>
      <c r="I883" s="8">
        <f>36.4392 * CHOOSE(CONTROL!$C$15, $D$11, 100%, $F$11)</f>
        <v>36.4392</v>
      </c>
      <c r="J883" s="4">
        <f>36.3521 * CHOOSE(CONTROL!$C$15, $D$11, 100%, $F$11)</f>
        <v>36.3521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68422</v>
      </c>
      <c r="B884" s="8">
        <f>38.2068 * CHOOSE(CONTROL!$C$15, $D$11, 100%, $F$11)</f>
        <v>38.206800000000001</v>
      </c>
      <c r="C884" s="8">
        <f>38.2113 * CHOOSE(CONTROL!$C$15, $D$11, 100%, $F$11)</f>
        <v>38.211300000000001</v>
      </c>
      <c r="D884" s="8">
        <f>38.2185 * CHOOSE( CONTROL!$C$15, $D$11, 100%, $F$11)</f>
        <v>38.218499999999999</v>
      </c>
      <c r="E884" s="12">
        <f>38.2156 * CHOOSE( CONTROL!$C$15, $D$11, 100%, $F$11)</f>
        <v>38.215600000000002</v>
      </c>
      <c r="F884" s="4">
        <f>38.8897 * CHOOSE(CONTROL!$C$15, $D$11, 100%, $F$11)</f>
        <v>38.889699999999998</v>
      </c>
      <c r="G884" s="8">
        <f>37.5407 * CHOOSE( CONTROL!$C$15, $D$11, 100%, $F$11)</f>
        <v>37.540700000000001</v>
      </c>
      <c r="H884" s="4">
        <f>38.4736 * CHOOSE(CONTROL!$C$15, $D$11, 100%, $F$11)</f>
        <v>38.473599999999998</v>
      </c>
      <c r="I884" s="8">
        <f>37.0118 * CHOOSE(CONTROL!$C$15, $D$11, 100%, $F$11)</f>
        <v>37.011800000000001</v>
      </c>
      <c r="J884" s="4">
        <f>36.9046 * CHOOSE(CONTROL!$C$15, $D$11, 100%, $F$11)</f>
        <v>36.904600000000002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1.1791</v>
      </c>
      <c r="Q884" s="9">
        <v>19.053000000000001</v>
      </c>
      <c r="R884" s="9"/>
      <c r="S884" s="11"/>
    </row>
    <row r="885" spans="1:19" ht="15.75">
      <c r="A885" s="13">
        <v>68453</v>
      </c>
      <c r="B885" s="8">
        <f>CHOOSE( CONTROL!$C$32, 39.2286, 39.2254) * CHOOSE(CONTROL!$C$15, $D$11, 100%, $F$11)</f>
        <v>39.2286</v>
      </c>
      <c r="C885" s="8">
        <f>CHOOSE( CONTROL!$C$32, 39.2366, 39.2334) * CHOOSE(CONTROL!$C$15, $D$11, 100%, $F$11)</f>
        <v>39.236600000000003</v>
      </c>
      <c r="D885" s="8">
        <f>CHOOSE( CONTROL!$C$32, 39.2389, 39.2357) * CHOOSE( CONTROL!$C$15, $D$11, 100%, $F$11)</f>
        <v>39.238900000000001</v>
      </c>
      <c r="E885" s="12">
        <f>CHOOSE( CONTROL!$C$32, 39.2368, 39.2336) * CHOOSE( CONTROL!$C$15, $D$11, 100%, $F$11)</f>
        <v>39.236800000000002</v>
      </c>
      <c r="F885" s="4">
        <f>CHOOSE( CONTROL!$C$32, 39.9101, 39.9069) * CHOOSE(CONTROL!$C$15, $D$11, 100%, $F$11)</f>
        <v>39.9101</v>
      </c>
      <c r="G885" s="8">
        <f>CHOOSE( CONTROL!$C$32, 38.5453, 38.5421) * CHOOSE( CONTROL!$C$15, $D$11, 100%, $F$11)</f>
        <v>38.545299999999997</v>
      </c>
      <c r="H885" s="4">
        <f>CHOOSE( CONTROL!$C$32, 39.4771, 39.4739) * CHOOSE(CONTROL!$C$15, $D$11, 100%, $F$11)</f>
        <v>39.4771</v>
      </c>
      <c r="I885" s="8">
        <f>CHOOSE( CONTROL!$C$32, 38.0003, 37.9972) * CHOOSE(CONTROL!$C$15, $D$11, 100%, $F$11)</f>
        <v>38.000300000000003</v>
      </c>
      <c r="J885" s="4">
        <f>CHOOSE( CONTROL!$C$32, 37.891, 37.8879) * CHOOSE(CONTROL!$C$15, $D$11, 100%, $F$11)</f>
        <v>37.890999999999998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1.2183999999999999</v>
      </c>
      <c r="Q885" s="9">
        <v>19.688099999999999</v>
      </c>
      <c r="R885" s="9"/>
      <c r="S885" s="11"/>
    </row>
    <row r="886" spans="1:19" ht="15.75">
      <c r="A886" s="13">
        <v>68483</v>
      </c>
      <c r="B886" s="8">
        <f>CHOOSE( CONTROL!$C$32, 38.5984, 38.5952) * CHOOSE(CONTROL!$C$15, $D$11, 100%, $F$11)</f>
        <v>38.598399999999998</v>
      </c>
      <c r="C886" s="8">
        <f>CHOOSE( CONTROL!$C$32, 38.6064, 38.6032) * CHOOSE(CONTROL!$C$15, $D$11, 100%, $F$11)</f>
        <v>38.606400000000001</v>
      </c>
      <c r="D886" s="8">
        <f>CHOOSE( CONTROL!$C$32, 38.6091, 38.6059) * CHOOSE( CONTROL!$C$15, $D$11, 100%, $F$11)</f>
        <v>38.609099999999998</v>
      </c>
      <c r="E886" s="12">
        <f>CHOOSE( CONTROL!$C$32, 38.6069, 38.6037) * CHOOSE( CONTROL!$C$15, $D$11, 100%, $F$11)</f>
        <v>38.606900000000003</v>
      </c>
      <c r="F886" s="4">
        <f>CHOOSE( CONTROL!$C$32, 39.28, 39.2768) * CHOOSE(CONTROL!$C$15, $D$11, 100%, $F$11)</f>
        <v>39.28</v>
      </c>
      <c r="G886" s="8">
        <f>CHOOSE( CONTROL!$C$32, 37.926, 37.9229) * CHOOSE( CONTROL!$C$15, $D$11, 100%, $F$11)</f>
        <v>37.926000000000002</v>
      </c>
      <c r="H886" s="4">
        <f>CHOOSE( CONTROL!$C$32, 38.8574, 38.8543) * CHOOSE(CONTROL!$C$15, $D$11, 100%, $F$11)</f>
        <v>38.857399999999998</v>
      </c>
      <c r="I886" s="8">
        <f>CHOOSE( CONTROL!$C$32, 37.3922, 37.3891) * CHOOSE(CONTROL!$C$15, $D$11, 100%, $F$11)</f>
        <v>37.392200000000003</v>
      </c>
      <c r="J886" s="4">
        <f>CHOOSE( CONTROL!$C$32, 37.2819, 37.2788) * CHOOSE(CONTROL!$C$15, $D$11, 100%, $F$11)</f>
        <v>37.2819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1.1791</v>
      </c>
      <c r="Q886" s="9">
        <v>19.053000000000001</v>
      </c>
      <c r="R886" s="9"/>
      <c r="S886" s="11"/>
    </row>
    <row r="887" spans="1:19" ht="15.75">
      <c r="A887" s="13">
        <v>68514</v>
      </c>
      <c r="B887" s="8">
        <f>CHOOSE( CONTROL!$C$32, 40.2578, 40.2546) * CHOOSE(CONTROL!$C$15, $D$11, 100%, $F$11)</f>
        <v>40.257800000000003</v>
      </c>
      <c r="C887" s="8">
        <f>CHOOSE( CONTROL!$C$32, 40.2658, 40.2626) * CHOOSE(CONTROL!$C$15, $D$11, 100%, $F$11)</f>
        <v>40.265799999999999</v>
      </c>
      <c r="D887" s="8">
        <f>CHOOSE( CONTROL!$C$32, 40.2687, 40.2655) * CHOOSE( CONTROL!$C$15, $D$11, 100%, $F$11)</f>
        <v>40.268700000000003</v>
      </c>
      <c r="E887" s="12">
        <f>CHOOSE( CONTROL!$C$32, 40.2664, 40.2632) * CHOOSE( CONTROL!$C$15, $D$11, 100%, $F$11)</f>
        <v>40.266399999999997</v>
      </c>
      <c r="F887" s="4">
        <f>CHOOSE( CONTROL!$C$32, 40.9393, 40.9361) * CHOOSE(CONTROL!$C$15, $D$11, 100%, $F$11)</f>
        <v>40.939300000000003</v>
      </c>
      <c r="G887" s="8">
        <f>CHOOSE( CONTROL!$C$32, 39.5584, 39.5552) * CHOOSE( CONTROL!$C$15, $D$11, 100%, $F$11)</f>
        <v>39.558399999999999</v>
      </c>
      <c r="H887" s="4">
        <f>CHOOSE( CONTROL!$C$32, 40.4893, 40.4861) * CHOOSE(CONTROL!$C$15, $D$11, 100%, $F$11)</f>
        <v>40.4893</v>
      </c>
      <c r="I887" s="8">
        <f>CHOOSE( CONTROL!$C$32, 38.9986, 38.9955) * CHOOSE(CONTROL!$C$15, $D$11, 100%, $F$11)</f>
        <v>38.998600000000003</v>
      </c>
      <c r="J887" s="4">
        <f>CHOOSE( CONTROL!$C$32, 38.886, 38.8829) * CHOOSE(CONTROL!$C$15, $D$11, 100%, $F$11)</f>
        <v>38.886000000000003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68545</v>
      </c>
      <c r="B888" s="8">
        <f>CHOOSE( CONTROL!$C$32, 37.1529, 37.1497) * CHOOSE(CONTROL!$C$15, $D$11, 100%, $F$11)</f>
        <v>37.152900000000002</v>
      </c>
      <c r="C888" s="8">
        <f>CHOOSE( CONTROL!$C$32, 37.1609, 37.1577) * CHOOSE(CONTROL!$C$15, $D$11, 100%, $F$11)</f>
        <v>37.160899999999998</v>
      </c>
      <c r="D888" s="8">
        <f>CHOOSE( CONTROL!$C$32, 37.164, 37.1608) * CHOOSE( CONTROL!$C$15, $D$11, 100%, $F$11)</f>
        <v>37.164000000000001</v>
      </c>
      <c r="E888" s="12">
        <f>CHOOSE( CONTROL!$C$32, 37.1617, 37.1585) * CHOOSE( CONTROL!$C$15, $D$11, 100%, $F$11)</f>
        <v>37.161700000000003</v>
      </c>
      <c r="F888" s="4">
        <f>CHOOSE( CONTROL!$C$32, 37.8345, 37.8313) * CHOOSE(CONTROL!$C$15, $D$11, 100%, $F$11)</f>
        <v>37.834499999999998</v>
      </c>
      <c r="G888" s="8">
        <f>CHOOSE( CONTROL!$C$32, 36.5052, 36.5021) * CHOOSE( CONTROL!$C$15, $D$11, 100%, $F$11)</f>
        <v>36.505200000000002</v>
      </c>
      <c r="H888" s="4">
        <f>CHOOSE( CONTROL!$C$32, 37.4359, 37.4327) * CHOOSE(CONTROL!$C$15, $D$11, 100%, $F$11)</f>
        <v>37.435899999999997</v>
      </c>
      <c r="I888" s="8">
        <f>CHOOSE( CONTROL!$C$32, 35.9964, 35.9933) * CHOOSE(CONTROL!$C$15, $D$11, 100%, $F$11)</f>
        <v>35.996400000000001</v>
      </c>
      <c r="J888" s="4">
        <f>CHOOSE( CONTROL!$C$32, 35.8845, 35.8814) * CHOOSE(CONTROL!$C$15, $D$11, 100%, $F$11)</f>
        <v>35.884500000000003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1.2183999999999999</v>
      </c>
      <c r="Q888" s="9">
        <v>19.688099999999999</v>
      </c>
      <c r="R888" s="9"/>
      <c r="S888" s="11"/>
    </row>
    <row r="889" spans="1:19" ht="15.75">
      <c r="A889" s="13">
        <v>68575</v>
      </c>
      <c r="B889" s="8">
        <f>CHOOSE( CONTROL!$C$32, 36.3754, 36.3722) * CHOOSE(CONTROL!$C$15, $D$11, 100%, $F$11)</f>
        <v>36.375399999999999</v>
      </c>
      <c r="C889" s="8">
        <f>CHOOSE( CONTROL!$C$32, 36.3835, 36.3803) * CHOOSE(CONTROL!$C$15, $D$11, 100%, $F$11)</f>
        <v>36.383499999999998</v>
      </c>
      <c r="D889" s="8">
        <f>CHOOSE( CONTROL!$C$32, 36.3866, 36.3834) * CHOOSE( CONTROL!$C$15, $D$11, 100%, $F$11)</f>
        <v>36.386600000000001</v>
      </c>
      <c r="E889" s="12">
        <f>CHOOSE( CONTROL!$C$32, 36.3842, 36.381) * CHOOSE( CONTROL!$C$15, $D$11, 100%, $F$11)</f>
        <v>36.3842</v>
      </c>
      <c r="F889" s="4">
        <f>CHOOSE( CONTROL!$C$32, 37.057, 37.0538) * CHOOSE(CONTROL!$C$15, $D$11, 100%, $F$11)</f>
        <v>37.057000000000002</v>
      </c>
      <c r="G889" s="8">
        <f>CHOOSE( CONTROL!$C$32, 35.7407, 35.7375) * CHOOSE( CONTROL!$C$15, $D$11, 100%, $F$11)</f>
        <v>35.740699999999997</v>
      </c>
      <c r="H889" s="4">
        <f>CHOOSE( CONTROL!$C$32, 36.6713, 36.6681) * CHOOSE(CONTROL!$C$15, $D$11, 100%, $F$11)</f>
        <v>36.671300000000002</v>
      </c>
      <c r="I889" s="8">
        <f>CHOOSE( CONTROL!$C$32, 35.2445, 35.2415) * CHOOSE(CONTROL!$C$15, $D$11, 100%, $F$11)</f>
        <v>35.244500000000002</v>
      </c>
      <c r="J889" s="4">
        <f>CHOOSE( CONTROL!$C$32, 35.1329, 35.1298) * CHOOSE(CONTROL!$C$15, $D$11, 100%, $F$11)</f>
        <v>35.132899999999999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1.1791</v>
      </c>
      <c r="Q889" s="9">
        <v>19.053000000000001</v>
      </c>
      <c r="R889" s="9"/>
      <c r="S889" s="11"/>
    </row>
    <row r="890" spans="1:19" ht="15.75">
      <c r="A890" s="13">
        <v>68606</v>
      </c>
      <c r="B890" s="8">
        <f>37.9849 * CHOOSE(CONTROL!$C$15, $D$11, 100%, $F$11)</f>
        <v>37.984900000000003</v>
      </c>
      <c r="C890" s="8">
        <f>37.9902 * CHOOSE(CONTROL!$C$15, $D$11, 100%, $F$11)</f>
        <v>37.990200000000002</v>
      </c>
      <c r="D890" s="8">
        <f>37.9981 * CHOOSE( CONTROL!$C$15, $D$11, 100%, $F$11)</f>
        <v>37.998100000000001</v>
      </c>
      <c r="E890" s="12">
        <f>37.9949 * CHOOSE( CONTROL!$C$15, $D$11, 100%, $F$11)</f>
        <v>37.994900000000001</v>
      </c>
      <c r="F890" s="4">
        <f>38.6681 * CHOOSE(CONTROL!$C$15, $D$11, 100%, $F$11)</f>
        <v>38.668100000000003</v>
      </c>
      <c r="G890" s="8">
        <f>37.3246 * CHOOSE( CONTROL!$C$15, $D$11, 100%, $F$11)</f>
        <v>37.324599999999997</v>
      </c>
      <c r="H890" s="4">
        <f>38.2557 * CHOOSE(CONTROL!$C$15, $D$11, 100%, $F$11)</f>
        <v>38.255699999999997</v>
      </c>
      <c r="I890" s="8">
        <f>36.8034 * CHOOSE(CONTROL!$C$15, $D$11, 100%, $F$11)</f>
        <v>36.803400000000003</v>
      </c>
      <c r="J890" s="4">
        <f>36.6904 * CHOOSE(CONTROL!$C$15, $D$11, 100%, $F$11)</f>
        <v>36.690399999999997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1.2183999999999999</v>
      </c>
      <c r="Q890" s="9">
        <v>19.688099999999999</v>
      </c>
      <c r="R890" s="9"/>
      <c r="S890" s="11"/>
    </row>
    <row r="891" spans="1:19" ht="15.75">
      <c r="A891" s="13">
        <v>68636</v>
      </c>
      <c r="B891" s="8">
        <f>40.9642 * CHOOSE(CONTROL!$C$15, $D$11, 100%, $F$11)</f>
        <v>40.964199999999998</v>
      </c>
      <c r="C891" s="8">
        <f>40.9693 * CHOOSE(CONTROL!$C$15, $D$11, 100%, $F$11)</f>
        <v>40.969299999999997</v>
      </c>
      <c r="D891" s="8">
        <f>40.9468 * CHOOSE( CONTROL!$C$15, $D$11, 100%, $F$11)</f>
        <v>40.946800000000003</v>
      </c>
      <c r="E891" s="12">
        <f>40.9545 * CHOOSE( CONTROL!$C$15, $D$11, 100%, $F$11)</f>
        <v>40.954500000000003</v>
      </c>
      <c r="F891" s="4">
        <f>41.6091 * CHOOSE(CONTROL!$C$15, $D$11, 100%, $F$11)</f>
        <v>41.609099999999998</v>
      </c>
      <c r="G891" s="8">
        <f>40.2676 * CHOOSE( CONTROL!$C$15, $D$11, 100%, $F$11)</f>
        <v>40.267600000000002</v>
      </c>
      <c r="H891" s="4">
        <f>41.1479 * CHOOSE(CONTROL!$C$15, $D$11, 100%, $F$11)</f>
        <v>41.1479</v>
      </c>
      <c r="I891" s="8">
        <f>39.711 * CHOOSE(CONTROL!$C$15, $D$11, 100%, $F$11)</f>
        <v>39.710999999999999</v>
      </c>
      <c r="J891" s="4">
        <f>39.5709 * CHOOSE(CONTROL!$C$15, $D$11, 100%, $F$11)</f>
        <v>39.570900000000002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68667</v>
      </c>
      <c r="B892" s="8">
        <f>40.8898 * CHOOSE(CONTROL!$C$15, $D$11, 100%, $F$11)</f>
        <v>40.889800000000001</v>
      </c>
      <c r="C892" s="8">
        <f>40.8949 * CHOOSE(CONTROL!$C$15, $D$11, 100%, $F$11)</f>
        <v>40.8949</v>
      </c>
      <c r="D892" s="8">
        <f>40.8738 * CHOOSE( CONTROL!$C$15, $D$11, 100%, $F$11)</f>
        <v>40.873800000000003</v>
      </c>
      <c r="E892" s="12">
        <f>40.881 * CHOOSE( CONTROL!$C$15, $D$11, 100%, $F$11)</f>
        <v>40.881</v>
      </c>
      <c r="F892" s="4">
        <f>41.5347 * CHOOSE(CONTROL!$C$15, $D$11, 100%, $F$11)</f>
        <v>41.534700000000001</v>
      </c>
      <c r="G892" s="8">
        <f>40.1954 * CHOOSE( CONTROL!$C$15, $D$11, 100%, $F$11)</f>
        <v>40.195399999999999</v>
      </c>
      <c r="H892" s="4">
        <f>41.0747 * CHOOSE(CONTROL!$C$15, $D$11, 100%, $F$11)</f>
        <v>41.0747</v>
      </c>
      <c r="I892" s="8">
        <f>39.6436 * CHOOSE(CONTROL!$C$15, $D$11, 100%, $F$11)</f>
        <v>39.643599999999999</v>
      </c>
      <c r="J892" s="4">
        <f>39.499 * CHOOSE(CONTROL!$C$15, $D$11, 100%, $F$11)</f>
        <v>39.499000000000002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68698</v>
      </c>
      <c r="B893" s="8">
        <f>42.4514 * CHOOSE(CONTROL!$C$15, $D$11, 100%, $F$11)</f>
        <v>42.4514</v>
      </c>
      <c r="C893" s="8">
        <f>42.4565 * CHOOSE(CONTROL!$C$15, $D$11, 100%, $F$11)</f>
        <v>42.456499999999998</v>
      </c>
      <c r="D893" s="8">
        <f>42.4345 * CHOOSE( CONTROL!$C$15, $D$11, 100%, $F$11)</f>
        <v>42.4345</v>
      </c>
      <c r="E893" s="12">
        <f>42.442 * CHOOSE( CONTROL!$C$15, $D$11, 100%, $F$11)</f>
        <v>42.442</v>
      </c>
      <c r="F893" s="4">
        <f>43.0963 * CHOOSE(CONTROL!$C$15, $D$11, 100%, $F$11)</f>
        <v>43.096299999999999</v>
      </c>
      <c r="G893" s="8">
        <f>41.7286 * CHOOSE( CONTROL!$C$15, $D$11, 100%, $F$11)</f>
        <v>41.7286</v>
      </c>
      <c r="H893" s="4">
        <f>42.6104 * CHOOSE(CONTROL!$C$15, $D$11, 100%, $F$11)</f>
        <v>42.610399999999998</v>
      </c>
      <c r="I893" s="8">
        <f>41.1258 * CHOOSE(CONTROL!$C$15, $D$11, 100%, $F$11)</f>
        <v>41.125799999999998</v>
      </c>
      <c r="J893" s="4">
        <f>41.0086 * CHOOSE(CONTROL!$C$15, $D$11, 100%, $F$11)</f>
        <v>41.008600000000001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68727</v>
      </c>
      <c r="B894" s="8">
        <f>39.7089 * CHOOSE(CONTROL!$C$15, $D$11, 100%, $F$11)</f>
        <v>39.7089</v>
      </c>
      <c r="C894" s="8">
        <f>39.714 * CHOOSE(CONTROL!$C$15, $D$11, 100%, $F$11)</f>
        <v>39.713999999999999</v>
      </c>
      <c r="D894" s="8">
        <f>39.6877 * CHOOSE( CONTROL!$C$15, $D$11, 100%, $F$11)</f>
        <v>39.6877</v>
      </c>
      <c r="E894" s="12">
        <f>39.6968 * CHOOSE( CONTROL!$C$15, $D$11, 100%, $F$11)</f>
        <v>39.696800000000003</v>
      </c>
      <c r="F894" s="4">
        <f>40.3538 * CHOOSE(CONTROL!$C$15, $D$11, 100%, $F$11)</f>
        <v>40.3538</v>
      </c>
      <c r="G894" s="8">
        <f>39.0231 * CHOOSE( CONTROL!$C$15, $D$11, 100%, $F$11)</f>
        <v>39.023099999999999</v>
      </c>
      <c r="H894" s="4">
        <f>39.9134 * CHOOSE(CONTROL!$C$15, $D$11, 100%, $F$11)</f>
        <v>39.913400000000003</v>
      </c>
      <c r="I894" s="8">
        <f>38.4443 * CHOOSE(CONTROL!$C$15, $D$11, 100%, $F$11)</f>
        <v>38.444299999999998</v>
      </c>
      <c r="J894" s="4">
        <f>38.3575 * CHOOSE(CONTROL!$C$15, $D$11, 100%, $F$11)</f>
        <v>38.357500000000002</v>
      </c>
      <c r="K894" s="4"/>
      <c r="L894" s="9">
        <v>27.415299999999998</v>
      </c>
      <c r="M894" s="9">
        <v>11.285299999999999</v>
      </c>
      <c r="N894" s="9">
        <v>4.6254999999999997</v>
      </c>
      <c r="O894" s="9">
        <v>0.34989999999999999</v>
      </c>
      <c r="P894" s="9">
        <v>1.2093</v>
      </c>
      <c r="Q894" s="9">
        <v>18.417899999999999</v>
      </c>
      <c r="R894" s="9"/>
      <c r="S894" s="11"/>
    </row>
    <row r="895" spans="1:19" ht="15.75">
      <c r="A895" s="13">
        <v>68758</v>
      </c>
      <c r="B895" s="8">
        <f>38.8643 * CHOOSE(CONTROL!$C$15, $D$11, 100%, $F$11)</f>
        <v>38.8643</v>
      </c>
      <c r="C895" s="8">
        <f>38.8694 * CHOOSE(CONTROL!$C$15, $D$11, 100%, $F$11)</f>
        <v>38.869399999999999</v>
      </c>
      <c r="D895" s="8">
        <f>38.8434 * CHOOSE( CONTROL!$C$15, $D$11, 100%, $F$11)</f>
        <v>38.843400000000003</v>
      </c>
      <c r="E895" s="12">
        <f>38.8524 * CHOOSE( CONTROL!$C$15, $D$11, 100%, $F$11)</f>
        <v>38.852400000000003</v>
      </c>
      <c r="F895" s="4">
        <f>39.5092 * CHOOSE(CONTROL!$C$15, $D$11, 100%, $F$11)</f>
        <v>39.5092</v>
      </c>
      <c r="G895" s="8">
        <f>38.1927 * CHOOSE( CONTROL!$C$15, $D$11, 100%, $F$11)</f>
        <v>38.192700000000002</v>
      </c>
      <c r="H895" s="4">
        <f>39.0828 * CHOOSE(CONTROL!$C$15, $D$11, 100%, $F$11)</f>
        <v>39.082799999999999</v>
      </c>
      <c r="I895" s="8">
        <f>37.6286 * CHOOSE(CONTROL!$C$15, $D$11, 100%, $F$11)</f>
        <v>37.628599999999999</v>
      </c>
      <c r="J895" s="4">
        <f>37.5409 * CHOOSE(CONTROL!$C$15, $D$11, 100%, $F$11)</f>
        <v>37.540900000000001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68788</v>
      </c>
      <c r="B896" s="8">
        <f>39.4553 * CHOOSE(CONTROL!$C$15, $D$11, 100%, $F$11)</f>
        <v>39.455300000000001</v>
      </c>
      <c r="C896" s="8">
        <f>39.4598 * CHOOSE(CONTROL!$C$15, $D$11, 100%, $F$11)</f>
        <v>39.459800000000001</v>
      </c>
      <c r="D896" s="8">
        <f>39.467 * CHOOSE( CONTROL!$C$15, $D$11, 100%, $F$11)</f>
        <v>39.466999999999999</v>
      </c>
      <c r="E896" s="12">
        <f>39.4641 * CHOOSE( CONTROL!$C$15, $D$11, 100%, $F$11)</f>
        <v>39.464100000000002</v>
      </c>
      <c r="F896" s="4">
        <f>40.1382 * CHOOSE(CONTROL!$C$15, $D$11, 100%, $F$11)</f>
        <v>40.138199999999998</v>
      </c>
      <c r="G896" s="8">
        <f>38.7684 * CHOOSE( CONTROL!$C$15, $D$11, 100%, $F$11)</f>
        <v>38.7684</v>
      </c>
      <c r="H896" s="4">
        <f>39.7014 * CHOOSE(CONTROL!$C$15, $D$11, 100%, $F$11)</f>
        <v>39.7014</v>
      </c>
      <c r="I896" s="8">
        <f>38.2193 * CHOOSE(CONTROL!$C$15, $D$11, 100%, $F$11)</f>
        <v>38.219299999999997</v>
      </c>
      <c r="J896" s="4">
        <f>38.1115 * CHOOSE(CONTROL!$C$15, $D$11, 100%, $F$11)</f>
        <v>38.111499999999999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1.1791</v>
      </c>
      <c r="Q896" s="9">
        <v>19.053000000000001</v>
      </c>
      <c r="R896" s="9"/>
      <c r="S896" s="11"/>
    </row>
    <row r="897" spans="1:19" ht="15.75">
      <c r="A897" s="13">
        <v>68819</v>
      </c>
      <c r="B897" s="8">
        <f>CHOOSE( CONTROL!$C$32, 40.5103, 40.5071) * CHOOSE(CONTROL!$C$15, $D$11, 100%, $F$11)</f>
        <v>40.510300000000001</v>
      </c>
      <c r="C897" s="8">
        <f>CHOOSE( CONTROL!$C$32, 40.5183, 40.5151) * CHOOSE(CONTROL!$C$15, $D$11, 100%, $F$11)</f>
        <v>40.518300000000004</v>
      </c>
      <c r="D897" s="8">
        <f>CHOOSE( CONTROL!$C$32, 40.5207, 40.5175) * CHOOSE( CONTROL!$C$15, $D$11, 100%, $F$11)</f>
        <v>40.520699999999998</v>
      </c>
      <c r="E897" s="12">
        <f>CHOOSE( CONTROL!$C$32, 40.5186, 40.5154) * CHOOSE( CONTROL!$C$15, $D$11, 100%, $F$11)</f>
        <v>40.518599999999999</v>
      </c>
      <c r="F897" s="4">
        <f>CHOOSE( CONTROL!$C$32, 41.1919, 41.1887) * CHOOSE(CONTROL!$C$15, $D$11, 100%, $F$11)</f>
        <v>41.191899999999997</v>
      </c>
      <c r="G897" s="8">
        <f>CHOOSE( CONTROL!$C$32, 39.8058, 39.8026) * CHOOSE( CONTROL!$C$15, $D$11, 100%, $F$11)</f>
        <v>39.805799999999998</v>
      </c>
      <c r="H897" s="4">
        <f>CHOOSE( CONTROL!$C$32, 40.7376, 40.7344) * CHOOSE(CONTROL!$C$15, $D$11, 100%, $F$11)</f>
        <v>40.7376</v>
      </c>
      <c r="I897" s="8">
        <f>CHOOSE( CONTROL!$C$32, 39.24, 39.2369) * CHOOSE(CONTROL!$C$15, $D$11, 100%, $F$11)</f>
        <v>39.24</v>
      </c>
      <c r="J897" s="4">
        <f>CHOOSE( CONTROL!$C$32, 39.1301, 39.127) * CHOOSE(CONTROL!$C$15, $D$11, 100%, $F$11)</f>
        <v>39.130099999999999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1.2183999999999999</v>
      </c>
      <c r="Q897" s="9">
        <v>19.688099999999999</v>
      </c>
      <c r="R897" s="9"/>
      <c r="S897" s="11"/>
    </row>
    <row r="898" spans="1:19" ht="15.75">
      <c r="A898" s="13">
        <v>68849</v>
      </c>
      <c r="B898" s="8">
        <f>CHOOSE( CONTROL!$C$32, 39.8596, 39.8564) * CHOOSE(CONTROL!$C$15, $D$11, 100%, $F$11)</f>
        <v>39.8596</v>
      </c>
      <c r="C898" s="8">
        <f>CHOOSE( CONTROL!$C$32, 39.8676, 39.8644) * CHOOSE(CONTROL!$C$15, $D$11, 100%, $F$11)</f>
        <v>39.867600000000003</v>
      </c>
      <c r="D898" s="8">
        <f>CHOOSE( CONTROL!$C$32, 39.8702, 39.867) * CHOOSE( CONTROL!$C$15, $D$11, 100%, $F$11)</f>
        <v>39.870199999999997</v>
      </c>
      <c r="E898" s="12">
        <f>CHOOSE( CONTROL!$C$32, 39.868, 39.8648) * CHOOSE( CONTROL!$C$15, $D$11, 100%, $F$11)</f>
        <v>39.868000000000002</v>
      </c>
      <c r="F898" s="4">
        <f>CHOOSE( CONTROL!$C$32, 40.5411, 40.5379) * CHOOSE(CONTROL!$C$15, $D$11, 100%, $F$11)</f>
        <v>40.5411</v>
      </c>
      <c r="G898" s="8">
        <f>CHOOSE( CONTROL!$C$32, 39.1663, 39.1631) * CHOOSE( CONTROL!$C$15, $D$11, 100%, $F$11)</f>
        <v>39.1663</v>
      </c>
      <c r="H898" s="4">
        <f>CHOOSE( CONTROL!$C$32, 40.0976, 40.0945) * CHOOSE(CONTROL!$C$15, $D$11, 100%, $F$11)</f>
        <v>40.0976</v>
      </c>
      <c r="I898" s="8">
        <f>CHOOSE( CONTROL!$C$32, 38.612, 38.6089) * CHOOSE(CONTROL!$C$15, $D$11, 100%, $F$11)</f>
        <v>38.612000000000002</v>
      </c>
      <c r="J898" s="4">
        <f>CHOOSE( CONTROL!$C$32, 38.501, 38.4979) * CHOOSE(CONTROL!$C$15, $D$11, 100%, $F$11)</f>
        <v>38.500999999999998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1.1791</v>
      </c>
      <c r="Q898" s="9">
        <v>19.053000000000001</v>
      </c>
      <c r="R898" s="9"/>
      <c r="S898" s="11"/>
    </row>
    <row r="899" spans="1:19" ht="15.75">
      <c r="A899" s="13">
        <v>68880</v>
      </c>
      <c r="B899" s="8">
        <f>CHOOSE( CONTROL!$C$32, 41.5732, 41.57) * CHOOSE(CONTROL!$C$15, $D$11, 100%, $F$11)</f>
        <v>41.5732</v>
      </c>
      <c r="C899" s="8">
        <f>CHOOSE( CONTROL!$C$32, 41.5812, 41.578) * CHOOSE(CONTROL!$C$15, $D$11, 100%, $F$11)</f>
        <v>41.581200000000003</v>
      </c>
      <c r="D899" s="8">
        <f>CHOOSE( CONTROL!$C$32, 41.5842, 41.581) * CHOOSE( CONTROL!$C$15, $D$11, 100%, $F$11)</f>
        <v>41.584200000000003</v>
      </c>
      <c r="E899" s="12">
        <f>CHOOSE( CONTROL!$C$32, 41.5819, 41.5787) * CHOOSE( CONTROL!$C$15, $D$11, 100%, $F$11)</f>
        <v>41.581899999999997</v>
      </c>
      <c r="F899" s="4">
        <f>CHOOSE( CONTROL!$C$32, 42.2548, 42.2516) * CHOOSE(CONTROL!$C$15, $D$11, 100%, $F$11)</f>
        <v>42.254800000000003</v>
      </c>
      <c r="G899" s="8">
        <f>CHOOSE( CONTROL!$C$32, 40.852, 40.8488) * CHOOSE( CONTROL!$C$15, $D$11, 100%, $F$11)</f>
        <v>40.851999999999997</v>
      </c>
      <c r="H899" s="4">
        <f>CHOOSE( CONTROL!$C$32, 41.7829, 41.7797) * CHOOSE(CONTROL!$C$15, $D$11, 100%, $F$11)</f>
        <v>41.782899999999998</v>
      </c>
      <c r="I899" s="8">
        <f>CHOOSE( CONTROL!$C$32, 40.2708, 40.2677) * CHOOSE(CONTROL!$C$15, $D$11, 100%, $F$11)</f>
        <v>40.270800000000001</v>
      </c>
      <c r="J899" s="4">
        <f>CHOOSE( CONTROL!$C$32, 40.1576, 40.1545) * CHOOSE(CONTROL!$C$15, $D$11, 100%, $F$11)</f>
        <v>40.157600000000002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68911</v>
      </c>
      <c r="B900" s="8">
        <f>CHOOSE( CONTROL!$C$32, 38.3668, 38.3636) * CHOOSE(CONTROL!$C$15, $D$11, 100%, $F$11)</f>
        <v>38.366799999999998</v>
      </c>
      <c r="C900" s="8">
        <f>CHOOSE( CONTROL!$C$32, 38.3748, 38.3716) * CHOOSE(CONTROL!$C$15, $D$11, 100%, $F$11)</f>
        <v>38.3748</v>
      </c>
      <c r="D900" s="8">
        <f>CHOOSE( CONTROL!$C$32, 38.3779, 38.3747) * CHOOSE( CONTROL!$C$15, $D$11, 100%, $F$11)</f>
        <v>38.377899999999997</v>
      </c>
      <c r="E900" s="12">
        <f>CHOOSE( CONTROL!$C$32, 38.3756, 38.3724) * CHOOSE( CONTROL!$C$15, $D$11, 100%, $F$11)</f>
        <v>38.375599999999999</v>
      </c>
      <c r="F900" s="4">
        <f>CHOOSE( CONTROL!$C$32, 39.0484, 39.0452) * CHOOSE(CONTROL!$C$15, $D$11, 100%, $F$11)</f>
        <v>39.048400000000001</v>
      </c>
      <c r="G900" s="8">
        <f>CHOOSE( CONTROL!$C$32, 37.699, 37.6958) * CHOOSE( CONTROL!$C$15, $D$11, 100%, $F$11)</f>
        <v>37.698999999999998</v>
      </c>
      <c r="H900" s="4">
        <f>CHOOSE( CONTROL!$C$32, 38.6296, 38.6265) * CHOOSE(CONTROL!$C$15, $D$11, 100%, $F$11)</f>
        <v>38.629600000000003</v>
      </c>
      <c r="I900" s="8">
        <f>CHOOSE( CONTROL!$C$32, 37.1704, 37.1673) * CHOOSE(CONTROL!$C$15, $D$11, 100%, $F$11)</f>
        <v>37.170400000000001</v>
      </c>
      <c r="J900" s="4">
        <f>CHOOSE( CONTROL!$C$32, 37.058, 37.0549) * CHOOSE(CONTROL!$C$15, $D$11, 100%, $F$11)</f>
        <v>37.058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1.2183999999999999</v>
      </c>
      <c r="Q900" s="9">
        <v>19.688099999999999</v>
      </c>
      <c r="R900" s="9"/>
      <c r="S900" s="11"/>
    </row>
    <row r="901" spans="1:19" ht="15.75">
      <c r="A901" s="13">
        <v>68941</v>
      </c>
      <c r="B901" s="8">
        <f>CHOOSE( CONTROL!$C$32, 37.5639, 37.5607) * CHOOSE(CONTROL!$C$15, $D$11, 100%, $F$11)</f>
        <v>37.563899999999997</v>
      </c>
      <c r="C901" s="8">
        <f>CHOOSE( CONTROL!$C$32, 37.5719, 37.5687) * CHOOSE(CONTROL!$C$15, $D$11, 100%, $F$11)</f>
        <v>37.571899999999999</v>
      </c>
      <c r="D901" s="8">
        <f>CHOOSE( CONTROL!$C$32, 37.575, 37.5718) * CHOOSE( CONTROL!$C$15, $D$11, 100%, $F$11)</f>
        <v>37.575000000000003</v>
      </c>
      <c r="E901" s="12">
        <f>CHOOSE( CONTROL!$C$32, 37.5727, 37.5695) * CHOOSE( CONTROL!$C$15, $D$11, 100%, $F$11)</f>
        <v>37.572699999999998</v>
      </c>
      <c r="F901" s="4">
        <f>CHOOSE( CONTROL!$C$32, 38.2454, 38.2422) * CHOOSE(CONTROL!$C$15, $D$11, 100%, $F$11)</f>
        <v>38.245399999999997</v>
      </c>
      <c r="G901" s="8">
        <f>CHOOSE( CONTROL!$C$32, 36.9094, 36.9063) * CHOOSE( CONTROL!$C$15, $D$11, 100%, $F$11)</f>
        <v>36.909399999999998</v>
      </c>
      <c r="H901" s="4">
        <f>CHOOSE( CONTROL!$C$32, 37.84, 37.8369) * CHOOSE(CONTROL!$C$15, $D$11, 100%, $F$11)</f>
        <v>37.840000000000003</v>
      </c>
      <c r="I901" s="8">
        <f>CHOOSE( CONTROL!$C$32, 36.394, 36.3909) * CHOOSE(CONTROL!$C$15, $D$11, 100%, $F$11)</f>
        <v>36.393999999999998</v>
      </c>
      <c r="J901" s="4">
        <f>CHOOSE( CONTROL!$C$32, 36.2818, 36.2787) * CHOOSE(CONTROL!$C$15, $D$11, 100%, $F$11)</f>
        <v>36.281799999999997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1.1791</v>
      </c>
      <c r="Q901" s="9">
        <v>19.053000000000001</v>
      </c>
      <c r="R901" s="9"/>
      <c r="S901" s="11"/>
    </row>
    <row r="902" spans="1:19" ht="15.75">
      <c r="A902" s="13">
        <v>68972</v>
      </c>
      <c r="B902" s="8">
        <f>39.2261 * CHOOSE(CONTROL!$C$15, $D$11, 100%, $F$11)</f>
        <v>39.226100000000002</v>
      </c>
      <c r="C902" s="8">
        <f>39.2315 * CHOOSE(CONTROL!$C$15, $D$11, 100%, $F$11)</f>
        <v>39.231499999999997</v>
      </c>
      <c r="D902" s="8">
        <f>39.2394 * CHOOSE( CONTROL!$C$15, $D$11, 100%, $F$11)</f>
        <v>39.239400000000003</v>
      </c>
      <c r="E902" s="12">
        <f>39.2362 * CHOOSE( CONTROL!$C$15, $D$11, 100%, $F$11)</f>
        <v>39.236199999999997</v>
      </c>
      <c r="F902" s="4">
        <f>39.9094 * CHOOSE(CONTROL!$C$15, $D$11, 100%, $F$11)</f>
        <v>39.909399999999998</v>
      </c>
      <c r="G902" s="8">
        <f>38.5453 * CHOOSE( CONTROL!$C$15, $D$11, 100%, $F$11)</f>
        <v>38.545299999999997</v>
      </c>
      <c r="H902" s="4">
        <f>39.4764 * CHOOSE(CONTROL!$C$15, $D$11, 100%, $F$11)</f>
        <v>39.476399999999998</v>
      </c>
      <c r="I902" s="8">
        <f>38.0039 * CHOOSE(CONTROL!$C$15, $D$11, 100%, $F$11)</f>
        <v>38.003900000000002</v>
      </c>
      <c r="J902" s="4">
        <f>37.8903 * CHOOSE(CONTROL!$C$15, $D$11, 100%, $F$11)</f>
        <v>37.890300000000003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1.2183999999999999</v>
      </c>
      <c r="Q902" s="9">
        <v>19.688099999999999</v>
      </c>
      <c r="R902" s="9"/>
      <c r="S902" s="11"/>
    </row>
    <row r="903" spans="1:19" ht="15.75">
      <c r="A903" s="13">
        <v>69002</v>
      </c>
      <c r="B903" s="8">
        <f>42.3029 * CHOOSE(CONTROL!$C$15, $D$11, 100%, $F$11)</f>
        <v>42.302900000000001</v>
      </c>
      <c r="C903" s="8">
        <f>42.308 * CHOOSE(CONTROL!$C$15, $D$11, 100%, $F$11)</f>
        <v>42.308</v>
      </c>
      <c r="D903" s="8">
        <f>42.2855 * CHOOSE( CONTROL!$C$15, $D$11, 100%, $F$11)</f>
        <v>42.285499999999999</v>
      </c>
      <c r="E903" s="12">
        <f>42.2932 * CHOOSE( CONTROL!$C$15, $D$11, 100%, $F$11)</f>
        <v>42.293199999999999</v>
      </c>
      <c r="F903" s="4">
        <f>42.9478 * CHOOSE(CONTROL!$C$15, $D$11, 100%, $F$11)</f>
        <v>42.947800000000001</v>
      </c>
      <c r="G903" s="8">
        <f>41.5841 * CHOOSE( CONTROL!$C$15, $D$11, 100%, $F$11)</f>
        <v>41.584099999999999</v>
      </c>
      <c r="H903" s="4">
        <f>42.4644 * CHOOSE(CONTROL!$C$15, $D$11, 100%, $F$11)</f>
        <v>42.464399999999998</v>
      </c>
      <c r="I903" s="8">
        <f>41.0058 * CHOOSE(CONTROL!$C$15, $D$11, 100%, $F$11)</f>
        <v>41.005800000000001</v>
      </c>
      <c r="J903" s="4">
        <f>40.865 * CHOOSE(CONTROL!$C$15, $D$11, 100%, $F$11)</f>
        <v>40.865000000000002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69033</v>
      </c>
      <c r="B904" s="8">
        <f>42.226 * CHOOSE(CONTROL!$C$15, $D$11, 100%, $F$11)</f>
        <v>42.225999999999999</v>
      </c>
      <c r="C904" s="8">
        <f>42.2311 * CHOOSE(CONTROL!$C$15, $D$11, 100%, $F$11)</f>
        <v>42.231099999999998</v>
      </c>
      <c r="D904" s="8">
        <f>42.2101 * CHOOSE( CONTROL!$C$15, $D$11, 100%, $F$11)</f>
        <v>42.210099999999997</v>
      </c>
      <c r="E904" s="12">
        <f>42.2172 * CHOOSE( CONTROL!$C$15, $D$11, 100%, $F$11)</f>
        <v>42.217199999999998</v>
      </c>
      <c r="F904" s="4">
        <f>42.8709 * CHOOSE(CONTROL!$C$15, $D$11, 100%, $F$11)</f>
        <v>42.870899999999999</v>
      </c>
      <c r="G904" s="8">
        <f>41.5095 * CHOOSE( CONTROL!$C$15, $D$11, 100%, $F$11)</f>
        <v>41.509500000000003</v>
      </c>
      <c r="H904" s="4">
        <f>42.3888 * CHOOSE(CONTROL!$C$15, $D$11, 100%, $F$11)</f>
        <v>42.388800000000003</v>
      </c>
      <c r="I904" s="8">
        <f>40.9361 * CHOOSE(CONTROL!$C$15, $D$11, 100%, $F$11)</f>
        <v>40.936100000000003</v>
      </c>
      <c r="J904" s="4">
        <f>40.7907 * CHOOSE(CONTROL!$C$15, $D$11, 100%, $F$11)</f>
        <v>40.790700000000001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69064</v>
      </c>
      <c r="B905" s="8">
        <f>43.8387 * CHOOSE(CONTROL!$C$15, $D$11, 100%, $F$11)</f>
        <v>43.838700000000003</v>
      </c>
      <c r="C905" s="8">
        <f>43.8438 * CHOOSE(CONTROL!$C$15, $D$11, 100%, $F$11)</f>
        <v>43.843800000000002</v>
      </c>
      <c r="D905" s="8">
        <f>43.8218 * CHOOSE( CONTROL!$C$15, $D$11, 100%, $F$11)</f>
        <v>43.821800000000003</v>
      </c>
      <c r="E905" s="12">
        <f>43.8293 * CHOOSE( CONTROL!$C$15, $D$11, 100%, $F$11)</f>
        <v>43.829300000000003</v>
      </c>
      <c r="F905" s="4">
        <f>44.4836 * CHOOSE(CONTROL!$C$15, $D$11, 100%, $F$11)</f>
        <v>44.483600000000003</v>
      </c>
      <c r="G905" s="8">
        <f>43.0929 * CHOOSE( CONTROL!$C$15, $D$11, 100%, $F$11)</f>
        <v>43.0929</v>
      </c>
      <c r="H905" s="4">
        <f>43.9748 * CHOOSE(CONTROL!$C$15, $D$11, 100%, $F$11)</f>
        <v>43.974800000000002</v>
      </c>
      <c r="I905" s="8">
        <f>42.4676 * CHOOSE(CONTROL!$C$15, $D$11, 100%, $F$11)</f>
        <v>42.467599999999997</v>
      </c>
      <c r="J905" s="4">
        <f>42.3497 * CHOOSE(CONTROL!$C$15, $D$11, 100%, $F$11)</f>
        <v>42.349699999999999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69092</v>
      </c>
      <c r="B906" s="8">
        <f>41.0066 * CHOOSE(CONTROL!$C$15, $D$11, 100%, $F$11)</f>
        <v>41.006599999999999</v>
      </c>
      <c r="C906" s="8">
        <f>41.0117 * CHOOSE(CONTROL!$C$15, $D$11, 100%, $F$11)</f>
        <v>41.011699999999998</v>
      </c>
      <c r="D906" s="8">
        <f>40.9853 * CHOOSE( CONTROL!$C$15, $D$11, 100%, $F$11)</f>
        <v>40.985300000000002</v>
      </c>
      <c r="E906" s="12">
        <f>40.9944 * CHOOSE( CONTROL!$C$15, $D$11, 100%, $F$11)</f>
        <v>40.994399999999999</v>
      </c>
      <c r="F906" s="4">
        <f>41.6515 * CHOOSE(CONTROL!$C$15, $D$11, 100%, $F$11)</f>
        <v>41.651499999999999</v>
      </c>
      <c r="G906" s="8">
        <f>40.2992 * CHOOSE( CONTROL!$C$15, $D$11, 100%, $F$11)</f>
        <v>40.299199999999999</v>
      </c>
      <c r="H906" s="4">
        <f>41.1896 * CHOOSE(CONTROL!$C$15, $D$11, 100%, $F$11)</f>
        <v>41.189599999999999</v>
      </c>
      <c r="I906" s="8">
        <f>39.6994 * CHOOSE(CONTROL!$C$15, $D$11, 100%, $F$11)</f>
        <v>39.699399999999997</v>
      </c>
      <c r="J906" s="4">
        <f>39.6119 * CHOOSE(CONTROL!$C$15, $D$11, 100%, $F$11)</f>
        <v>39.611899999999999</v>
      </c>
      <c r="K906" s="4"/>
      <c r="L906" s="9">
        <v>26.469899999999999</v>
      </c>
      <c r="M906" s="9">
        <v>10.8962</v>
      </c>
      <c r="N906" s="9">
        <v>4.4660000000000002</v>
      </c>
      <c r="O906" s="9">
        <v>0.33789999999999998</v>
      </c>
      <c r="P906" s="9">
        <v>1.1676</v>
      </c>
      <c r="Q906" s="9">
        <v>17.782800000000002</v>
      </c>
      <c r="R906" s="9"/>
      <c r="S906" s="11"/>
    </row>
    <row r="907" spans="1:19" ht="15.75">
      <c r="A907" s="13">
        <v>69123</v>
      </c>
      <c r="B907" s="8">
        <f>40.1343 * CHOOSE(CONTROL!$C$15, $D$11, 100%, $F$11)</f>
        <v>40.134300000000003</v>
      </c>
      <c r="C907" s="8">
        <f>40.1394 * CHOOSE(CONTROL!$C$15, $D$11, 100%, $F$11)</f>
        <v>40.139400000000002</v>
      </c>
      <c r="D907" s="8">
        <f>40.1134 * CHOOSE( CONTROL!$C$15, $D$11, 100%, $F$11)</f>
        <v>40.113399999999999</v>
      </c>
      <c r="E907" s="12">
        <f>40.1224 * CHOOSE( CONTROL!$C$15, $D$11, 100%, $F$11)</f>
        <v>40.122399999999999</v>
      </c>
      <c r="F907" s="4">
        <f>40.7792 * CHOOSE(CONTROL!$C$15, $D$11, 100%, $F$11)</f>
        <v>40.779200000000003</v>
      </c>
      <c r="G907" s="8">
        <f>39.4417 * CHOOSE( CONTROL!$C$15, $D$11, 100%, $F$11)</f>
        <v>39.441699999999997</v>
      </c>
      <c r="H907" s="4">
        <f>40.3317 * CHOOSE(CONTROL!$C$15, $D$11, 100%, $F$11)</f>
        <v>40.331699999999998</v>
      </c>
      <c r="I907" s="8">
        <f>38.8569 * CHOOSE(CONTROL!$C$15, $D$11, 100%, $F$11)</f>
        <v>38.856900000000003</v>
      </c>
      <c r="J907" s="4">
        <f>38.7686 * CHOOSE(CONTROL!$C$15, $D$11, 100%, $F$11)</f>
        <v>38.768599999999999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69153</v>
      </c>
      <c r="B908" s="8">
        <f>40.7446 * CHOOSE(CONTROL!$C$15, $D$11, 100%, $F$11)</f>
        <v>40.744599999999998</v>
      </c>
      <c r="C908" s="8">
        <f>40.7491 * CHOOSE(CONTROL!$C$15, $D$11, 100%, $F$11)</f>
        <v>40.749099999999999</v>
      </c>
      <c r="D908" s="8">
        <f>40.7563 * CHOOSE( CONTROL!$C$15, $D$11, 100%, $F$11)</f>
        <v>40.756300000000003</v>
      </c>
      <c r="E908" s="12">
        <f>40.7534 * CHOOSE( CONTROL!$C$15, $D$11, 100%, $F$11)</f>
        <v>40.753399999999999</v>
      </c>
      <c r="F908" s="4">
        <f>41.4275 * CHOOSE(CONTROL!$C$15, $D$11, 100%, $F$11)</f>
        <v>41.427500000000002</v>
      </c>
      <c r="G908" s="8">
        <f>40.0364 * CHOOSE( CONTROL!$C$15, $D$11, 100%, $F$11)</f>
        <v>40.0364</v>
      </c>
      <c r="H908" s="4">
        <f>40.9693 * CHOOSE(CONTROL!$C$15, $D$11, 100%, $F$11)</f>
        <v>40.969299999999997</v>
      </c>
      <c r="I908" s="8">
        <f>39.4663 * CHOOSE(CONTROL!$C$15, $D$11, 100%, $F$11)</f>
        <v>39.466299999999997</v>
      </c>
      <c r="J908" s="4">
        <f>39.3579 * CHOOSE(CONTROL!$C$15, $D$11, 100%, $F$11)</f>
        <v>39.357900000000001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1.1791</v>
      </c>
      <c r="Q908" s="9">
        <v>19.053000000000001</v>
      </c>
      <c r="R908" s="9"/>
      <c r="S908" s="11"/>
    </row>
    <row r="909" spans="1:19" ht="15.75">
      <c r="A909" s="13">
        <v>69184</v>
      </c>
      <c r="B909" s="8">
        <f>CHOOSE( CONTROL!$C$32, 41.834, 41.8308) * CHOOSE(CONTROL!$C$15, $D$11, 100%, $F$11)</f>
        <v>41.834000000000003</v>
      </c>
      <c r="C909" s="8">
        <f>CHOOSE( CONTROL!$C$32, 41.842, 41.8388) * CHOOSE(CONTROL!$C$15, $D$11, 100%, $F$11)</f>
        <v>41.841999999999999</v>
      </c>
      <c r="D909" s="8">
        <f>CHOOSE( CONTROL!$C$32, 41.8443, 41.8411) * CHOOSE( CONTROL!$C$15, $D$11, 100%, $F$11)</f>
        <v>41.844299999999997</v>
      </c>
      <c r="E909" s="12">
        <f>CHOOSE( CONTROL!$C$32, 41.8422, 41.839) * CHOOSE( CONTROL!$C$15, $D$11, 100%, $F$11)</f>
        <v>41.842199999999998</v>
      </c>
      <c r="F909" s="4">
        <f>CHOOSE( CONTROL!$C$32, 42.5155, 42.5123) * CHOOSE(CONTROL!$C$15, $D$11, 100%, $F$11)</f>
        <v>42.515500000000003</v>
      </c>
      <c r="G909" s="8">
        <f>CHOOSE( CONTROL!$C$32, 41.1075, 41.1044) * CHOOSE( CONTROL!$C$15, $D$11, 100%, $F$11)</f>
        <v>41.107500000000002</v>
      </c>
      <c r="H909" s="4">
        <f>CHOOSE( CONTROL!$C$32, 42.0393, 42.0362) * CHOOSE(CONTROL!$C$15, $D$11, 100%, $F$11)</f>
        <v>42.039299999999997</v>
      </c>
      <c r="I909" s="8">
        <f>CHOOSE( CONTROL!$C$32, 40.5202, 40.5171) * CHOOSE(CONTROL!$C$15, $D$11, 100%, $F$11)</f>
        <v>40.520200000000003</v>
      </c>
      <c r="J909" s="4">
        <f>CHOOSE( CONTROL!$C$32, 40.4097, 40.4066) * CHOOSE(CONTROL!$C$15, $D$11, 100%, $F$11)</f>
        <v>40.409700000000001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1.2183999999999999</v>
      </c>
      <c r="Q909" s="9">
        <v>19.688099999999999</v>
      </c>
      <c r="R909" s="9"/>
      <c r="S909" s="11"/>
    </row>
    <row r="910" spans="1:19" ht="15.75">
      <c r="A910" s="13">
        <v>69214</v>
      </c>
      <c r="B910" s="8">
        <f>CHOOSE( CONTROL!$C$32, 41.162, 41.1588) * CHOOSE(CONTROL!$C$15, $D$11, 100%, $F$11)</f>
        <v>41.161999999999999</v>
      </c>
      <c r="C910" s="8">
        <f>CHOOSE( CONTROL!$C$32, 41.17, 41.1668) * CHOOSE(CONTROL!$C$15, $D$11, 100%, $F$11)</f>
        <v>41.17</v>
      </c>
      <c r="D910" s="8">
        <f>CHOOSE( CONTROL!$C$32, 41.1726, 41.1694) * CHOOSE( CONTROL!$C$15, $D$11, 100%, $F$11)</f>
        <v>41.172600000000003</v>
      </c>
      <c r="E910" s="12">
        <f>CHOOSE( CONTROL!$C$32, 41.1704, 41.1672) * CHOOSE( CONTROL!$C$15, $D$11, 100%, $F$11)</f>
        <v>41.170400000000001</v>
      </c>
      <c r="F910" s="4">
        <f>CHOOSE( CONTROL!$C$32, 41.8435, 41.8403) * CHOOSE(CONTROL!$C$15, $D$11, 100%, $F$11)</f>
        <v>41.843499999999999</v>
      </c>
      <c r="G910" s="8">
        <f>CHOOSE( CONTROL!$C$32, 40.4471, 40.4439) * CHOOSE( CONTROL!$C$15, $D$11, 100%, $F$11)</f>
        <v>40.447099999999999</v>
      </c>
      <c r="H910" s="4">
        <f>CHOOSE( CONTROL!$C$32, 41.3784, 41.3753) * CHOOSE(CONTROL!$C$15, $D$11, 100%, $F$11)</f>
        <v>41.378399999999999</v>
      </c>
      <c r="I910" s="8">
        <f>CHOOSE( CONTROL!$C$32, 39.8716, 39.8685) * CHOOSE(CONTROL!$C$15, $D$11, 100%, $F$11)</f>
        <v>39.871600000000001</v>
      </c>
      <c r="J910" s="4">
        <f>CHOOSE( CONTROL!$C$32, 39.76, 39.757) * CHOOSE(CONTROL!$C$15, $D$11, 100%, $F$11)</f>
        <v>39.76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1.1791</v>
      </c>
      <c r="Q910" s="9">
        <v>19.053000000000001</v>
      </c>
      <c r="R910" s="9"/>
      <c r="S910" s="11"/>
    </row>
    <row r="911" spans="1:19" ht="15.75">
      <c r="A911" s="13">
        <v>69245</v>
      </c>
      <c r="B911" s="8">
        <f>CHOOSE( CONTROL!$C$32, 42.9317, 42.9285) * CHOOSE(CONTROL!$C$15, $D$11, 100%, $F$11)</f>
        <v>42.931699999999999</v>
      </c>
      <c r="C911" s="8">
        <f>CHOOSE( CONTROL!$C$32, 42.9397, 42.9365) * CHOOSE(CONTROL!$C$15, $D$11, 100%, $F$11)</f>
        <v>42.939700000000002</v>
      </c>
      <c r="D911" s="8">
        <f>CHOOSE( CONTROL!$C$32, 42.9426, 42.9394) * CHOOSE( CONTROL!$C$15, $D$11, 100%, $F$11)</f>
        <v>42.942599999999999</v>
      </c>
      <c r="E911" s="12">
        <f>CHOOSE( CONTROL!$C$32, 42.9403, 42.9371) * CHOOSE( CONTROL!$C$15, $D$11, 100%, $F$11)</f>
        <v>42.940300000000001</v>
      </c>
      <c r="F911" s="4">
        <f>CHOOSE( CONTROL!$C$32, 43.6132, 43.61) * CHOOSE(CONTROL!$C$15, $D$11, 100%, $F$11)</f>
        <v>43.613199999999999</v>
      </c>
      <c r="G911" s="8">
        <f>CHOOSE( CONTROL!$C$32, 42.1879, 42.1847) * CHOOSE( CONTROL!$C$15, $D$11, 100%, $F$11)</f>
        <v>42.187899999999999</v>
      </c>
      <c r="H911" s="4">
        <f>CHOOSE( CONTROL!$C$32, 43.1188, 43.1156) * CHOOSE(CONTROL!$C$15, $D$11, 100%, $F$11)</f>
        <v>43.1188</v>
      </c>
      <c r="I911" s="8">
        <f>CHOOSE( CONTROL!$C$32, 41.5847, 41.5816) * CHOOSE(CONTROL!$C$15, $D$11, 100%, $F$11)</f>
        <v>41.584699999999998</v>
      </c>
      <c r="J911" s="4">
        <f>CHOOSE( CONTROL!$C$32, 41.4708, 41.4677) * CHOOSE(CONTROL!$C$15, $D$11, 100%, $F$11)</f>
        <v>41.470799999999997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69276</v>
      </c>
      <c r="B912" s="8">
        <f>CHOOSE( CONTROL!$C$32, 39.6204, 39.6172) * CHOOSE(CONTROL!$C$15, $D$11, 100%, $F$11)</f>
        <v>39.620399999999997</v>
      </c>
      <c r="C912" s="8">
        <f>CHOOSE( CONTROL!$C$32, 39.6284, 39.6252) * CHOOSE(CONTROL!$C$15, $D$11, 100%, $F$11)</f>
        <v>39.628399999999999</v>
      </c>
      <c r="D912" s="8">
        <f>CHOOSE( CONTROL!$C$32, 39.6315, 39.6283) * CHOOSE( CONTROL!$C$15, $D$11, 100%, $F$11)</f>
        <v>39.631500000000003</v>
      </c>
      <c r="E912" s="12">
        <f>CHOOSE( CONTROL!$C$32, 39.6292, 39.626) * CHOOSE( CONTROL!$C$15, $D$11, 100%, $F$11)</f>
        <v>39.629199999999997</v>
      </c>
      <c r="F912" s="4">
        <f>CHOOSE( CONTROL!$C$32, 40.3019, 40.2987) * CHOOSE(CONTROL!$C$15, $D$11, 100%, $F$11)</f>
        <v>40.301900000000003</v>
      </c>
      <c r="G912" s="8">
        <f>CHOOSE( CONTROL!$C$32, 38.9318, 38.9286) * CHOOSE( CONTROL!$C$15, $D$11, 100%, $F$11)</f>
        <v>38.931800000000003</v>
      </c>
      <c r="H912" s="4">
        <f>CHOOSE( CONTROL!$C$32, 39.8624, 39.8593) * CHOOSE(CONTROL!$C$15, $D$11, 100%, $F$11)</f>
        <v>39.862400000000001</v>
      </c>
      <c r="I912" s="8">
        <f>CHOOSE( CONTROL!$C$32, 38.3829, 38.3798) * CHOOSE(CONTROL!$C$15, $D$11, 100%, $F$11)</f>
        <v>38.382899999999999</v>
      </c>
      <c r="J912" s="4">
        <f>CHOOSE( CONTROL!$C$32, 38.2698, 38.2667) * CHOOSE(CONTROL!$C$15, $D$11, 100%, $F$11)</f>
        <v>38.269799999999996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1.2183999999999999</v>
      </c>
      <c r="Q912" s="9">
        <v>19.688099999999999</v>
      </c>
      <c r="R912" s="9"/>
      <c r="S912" s="11"/>
    </row>
    <row r="913" spans="1:19" ht="15.75">
      <c r="A913" s="13">
        <v>69306</v>
      </c>
      <c r="B913" s="8">
        <f>CHOOSE( CONTROL!$C$32, 38.7912, 38.788) * CHOOSE(CONTROL!$C$15, $D$11, 100%, $F$11)</f>
        <v>38.791200000000003</v>
      </c>
      <c r="C913" s="8">
        <f>CHOOSE( CONTROL!$C$32, 38.7992, 38.796) * CHOOSE(CONTROL!$C$15, $D$11, 100%, $F$11)</f>
        <v>38.799199999999999</v>
      </c>
      <c r="D913" s="8">
        <f>CHOOSE( CONTROL!$C$32, 38.8023, 38.7991) * CHOOSE( CONTROL!$C$15, $D$11, 100%, $F$11)</f>
        <v>38.802300000000002</v>
      </c>
      <c r="E913" s="12">
        <f>CHOOSE( CONTROL!$C$32, 38.8, 38.7968) * CHOOSE( CONTROL!$C$15, $D$11, 100%, $F$11)</f>
        <v>38.799999999999997</v>
      </c>
      <c r="F913" s="4">
        <f>CHOOSE( CONTROL!$C$32, 39.4728, 39.4696) * CHOOSE(CONTROL!$C$15, $D$11, 100%, $F$11)</f>
        <v>39.472799999999999</v>
      </c>
      <c r="G913" s="8">
        <f>CHOOSE( CONTROL!$C$32, 38.1164, 38.1132) * CHOOSE( CONTROL!$C$15, $D$11, 100%, $F$11)</f>
        <v>38.116399999999999</v>
      </c>
      <c r="H913" s="4">
        <f>CHOOSE( CONTROL!$C$32, 39.047, 39.0438) * CHOOSE(CONTROL!$C$15, $D$11, 100%, $F$11)</f>
        <v>39.046999999999997</v>
      </c>
      <c r="I913" s="8">
        <f>CHOOSE( CONTROL!$C$32, 37.581, 37.5779) * CHOOSE(CONTROL!$C$15, $D$11, 100%, $F$11)</f>
        <v>37.581000000000003</v>
      </c>
      <c r="J913" s="4">
        <f>CHOOSE( CONTROL!$C$32, 37.4682, 37.4651) * CHOOSE(CONTROL!$C$15, $D$11, 100%, $F$11)</f>
        <v>37.468200000000003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1.1791</v>
      </c>
      <c r="Q913" s="9">
        <v>19.053000000000001</v>
      </c>
      <c r="R913" s="9"/>
      <c r="S913" s="11"/>
    </row>
    <row r="914" spans="1:19" ht="15.75">
      <c r="A914" s="13">
        <v>69337</v>
      </c>
      <c r="B914" s="8">
        <f>40.5079 * CHOOSE(CONTROL!$C$15, $D$11, 100%, $F$11)</f>
        <v>40.507899999999999</v>
      </c>
      <c r="C914" s="8">
        <f>40.5133 * CHOOSE(CONTROL!$C$15, $D$11, 100%, $F$11)</f>
        <v>40.513300000000001</v>
      </c>
      <c r="D914" s="8">
        <f>40.5212 * CHOOSE( CONTROL!$C$15, $D$11, 100%, $F$11)</f>
        <v>40.5212</v>
      </c>
      <c r="E914" s="12">
        <f>40.518 * CHOOSE( CONTROL!$C$15, $D$11, 100%, $F$11)</f>
        <v>40.518000000000001</v>
      </c>
      <c r="F914" s="4">
        <f>41.1912 * CHOOSE(CONTROL!$C$15, $D$11, 100%, $F$11)</f>
        <v>41.191200000000002</v>
      </c>
      <c r="G914" s="8">
        <f>39.8059 * CHOOSE( CONTROL!$C$15, $D$11, 100%, $F$11)</f>
        <v>39.805900000000001</v>
      </c>
      <c r="H914" s="4">
        <f>40.737 * CHOOSE(CONTROL!$C$15, $D$11, 100%, $F$11)</f>
        <v>40.737000000000002</v>
      </c>
      <c r="I914" s="8">
        <f>39.2437 * CHOOSE(CONTROL!$C$15, $D$11, 100%, $F$11)</f>
        <v>39.243699999999997</v>
      </c>
      <c r="J914" s="4">
        <f>39.1295 * CHOOSE(CONTROL!$C$15, $D$11, 100%, $F$11)</f>
        <v>39.1295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1.2183999999999999</v>
      </c>
      <c r="Q914" s="9">
        <v>19.688099999999999</v>
      </c>
      <c r="R914" s="9"/>
      <c r="S914" s="11"/>
    </row>
    <row r="915" spans="1:19" ht="15.75">
      <c r="A915" s="13">
        <v>69367</v>
      </c>
      <c r="B915" s="8">
        <f>43.6854 * CHOOSE(CONTROL!$C$15, $D$11, 100%, $F$11)</f>
        <v>43.685400000000001</v>
      </c>
      <c r="C915" s="8">
        <f>43.6905 * CHOOSE(CONTROL!$C$15, $D$11, 100%, $F$11)</f>
        <v>43.6905</v>
      </c>
      <c r="D915" s="8">
        <f>43.668 * CHOOSE( CONTROL!$C$15, $D$11, 100%, $F$11)</f>
        <v>43.667999999999999</v>
      </c>
      <c r="E915" s="12">
        <f>43.6757 * CHOOSE( CONTROL!$C$15, $D$11, 100%, $F$11)</f>
        <v>43.675699999999999</v>
      </c>
      <c r="F915" s="4">
        <f>44.3303 * CHOOSE(CONTROL!$C$15, $D$11, 100%, $F$11)</f>
        <v>44.330300000000001</v>
      </c>
      <c r="G915" s="8">
        <f>42.9436 * CHOOSE( CONTROL!$C$15, $D$11, 100%, $F$11)</f>
        <v>42.943600000000004</v>
      </c>
      <c r="H915" s="4">
        <f>43.824 * CHOOSE(CONTROL!$C$15, $D$11, 100%, $F$11)</f>
        <v>43.823999999999998</v>
      </c>
      <c r="I915" s="8">
        <f>42.3429 * CHOOSE(CONTROL!$C$15, $D$11, 100%, $F$11)</f>
        <v>42.3429</v>
      </c>
      <c r="J915" s="4">
        <f>42.2015 * CHOOSE(CONTROL!$C$15, $D$11, 100%, $F$11)</f>
        <v>42.201500000000003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69398</v>
      </c>
      <c r="B916" s="8">
        <f>43.606 * CHOOSE(CONTROL!$C$15, $D$11, 100%, $F$11)</f>
        <v>43.606000000000002</v>
      </c>
      <c r="C916" s="8">
        <f>43.6111 * CHOOSE(CONTROL!$C$15, $D$11, 100%, $F$11)</f>
        <v>43.6111</v>
      </c>
      <c r="D916" s="8">
        <f>43.5901 * CHOOSE( CONTROL!$C$15, $D$11, 100%, $F$11)</f>
        <v>43.5901</v>
      </c>
      <c r="E916" s="12">
        <f>43.5972 * CHOOSE( CONTROL!$C$15, $D$11, 100%, $F$11)</f>
        <v>43.597200000000001</v>
      </c>
      <c r="F916" s="4">
        <f>44.2509 * CHOOSE(CONTROL!$C$15, $D$11, 100%, $F$11)</f>
        <v>44.250900000000001</v>
      </c>
      <c r="G916" s="8">
        <f>42.8666 * CHOOSE( CONTROL!$C$15, $D$11, 100%, $F$11)</f>
        <v>42.866599999999998</v>
      </c>
      <c r="H916" s="4">
        <f>43.7459 * CHOOSE(CONTROL!$C$15, $D$11, 100%, $F$11)</f>
        <v>43.745899999999999</v>
      </c>
      <c r="I916" s="8">
        <f>42.2707 * CHOOSE(CONTROL!$C$15, $D$11, 100%, $F$11)</f>
        <v>42.270699999999998</v>
      </c>
      <c r="J916" s="4">
        <f>42.1247 * CHOOSE(CONTROL!$C$15, $D$11, 100%, $F$11)</f>
        <v>42.124699999999997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69429</v>
      </c>
      <c r="B917" s="8">
        <f>45.2714 * CHOOSE(CONTROL!$C$15, $D$11, 100%, $F$11)</f>
        <v>45.2714</v>
      </c>
      <c r="C917" s="8">
        <f>45.2765 * CHOOSE(CONTROL!$C$15, $D$11, 100%, $F$11)</f>
        <v>45.276499999999999</v>
      </c>
      <c r="D917" s="8">
        <f>45.2545 * CHOOSE( CONTROL!$C$15, $D$11, 100%, $F$11)</f>
        <v>45.2545</v>
      </c>
      <c r="E917" s="12">
        <f>45.262 * CHOOSE( CONTROL!$C$15, $D$11, 100%, $F$11)</f>
        <v>45.262</v>
      </c>
      <c r="F917" s="4">
        <f>45.9163 * CHOOSE(CONTROL!$C$15, $D$11, 100%, $F$11)</f>
        <v>45.9163</v>
      </c>
      <c r="G917" s="8">
        <f>44.5018 * CHOOSE( CONTROL!$C$15, $D$11, 100%, $F$11)</f>
        <v>44.501800000000003</v>
      </c>
      <c r="H917" s="4">
        <f>45.3837 * CHOOSE(CONTROL!$C$15, $D$11, 100%, $F$11)</f>
        <v>45.383699999999997</v>
      </c>
      <c r="I917" s="8">
        <f>43.8533 * CHOOSE(CONTROL!$C$15, $D$11, 100%, $F$11)</f>
        <v>43.853299999999997</v>
      </c>
      <c r="J917" s="4">
        <f>43.7347 * CHOOSE(CONTROL!$C$15, $D$11, 100%, $F$11)</f>
        <v>43.734699999999997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69457</v>
      </c>
      <c r="B918" s="8">
        <f>42.3467 * CHOOSE(CONTROL!$C$15, $D$11, 100%, $F$11)</f>
        <v>42.346699999999998</v>
      </c>
      <c r="C918" s="8">
        <f>42.3518 * CHOOSE(CONTROL!$C$15, $D$11, 100%, $F$11)</f>
        <v>42.351799999999997</v>
      </c>
      <c r="D918" s="8">
        <f>42.3254 * CHOOSE( CONTROL!$C$15, $D$11, 100%, $F$11)</f>
        <v>42.325400000000002</v>
      </c>
      <c r="E918" s="12">
        <f>42.3345 * CHOOSE( CONTROL!$C$15, $D$11, 100%, $F$11)</f>
        <v>42.334499999999998</v>
      </c>
      <c r="F918" s="4">
        <f>42.9915 * CHOOSE(CONTROL!$C$15, $D$11, 100%, $F$11)</f>
        <v>42.991500000000002</v>
      </c>
      <c r="G918" s="8">
        <f>41.6171 * CHOOSE( CONTROL!$C$15, $D$11, 100%, $F$11)</f>
        <v>41.617100000000001</v>
      </c>
      <c r="H918" s="4">
        <f>42.5074 * CHOOSE(CONTROL!$C$15, $D$11, 100%, $F$11)</f>
        <v>42.507399999999997</v>
      </c>
      <c r="I918" s="8">
        <f>40.9955 * CHOOSE(CONTROL!$C$15, $D$11, 100%, $F$11)</f>
        <v>40.9955</v>
      </c>
      <c r="J918" s="4">
        <f>40.9073 * CHOOSE(CONTROL!$C$15, $D$11, 100%, $F$11)</f>
        <v>40.907299999999999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69488</v>
      </c>
      <c r="B919" s="8">
        <f>41.4458 * CHOOSE(CONTROL!$C$15, $D$11, 100%, $F$11)</f>
        <v>41.445799999999998</v>
      </c>
      <c r="C919" s="8">
        <f>41.451 * CHOOSE(CONTROL!$C$15, $D$11, 100%, $F$11)</f>
        <v>41.451000000000001</v>
      </c>
      <c r="D919" s="8">
        <f>41.425 * CHOOSE( CONTROL!$C$15, $D$11, 100%, $F$11)</f>
        <v>41.424999999999997</v>
      </c>
      <c r="E919" s="12">
        <f>41.434 * CHOOSE( CONTROL!$C$15, $D$11, 100%, $F$11)</f>
        <v>41.433999999999997</v>
      </c>
      <c r="F919" s="4">
        <f>42.0907 * CHOOSE(CONTROL!$C$15, $D$11, 100%, $F$11)</f>
        <v>42.090699999999998</v>
      </c>
      <c r="G919" s="8">
        <f>40.7315 * CHOOSE( CONTROL!$C$15, $D$11, 100%, $F$11)</f>
        <v>40.731499999999997</v>
      </c>
      <c r="H919" s="4">
        <f>41.6215 * CHOOSE(CONTROL!$C$15, $D$11, 100%, $F$11)</f>
        <v>41.621499999999997</v>
      </c>
      <c r="I919" s="8">
        <f>40.1255 * CHOOSE(CONTROL!$C$15, $D$11, 100%, $F$11)</f>
        <v>40.125500000000002</v>
      </c>
      <c r="J919" s="4">
        <f>40.0365 * CHOOSE(CONTROL!$C$15, $D$11, 100%, $F$11)</f>
        <v>40.036499999999997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69518</v>
      </c>
      <c r="B920" s="8">
        <f>42.0761 * CHOOSE(CONTROL!$C$15, $D$11, 100%, $F$11)</f>
        <v>42.076099999999997</v>
      </c>
      <c r="C920" s="8">
        <f>42.0806 * CHOOSE(CONTROL!$C$15, $D$11, 100%, $F$11)</f>
        <v>42.080599999999997</v>
      </c>
      <c r="D920" s="8">
        <f>42.0878 * CHOOSE( CONTROL!$C$15, $D$11, 100%, $F$11)</f>
        <v>42.087800000000001</v>
      </c>
      <c r="E920" s="12">
        <f>42.0849 * CHOOSE( CONTROL!$C$15, $D$11, 100%, $F$11)</f>
        <v>42.084899999999998</v>
      </c>
      <c r="F920" s="4">
        <f>42.759 * CHOOSE(CONTROL!$C$15, $D$11, 100%, $F$11)</f>
        <v>42.759</v>
      </c>
      <c r="G920" s="8">
        <f>41.3458 * CHOOSE( CONTROL!$C$15, $D$11, 100%, $F$11)</f>
        <v>41.345799999999997</v>
      </c>
      <c r="H920" s="4">
        <f>42.2787 * CHOOSE(CONTROL!$C$15, $D$11, 100%, $F$11)</f>
        <v>42.278700000000001</v>
      </c>
      <c r="I920" s="8">
        <f>40.7541 * CHOOSE(CONTROL!$C$15, $D$11, 100%, $F$11)</f>
        <v>40.754100000000001</v>
      </c>
      <c r="J920" s="4">
        <f>40.645 * CHOOSE(CONTROL!$C$15, $D$11, 100%, $F$11)</f>
        <v>40.645000000000003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1.1791</v>
      </c>
      <c r="Q920" s="9">
        <v>19.053000000000001</v>
      </c>
      <c r="R920" s="9"/>
      <c r="S920" s="11"/>
    </row>
    <row r="921" spans="1:19" ht="15.75">
      <c r="A921" s="13">
        <v>69549</v>
      </c>
      <c r="B921" s="8">
        <f>CHOOSE( CONTROL!$C$32, 43.201, 43.1978) * CHOOSE(CONTROL!$C$15, $D$11, 100%, $F$11)</f>
        <v>43.201000000000001</v>
      </c>
      <c r="C921" s="8">
        <f>CHOOSE( CONTROL!$C$32, 43.209, 43.2058) * CHOOSE(CONTROL!$C$15, $D$11, 100%, $F$11)</f>
        <v>43.209000000000003</v>
      </c>
      <c r="D921" s="8">
        <f>CHOOSE( CONTROL!$C$32, 43.2113, 43.2081) * CHOOSE( CONTROL!$C$15, $D$11, 100%, $F$11)</f>
        <v>43.211300000000001</v>
      </c>
      <c r="E921" s="12">
        <f>CHOOSE( CONTROL!$C$32, 43.2092, 43.206) * CHOOSE( CONTROL!$C$15, $D$11, 100%, $F$11)</f>
        <v>43.209200000000003</v>
      </c>
      <c r="F921" s="4">
        <f>CHOOSE( CONTROL!$C$32, 43.8825, 43.8793) * CHOOSE(CONTROL!$C$15, $D$11, 100%, $F$11)</f>
        <v>43.8825</v>
      </c>
      <c r="G921" s="8">
        <f>CHOOSE( CONTROL!$C$32, 42.4518, 42.4487) * CHOOSE( CONTROL!$C$15, $D$11, 100%, $F$11)</f>
        <v>42.451799999999999</v>
      </c>
      <c r="H921" s="4">
        <f>CHOOSE( CONTROL!$C$32, 43.3836, 43.3805) * CHOOSE(CONTROL!$C$15, $D$11, 100%, $F$11)</f>
        <v>43.383600000000001</v>
      </c>
      <c r="I921" s="8">
        <f>CHOOSE( CONTROL!$C$32, 41.8423, 41.8392) * CHOOSE(CONTROL!$C$15, $D$11, 100%, $F$11)</f>
        <v>41.842300000000002</v>
      </c>
      <c r="J921" s="4">
        <f>CHOOSE( CONTROL!$C$32, 41.7311, 41.728) * CHOOSE(CONTROL!$C$15, $D$11, 100%, $F$11)</f>
        <v>41.731099999999998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1.2183999999999999</v>
      </c>
      <c r="Q921" s="9">
        <v>19.688099999999999</v>
      </c>
      <c r="R921" s="9"/>
      <c r="S921" s="11"/>
    </row>
    <row r="922" spans="1:19" ht="15.75">
      <c r="A922" s="13">
        <v>69579</v>
      </c>
      <c r="B922" s="8">
        <f>CHOOSE( CONTROL!$C$32, 42.507, 42.5038) * CHOOSE(CONTROL!$C$15, $D$11, 100%, $F$11)</f>
        <v>42.506999999999998</v>
      </c>
      <c r="C922" s="8">
        <f>CHOOSE( CONTROL!$C$32, 42.515, 42.5118) * CHOOSE(CONTROL!$C$15, $D$11, 100%, $F$11)</f>
        <v>42.515000000000001</v>
      </c>
      <c r="D922" s="8">
        <f>CHOOSE( CONTROL!$C$32, 42.5176, 42.5144) * CHOOSE( CONTROL!$C$15, $D$11, 100%, $F$11)</f>
        <v>42.517600000000002</v>
      </c>
      <c r="E922" s="12">
        <f>CHOOSE( CONTROL!$C$32, 42.5154, 42.5122) * CHOOSE( CONTROL!$C$15, $D$11, 100%, $F$11)</f>
        <v>42.5154</v>
      </c>
      <c r="F922" s="4">
        <f>CHOOSE( CONTROL!$C$32, 43.1885, 43.1853) * CHOOSE(CONTROL!$C$15, $D$11, 100%, $F$11)</f>
        <v>43.188499999999998</v>
      </c>
      <c r="G922" s="8">
        <f>CHOOSE( CONTROL!$C$32, 41.7698, 41.7666) * CHOOSE( CONTROL!$C$15, $D$11, 100%, $F$11)</f>
        <v>41.769799999999996</v>
      </c>
      <c r="H922" s="4">
        <f>CHOOSE( CONTROL!$C$32, 42.7011, 42.698) * CHOOSE(CONTROL!$C$15, $D$11, 100%, $F$11)</f>
        <v>42.701099999999997</v>
      </c>
      <c r="I922" s="8">
        <f>CHOOSE( CONTROL!$C$32, 41.1725, 41.1694) * CHOOSE(CONTROL!$C$15, $D$11, 100%, $F$11)</f>
        <v>41.172499999999999</v>
      </c>
      <c r="J922" s="4">
        <f>CHOOSE( CONTROL!$C$32, 41.0602, 41.0572) * CHOOSE(CONTROL!$C$15, $D$11, 100%, $F$11)</f>
        <v>41.060200000000002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1.1791</v>
      </c>
      <c r="Q922" s="9">
        <v>19.053000000000001</v>
      </c>
      <c r="R922" s="9"/>
      <c r="S922" s="11"/>
    </row>
    <row r="923" spans="1:19" ht="15.75">
      <c r="A923" s="13">
        <v>69610</v>
      </c>
      <c r="B923" s="8">
        <f>CHOOSE( CONTROL!$C$32, 44.3345, 44.3313) * CHOOSE(CONTROL!$C$15, $D$11, 100%, $F$11)</f>
        <v>44.334499999999998</v>
      </c>
      <c r="C923" s="8">
        <f>CHOOSE( CONTROL!$C$32, 44.3425, 44.3393) * CHOOSE(CONTROL!$C$15, $D$11, 100%, $F$11)</f>
        <v>44.342500000000001</v>
      </c>
      <c r="D923" s="8">
        <f>CHOOSE( CONTROL!$C$32, 44.3455, 44.3423) * CHOOSE( CONTROL!$C$15, $D$11, 100%, $F$11)</f>
        <v>44.345500000000001</v>
      </c>
      <c r="E923" s="12">
        <f>CHOOSE( CONTROL!$C$32, 44.3432, 44.34) * CHOOSE( CONTROL!$C$15, $D$11, 100%, $F$11)</f>
        <v>44.343200000000003</v>
      </c>
      <c r="F923" s="4">
        <f>CHOOSE( CONTROL!$C$32, 45.0161, 45.0129) * CHOOSE(CONTROL!$C$15, $D$11, 100%, $F$11)</f>
        <v>45.016100000000002</v>
      </c>
      <c r="G923" s="8">
        <f>CHOOSE( CONTROL!$C$32, 43.5675, 43.5643) * CHOOSE( CONTROL!$C$15, $D$11, 100%, $F$11)</f>
        <v>43.567500000000003</v>
      </c>
      <c r="H923" s="4">
        <f>CHOOSE( CONTROL!$C$32, 44.4984, 44.4952) * CHOOSE(CONTROL!$C$15, $D$11, 100%, $F$11)</f>
        <v>44.498399999999997</v>
      </c>
      <c r="I923" s="8">
        <f>CHOOSE( CONTROL!$C$32, 42.9415, 42.9384) * CHOOSE(CONTROL!$C$15, $D$11, 100%, $F$11)</f>
        <v>42.941499999999998</v>
      </c>
      <c r="J923" s="4">
        <f>CHOOSE( CONTROL!$C$32, 42.8269, 42.8239) * CHOOSE(CONTROL!$C$15, $D$11, 100%, $F$11)</f>
        <v>42.826900000000002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69641</v>
      </c>
      <c r="B924" s="8">
        <f>CHOOSE( CONTROL!$C$32, 40.915, 40.9118) * CHOOSE(CONTROL!$C$15, $D$11, 100%, $F$11)</f>
        <v>40.914999999999999</v>
      </c>
      <c r="C924" s="8">
        <f>CHOOSE( CONTROL!$C$32, 40.923, 40.9198) * CHOOSE(CONTROL!$C$15, $D$11, 100%, $F$11)</f>
        <v>40.923000000000002</v>
      </c>
      <c r="D924" s="8">
        <f>CHOOSE( CONTROL!$C$32, 40.9261, 40.9229) * CHOOSE( CONTROL!$C$15, $D$11, 100%, $F$11)</f>
        <v>40.926099999999998</v>
      </c>
      <c r="E924" s="12">
        <f>CHOOSE( CONTROL!$C$32, 40.9238, 40.9206) * CHOOSE( CONTROL!$C$15, $D$11, 100%, $F$11)</f>
        <v>40.9238</v>
      </c>
      <c r="F924" s="4">
        <f>CHOOSE( CONTROL!$C$32, 41.5965, 41.5933) * CHOOSE(CONTROL!$C$15, $D$11, 100%, $F$11)</f>
        <v>41.596499999999999</v>
      </c>
      <c r="G924" s="8">
        <f>CHOOSE( CONTROL!$C$32, 40.2049, 40.2017) * CHOOSE( CONTROL!$C$15, $D$11, 100%, $F$11)</f>
        <v>40.204900000000002</v>
      </c>
      <c r="H924" s="4">
        <f>CHOOSE( CONTROL!$C$32, 41.1355, 41.1324) * CHOOSE(CONTROL!$C$15, $D$11, 100%, $F$11)</f>
        <v>41.1355</v>
      </c>
      <c r="I924" s="8">
        <f>CHOOSE( CONTROL!$C$32, 39.635, 39.6319) * CHOOSE(CONTROL!$C$15, $D$11, 100%, $F$11)</f>
        <v>39.634999999999998</v>
      </c>
      <c r="J924" s="4">
        <f>CHOOSE( CONTROL!$C$32, 39.5213, 39.5182) * CHOOSE(CONTROL!$C$15, $D$11, 100%, $F$11)</f>
        <v>39.521299999999997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1.2183999999999999</v>
      </c>
      <c r="Q924" s="9">
        <v>19.688099999999999</v>
      </c>
      <c r="R924" s="9"/>
      <c r="S924" s="11"/>
    </row>
    <row r="925" spans="1:19" ht="15.75">
      <c r="A925" s="13">
        <v>69671</v>
      </c>
      <c r="B925" s="8">
        <f>CHOOSE( CONTROL!$C$32, 40.0587, 40.0555) * CHOOSE(CONTROL!$C$15, $D$11, 100%, $F$11)</f>
        <v>40.058700000000002</v>
      </c>
      <c r="C925" s="8">
        <f>CHOOSE( CONTROL!$C$32, 40.0667, 40.0635) * CHOOSE(CONTROL!$C$15, $D$11, 100%, $F$11)</f>
        <v>40.066699999999997</v>
      </c>
      <c r="D925" s="8">
        <f>CHOOSE( CONTROL!$C$32, 40.0698, 40.0666) * CHOOSE( CONTROL!$C$15, $D$11, 100%, $F$11)</f>
        <v>40.069800000000001</v>
      </c>
      <c r="E925" s="12">
        <f>CHOOSE( CONTROL!$C$32, 40.0675, 40.0643) * CHOOSE( CONTROL!$C$15, $D$11, 100%, $F$11)</f>
        <v>40.067500000000003</v>
      </c>
      <c r="F925" s="4">
        <f>CHOOSE( CONTROL!$C$32, 40.7402, 40.737) * CHOOSE(CONTROL!$C$15, $D$11, 100%, $F$11)</f>
        <v>40.740200000000002</v>
      </c>
      <c r="G925" s="8">
        <f>CHOOSE( CONTROL!$C$32, 39.3628, 39.3597) * CHOOSE( CONTROL!$C$15, $D$11, 100%, $F$11)</f>
        <v>39.3628</v>
      </c>
      <c r="H925" s="4">
        <f>CHOOSE( CONTROL!$C$32, 40.2934, 40.2903) * CHOOSE(CONTROL!$C$15, $D$11, 100%, $F$11)</f>
        <v>40.293399999999998</v>
      </c>
      <c r="I925" s="8">
        <f>CHOOSE( CONTROL!$C$32, 38.8069, 38.8038) * CHOOSE(CONTROL!$C$15, $D$11, 100%, $F$11)</f>
        <v>38.806899999999999</v>
      </c>
      <c r="J925" s="4">
        <f>CHOOSE( CONTROL!$C$32, 38.6935, 38.6904) * CHOOSE(CONTROL!$C$15, $D$11, 100%, $F$11)</f>
        <v>38.6935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1.1791</v>
      </c>
      <c r="Q925" s="9">
        <v>19.053000000000001</v>
      </c>
      <c r="R925" s="9"/>
      <c r="S925" s="11"/>
    </row>
    <row r="926" spans="1:19" ht="15.75">
      <c r="A926" s="13">
        <v>69702</v>
      </c>
      <c r="B926" s="8">
        <f>41.8317 * CHOOSE(CONTROL!$C$15, $D$11, 100%, $F$11)</f>
        <v>41.831699999999998</v>
      </c>
      <c r="C926" s="8">
        <f>41.8371 * CHOOSE(CONTROL!$C$15, $D$11, 100%, $F$11)</f>
        <v>41.8371</v>
      </c>
      <c r="D926" s="8">
        <f>41.845 * CHOOSE( CONTROL!$C$15, $D$11, 100%, $F$11)</f>
        <v>41.844999999999999</v>
      </c>
      <c r="E926" s="12">
        <f>41.8418 * CHOOSE( CONTROL!$C$15, $D$11, 100%, $F$11)</f>
        <v>41.841799999999999</v>
      </c>
      <c r="F926" s="4">
        <f>42.515 * CHOOSE(CONTROL!$C$15, $D$11, 100%, $F$11)</f>
        <v>42.515000000000001</v>
      </c>
      <c r="G926" s="8">
        <f>41.1077 * CHOOSE( CONTROL!$C$15, $D$11, 100%, $F$11)</f>
        <v>41.107700000000001</v>
      </c>
      <c r="H926" s="4">
        <f>42.0388 * CHOOSE(CONTROL!$C$15, $D$11, 100%, $F$11)</f>
        <v>42.038800000000002</v>
      </c>
      <c r="I926" s="8">
        <f>40.524 * CHOOSE(CONTROL!$C$15, $D$11, 100%, $F$11)</f>
        <v>40.524000000000001</v>
      </c>
      <c r="J926" s="4">
        <f>40.4091 * CHOOSE(CONTROL!$C$15, $D$11, 100%, $F$11)</f>
        <v>40.409100000000002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1.2183999999999999</v>
      </c>
      <c r="Q926" s="9">
        <v>19.688099999999999</v>
      </c>
      <c r="R926" s="9"/>
      <c r="S926" s="11"/>
    </row>
    <row r="927" spans="1:19" ht="15.75">
      <c r="A927" s="13">
        <v>69732</v>
      </c>
      <c r="B927" s="8">
        <f>45.1131 * CHOOSE(CONTROL!$C$15, $D$11, 100%, $F$11)</f>
        <v>45.113100000000003</v>
      </c>
      <c r="C927" s="8">
        <f>45.1182 * CHOOSE(CONTROL!$C$15, $D$11, 100%, $F$11)</f>
        <v>45.118200000000002</v>
      </c>
      <c r="D927" s="8">
        <f>45.0957 * CHOOSE( CONTROL!$C$15, $D$11, 100%, $F$11)</f>
        <v>45.095700000000001</v>
      </c>
      <c r="E927" s="12">
        <f>45.1034 * CHOOSE( CONTROL!$C$15, $D$11, 100%, $F$11)</f>
        <v>45.103400000000001</v>
      </c>
      <c r="F927" s="4">
        <f>45.758 * CHOOSE(CONTROL!$C$15, $D$11, 100%, $F$11)</f>
        <v>45.758000000000003</v>
      </c>
      <c r="G927" s="8">
        <f>44.3476 * CHOOSE( CONTROL!$C$15, $D$11, 100%, $F$11)</f>
        <v>44.3476</v>
      </c>
      <c r="H927" s="4">
        <f>45.228 * CHOOSE(CONTROL!$C$15, $D$11, 100%, $F$11)</f>
        <v>45.228000000000002</v>
      </c>
      <c r="I927" s="8">
        <f>43.7237 * CHOOSE(CONTROL!$C$15, $D$11, 100%, $F$11)</f>
        <v>43.723700000000001</v>
      </c>
      <c r="J927" s="4">
        <f>43.5816 * CHOOSE(CONTROL!$C$15, $D$11, 100%, $F$11)</f>
        <v>43.581600000000002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69763</v>
      </c>
      <c r="B928" s="8">
        <f>45.0311 * CHOOSE(CONTROL!$C$15, $D$11, 100%, $F$11)</f>
        <v>45.031100000000002</v>
      </c>
      <c r="C928" s="8">
        <f>45.0362 * CHOOSE(CONTROL!$C$15, $D$11, 100%, $F$11)</f>
        <v>45.036200000000001</v>
      </c>
      <c r="D928" s="8">
        <f>45.0151 * CHOOSE( CONTROL!$C$15, $D$11, 100%, $F$11)</f>
        <v>45.015099999999997</v>
      </c>
      <c r="E928" s="12">
        <f>45.0223 * CHOOSE( CONTROL!$C$15, $D$11, 100%, $F$11)</f>
        <v>45.022300000000001</v>
      </c>
      <c r="F928" s="4">
        <f>45.676 * CHOOSE(CONTROL!$C$15, $D$11, 100%, $F$11)</f>
        <v>45.676000000000002</v>
      </c>
      <c r="G928" s="8">
        <f>44.268 * CHOOSE( CONTROL!$C$15, $D$11, 100%, $F$11)</f>
        <v>44.268000000000001</v>
      </c>
      <c r="H928" s="4">
        <f>45.1473 * CHOOSE(CONTROL!$C$15, $D$11, 100%, $F$11)</f>
        <v>45.147300000000001</v>
      </c>
      <c r="I928" s="8">
        <f>43.6491 * CHOOSE(CONTROL!$C$15, $D$11, 100%, $F$11)</f>
        <v>43.649099999999997</v>
      </c>
      <c r="J928" s="4">
        <f>43.5024 * CHOOSE(CONTROL!$C$15, $D$11, 100%, $F$11)</f>
        <v>43.502400000000002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69794</v>
      </c>
      <c r="B929" s="8">
        <f>46.751 * CHOOSE(CONTROL!$C$15, $D$11, 100%, $F$11)</f>
        <v>46.750999999999998</v>
      </c>
      <c r="C929" s="8">
        <f>46.7561 * CHOOSE(CONTROL!$C$15, $D$11, 100%, $F$11)</f>
        <v>46.756100000000004</v>
      </c>
      <c r="D929" s="8">
        <f>46.7341 * CHOOSE( CONTROL!$C$15, $D$11, 100%, $F$11)</f>
        <v>46.734099999999998</v>
      </c>
      <c r="E929" s="12">
        <f>46.7416 * CHOOSE( CONTROL!$C$15, $D$11, 100%, $F$11)</f>
        <v>46.741599999999998</v>
      </c>
      <c r="F929" s="4">
        <f>47.3959 * CHOOSE(CONTROL!$C$15, $D$11, 100%, $F$11)</f>
        <v>47.395899999999997</v>
      </c>
      <c r="G929" s="8">
        <f>45.9568 * CHOOSE( CONTROL!$C$15, $D$11, 100%, $F$11)</f>
        <v>45.956800000000001</v>
      </c>
      <c r="H929" s="4">
        <f>46.8387 * CHOOSE(CONTROL!$C$15, $D$11, 100%, $F$11)</f>
        <v>46.838700000000003</v>
      </c>
      <c r="I929" s="8">
        <f>45.2843 * CHOOSE(CONTROL!$C$15, $D$11, 100%, $F$11)</f>
        <v>45.284300000000002</v>
      </c>
      <c r="J929" s="4">
        <f>45.165 * CHOOSE(CONTROL!$C$15, $D$11, 100%, $F$11)</f>
        <v>45.164999999999999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69822</v>
      </c>
      <c r="B930" s="8">
        <f>43.7306 * CHOOSE(CONTROL!$C$15, $D$11, 100%, $F$11)</f>
        <v>43.730600000000003</v>
      </c>
      <c r="C930" s="8">
        <f>43.7357 * CHOOSE(CONTROL!$C$15, $D$11, 100%, $F$11)</f>
        <v>43.735700000000001</v>
      </c>
      <c r="D930" s="8">
        <f>43.7093 * CHOOSE( CONTROL!$C$15, $D$11, 100%, $F$11)</f>
        <v>43.709299999999999</v>
      </c>
      <c r="E930" s="12">
        <f>43.7184 * CHOOSE( CONTROL!$C$15, $D$11, 100%, $F$11)</f>
        <v>43.718400000000003</v>
      </c>
      <c r="F930" s="4">
        <f>44.3754 * CHOOSE(CONTROL!$C$15, $D$11, 100%, $F$11)</f>
        <v>44.375399999999999</v>
      </c>
      <c r="G930" s="8">
        <f>42.978 * CHOOSE( CONTROL!$C$15, $D$11, 100%, $F$11)</f>
        <v>42.978000000000002</v>
      </c>
      <c r="H930" s="4">
        <f>43.8684 * CHOOSE(CONTROL!$C$15, $D$11, 100%, $F$11)</f>
        <v>43.868400000000001</v>
      </c>
      <c r="I930" s="8">
        <f>42.334 * CHOOSE(CONTROL!$C$15, $D$11, 100%, $F$11)</f>
        <v>42.334000000000003</v>
      </c>
      <c r="J930" s="4">
        <f>42.2452 * CHOOSE(CONTROL!$C$15, $D$11, 100%, $F$11)</f>
        <v>42.245199999999997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69853</v>
      </c>
      <c r="B931" s="8">
        <f>42.8003 * CHOOSE(CONTROL!$C$15, $D$11, 100%, $F$11)</f>
        <v>42.8003</v>
      </c>
      <c r="C931" s="8">
        <f>42.8054 * CHOOSE(CONTROL!$C$15, $D$11, 100%, $F$11)</f>
        <v>42.805399999999999</v>
      </c>
      <c r="D931" s="8">
        <f>42.7794 * CHOOSE( CONTROL!$C$15, $D$11, 100%, $F$11)</f>
        <v>42.779400000000003</v>
      </c>
      <c r="E931" s="12">
        <f>42.7884 * CHOOSE( CONTROL!$C$15, $D$11, 100%, $F$11)</f>
        <v>42.788400000000003</v>
      </c>
      <c r="F931" s="4">
        <f>43.4452 * CHOOSE(CONTROL!$C$15, $D$11, 100%, $F$11)</f>
        <v>43.4452</v>
      </c>
      <c r="G931" s="8">
        <f>42.0635 * CHOOSE( CONTROL!$C$15, $D$11, 100%, $F$11)</f>
        <v>42.063499999999998</v>
      </c>
      <c r="H931" s="4">
        <f>42.9535 * CHOOSE(CONTROL!$C$15, $D$11, 100%, $F$11)</f>
        <v>42.953499999999998</v>
      </c>
      <c r="I931" s="8">
        <f>41.4355 * CHOOSE(CONTROL!$C$15, $D$11, 100%, $F$11)</f>
        <v>41.435499999999998</v>
      </c>
      <c r="J931" s="4">
        <f>41.3459 * CHOOSE(CONTROL!$C$15, $D$11, 100%, $F$11)</f>
        <v>41.3459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69883</v>
      </c>
      <c r="B932" s="8">
        <f>43.4511 * CHOOSE(CONTROL!$C$15, $D$11, 100%, $F$11)</f>
        <v>43.451099999999997</v>
      </c>
      <c r="C932" s="8">
        <f>43.4557 * CHOOSE(CONTROL!$C$15, $D$11, 100%, $F$11)</f>
        <v>43.4557</v>
      </c>
      <c r="D932" s="8">
        <f>43.4628 * CHOOSE( CONTROL!$C$15, $D$11, 100%, $F$11)</f>
        <v>43.462800000000001</v>
      </c>
      <c r="E932" s="12">
        <f>43.4599 * CHOOSE( CONTROL!$C$15, $D$11, 100%, $F$11)</f>
        <v>43.459899999999998</v>
      </c>
      <c r="F932" s="4">
        <f>44.134 * CHOOSE(CONTROL!$C$15, $D$11, 100%, $F$11)</f>
        <v>44.134</v>
      </c>
      <c r="G932" s="8">
        <f>42.698 * CHOOSE( CONTROL!$C$15, $D$11, 100%, $F$11)</f>
        <v>42.698</v>
      </c>
      <c r="H932" s="4">
        <f>43.631 * CHOOSE(CONTROL!$C$15, $D$11, 100%, $F$11)</f>
        <v>43.631</v>
      </c>
      <c r="I932" s="8">
        <f>42.084 * CHOOSE(CONTROL!$C$15, $D$11, 100%, $F$11)</f>
        <v>42.084000000000003</v>
      </c>
      <c r="J932" s="4">
        <f>41.9743 * CHOOSE(CONTROL!$C$15, $D$11, 100%, $F$11)</f>
        <v>41.974299999999999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1.1791</v>
      </c>
      <c r="Q932" s="9">
        <v>19.053000000000001</v>
      </c>
      <c r="R932" s="9"/>
      <c r="S932" s="11"/>
    </row>
    <row r="933" spans="1:19" ht="15.75">
      <c r="A933" s="13">
        <v>69914</v>
      </c>
      <c r="B933" s="8">
        <f>CHOOSE( CONTROL!$C$32, 44.6126, 44.6094) * CHOOSE(CONTROL!$C$15, $D$11, 100%, $F$11)</f>
        <v>44.6126</v>
      </c>
      <c r="C933" s="8">
        <f>CHOOSE( CONTROL!$C$32, 44.6206, 44.6174) * CHOOSE(CONTROL!$C$15, $D$11, 100%, $F$11)</f>
        <v>44.620600000000003</v>
      </c>
      <c r="D933" s="8">
        <f>CHOOSE( CONTROL!$C$32, 44.623, 44.6198) * CHOOSE( CONTROL!$C$15, $D$11, 100%, $F$11)</f>
        <v>44.622999999999998</v>
      </c>
      <c r="E933" s="12">
        <f>CHOOSE( CONTROL!$C$32, 44.6209, 44.6177) * CHOOSE( CONTROL!$C$15, $D$11, 100%, $F$11)</f>
        <v>44.620899999999999</v>
      </c>
      <c r="F933" s="4">
        <f>CHOOSE( CONTROL!$C$32, 45.2942, 45.291) * CHOOSE(CONTROL!$C$15, $D$11, 100%, $F$11)</f>
        <v>45.294199999999996</v>
      </c>
      <c r="G933" s="8">
        <f>CHOOSE( CONTROL!$C$32, 43.8401, 43.8369) * CHOOSE( CONTROL!$C$15, $D$11, 100%, $F$11)</f>
        <v>43.8401</v>
      </c>
      <c r="H933" s="4">
        <f>CHOOSE( CONTROL!$C$32, 44.7719, 44.7687) * CHOOSE(CONTROL!$C$15, $D$11, 100%, $F$11)</f>
        <v>44.771900000000002</v>
      </c>
      <c r="I933" s="8">
        <f>CHOOSE( CONTROL!$C$32, 43.2076, 43.2046) * CHOOSE(CONTROL!$C$15, $D$11, 100%, $F$11)</f>
        <v>43.207599999999999</v>
      </c>
      <c r="J933" s="4">
        <f>CHOOSE( CONTROL!$C$32, 43.0958, 43.0927) * CHOOSE(CONTROL!$C$15, $D$11, 100%, $F$11)</f>
        <v>43.095799999999997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1.2183999999999999</v>
      </c>
      <c r="Q933" s="9">
        <v>19.688099999999999</v>
      </c>
      <c r="R933" s="9"/>
      <c r="S933" s="11"/>
    </row>
    <row r="934" spans="1:19" ht="15.75">
      <c r="A934" s="13">
        <v>69944</v>
      </c>
      <c r="B934" s="8">
        <f>CHOOSE( CONTROL!$C$32, 43.8959, 43.8927) * CHOOSE(CONTROL!$C$15, $D$11, 100%, $F$11)</f>
        <v>43.895899999999997</v>
      </c>
      <c r="C934" s="8">
        <f>CHOOSE( CONTROL!$C$32, 43.9039, 43.9007) * CHOOSE(CONTROL!$C$15, $D$11, 100%, $F$11)</f>
        <v>43.9039</v>
      </c>
      <c r="D934" s="8">
        <f>CHOOSE( CONTROL!$C$32, 43.9066, 43.9034) * CHOOSE( CONTROL!$C$15, $D$11, 100%, $F$11)</f>
        <v>43.906599999999997</v>
      </c>
      <c r="E934" s="12">
        <f>CHOOSE( CONTROL!$C$32, 43.9044, 43.9012) * CHOOSE( CONTROL!$C$15, $D$11, 100%, $F$11)</f>
        <v>43.904400000000003</v>
      </c>
      <c r="F934" s="4">
        <f>CHOOSE( CONTROL!$C$32, 44.5775, 44.5743) * CHOOSE(CONTROL!$C$15, $D$11, 100%, $F$11)</f>
        <v>44.577500000000001</v>
      </c>
      <c r="G934" s="8">
        <f>CHOOSE( CONTROL!$C$32, 43.1357, 43.1326) * CHOOSE( CONTROL!$C$15, $D$11, 100%, $F$11)</f>
        <v>43.1357</v>
      </c>
      <c r="H934" s="4">
        <f>CHOOSE( CONTROL!$C$32, 44.0671, 44.0639) * CHOOSE(CONTROL!$C$15, $D$11, 100%, $F$11)</f>
        <v>44.067100000000003</v>
      </c>
      <c r="I934" s="8">
        <f>CHOOSE( CONTROL!$C$32, 42.5159, 42.5128) * CHOOSE(CONTROL!$C$15, $D$11, 100%, $F$11)</f>
        <v>42.515900000000002</v>
      </c>
      <c r="J934" s="4">
        <f>CHOOSE( CONTROL!$C$32, 42.403, 42.3999) * CHOOSE(CONTROL!$C$15, $D$11, 100%, $F$11)</f>
        <v>42.402999999999999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1.1791</v>
      </c>
      <c r="Q934" s="9">
        <v>19.053000000000001</v>
      </c>
      <c r="R934" s="9"/>
      <c r="S934" s="11"/>
    </row>
    <row r="935" spans="1:19" ht="15.75">
      <c r="A935" s="13">
        <v>69975</v>
      </c>
      <c r="B935" s="8">
        <f>CHOOSE( CONTROL!$C$32, 45.7833, 45.7801) * CHOOSE(CONTROL!$C$15, $D$11, 100%, $F$11)</f>
        <v>45.783299999999997</v>
      </c>
      <c r="C935" s="8">
        <f>CHOOSE( CONTROL!$C$32, 45.7913, 45.7881) * CHOOSE(CONTROL!$C$15, $D$11, 100%, $F$11)</f>
        <v>45.7913</v>
      </c>
      <c r="D935" s="8">
        <f>CHOOSE( CONTROL!$C$32, 45.7942, 45.791) * CHOOSE( CONTROL!$C$15, $D$11, 100%, $F$11)</f>
        <v>45.794199999999996</v>
      </c>
      <c r="E935" s="12">
        <f>CHOOSE( CONTROL!$C$32, 45.7919, 45.7887) * CHOOSE( CONTROL!$C$15, $D$11, 100%, $F$11)</f>
        <v>45.791899999999998</v>
      </c>
      <c r="F935" s="4">
        <f>CHOOSE( CONTROL!$C$32, 46.4648, 46.4616) * CHOOSE(CONTROL!$C$15, $D$11, 100%, $F$11)</f>
        <v>46.464799999999997</v>
      </c>
      <c r="G935" s="8">
        <f>CHOOSE( CONTROL!$C$32, 44.9922, 44.989) * CHOOSE( CONTROL!$C$15, $D$11, 100%, $F$11)</f>
        <v>44.992199999999997</v>
      </c>
      <c r="H935" s="4">
        <f>CHOOSE( CONTROL!$C$32, 45.9231, 45.92) * CHOOSE(CONTROL!$C$15, $D$11, 100%, $F$11)</f>
        <v>45.923099999999998</v>
      </c>
      <c r="I935" s="8">
        <f>CHOOSE( CONTROL!$C$32, 44.3427, 44.3396) * CHOOSE(CONTROL!$C$15, $D$11, 100%, $F$11)</f>
        <v>44.342700000000001</v>
      </c>
      <c r="J935" s="4">
        <f>CHOOSE( CONTROL!$C$32, 44.2274, 44.2244) * CHOOSE(CONTROL!$C$15, $D$11, 100%, $F$11)</f>
        <v>44.227400000000003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70006</v>
      </c>
      <c r="B936" s="8">
        <f>CHOOSE( CONTROL!$C$32, 42.2519, 42.2487) * CHOOSE(CONTROL!$C$15, $D$11, 100%, $F$11)</f>
        <v>42.251899999999999</v>
      </c>
      <c r="C936" s="8">
        <f>CHOOSE( CONTROL!$C$32, 42.2599, 42.2567) * CHOOSE(CONTROL!$C$15, $D$11, 100%, $F$11)</f>
        <v>42.259900000000002</v>
      </c>
      <c r="D936" s="8">
        <f>CHOOSE( CONTROL!$C$32, 42.263, 42.2598) * CHOOSE( CONTROL!$C$15, $D$11, 100%, $F$11)</f>
        <v>42.262999999999998</v>
      </c>
      <c r="E936" s="12">
        <f>CHOOSE( CONTROL!$C$32, 42.2607, 42.2575) * CHOOSE( CONTROL!$C$15, $D$11, 100%, $F$11)</f>
        <v>42.2607</v>
      </c>
      <c r="F936" s="4">
        <f>CHOOSE( CONTROL!$C$32, 42.9334, 42.9302) * CHOOSE(CONTROL!$C$15, $D$11, 100%, $F$11)</f>
        <v>42.933399999999999</v>
      </c>
      <c r="G936" s="8">
        <f>CHOOSE( CONTROL!$C$32, 41.5196, 41.5165) * CHOOSE( CONTROL!$C$15, $D$11, 100%, $F$11)</f>
        <v>41.519599999999997</v>
      </c>
      <c r="H936" s="4">
        <f>CHOOSE( CONTROL!$C$32, 42.4503, 42.4471) * CHOOSE(CONTROL!$C$15, $D$11, 100%, $F$11)</f>
        <v>42.450299999999999</v>
      </c>
      <c r="I936" s="8">
        <f>CHOOSE( CONTROL!$C$32, 40.928, 40.9249) * CHOOSE(CONTROL!$C$15, $D$11, 100%, $F$11)</f>
        <v>40.927999999999997</v>
      </c>
      <c r="J936" s="4">
        <f>CHOOSE( CONTROL!$C$32, 40.8136, 40.8106) * CHOOSE(CONTROL!$C$15, $D$11, 100%, $F$11)</f>
        <v>40.813600000000001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1.2183999999999999</v>
      </c>
      <c r="Q936" s="9">
        <v>19.688099999999999</v>
      </c>
      <c r="R936" s="9"/>
      <c r="S936" s="11"/>
    </row>
    <row r="937" spans="1:19" ht="15.75">
      <c r="A937" s="13">
        <v>70036</v>
      </c>
      <c r="B937" s="8">
        <f>CHOOSE( CONTROL!$C$32, 41.3676, 41.3644) * CHOOSE(CONTROL!$C$15, $D$11, 100%, $F$11)</f>
        <v>41.367600000000003</v>
      </c>
      <c r="C937" s="8">
        <f>CHOOSE( CONTROL!$C$32, 41.3756, 41.3724) * CHOOSE(CONTROL!$C$15, $D$11, 100%, $F$11)</f>
        <v>41.375599999999999</v>
      </c>
      <c r="D937" s="8">
        <f>CHOOSE( CONTROL!$C$32, 41.3787, 41.3755) * CHOOSE( CONTROL!$C$15, $D$11, 100%, $F$11)</f>
        <v>41.378700000000002</v>
      </c>
      <c r="E937" s="12">
        <f>CHOOSE( CONTROL!$C$32, 41.3764, 41.3732) * CHOOSE( CONTROL!$C$15, $D$11, 100%, $F$11)</f>
        <v>41.376399999999997</v>
      </c>
      <c r="F937" s="4">
        <f>CHOOSE( CONTROL!$C$32, 42.0491, 42.0459) * CHOOSE(CONTROL!$C$15, $D$11, 100%, $F$11)</f>
        <v>42.049100000000003</v>
      </c>
      <c r="G937" s="8">
        <f>CHOOSE( CONTROL!$C$32, 40.65, 40.6469) * CHOOSE( CONTROL!$C$15, $D$11, 100%, $F$11)</f>
        <v>40.65</v>
      </c>
      <c r="H937" s="4">
        <f>CHOOSE( CONTROL!$C$32, 41.5806, 41.5775) * CHOOSE(CONTROL!$C$15, $D$11, 100%, $F$11)</f>
        <v>41.580599999999997</v>
      </c>
      <c r="I937" s="8">
        <f>CHOOSE( CONTROL!$C$32, 40.0729, 40.0698) * CHOOSE(CONTROL!$C$15, $D$11, 100%, $F$11)</f>
        <v>40.072899999999997</v>
      </c>
      <c r="J937" s="4">
        <f>CHOOSE( CONTROL!$C$32, 39.9588, 39.9557) * CHOOSE(CONTROL!$C$15, $D$11, 100%, $F$11)</f>
        <v>39.958799999999997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1.1791</v>
      </c>
      <c r="Q937" s="9">
        <v>19.053000000000001</v>
      </c>
      <c r="R937" s="9"/>
      <c r="S937" s="11"/>
    </row>
    <row r="938" spans="1:19" ht="15.75">
      <c r="A938" s="13">
        <v>70067</v>
      </c>
      <c r="B938" s="8">
        <f>43.1988 * CHOOSE(CONTROL!$C$15, $D$11, 100%, $F$11)</f>
        <v>43.198799999999999</v>
      </c>
      <c r="C938" s="8">
        <f>43.2041 * CHOOSE(CONTROL!$C$15, $D$11, 100%, $F$11)</f>
        <v>43.204099999999997</v>
      </c>
      <c r="D938" s="8">
        <f>43.212 * CHOOSE( CONTROL!$C$15, $D$11, 100%, $F$11)</f>
        <v>43.212000000000003</v>
      </c>
      <c r="E938" s="12">
        <f>43.2088 * CHOOSE( CONTROL!$C$15, $D$11, 100%, $F$11)</f>
        <v>43.208799999999997</v>
      </c>
      <c r="F938" s="4">
        <f>43.882 * CHOOSE(CONTROL!$C$15, $D$11, 100%, $F$11)</f>
        <v>43.881999999999998</v>
      </c>
      <c r="G938" s="8">
        <f>42.4521 * CHOOSE( CONTROL!$C$15, $D$11, 100%, $F$11)</f>
        <v>42.452100000000002</v>
      </c>
      <c r="H938" s="4">
        <f>43.3831 * CHOOSE(CONTROL!$C$15, $D$11, 100%, $F$11)</f>
        <v>43.383099999999999</v>
      </c>
      <c r="I938" s="8">
        <f>41.8462 * CHOOSE(CONTROL!$C$15, $D$11, 100%, $F$11)</f>
        <v>41.846200000000003</v>
      </c>
      <c r="J938" s="4">
        <f>41.7307 * CHOOSE(CONTROL!$C$15, $D$11, 100%, $F$11)</f>
        <v>41.730699999999999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1.2183999999999999</v>
      </c>
      <c r="Q938" s="9">
        <v>19.688099999999999</v>
      </c>
      <c r="R938" s="9"/>
      <c r="S938" s="11"/>
    </row>
    <row r="939" spans="1:19" ht="15.75">
      <c r="A939" s="13">
        <v>70097</v>
      </c>
      <c r="B939" s="8">
        <f>46.5874 * CHOOSE(CONTROL!$C$15, $D$11, 100%, $F$11)</f>
        <v>46.587400000000002</v>
      </c>
      <c r="C939" s="8">
        <f>46.5926 * CHOOSE(CONTROL!$C$15, $D$11, 100%, $F$11)</f>
        <v>46.592599999999997</v>
      </c>
      <c r="D939" s="8">
        <f>46.5701 * CHOOSE( CONTROL!$C$15, $D$11, 100%, $F$11)</f>
        <v>46.570099999999996</v>
      </c>
      <c r="E939" s="12">
        <f>46.5778 * CHOOSE( CONTROL!$C$15, $D$11, 100%, $F$11)</f>
        <v>46.577800000000003</v>
      </c>
      <c r="F939" s="4">
        <f>47.2323 * CHOOSE(CONTROL!$C$15, $D$11, 100%, $F$11)</f>
        <v>47.232300000000002</v>
      </c>
      <c r="G939" s="8">
        <f>45.7975 * CHOOSE( CONTROL!$C$15, $D$11, 100%, $F$11)</f>
        <v>45.797499999999999</v>
      </c>
      <c r="H939" s="4">
        <f>46.6779 * CHOOSE(CONTROL!$C$15, $D$11, 100%, $F$11)</f>
        <v>46.677900000000001</v>
      </c>
      <c r="I939" s="8">
        <f>45.1497 * CHOOSE(CONTROL!$C$15, $D$11, 100%, $F$11)</f>
        <v>45.149700000000003</v>
      </c>
      <c r="J939" s="4">
        <f>45.0069 * CHOOSE(CONTROL!$C$15, $D$11, 100%, $F$11)</f>
        <v>45.006900000000002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70128</v>
      </c>
      <c r="B940" s="8">
        <f>46.5028 * CHOOSE(CONTROL!$C$15, $D$11, 100%, $F$11)</f>
        <v>46.502800000000001</v>
      </c>
      <c r="C940" s="8">
        <f>46.5079 * CHOOSE(CONTROL!$C$15, $D$11, 100%, $F$11)</f>
        <v>46.507899999999999</v>
      </c>
      <c r="D940" s="8">
        <f>46.4868 * CHOOSE( CONTROL!$C$15, $D$11, 100%, $F$11)</f>
        <v>46.486800000000002</v>
      </c>
      <c r="E940" s="12">
        <f>46.494 * CHOOSE( CONTROL!$C$15, $D$11, 100%, $F$11)</f>
        <v>46.494</v>
      </c>
      <c r="F940" s="4">
        <f>47.1477 * CHOOSE(CONTROL!$C$15, $D$11, 100%, $F$11)</f>
        <v>47.1477</v>
      </c>
      <c r="G940" s="8">
        <f>45.7153 * CHOOSE( CONTROL!$C$15, $D$11, 100%, $F$11)</f>
        <v>45.715299999999999</v>
      </c>
      <c r="H940" s="4">
        <f>46.5946 * CHOOSE(CONTROL!$C$15, $D$11, 100%, $F$11)</f>
        <v>46.5946</v>
      </c>
      <c r="I940" s="8">
        <f>45.0725 * CHOOSE(CONTROL!$C$15, $D$11, 100%, $F$11)</f>
        <v>45.072499999999998</v>
      </c>
      <c r="J940" s="4">
        <f>44.9251 * CHOOSE(CONTROL!$C$15, $D$11, 100%, $F$11)</f>
        <v>44.9251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70159</v>
      </c>
      <c r="B941" s="8">
        <f>48.2789 * CHOOSE(CONTROL!$C$15, $D$11, 100%, $F$11)</f>
        <v>48.2789</v>
      </c>
      <c r="C941" s="8">
        <f>48.284 * CHOOSE(CONTROL!$C$15, $D$11, 100%, $F$11)</f>
        <v>48.283999999999999</v>
      </c>
      <c r="D941" s="8">
        <f>48.262 * CHOOSE( CONTROL!$C$15, $D$11, 100%, $F$11)</f>
        <v>48.262</v>
      </c>
      <c r="E941" s="12">
        <f>48.2695 * CHOOSE( CONTROL!$C$15, $D$11, 100%, $F$11)</f>
        <v>48.269500000000001</v>
      </c>
      <c r="F941" s="4">
        <f>48.9238 * CHOOSE(CONTROL!$C$15, $D$11, 100%, $F$11)</f>
        <v>48.9238</v>
      </c>
      <c r="G941" s="8">
        <f>47.4595 * CHOOSE( CONTROL!$C$15, $D$11, 100%, $F$11)</f>
        <v>47.459499999999998</v>
      </c>
      <c r="H941" s="4">
        <f>48.3413 * CHOOSE(CONTROL!$C$15, $D$11, 100%, $F$11)</f>
        <v>48.341299999999997</v>
      </c>
      <c r="I941" s="8">
        <f>46.7621 * CHOOSE(CONTROL!$C$15, $D$11, 100%, $F$11)</f>
        <v>46.762099999999997</v>
      </c>
      <c r="J941" s="4">
        <f>46.6421 * CHOOSE(CONTROL!$C$15, $D$11, 100%, $F$11)</f>
        <v>46.642099999999999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70188</v>
      </c>
      <c r="B942" s="8">
        <f>45.1597 * CHOOSE(CONTROL!$C$15, $D$11, 100%, $F$11)</f>
        <v>45.159700000000001</v>
      </c>
      <c r="C942" s="8">
        <f>45.1648 * CHOOSE(CONTROL!$C$15, $D$11, 100%, $F$11)</f>
        <v>45.1648</v>
      </c>
      <c r="D942" s="8">
        <f>45.1385 * CHOOSE( CONTROL!$C$15, $D$11, 100%, $F$11)</f>
        <v>45.138500000000001</v>
      </c>
      <c r="E942" s="12">
        <f>45.1476 * CHOOSE( CONTROL!$C$15, $D$11, 100%, $F$11)</f>
        <v>45.147599999999997</v>
      </c>
      <c r="F942" s="4">
        <f>45.8046 * CHOOSE(CONTROL!$C$15, $D$11, 100%, $F$11)</f>
        <v>45.804600000000001</v>
      </c>
      <c r="G942" s="8">
        <f>44.3835 * CHOOSE( CONTROL!$C$15, $D$11, 100%, $F$11)</f>
        <v>44.383499999999998</v>
      </c>
      <c r="H942" s="4">
        <f>45.2738 * CHOOSE(CONTROL!$C$15, $D$11, 100%, $F$11)</f>
        <v>45.273800000000001</v>
      </c>
      <c r="I942" s="8">
        <f>43.7163 * CHOOSE(CONTROL!$C$15, $D$11, 100%, $F$11)</f>
        <v>43.716299999999997</v>
      </c>
      <c r="J942" s="4">
        <f>43.6267 * CHOOSE(CONTROL!$C$15, $D$11, 100%, $F$11)</f>
        <v>43.6267</v>
      </c>
      <c r="K942" s="4"/>
      <c r="L942" s="9">
        <v>27.415299999999998</v>
      </c>
      <c r="M942" s="9">
        <v>11.285299999999999</v>
      </c>
      <c r="N942" s="9">
        <v>4.6254999999999997</v>
      </c>
      <c r="O942" s="9">
        <v>0.34989999999999999</v>
      </c>
      <c r="P942" s="9">
        <v>1.2093</v>
      </c>
      <c r="Q942" s="9">
        <v>18.417899999999999</v>
      </c>
      <c r="R942" s="9"/>
      <c r="S942" s="11"/>
    </row>
    <row r="943" spans="1:19" ht="15.75">
      <c r="A943" s="13">
        <v>70219</v>
      </c>
      <c r="B943" s="8">
        <f>44.199 * CHOOSE(CONTROL!$C$15, $D$11, 100%, $F$11)</f>
        <v>44.198999999999998</v>
      </c>
      <c r="C943" s="8">
        <f>44.2041 * CHOOSE(CONTROL!$C$15, $D$11, 100%, $F$11)</f>
        <v>44.204099999999997</v>
      </c>
      <c r="D943" s="8">
        <f>44.1781 * CHOOSE( CONTROL!$C$15, $D$11, 100%, $F$11)</f>
        <v>44.178100000000001</v>
      </c>
      <c r="E943" s="12">
        <f>44.1871 * CHOOSE( CONTROL!$C$15, $D$11, 100%, $F$11)</f>
        <v>44.187100000000001</v>
      </c>
      <c r="F943" s="4">
        <f>44.8439 * CHOOSE(CONTROL!$C$15, $D$11, 100%, $F$11)</f>
        <v>44.843899999999998</v>
      </c>
      <c r="G943" s="8">
        <f>43.439 * CHOOSE( CONTROL!$C$15, $D$11, 100%, $F$11)</f>
        <v>43.439</v>
      </c>
      <c r="H943" s="4">
        <f>44.3291 * CHOOSE(CONTROL!$C$15, $D$11, 100%, $F$11)</f>
        <v>44.329099999999997</v>
      </c>
      <c r="I943" s="8">
        <f>42.7883 * CHOOSE(CONTROL!$C$15, $D$11, 100%, $F$11)</f>
        <v>42.7883</v>
      </c>
      <c r="J943" s="4">
        <f>42.698 * CHOOSE(CONTROL!$C$15, $D$11, 100%, $F$11)</f>
        <v>42.698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70249</v>
      </c>
      <c r="B944" s="8">
        <f>44.8711 * CHOOSE(CONTROL!$C$15, $D$11, 100%, $F$11)</f>
        <v>44.871099999999998</v>
      </c>
      <c r="C944" s="8">
        <f>44.8757 * CHOOSE(CONTROL!$C$15, $D$11, 100%, $F$11)</f>
        <v>44.875700000000002</v>
      </c>
      <c r="D944" s="8">
        <f>44.8828 * CHOOSE( CONTROL!$C$15, $D$11, 100%, $F$11)</f>
        <v>44.882800000000003</v>
      </c>
      <c r="E944" s="12">
        <f>44.8799 * CHOOSE( CONTROL!$C$15, $D$11, 100%, $F$11)</f>
        <v>44.879899999999999</v>
      </c>
      <c r="F944" s="4">
        <f>45.554 * CHOOSE(CONTROL!$C$15, $D$11, 100%, $F$11)</f>
        <v>45.554000000000002</v>
      </c>
      <c r="G944" s="8">
        <f>44.0945 * CHOOSE( CONTROL!$C$15, $D$11, 100%, $F$11)</f>
        <v>44.094499999999996</v>
      </c>
      <c r="H944" s="4">
        <f>45.0274 * CHOOSE(CONTROL!$C$15, $D$11, 100%, $F$11)</f>
        <v>45.0274</v>
      </c>
      <c r="I944" s="8">
        <f>43.4574 * CHOOSE(CONTROL!$C$15, $D$11, 100%, $F$11)</f>
        <v>43.4574</v>
      </c>
      <c r="J944" s="4">
        <f>43.347 * CHOOSE(CONTROL!$C$15, $D$11, 100%, $F$11)</f>
        <v>43.347000000000001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1.1791</v>
      </c>
      <c r="Q944" s="9">
        <v>19.053000000000001</v>
      </c>
      <c r="R944" s="9"/>
      <c r="S944" s="11"/>
    </row>
    <row r="945" spans="1:19" ht="15.75">
      <c r="A945" s="13">
        <v>70280</v>
      </c>
      <c r="B945" s="8">
        <f>CHOOSE( CONTROL!$C$32, 46.0705, 46.0673) * CHOOSE(CONTROL!$C$15, $D$11, 100%, $F$11)</f>
        <v>46.070500000000003</v>
      </c>
      <c r="C945" s="8">
        <f>CHOOSE( CONTROL!$C$32, 46.0785, 46.0753) * CHOOSE(CONTROL!$C$15, $D$11, 100%, $F$11)</f>
        <v>46.078499999999998</v>
      </c>
      <c r="D945" s="8">
        <f>CHOOSE( CONTROL!$C$32, 46.0808, 46.0776) * CHOOSE( CONTROL!$C$15, $D$11, 100%, $F$11)</f>
        <v>46.080800000000004</v>
      </c>
      <c r="E945" s="12">
        <f>CHOOSE( CONTROL!$C$32, 46.0787, 46.0755) * CHOOSE( CONTROL!$C$15, $D$11, 100%, $F$11)</f>
        <v>46.078699999999998</v>
      </c>
      <c r="F945" s="4">
        <f>CHOOSE( CONTROL!$C$32, 46.752, 46.7488) * CHOOSE(CONTROL!$C$15, $D$11, 100%, $F$11)</f>
        <v>46.752000000000002</v>
      </c>
      <c r="G945" s="8">
        <f>CHOOSE( CONTROL!$C$32, 45.2737, 45.2706) * CHOOSE( CONTROL!$C$15, $D$11, 100%, $F$11)</f>
        <v>45.273699999999998</v>
      </c>
      <c r="H945" s="4">
        <f>CHOOSE( CONTROL!$C$32, 46.2055, 46.2024) * CHOOSE(CONTROL!$C$15, $D$11, 100%, $F$11)</f>
        <v>46.205500000000001</v>
      </c>
      <c r="I945" s="8">
        <f>CHOOSE( CONTROL!$C$32, 44.6176, 44.6146) * CHOOSE(CONTROL!$C$15, $D$11, 100%, $F$11)</f>
        <v>44.617600000000003</v>
      </c>
      <c r="J945" s="4">
        <f>CHOOSE( CONTROL!$C$32, 44.5051, 44.502) * CHOOSE(CONTROL!$C$15, $D$11, 100%, $F$11)</f>
        <v>44.505099999999999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1.2183999999999999</v>
      </c>
      <c r="Q945" s="9">
        <v>19.688099999999999</v>
      </c>
      <c r="R945" s="9"/>
      <c r="S945" s="11"/>
    </row>
    <row r="946" spans="1:19" ht="15.75">
      <c r="A946" s="13">
        <v>70310</v>
      </c>
      <c r="B946" s="8">
        <f>CHOOSE( CONTROL!$C$32, 45.3303, 45.3271) * CHOOSE(CONTROL!$C$15, $D$11, 100%, $F$11)</f>
        <v>45.330300000000001</v>
      </c>
      <c r="C946" s="8">
        <f>CHOOSE( CONTROL!$C$32, 45.3383, 45.3351) * CHOOSE(CONTROL!$C$15, $D$11, 100%, $F$11)</f>
        <v>45.338299999999997</v>
      </c>
      <c r="D946" s="8">
        <f>CHOOSE( CONTROL!$C$32, 45.341, 45.3378) * CHOOSE( CONTROL!$C$15, $D$11, 100%, $F$11)</f>
        <v>45.341000000000001</v>
      </c>
      <c r="E946" s="12">
        <f>CHOOSE( CONTROL!$C$32, 45.3388, 45.3356) * CHOOSE( CONTROL!$C$15, $D$11, 100%, $F$11)</f>
        <v>45.338799999999999</v>
      </c>
      <c r="F946" s="4">
        <f>CHOOSE( CONTROL!$C$32, 46.0119, 46.0087) * CHOOSE(CONTROL!$C$15, $D$11, 100%, $F$11)</f>
        <v>46.011899999999997</v>
      </c>
      <c r="G946" s="8">
        <f>CHOOSE( CONTROL!$C$32, 44.5463, 44.5432) * CHOOSE( CONTROL!$C$15, $D$11, 100%, $F$11)</f>
        <v>44.546300000000002</v>
      </c>
      <c r="H946" s="4">
        <f>CHOOSE( CONTROL!$C$32, 45.4777, 45.4745) * CHOOSE(CONTROL!$C$15, $D$11, 100%, $F$11)</f>
        <v>45.477699999999999</v>
      </c>
      <c r="I946" s="8">
        <f>CHOOSE( CONTROL!$C$32, 43.9032, 43.9001) * CHOOSE(CONTROL!$C$15, $D$11, 100%, $F$11)</f>
        <v>43.903199999999998</v>
      </c>
      <c r="J946" s="4">
        <f>CHOOSE( CONTROL!$C$32, 43.7896, 43.7865) * CHOOSE(CONTROL!$C$15, $D$11, 100%, $F$11)</f>
        <v>43.7896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1.1791</v>
      </c>
      <c r="Q946" s="9">
        <v>19.053000000000001</v>
      </c>
      <c r="R946" s="9"/>
      <c r="S946" s="11"/>
    </row>
    <row r="947" spans="1:19" ht="15.75">
      <c r="A947" s="13">
        <v>70341</v>
      </c>
      <c r="B947" s="8">
        <f>CHOOSE( CONTROL!$C$32, 47.2794, 47.2762) * CHOOSE(CONTROL!$C$15, $D$11, 100%, $F$11)</f>
        <v>47.279400000000003</v>
      </c>
      <c r="C947" s="8">
        <f>CHOOSE( CONTROL!$C$32, 47.2874, 47.2842) * CHOOSE(CONTROL!$C$15, $D$11, 100%, $F$11)</f>
        <v>47.287399999999998</v>
      </c>
      <c r="D947" s="8">
        <f>CHOOSE( CONTROL!$C$32, 47.2903, 47.2871) * CHOOSE( CONTROL!$C$15, $D$11, 100%, $F$11)</f>
        <v>47.290300000000002</v>
      </c>
      <c r="E947" s="12">
        <f>CHOOSE( CONTROL!$C$32, 47.288, 47.2848) * CHOOSE( CONTROL!$C$15, $D$11, 100%, $F$11)</f>
        <v>47.287999999999997</v>
      </c>
      <c r="F947" s="4">
        <f>CHOOSE( CONTROL!$C$32, 47.9609, 47.9577) * CHOOSE(CONTROL!$C$15, $D$11, 100%, $F$11)</f>
        <v>47.960900000000002</v>
      </c>
      <c r="G947" s="8">
        <f>CHOOSE( CONTROL!$C$32, 46.4635, 46.4604) * CHOOSE( CONTROL!$C$15, $D$11, 100%, $F$11)</f>
        <v>46.463500000000003</v>
      </c>
      <c r="H947" s="4">
        <f>CHOOSE( CONTROL!$C$32, 47.3944, 47.3913) * CHOOSE(CONTROL!$C$15, $D$11, 100%, $F$11)</f>
        <v>47.394399999999997</v>
      </c>
      <c r="I947" s="8">
        <f>CHOOSE( CONTROL!$C$32, 45.7897, 45.7866) * CHOOSE(CONTROL!$C$15, $D$11, 100%, $F$11)</f>
        <v>45.789700000000003</v>
      </c>
      <c r="J947" s="4">
        <f>CHOOSE( CONTROL!$C$32, 45.6737, 45.6707) * CHOOSE(CONTROL!$C$15, $D$11, 100%, $F$11)</f>
        <v>45.673699999999997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70372</v>
      </c>
      <c r="B948" s="8">
        <f>CHOOSE( CONTROL!$C$32, 43.6325, 43.6293) * CHOOSE(CONTROL!$C$15, $D$11, 100%, $F$11)</f>
        <v>43.6325</v>
      </c>
      <c r="C948" s="8">
        <f>CHOOSE( CONTROL!$C$32, 43.6405, 43.6373) * CHOOSE(CONTROL!$C$15, $D$11, 100%, $F$11)</f>
        <v>43.640500000000003</v>
      </c>
      <c r="D948" s="8">
        <f>CHOOSE( CONTROL!$C$32, 43.6436, 43.6404) * CHOOSE( CONTROL!$C$15, $D$11, 100%, $F$11)</f>
        <v>43.643599999999999</v>
      </c>
      <c r="E948" s="12">
        <f>CHOOSE( CONTROL!$C$32, 43.6413, 43.6381) * CHOOSE( CONTROL!$C$15, $D$11, 100%, $F$11)</f>
        <v>43.641300000000001</v>
      </c>
      <c r="F948" s="4">
        <f>CHOOSE( CONTROL!$C$32, 44.314, 44.3108) * CHOOSE(CONTROL!$C$15, $D$11, 100%, $F$11)</f>
        <v>44.314</v>
      </c>
      <c r="G948" s="8">
        <f>CHOOSE( CONTROL!$C$32, 42.8773, 42.8742) * CHOOSE( CONTROL!$C$15, $D$11, 100%, $F$11)</f>
        <v>42.877299999999998</v>
      </c>
      <c r="H948" s="4">
        <f>CHOOSE( CONTROL!$C$32, 43.808, 43.8049) * CHOOSE(CONTROL!$C$15, $D$11, 100%, $F$11)</f>
        <v>43.808</v>
      </c>
      <c r="I948" s="8">
        <f>CHOOSE( CONTROL!$C$32, 42.2633, 42.2602) * CHOOSE(CONTROL!$C$15, $D$11, 100%, $F$11)</f>
        <v>42.263300000000001</v>
      </c>
      <c r="J948" s="4">
        <f>CHOOSE( CONTROL!$C$32, 42.1483, 42.1452) * CHOOSE(CONTROL!$C$15, $D$11, 100%, $F$11)</f>
        <v>42.148299999999999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1.2183999999999999</v>
      </c>
      <c r="Q948" s="9">
        <v>19.688099999999999</v>
      </c>
      <c r="R948" s="9"/>
      <c r="S948" s="11"/>
    </row>
    <row r="949" spans="1:19" ht="15.75">
      <c r="A949" s="13">
        <v>70402</v>
      </c>
      <c r="B949" s="8">
        <f>CHOOSE( CONTROL!$C$32, 42.7193, 42.7161) * CHOOSE(CONTROL!$C$15, $D$11, 100%, $F$11)</f>
        <v>42.719299999999997</v>
      </c>
      <c r="C949" s="8">
        <f>CHOOSE( CONTROL!$C$32, 42.7273, 42.7241) * CHOOSE(CONTROL!$C$15, $D$11, 100%, $F$11)</f>
        <v>42.7273</v>
      </c>
      <c r="D949" s="8">
        <f>CHOOSE( CONTROL!$C$32, 42.7304, 42.7272) * CHOOSE( CONTROL!$C$15, $D$11, 100%, $F$11)</f>
        <v>42.730400000000003</v>
      </c>
      <c r="E949" s="12">
        <f>CHOOSE( CONTROL!$C$32, 42.7281, 42.7249) * CHOOSE( CONTROL!$C$15, $D$11, 100%, $F$11)</f>
        <v>42.728099999999998</v>
      </c>
      <c r="F949" s="4">
        <f>CHOOSE( CONTROL!$C$32, 43.4008, 43.3976) * CHOOSE(CONTROL!$C$15, $D$11, 100%, $F$11)</f>
        <v>43.400799999999997</v>
      </c>
      <c r="G949" s="8">
        <f>CHOOSE( CONTROL!$C$32, 41.9793, 41.9762) * CHOOSE( CONTROL!$C$15, $D$11, 100%, $F$11)</f>
        <v>41.979300000000002</v>
      </c>
      <c r="H949" s="4">
        <f>CHOOSE( CONTROL!$C$32, 42.9099, 42.9068) * CHOOSE(CONTROL!$C$15, $D$11, 100%, $F$11)</f>
        <v>42.9099</v>
      </c>
      <c r="I949" s="8">
        <f>CHOOSE( CONTROL!$C$32, 41.3802, 41.3771) * CHOOSE(CONTROL!$C$15, $D$11, 100%, $F$11)</f>
        <v>41.380200000000002</v>
      </c>
      <c r="J949" s="4">
        <f>CHOOSE( CONTROL!$C$32, 41.2655, 41.2624) * CHOOSE(CONTROL!$C$15, $D$11, 100%, $F$11)</f>
        <v>41.265500000000003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1.1791</v>
      </c>
      <c r="Q949" s="9">
        <v>19.053000000000001</v>
      </c>
      <c r="R949" s="9"/>
      <c r="S949" s="11"/>
    </row>
    <row r="950" spans="1:19" ht="15.75">
      <c r="A950" s="13">
        <v>70433</v>
      </c>
      <c r="B950" s="8">
        <f>44.6105 * CHOOSE(CONTROL!$C$15, $D$11, 100%, $F$11)</f>
        <v>44.610500000000002</v>
      </c>
      <c r="C950" s="8">
        <f>44.6159 * CHOOSE(CONTROL!$C$15, $D$11, 100%, $F$11)</f>
        <v>44.615900000000003</v>
      </c>
      <c r="D950" s="8">
        <f>44.6238 * CHOOSE( CONTROL!$C$15, $D$11, 100%, $F$11)</f>
        <v>44.623800000000003</v>
      </c>
      <c r="E950" s="12">
        <f>44.6206 * CHOOSE( CONTROL!$C$15, $D$11, 100%, $F$11)</f>
        <v>44.620600000000003</v>
      </c>
      <c r="F950" s="4">
        <f>45.2938 * CHOOSE(CONTROL!$C$15, $D$11, 100%, $F$11)</f>
        <v>45.293799999999997</v>
      </c>
      <c r="G950" s="8">
        <f>43.8404 * CHOOSE( CONTROL!$C$15, $D$11, 100%, $F$11)</f>
        <v>43.840400000000002</v>
      </c>
      <c r="H950" s="4">
        <f>44.7715 * CHOOSE(CONTROL!$C$15, $D$11, 100%, $F$11)</f>
        <v>44.771500000000003</v>
      </c>
      <c r="I950" s="8">
        <f>43.2117 * CHOOSE(CONTROL!$C$15, $D$11, 100%, $F$11)</f>
        <v>43.2117</v>
      </c>
      <c r="J950" s="4">
        <f>43.0954 * CHOOSE(CONTROL!$C$15, $D$11, 100%, $F$11)</f>
        <v>43.095399999999998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1.2183999999999999</v>
      </c>
      <c r="Q950" s="9">
        <v>19.688099999999999</v>
      </c>
      <c r="R950" s="9"/>
      <c r="S950" s="11"/>
    </row>
    <row r="951" spans="1:19" ht="15.75">
      <c r="A951" s="13">
        <v>70463</v>
      </c>
      <c r="B951" s="8">
        <f>48.11 * CHOOSE(CONTROL!$C$15, $D$11, 100%, $F$11)</f>
        <v>48.11</v>
      </c>
      <c r="C951" s="8">
        <f>48.1152 * CHOOSE(CONTROL!$C$15, $D$11, 100%, $F$11)</f>
        <v>48.115200000000002</v>
      </c>
      <c r="D951" s="8">
        <f>48.0927 * CHOOSE( CONTROL!$C$15, $D$11, 100%, $F$11)</f>
        <v>48.092700000000001</v>
      </c>
      <c r="E951" s="12">
        <f>48.1004 * CHOOSE( CONTROL!$C$15, $D$11, 100%, $F$11)</f>
        <v>48.1004</v>
      </c>
      <c r="F951" s="4">
        <f>48.7549 * CHOOSE(CONTROL!$C$15, $D$11, 100%, $F$11)</f>
        <v>48.754899999999999</v>
      </c>
      <c r="G951" s="8">
        <f>47.2949 * CHOOSE( CONTROL!$C$15, $D$11, 100%, $F$11)</f>
        <v>47.294899999999998</v>
      </c>
      <c r="H951" s="4">
        <f>48.1752 * CHOOSE(CONTROL!$C$15, $D$11, 100%, $F$11)</f>
        <v>48.175199999999997</v>
      </c>
      <c r="I951" s="8">
        <f>46.6224 * CHOOSE(CONTROL!$C$15, $D$11, 100%, $F$11)</f>
        <v>46.622399999999999</v>
      </c>
      <c r="J951" s="4">
        <f>46.4788 * CHOOSE(CONTROL!$C$15, $D$11, 100%, $F$11)</f>
        <v>46.4788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70494</v>
      </c>
      <c r="B952" s="8">
        <f>48.0226 * CHOOSE(CONTROL!$C$15, $D$11, 100%, $F$11)</f>
        <v>48.022599999999997</v>
      </c>
      <c r="C952" s="8">
        <f>48.0277 * CHOOSE(CONTROL!$C$15, $D$11, 100%, $F$11)</f>
        <v>48.027700000000003</v>
      </c>
      <c r="D952" s="8">
        <f>48.0067 * CHOOSE( CONTROL!$C$15, $D$11, 100%, $F$11)</f>
        <v>48.006700000000002</v>
      </c>
      <c r="E952" s="12">
        <f>48.0138 * CHOOSE( CONTROL!$C$15, $D$11, 100%, $F$11)</f>
        <v>48.013800000000003</v>
      </c>
      <c r="F952" s="4">
        <f>48.6675 * CHOOSE(CONTROL!$C$15, $D$11, 100%, $F$11)</f>
        <v>48.667499999999997</v>
      </c>
      <c r="G952" s="8">
        <f>47.21 * CHOOSE( CONTROL!$C$15, $D$11, 100%, $F$11)</f>
        <v>47.21</v>
      </c>
      <c r="H952" s="4">
        <f>48.0893 * CHOOSE(CONTROL!$C$15, $D$11, 100%, $F$11)</f>
        <v>48.089300000000001</v>
      </c>
      <c r="I952" s="8">
        <f>46.5424 * CHOOSE(CONTROL!$C$15, $D$11, 100%, $F$11)</f>
        <v>46.542400000000001</v>
      </c>
      <c r="J952" s="4">
        <f>46.3943 * CHOOSE(CONTROL!$C$15, $D$11, 100%, $F$11)</f>
        <v>46.394300000000001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70525</v>
      </c>
      <c r="B953" s="8">
        <f>49.8568 * CHOOSE(CONTROL!$C$15, $D$11, 100%, $F$11)</f>
        <v>49.8568</v>
      </c>
      <c r="C953" s="8">
        <f>49.862 * CHOOSE(CONTROL!$C$15, $D$11, 100%, $F$11)</f>
        <v>49.862000000000002</v>
      </c>
      <c r="D953" s="8">
        <f>49.84 * CHOOSE( CONTROL!$C$15, $D$11, 100%, $F$11)</f>
        <v>49.84</v>
      </c>
      <c r="E953" s="12">
        <f>49.8475 * CHOOSE( CONTROL!$C$15, $D$11, 100%, $F$11)</f>
        <v>49.847499999999997</v>
      </c>
      <c r="F953" s="4">
        <f>50.5017 * CHOOSE(CONTROL!$C$15, $D$11, 100%, $F$11)</f>
        <v>50.5017</v>
      </c>
      <c r="G953" s="8">
        <f>49.0112 * CHOOSE( CONTROL!$C$15, $D$11, 100%, $F$11)</f>
        <v>49.011200000000002</v>
      </c>
      <c r="H953" s="4">
        <f>49.8931 * CHOOSE(CONTROL!$C$15, $D$11, 100%, $F$11)</f>
        <v>49.893099999999997</v>
      </c>
      <c r="I953" s="8">
        <f>48.2882 * CHOOSE(CONTROL!$C$15, $D$11, 100%, $F$11)</f>
        <v>48.288200000000003</v>
      </c>
      <c r="J953" s="4">
        <f>48.1674 * CHOOSE(CONTROL!$C$15, $D$11, 100%, $F$11)</f>
        <v>48.167400000000001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70553</v>
      </c>
      <c r="B954" s="8">
        <f>46.6356 * CHOOSE(CONTROL!$C$15, $D$11, 100%, $F$11)</f>
        <v>46.635599999999997</v>
      </c>
      <c r="C954" s="8">
        <f>46.6407 * CHOOSE(CONTROL!$C$15, $D$11, 100%, $F$11)</f>
        <v>46.640700000000002</v>
      </c>
      <c r="D954" s="8">
        <f>46.6144 * CHOOSE( CONTROL!$C$15, $D$11, 100%, $F$11)</f>
        <v>46.614400000000003</v>
      </c>
      <c r="E954" s="12">
        <f>46.6235 * CHOOSE( CONTROL!$C$15, $D$11, 100%, $F$11)</f>
        <v>46.6235</v>
      </c>
      <c r="F954" s="4">
        <f>47.2805 * CHOOSE(CONTROL!$C$15, $D$11, 100%, $F$11)</f>
        <v>47.280500000000004</v>
      </c>
      <c r="G954" s="8">
        <f>45.8349 * CHOOSE( CONTROL!$C$15, $D$11, 100%, $F$11)</f>
        <v>45.834899999999998</v>
      </c>
      <c r="H954" s="4">
        <f>46.7253 * CHOOSE(CONTROL!$C$15, $D$11, 100%, $F$11)</f>
        <v>46.725299999999997</v>
      </c>
      <c r="I954" s="8">
        <f>45.1437 * CHOOSE(CONTROL!$C$15, $D$11, 100%, $F$11)</f>
        <v>45.143700000000003</v>
      </c>
      <c r="J954" s="4">
        <f>45.0535 * CHOOSE(CONTROL!$C$15, $D$11, 100%, $F$11)</f>
        <v>45.0535</v>
      </c>
      <c r="K954" s="4"/>
      <c r="L954" s="9">
        <v>26.469899999999999</v>
      </c>
      <c r="M954" s="9">
        <v>10.8962</v>
      </c>
      <c r="N954" s="9">
        <v>4.4660000000000002</v>
      </c>
      <c r="O954" s="9">
        <v>0.33789999999999998</v>
      </c>
      <c r="P954" s="9">
        <v>1.1676</v>
      </c>
      <c r="Q954" s="9">
        <v>17.782800000000002</v>
      </c>
      <c r="R954" s="9"/>
      <c r="S954" s="11"/>
    </row>
    <row r="955" spans="1:19" ht="15.75">
      <c r="A955" s="13">
        <v>70584</v>
      </c>
      <c r="B955" s="8">
        <f>45.6435 * CHOOSE(CONTROL!$C$15, $D$11, 100%, $F$11)</f>
        <v>45.643500000000003</v>
      </c>
      <c r="C955" s="8">
        <f>45.6486 * CHOOSE(CONTROL!$C$15, $D$11, 100%, $F$11)</f>
        <v>45.648600000000002</v>
      </c>
      <c r="D955" s="8">
        <f>45.6226 * CHOOSE( CONTROL!$C$15, $D$11, 100%, $F$11)</f>
        <v>45.622599999999998</v>
      </c>
      <c r="E955" s="12">
        <f>45.6316 * CHOOSE( CONTROL!$C$15, $D$11, 100%, $F$11)</f>
        <v>45.631599999999999</v>
      </c>
      <c r="F955" s="4">
        <f>46.2884 * CHOOSE(CONTROL!$C$15, $D$11, 100%, $F$11)</f>
        <v>46.288400000000003</v>
      </c>
      <c r="G955" s="8">
        <f>44.8595 * CHOOSE( CONTROL!$C$15, $D$11, 100%, $F$11)</f>
        <v>44.859499999999997</v>
      </c>
      <c r="H955" s="4">
        <f>45.7496 * CHOOSE(CONTROL!$C$15, $D$11, 100%, $F$11)</f>
        <v>45.749600000000001</v>
      </c>
      <c r="I955" s="8">
        <f>44.1854 * CHOOSE(CONTROL!$C$15, $D$11, 100%, $F$11)</f>
        <v>44.185400000000001</v>
      </c>
      <c r="J955" s="4">
        <f>44.0944 * CHOOSE(CONTROL!$C$15, $D$11, 100%, $F$11)</f>
        <v>44.0944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70614</v>
      </c>
      <c r="B956" s="8">
        <f>46.3375 * CHOOSE(CONTROL!$C$15, $D$11, 100%, $F$11)</f>
        <v>46.337499999999999</v>
      </c>
      <c r="C956" s="8">
        <f>46.3421 * CHOOSE(CONTROL!$C$15, $D$11, 100%, $F$11)</f>
        <v>46.342100000000002</v>
      </c>
      <c r="D956" s="8">
        <f>46.3493 * CHOOSE( CONTROL!$C$15, $D$11, 100%, $F$11)</f>
        <v>46.349299999999999</v>
      </c>
      <c r="E956" s="12">
        <f>46.3464 * CHOOSE( CONTROL!$C$15, $D$11, 100%, $F$11)</f>
        <v>46.346400000000003</v>
      </c>
      <c r="F956" s="4">
        <f>47.0205 * CHOOSE(CONTROL!$C$15, $D$11, 100%, $F$11)</f>
        <v>47.020499999999998</v>
      </c>
      <c r="G956" s="8">
        <f>45.5366 * CHOOSE( CONTROL!$C$15, $D$11, 100%, $F$11)</f>
        <v>45.5366</v>
      </c>
      <c r="H956" s="4">
        <f>46.4695 * CHOOSE(CONTROL!$C$15, $D$11, 100%, $F$11)</f>
        <v>46.469499999999996</v>
      </c>
      <c r="I956" s="8">
        <f>44.8757 * CHOOSE(CONTROL!$C$15, $D$11, 100%, $F$11)</f>
        <v>44.875700000000002</v>
      </c>
      <c r="J956" s="4">
        <f>44.7646 * CHOOSE(CONTROL!$C$15, $D$11, 100%, $F$11)</f>
        <v>44.764600000000002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1.1791</v>
      </c>
      <c r="Q956" s="9">
        <v>19.053000000000001</v>
      </c>
      <c r="R956" s="9"/>
      <c r="S956" s="11"/>
    </row>
    <row r="957" spans="1:19" ht="15.75">
      <c r="A957" s="13">
        <v>70645</v>
      </c>
      <c r="B957" s="8">
        <f>CHOOSE( CONTROL!$C$32, 47.576, 47.5728) * CHOOSE(CONTROL!$C$15, $D$11, 100%, $F$11)</f>
        <v>47.576000000000001</v>
      </c>
      <c r="C957" s="8">
        <f>CHOOSE( CONTROL!$C$32, 47.584, 47.5808) * CHOOSE(CONTROL!$C$15, $D$11, 100%, $F$11)</f>
        <v>47.584000000000003</v>
      </c>
      <c r="D957" s="8">
        <f>CHOOSE( CONTROL!$C$32, 47.5863, 47.5831) * CHOOSE( CONTROL!$C$15, $D$11, 100%, $F$11)</f>
        <v>47.586300000000001</v>
      </c>
      <c r="E957" s="12">
        <f>CHOOSE( CONTROL!$C$32, 47.5842, 47.581) * CHOOSE( CONTROL!$C$15, $D$11, 100%, $F$11)</f>
        <v>47.584200000000003</v>
      </c>
      <c r="F957" s="4">
        <f>CHOOSE( CONTROL!$C$32, 48.2575, 48.2543) * CHOOSE(CONTROL!$C$15, $D$11, 100%, $F$11)</f>
        <v>48.2575</v>
      </c>
      <c r="G957" s="8">
        <f>CHOOSE( CONTROL!$C$32, 46.7543, 46.7512) * CHOOSE( CONTROL!$C$15, $D$11, 100%, $F$11)</f>
        <v>46.754300000000001</v>
      </c>
      <c r="H957" s="4">
        <f>CHOOSE( CONTROL!$C$32, 47.6861, 47.6829) * CHOOSE(CONTROL!$C$15, $D$11, 100%, $F$11)</f>
        <v>47.686100000000003</v>
      </c>
      <c r="I957" s="8">
        <f>CHOOSE( CONTROL!$C$32, 46.0738, 46.0707) * CHOOSE(CONTROL!$C$15, $D$11, 100%, $F$11)</f>
        <v>46.073799999999999</v>
      </c>
      <c r="J957" s="4">
        <f>CHOOSE( CONTROL!$C$32, 45.9605, 45.9574) * CHOOSE(CONTROL!$C$15, $D$11, 100%, $F$11)</f>
        <v>45.960500000000003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1.2183999999999999</v>
      </c>
      <c r="Q957" s="9">
        <v>19.688099999999999</v>
      </c>
      <c r="R957" s="9"/>
      <c r="S957" s="11"/>
    </row>
    <row r="958" spans="1:19" ht="15.75">
      <c r="A958" s="13">
        <v>70675</v>
      </c>
      <c r="B958" s="8">
        <f>CHOOSE( CONTROL!$C$32, 46.8116, 46.8084) * CHOOSE(CONTROL!$C$15, $D$11, 100%, $F$11)</f>
        <v>46.811599999999999</v>
      </c>
      <c r="C958" s="8">
        <f>CHOOSE( CONTROL!$C$32, 46.8197, 46.8165) * CHOOSE(CONTROL!$C$15, $D$11, 100%, $F$11)</f>
        <v>46.819699999999997</v>
      </c>
      <c r="D958" s="8">
        <f>CHOOSE( CONTROL!$C$32, 46.8223, 46.8191) * CHOOSE( CONTROL!$C$15, $D$11, 100%, $F$11)</f>
        <v>46.822299999999998</v>
      </c>
      <c r="E958" s="12">
        <f>CHOOSE( CONTROL!$C$32, 46.8201, 46.8169) * CHOOSE( CONTROL!$C$15, $D$11, 100%, $F$11)</f>
        <v>46.820099999999996</v>
      </c>
      <c r="F958" s="4">
        <f>CHOOSE( CONTROL!$C$32, 47.4932, 47.49) * CHOOSE(CONTROL!$C$15, $D$11, 100%, $F$11)</f>
        <v>47.493200000000002</v>
      </c>
      <c r="G958" s="8">
        <f>CHOOSE( CONTROL!$C$32, 46.0031, 45.9999) * CHOOSE( CONTROL!$C$15, $D$11, 100%, $F$11)</f>
        <v>46.003100000000003</v>
      </c>
      <c r="H958" s="4">
        <f>CHOOSE( CONTROL!$C$32, 46.9344, 46.9313) * CHOOSE(CONTROL!$C$15, $D$11, 100%, $F$11)</f>
        <v>46.934399999999997</v>
      </c>
      <c r="I958" s="8">
        <f>CHOOSE( CONTROL!$C$32, 45.3359, 45.3328) * CHOOSE(CONTROL!$C$15, $D$11, 100%, $F$11)</f>
        <v>45.335900000000002</v>
      </c>
      <c r="J958" s="4">
        <f>CHOOSE( CONTROL!$C$32, 45.2216, 45.2185) * CHOOSE(CONTROL!$C$15, $D$11, 100%, $F$11)</f>
        <v>45.221600000000002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1.1791</v>
      </c>
      <c r="Q958" s="9">
        <v>19.053000000000001</v>
      </c>
      <c r="R958" s="9"/>
      <c r="S958" s="11"/>
    </row>
    <row r="959" spans="1:19" ht="15.75">
      <c r="A959" s="13">
        <v>70706</v>
      </c>
      <c r="B959" s="8">
        <f>CHOOSE( CONTROL!$C$32, 48.8244, 48.8212) * CHOOSE(CONTROL!$C$15, $D$11, 100%, $F$11)</f>
        <v>48.824399999999997</v>
      </c>
      <c r="C959" s="8">
        <f>CHOOSE( CONTROL!$C$32, 48.8324, 48.8292) * CHOOSE(CONTROL!$C$15, $D$11, 100%, $F$11)</f>
        <v>48.8324</v>
      </c>
      <c r="D959" s="8">
        <f>CHOOSE( CONTROL!$C$32, 48.8354, 48.8322) * CHOOSE( CONTROL!$C$15, $D$11, 100%, $F$11)</f>
        <v>48.8354</v>
      </c>
      <c r="E959" s="12">
        <f>CHOOSE( CONTROL!$C$32, 48.8331, 48.8299) * CHOOSE( CONTROL!$C$15, $D$11, 100%, $F$11)</f>
        <v>48.833100000000002</v>
      </c>
      <c r="F959" s="4">
        <f>CHOOSE( CONTROL!$C$32, 49.506, 49.5028) * CHOOSE(CONTROL!$C$15, $D$11, 100%, $F$11)</f>
        <v>49.506</v>
      </c>
      <c r="G959" s="8">
        <f>CHOOSE( CONTROL!$C$32, 47.9829, 47.9798) * CHOOSE( CONTROL!$C$15, $D$11, 100%, $F$11)</f>
        <v>47.982900000000001</v>
      </c>
      <c r="H959" s="4">
        <f>CHOOSE( CONTROL!$C$32, 48.9138, 48.9107) * CHOOSE(CONTROL!$C$15, $D$11, 100%, $F$11)</f>
        <v>48.913800000000002</v>
      </c>
      <c r="I959" s="8">
        <f>CHOOSE( CONTROL!$C$32, 47.2841, 47.281) * CHOOSE(CONTROL!$C$15, $D$11, 100%, $F$11)</f>
        <v>47.284100000000002</v>
      </c>
      <c r="J959" s="4">
        <f>CHOOSE( CONTROL!$C$32, 47.1673, 47.1643) * CHOOSE(CONTROL!$C$15, $D$11, 100%, $F$11)</f>
        <v>47.167299999999997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70737</v>
      </c>
      <c r="B960" s="8">
        <f>CHOOSE( CONTROL!$C$32, 45.0583, 45.0551) * CHOOSE(CONTROL!$C$15, $D$11, 100%, $F$11)</f>
        <v>45.058300000000003</v>
      </c>
      <c r="C960" s="8">
        <f>CHOOSE( CONTROL!$C$32, 45.0663, 45.0631) * CHOOSE(CONTROL!$C$15, $D$11, 100%, $F$11)</f>
        <v>45.066299999999998</v>
      </c>
      <c r="D960" s="8">
        <f>CHOOSE( CONTROL!$C$32, 45.0694, 45.0662) * CHOOSE( CONTROL!$C$15, $D$11, 100%, $F$11)</f>
        <v>45.069400000000002</v>
      </c>
      <c r="E960" s="12">
        <f>CHOOSE( CONTROL!$C$32, 45.0671, 45.0639) * CHOOSE( CONTROL!$C$15, $D$11, 100%, $F$11)</f>
        <v>45.067100000000003</v>
      </c>
      <c r="F960" s="4">
        <f>CHOOSE( CONTROL!$C$32, 45.7398, 45.7366) * CHOOSE(CONTROL!$C$15, $D$11, 100%, $F$11)</f>
        <v>45.739800000000002</v>
      </c>
      <c r="G960" s="8">
        <f>CHOOSE( CONTROL!$C$32, 44.2795, 44.2763) * CHOOSE( CONTROL!$C$15, $D$11, 100%, $F$11)</f>
        <v>44.279499999999999</v>
      </c>
      <c r="H960" s="4">
        <f>CHOOSE( CONTROL!$C$32, 45.2101, 45.207) * CHOOSE(CONTROL!$C$15, $D$11, 100%, $F$11)</f>
        <v>45.210099999999997</v>
      </c>
      <c r="I960" s="8">
        <f>CHOOSE( CONTROL!$C$32, 43.6423, 43.6392) * CHOOSE(CONTROL!$C$15, $D$11, 100%, $F$11)</f>
        <v>43.642299999999999</v>
      </c>
      <c r="J960" s="4">
        <f>CHOOSE( CONTROL!$C$32, 43.5266, 43.5235) * CHOOSE(CONTROL!$C$15, $D$11, 100%, $F$11)</f>
        <v>43.526600000000002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1.2183999999999999</v>
      </c>
      <c r="Q960" s="9">
        <v>19.688099999999999</v>
      </c>
      <c r="R960" s="9"/>
      <c r="S960" s="11"/>
    </row>
    <row r="961" spans="1:19" ht="15.75">
      <c r="A961" s="13">
        <v>70767</v>
      </c>
      <c r="B961" s="8">
        <f>CHOOSE( CONTROL!$C$32, 44.1152, 44.112) * CHOOSE(CONTROL!$C$15, $D$11, 100%, $F$11)</f>
        <v>44.115200000000002</v>
      </c>
      <c r="C961" s="8">
        <f>CHOOSE( CONTROL!$C$32, 44.1232, 44.12) * CHOOSE(CONTROL!$C$15, $D$11, 100%, $F$11)</f>
        <v>44.123199999999997</v>
      </c>
      <c r="D961" s="8">
        <f>CHOOSE( CONTROL!$C$32, 44.1263, 44.1231) * CHOOSE( CONTROL!$C$15, $D$11, 100%, $F$11)</f>
        <v>44.126300000000001</v>
      </c>
      <c r="E961" s="12">
        <f>CHOOSE( CONTROL!$C$32, 44.124, 44.1208) * CHOOSE( CONTROL!$C$15, $D$11, 100%, $F$11)</f>
        <v>44.124000000000002</v>
      </c>
      <c r="F961" s="4">
        <f>CHOOSE( CONTROL!$C$32, 44.7967, 44.7935) * CHOOSE(CONTROL!$C$15, $D$11, 100%, $F$11)</f>
        <v>44.796700000000001</v>
      </c>
      <c r="G961" s="8">
        <f>CHOOSE( CONTROL!$C$32, 43.3521, 43.3489) * CHOOSE( CONTROL!$C$15, $D$11, 100%, $F$11)</f>
        <v>43.3521</v>
      </c>
      <c r="H961" s="4">
        <f>CHOOSE( CONTROL!$C$32, 44.2827, 44.2795) * CHOOSE(CONTROL!$C$15, $D$11, 100%, $F$11)</f>
        <v>44.282699999999998</v>
      </c>
      <c r="I961" s="8">
        <f>CHOOSE( CONTROL!$C$32, 42.7303, 42.7272) * CHOOSE(CONTROL!$C$15, $D$11, 100%, $F$11)</f>
        <v>42.7303</v>
      </c>
      <c r="J961" s="4">
        <f>CHOOSE( CONTROL!$C$32, 42.6149, 42.6118) * CHOOSE(CONTROL!$C$15, $D$11, 100%, $F$11)</f>
        <v>42.614899999999999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1.1791</v>
      </c>
      <c r="Q961" s="9">
        <v>19.053000000000001</v>
      </c>
      <c r="R961" s="9"/>
      <c r="S961" s="11"/>
    </row>
    <row r="962" spans="1:19" ht="15.75">
      <c r="A962" s="13">
        <v>70798</v>
      </c>
      <c r="B962" s="8">
        <f>46.0684 * CHOOSE(CONTROL!$C$15, $D$11, 100%, $F$11)</f>
        <v>46.068399999999997</v>
      </c>
      <c r="C962" s="8">
        <f>46.0738 * CHOOSE(CONTROL!$C$15, $D$11, 100%, $F$11)</f>
        <v>46.073799999999999</v>
      </c>
      <c r="D962" s="8">
        <f>46.0817 * CHOOSE( CONTROL!$C$15, $D$11, 100%, $F$11)</f>
        <v>46.081699999999998</v>
      </c>
      <c r="E962" s="12">
        <f>46.0785 * CHOOSE( CONTROL!$C$15, $D$11, 100%, $F$11)</f>
        <v>46.078499999999998</v>
      </c>
      <c r="F962" s="4">
        <f>46.7517 * CHOOSE(CONTROL!$C$15, $D$11, 100%, $F$11)</f>
        <v>46.7517</v>
      </c>
      <c r="G962" s="8">
        <f>45.2742 * CHOOSE( CONTROL!$C$15, $D$11, 100%, $F$11)</f>
        <v>45.2742</v>
      </c>
      <c r="H962" s="4">
        <f>46.2052 * CHOOSE(CONTROL!$C$15, $D$11, 100%, $F$11)</f>
        <v>46.205199999999998</v>
      </c>
      <c r="I962" s="8">
        <f>44.6217 * CHOOSE(CONTROL!$C$15, $D$11, 100%, $F$11)</f>
        <v>44.621699999999997</v>
      </c>
      <c r="J962" s="4">
        <f>44.5048 * CHOOSE(CONTROL!$C$15, $D$11, 100%, $F$11)</f>
        <v>44.504800000000003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1.2183999999999999</v>
      </c>
      <c r="Q962" s="9">
        <v>19.688099999999999</v>
      </c>
      <c r="R962" s="9"/>
      <c r="S962" s="11"/>
    </row>
    <row r="963" spans="1:19" ht="15.75">
      <c r="A963" s="13">
        <v>70828</v>
      </c>
      <c r="B963" s="8">
        <f>49.6824 * CHOOSE(CONTROL!$C$15, $D$11, 100%, $F$11)</f>
        <v>49.682400000000001</v>
      </c>
      <c r="C963" s="8">
        <f>49.6876 * CHOOSE(CONTROL!$C$15, $D$11, 100%, $F$11)</f>
        <v>49.687600000000003</v>
      </c>
      <c r="D963" s="8">
        <f>49.6651 * CHOOSE( CONTROL!$C$15, $D$11, 100%, $F$11)</f>
        <v>49.665100000000002</v>
      </c>
      <c r="E963" s="12">
        <f>49.6728 * CHOOSE( CONTROL!$C$15, $D$11, 100%, $F$11)</f>
        <v>49.672800000000002</v>
      </c>
      <c r="F963" s="4">
        <f>50.3273 * CHOOSE(CONTROL!$C$15, $D$11, 100%, $F$11)</f>
        <v>50.327300000000001</v>
      </c>
      <c r="G963" s="8">
        <f>48.8412 * CHOOSE( CONTROL!$C$15, $D$11, 100%, $F$11)</f>
        <v>48.841200000000001</v>
      </c>
      <c r="H963" s="4">
        <f>49.7216 * CHOOSE(CONTROL!$C$15, $D$11, 100%, $F$11)</f>
        <v>49.721600000000002</v>
      </c>
      <c r="I963" s="8">
        <f>48.1432 * CHOOSE(CONTROL!$C$15, $D$11, 100%, $F$11)</f>
        <v>48.1432</v>
      </c>
      <c r="J963" s="4">
        <f>47.9988 * CHOOSE(CONTROL!$C$15, $D$11, 100%, $F$11)</f>
        <v>47.998800000000003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70859</v>
      </c>
      <c r="B964" s="8">
        <f>49.5921 * CHOOSE(CONTROL!$C$15, $D$11, 100%, $F$11)</f>
        <v>49.592100000000002</v>
      </c>
      <c r="C964" s="8">
        <f>49.5972 * CHOOSE(CONTROL!$C$15, $D$11, 100%, $F$11)</f>
        <v>49.597200000000001</v>
      </c>
      <c r="D964" s="8">
        <f>49.5762 * CHOOSE( CONTROL!$C$15, $D$11, 100%, $F$11)</f>
        <v>49.5762</v>
      </c>
      <c r="E964" s="12">
        <f>49.5833 * CHOOSE( CONTROL!$C$15, $D$11, 100%, $F$11)</f>
        <v>49.583300000000001</v>
      </c>
      <c r="F964" s="4">
        <f>50.237 * CHOOSE(CONTROL!$C$15, $D$11, 100%, $F$11)</f>
        <v>50.237000000000002</v>
      </c>
      <c r="G964" s="8">
        <f>48.7535 * CHOOSE( CONTROL!$C$15, $D$11, 100%, $F$11)</f>
        <v>48.753500000000003</v>
      </c>
      <c r="H964" s="4">
        <f>49.6328 * CHOOSE(CONTROL!$C$15, $D$11, 100%, $F$11)</f>
        <v>49.632800000000003</v>
      </c>
      <c r="I964" s="8">
        <f>48.0604 * CHOOSE(CONTROL!$C$15, $D$11, 100%, $F$11)</f>
        <v>48.060400000000001</v>
      </c>
      <c r="J964" s="4">
        <f>47.9115 * CHOOSE(CONTROL!$C$15, $D$11, 100%, $F$11)</f>
        <v>47.911499999999997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70890</v>
      </c>
      <c r="B965" s="8">
        <f>51.4864 * CHOOSE(CONTROL!$C$15, $D$11, 100%, $F$11)</f>
        <v>51.486400000000003</v>
      </c>
      <c r="C965" s="8">
        <f>51.4915 * CHOOSE(CONTROL!$C$15, $D$11, 100%, $F$11)</f>
        <v>51.491500000000002</v>
      </c>
      <c r="D965" s="8">
        <f>51.4695 * CHOOSE( CONTROL!$C$15, $D$11, 100%, $F$11)</f>
        <v>51.469499999999996</v>
      </c>
      <c r="E965" s="12">
        <f>51.477 * CHOOSE( CONTROL!$C$15, $D$11, 100%, $F$11)</f>
        <v>51.476999999999997</v>
      </c>
      <c r="F965" s="4">
        <f>52.1312 * CHOOSE(CONTROL!$C$15, $D$11, 100%, $F$11)</f>
        <v>52.1312</v>
      </c>
      <c r="G965" s="8">
        <f>50.6137 * CHOOSE( CONTROL!$C$15, $D$11, 100%, $F$11)</f>
        <v>50.613700000000001</v>
      </c>
      <c r="H965" s="4">
        <f>51.4956 * CHOOSE(CONTROL!$C$15, $D$11, 100%, $F$11)</f>
        <v>51.495600000000003</v>
      </c>
      <c r="I965" s="8">
        <f>49.8643 * CHOOSE(CONTROL!$C$15, $D$11, 100%, $F$11)</f>
        <v>49.8643</v>
      </c>
      <c r="J965" s="4">
        <f>49.7427 * CHOOSE(CONTROL!$C$15, $D$11, 100%, $F$11)</f>
        <v>49.742699999999999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70918</v>
      </c>
      <c r="B966" s="8">
        <f>48.1598 * CHOOSE(CONTROL!$C$15, $D$11, 100%, $F$11)</f>
        <v>48.159799999999997</v>
      </c>
      <c r="C966" s="8">
        <f>48.1649 * CHOOSE(CONTROL!$C$15, $D$11, 100%, $F$11)</f>
        <v>48.164900000000003</v>
      </c>
      <c r="D966" s="8">
        <f>48.1385 * CHOOSE( CONTROL!$C$15, $D$11, 100%, $F$11)</f>
        <v>48.138500000000001</v>
      </c>
      <c r="E966" s="12">
        <f>48.1476 * CHOOSE( CONTROL!$C$15, $D$11, 100%, $F$11)</f>
        <v>48.147599999999997</v>
      </c>
      <c r="F966" s="4">
        <f>48.8047 * CHOOSE(CONTROL!$C$15, $D$11, 100%, $F$11)</f>
        <v>48.804699999999997</v>
      </c>
      <c r="G966" s="8">
        <f>47.3338 * CHOOSE( CONTROL!$C$15, $D$11, 100%, $F$11)</f>
        <v>47.333799999999997</v>
      </c>
      <c r="H966" s="4">
        <f>48.2242 * CHOOSE(CONTROL!$C$15, $D$11, 100%, $F$11)</f>
        <v>48.224200000000003</v>
      </c>
      <c r="I966" s="8">
        <f>46.6179 * CHOOSE(CONTROL!$C$15, $D$11, 100%, $F$11)</f>
        <v>46.617899999999999</v>
      </c>
      <c r="J966" s="4">
        <f>46.5269 * CHOOSE(CONTROL!$C$15, $D$11, 100%, $F$11)</f>
        <v>46.526899999999998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70949</v>
      </c>
      <c r="B967" s="8">
        <f>47.1352 * CHOOSE(CONTROL!$C$15, $D$11, 100%, $F$11)</f>
        <v>47.135199999999998</v>
      </c>
      <c r="C967" s="8">
        <f>47.1404 * CHOOSE(CONTROL!$C$15, $D$11, 100%, $F$11)</f>
        <v>47.1404</v>
      </c>
      <c r="D967" s="8">
        <f>47.1144 * CHOOSE( CONTROL!$C$15, $D$11, 100%, $F$11)</f>
        <v>47.114400000000003</v>
      </c>
      <c r="E967" s="12">
        <f>47.1234 * CHOOSE( CONTROL!$C$15, $D$11, 100%, $F$11)</f>
        <v>47.123399999999997</v>
      </c>
      <c r="F967" s="4">
        <f>47.7801 * CHOOSE(CONTROL!$C$15, $D$11, 100%, $F$11)</f>
        <v>47.780099999999997</v>
      </c>
      <c r="G967" s="8">
        <f>46.3265 * CHOOSE( CONTROL!$C$15, $D$11, 100%, $F$11)</f>
        <v>46.326500000000003</v>
      </c>
      <c r="H967" s="4">
        <f>47.2166 * CHOOSE(CONTROL!$C$15, $D$11, 100%, $F$11)</f>
        <v>47.2166</v>
      </c>
      <c r="I967" s="8">
        <f>45.6281 * CHOOSE(CONTROL!$C$15, $D$11, 100%, $F$11)</f>
        <v>45.628100000000003</v>
      </c>
      <c r="J967" s="4">
        <f>45.5365 * CHOOSE(CONTROL!$C$15, $D$11, 100%, $F$11)</f>
        <v>45.536499999999997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70979</v>
      </c>
      <c r="B968" s="8">
        <f>47.8519 * CHOOSE(CONTROL!$C$15, $D$11, 100%, $F$11)</f>
        <v>47.851900000000001</v>
      </c>
      <c r="C968" s="8">
        <f>47.8565 * CHOOSE(CONTROL!$C$15, $D$11, 100%, $F$11)</f>
        <v>47.856499999999997</v>
      </c>
      <c r="D968" s="8">
        <f>47.8637 * CHOOSE( CONTROL!$C$15, $D$11, 100%, $F$11)</f>
        <v>47.863700000000001</v>
      </c>
      <c r="E968" s="12">
        <f>47.8608 * CHOOSE( CONTROL!$C$15, $D$11, 100%, $F$11)</f>
        <v>47.860799999999998</v>
      </c>
      <c r="F968" s="4">
        <f>48.5349 * CHOOSE(CONTROL!$C$15, $D$11, 100%, $F$11)</f>
        <v>48.5349</v>
      </c>
      <c r="G968" s="8">
        <f>47.0259 * CHOOSE( CONTROL!$C$15, $D$11, 100%, $F$11)</f>
        <v>47.0259</v>
      </c>
      <c r="H968" s="4">
        <f>47.9588 * CHOOSE(CONTROL!$C$15, $D$11, 100%, $F$11)</f>
        <v>47.958799999999997</v>
      </c>
      <c r="I968" s="8">
        <f>46.3404 * CHOOSE(CONTROL!$C$15, $D$11, 100%, $F$11)</f>
        <v>46.340400000000002</v>
      </c>
      <c r="J968" s="4">
        <f>46.2286 * CHOOSE(CONTROL!$C$15, $D$11, 100%, $F$11)</f>
        <v>46.2286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1.1791</v>
      </c>
      <c r="Q968" s="9">
        <v>19.053000000000001</v>
      </c>
      <c r="R968" s="9"/>
      <c r="S968" s="11"/>
    </row>
    <row r="969" spans="1:19" ht="15.75">
      <c r="A969" s="13">
        <v>71010</v>
      </c>
      <c r="B969" s="8">
        <f>CHOOSE( CONTROL!$C$32, 49.1307, 49.1275) * CHOOSE(CONTROL!$C$15, $D$11, 100%, $F$11)</f>
        <v>49.130699999999997</v>
      </c>
      <c r="C969" s="8">
        <f>CHOOSE( CONTROL!$C$32, 49.1387, 49.1355) * CHOOSE(CONTROL!$C$15, $D$11, 100%, $F$11)</f>
        <v>49.1387</v>
      </c>
      <c r="D969" s="8">
        <f>CHOOSE( CONTROL!$C$32, 49.1411, 49.1379) * CHOOSE( CONTROL!$C$15, $D$11, 100%, $F$11)</f>
        <v>49.141100000000002</v>
      </c>
      <c r="E969" s="12">
        <f>CHOOSE( CONTROL!$C$32, 49.139, 49.1358) * CHOOSE( CONTROL!$C$15, $D$11, 100%, $F$11)</f>
        <v>49.139000000000003</v>
      </c>
      <c r="F969" s="4">
        <f>CHOOSE( CONTROL!$C$32, 49.8123, 49.8091) * CHOOSE(CONTROL!$C$15, $D$11, 100%, $F$11)</f>
        <v>49.8123</v>
      </c>
      <c r="G969" s="8">
        <f>CHOOSE( CONTROL!$C$32, 48.2833, 48.2801) * CHOOSE( CONTROL!$C$15, $D$11, 100%, $F$11)</f>
        <v>48.283299999999997</v>
      </c>
      <c r="H969" s="4">
        <f>CHOOSE( CONTROL!$C$32, 49.2151, 49.2119) * CHOOSE(CONTROL!$C$15, $D$11, 100%, $F$11)</f>
        <v>49.2151</v>
      </c>
      <c r="I969" s="8">
        <f>CHOOSE( CONTROL!$C$32, 47.5775, 47.5744) * CHOOSE(CONTROL!$C$15, $D$11, 100%, $F$11)</f>
        <v>47.577500000000001</v>
      </c>
      <c r="J969" s="4">
        <f>CHOOSE( CONTROL!$C$32, 47.4634, 47.4604) * CHOOSE(CONTROL!$C$15, $D$11, 100%, $F$11)</f>
        <v>47.4634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1.2183999999999999</v>
      </c>
      <c r="Q969" s="9">
        <v>19.688099999999999</v>
      </c>
      <c r="R969" s="9"/>
      <c r="S969" s="11"/>
    </row>
    <row r="970" spans="1:19" ht="15.75">
      <c r="A970" s="13">
        <v>71040</v>
      </c>
      <c r="B970" s="8">
        <f>CHOOSE( CONTROL!$C$32, 48.3414, 48.3382) * CHOOSE(CONTROL!$C$15, $D$11, 100%, $F$11)</f>
        <v>48.3414</v>
      </c>
      <c r="C970" s="8">
        <f>CHOOSE( CONTROL!$C$32, 48.3494, 48.3462) * CHOOSE(CONTROL!$C$15, $D$11, 100%, $F$11)</f>
        <v>48.349400000000003</v>
      </c>
      <c r="D970" s="8">
        <f>CHOOSE( CONTROL!$C$32, 48.352, 48.3488) * CHOOSE( CONTROL!$C$15, $D$11, 100%, $F$11)</f>
        <v>48.351999999999997</v>
      </c>
      <c r="E970" s="12">
        <f>CHOOSE( CONTROL!$C$32, 48.3498, 48.3466) * CHOOSE( CONTROL!$C$15, $D$11, 100%, $F$11)</f>
        <v>48.349800000000002</v>
      </c>
      <c r="F970" s="4">
        <f>CHOOSE( CONTROL!$C$32, 49.0229, 49.0197) * CHOOSE(CONTROL!$C$15, $D$11, 100%, $F$11)</f>
        <v>49.0229</v>
      </c>
      <c r="G970" s="8">
        <f>CHOOSE( CONTROL!$C$32, 47.5075, 47.5043) * CHOOSE( CONTROL!$C$15, $D$11, 100%, $F$11)</f>
        <v>47.5075</v>
      </c>
      <c r="H970" s="4">
        <f>CHOOSE( CONTROL!$C$32, 48.4388, 48.4357) * CHOOSE(CONTROL!$C$15, $D$11, 100%, $F$11)</f>
        <v>48.438800000000001</v>
      </c>
      <c r="I970" s="8">
        <f>CHOOSE( CONTROL!$C$32, 46.8155, 46.8124) * CHOOSE(CONTROL!$C$15, $D$11, 100%, $F$11)</f>
        <v>46.8155</v>
      </c>
      <c r="J970" s="4">
        <f>CHOOSE( CONTROL!$C$32, 46.7004, 46.6973) * CHOOSE(CONTROL!$C$15, $D$11, 100%, $F$11)</f>
        <v>46.700400000000002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1.1791</v>
      </c>
      <c r="Q970" s="9">
        <v>19.053000000000001</v>
      </c>
      <c r="R970" s="9"/>
      <c r="S970" s="11"/>
    </row>
    <row r="971" spans="1:19" ht="15.75">
      <c r="A971" s="13">
        <v>71071</v>
      </c>
      <c r="B971" s="8">
        <f>CHOOSE( CONTROL!$C$32, 50.42, 50.4168) * CHOOSE(CONTROL!$C$15, $D$11, 100%, $F$11)</f>
        <v>50.42</v>
      </c>
      <c r="C971" s="8">
        <f>CHOOSE( CONTROL!$C$32, 50.428, 50.4248) * CHOOSE(CONTROL!$C$15, $D$11, 100%, $F$11)</f>
        <v>50.427999999999997</v>
      </c>
      <c r="D971" s="8">
        <f>CHOOSE( CONTROL!$C$32, 50.4309, 50.4277) * CHOOSE( CONTROL!$C$15, $D$11, 100%, $F$11)</f>
        <v>50.430900000000001</v>
      </c>
      <c r="E971" s="12">
        <f>CHOOSE( CONTROL!$C$32, 50.4286, 50.4254) * CHOOSE( CONTROL!$C$15, $D$11, 100%, $F$11)</f>
        <v>50.428600000000003</v>
      </c>
      <c r="F971" s="4">
        <f>CHOOSE( CONTROL!$C$32, 51.1016, 51.0984) * CHOOSE(CONTROL!$C$15, $D$11, 100%, $F$11)</f>
        <v>51.101599999999998</v>
      </c>
      <c r="G971" s="8">
        <f>CHOOSE( CONTROL!$C$32, 49.5521, 49.5489) * CHOOSE( CONTROL!$C$15, $D$11, 100%, $F$11)</f>
        <v>49.552100000000003</v>
      </c>
      <c r="H971" s="4">
        <f>CHOOSE( CONTROL!$C$32, 50.483, 50.4798) * CHOOSE(CONTROL!$C$15, $D$11, 100%, $F$11)</f>
        <v>50.482999999999997</v>
      </c>
      <c r="I971" s="8">
        <f>CHOOSE( CONTROL!$C$32, 48.8273, 48.8242) * CHOOSE(CONTROL!$C$15, $D$11, 100%, $F$11)</f>
        <v>48.827300000000001</v>
      </c>
      <c r="J971" s="4">
        <f>CHOOSE( CONTROL!$C$32, 48.7098, 48.7067) * CHOOSE(CONTROL!$C$15, $D$11, 100%, $F$11)</f>
        <v>48.709800000000001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71102</v>
      </c>
      <c r="B972" s="8">
        <f>CHOOSE( CONTROL!$C$32, 46.5307, 46.5275) * CHOOSE(CONTROL!$C$15, $D$11, 100%, $F$11)</f>
        <v>46.530700000000003</v>
      </c>
      <c r="C972" s="8">
        <f>CHOOSE( CONTROL!$C$32, 46.5387, 46.5355) * CHOOSE(CONTROL!$C$15, $D$11, 100%, $F$11)</f>
        <v>46.538699999999999</v>
      </c>
      <c r="D972" s="8">
        <f>CHOOSE( CONTROL!$C$32, 46.5418, 46.5386) * CHOOSE( CONTROL!$C$15, $D$11, 100%, $F$11)</f>
        <v>46.541800000000002</v>
      </c>
      <c r="E972" s="12">
        <f>CHOOSE( CONTROL!$C$32, 46.5395, 46.5363) * CHOOSE( CONTROL!$C$15, $D$11, 100%, $F$11)</f>
        <v>46.539499999999997</v>
      </c>
      <c r="F972" s="4">
        <f>CHOOSE( CONTROL!$C$32, 47.2122, 47.209) * CHOOSE(CONTROL!$C$15, $D$11, 100%, $F$11)</f>
        <v>47.212200000000003</v>
      </c>
      <c r="G972" s="8">
        <f>CHOOSE( CONTROL!$C$32, 45.7275, 45.7243) * CHOOSE( CONTROL!$C$15, $D$11, 100%, $F$11)</f>
        <v>45.727499999999999</v>
      </c>
      <c r="H972" s="4">
        <f>CHOOSE( CONTROL!$C$32, 46.6581, 46.655) * CHOOSE(CONTROL!$C$15, $D$11, 100%, $F$11)</f>
        <v>46.658099999999997</v>
      </c>
      <c r="I972" s="8">
        <f>CHOOSE( CONTROL!$C$32, 45.0664, 45.0633) * CHOOSE(CONTROL!$C$15, $D$11, 100%, $F$11)</f>
        <v>45.066400000000002</v>
      </c>
      <c r="J972" s="4">
        <f>CHOOSE( CONTROL!$C$32, 44.95, 44.9469) * CHOOSE(CONTROL!$C$15, $D$11, 100%, $F$11)</f>
        <v>44.95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1.2183999999999999</v>
      </c>
      <c r="Q972" s="9">
        <v>19.688099999999999</v>
      </c>
      <c r="R972" s="9"/>
      <c r="S972" s="11"/>
    </row>
    <row r="973" spans="1:19" ht="15.75">
      <c r="A973" s="13">
        <v>71132</v>
      </c>
      <c r="B973" s="8">
        <f>CHOOSE( CONTROL!$C$32, 45.5568, 45.5536) * CHOOSE(CONTROL!$C$15, $D$11, 100%, $F$11)</f>
        <v>45.556800000000003</v>
      </c>
      <c r="C973" s="8">
        <f>CHOOSE( CONTROL!$C$32, 45.5648, 45.5616) * CHOOSE(CONTROL!$C$15, $D$11, 100%, $F$11)</f>
        <v>45.564799999999998</v>
      </c>
      <c r="D973" s="8">
        <f>CHOOSE( CONTROL!$C$32, 45.5679, 45.5647) * CHOOSE( CONTROL!$C$15, $D$11, 100%, $F$11)</f>
        <v>45.567900000000002</v>
      </c>
      <c r="E973" s="12">
        <f>CHOOSE( CONTROL!$C$32, 45.5656, 45.5624) * CHOOSE( CONTROL!$C$15, $D$11, 100%, $F$11)</f>
        <v>45.565600000000003</v>
      </c>
      <c r="F973" s="4">
        <f>CHOOSE( CONTROL!$C$32, 46.2383, 46.2351) * CHOOSE(CONTROL!$C$15, $D$11, 100%, $F$11)</f>
        <v>46.238300000000002</v>
      </c>
      <c r="G973" s="8">
        <f>CHOOSE( CONTROL!$C$32, 44.7697, 44.7666) * CHOOSE( CONTROL!$C$15, $D$11, 100%, $F$11)</f>
        <v>44.7697</v>
      </c>
      <c r="H973" s="4">
        <f>CHOOSE( CONTROL!$C$32, 45.7004, 45.6972) * CHOOSE(CONTROL!$C$15, $D$11, 100%, $F$11)</f>
        <v>45.700400000000002</v>
      </c>
      <c r="I973" s="8">
        <f>CHOOSE( CONTROL!$C$32, 44.1246, 44.1215) * CHOOSE(CONTROL!$C$15, $D$11, 100%, $F$11)</f>
        <v>44.124600000000001</v>
      </c>
      <c r="J973" s="4">
        <f>CHOOSE( CONTROL!$C$32, 44.0085, 44.0054) * CHOOSE(CONTROL!$C$15, $D$11, 100%, $F$11)</f>
        <v>44.008499999999998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1.1791</v>
      </c>
      <c r="Q973" s="9">
        <v>19.053000000000001</v>
      </c>
      <c r="R973" s="9"/>
      <c r="S973" s="11"/>
    </row>
    <row r="974" spans="1:19" ht="15.75">
      <c r="A974" s="13">
        <v>71163</v>
      </c>
      <c r="B974" s="8">
        <f>47.5741 * CHOOSE(CONTROL!$C$15, $D$11, 100%, $F$11)</f>
        <v>47.574100000000001</v>
      </c>
      <c r="C974" s="8">
        <f>47.5794 * CHOOSE(CONTROL!$C$15, $D$11, 100%, $F$11)</f>
        <v>47.5794</v>
      </c>
      <c r="D974" s="8">
        <f>47.5873 * CHOOSE( CONTROL!$C$15, $D$11, 100%, $F$11)</f>
        <v>47.587299999999999</v>
      </c>
      <c r="E974" s="12">
        <f>47.5841 * CHOOSE( CONTROL!$C$15, $D$11, 100%, $F$11)</f>
        <v>47.584099999999999</v>
      </c>
      <c r="F974" s="4">
        <f>48.2573 * CHOOSE(CONTROL!$C$15, $D$11, 100%, $F$11)</f>
        <v>48.257300000000001</v>
      </c>
      <c r="G974" s="8">
        <f>46.7548 * CHOOSE( CONTROL!$C$15, $D$11, 100%, $F$11)</f>
        <v>46.754800000000003</v>
      </c>
      <c r="H974" s="4">
        <f>47.6859 * CHOOSE(CONTROL!$C$15, $D$11, 100%, $F$11)</f>
        <v>47.685899999999997</v>
      </c>
      <c r="I974" s="8">
        <f>46.0779 * CHOOSE(CONTROL!$C$15, $D$11, 100%, $F$11)</f>
        <v>46.0779</v>
      </c>
      <c r="J974" s="4">
        <f>45.9603 * CHOOSE(CONTROL!$C$15, $D$11, 100%, $F$11)</f>
        <v>45.960299999999997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1.2183999999999999</v>
      </c>
      <c r="Q974" s="9">
        <v>19.688099999999999</v>
      </c>
      <c r="R974" s="9"/>
      <c r="S974" s="11"/>
    </row>
    <row r="975" spans="1:19" ht="15.75">
      <c r="A975" s="13">
        <v>71193</v>
      </c>
      <c r="B975" s="8">
        <f>51.3062 * CHOOSE(CONTROL!$C$15, $D$11, 100%, $F$11)</f>
        <v>51.306199999999997</v>
      </c>
      <c r="C975" s="8">
        <f>51.3114 * CHOOSE(CONTROL!$C$15, $D$11, 100%, $F$11)</f>
        <v>51.311399999999999</v>
      </c>
      <c r="D975" s="8">
        <f>51.2889 * CHOOSE( CONTROL!$C$15, $D$11, 100%, $F$11)</f>
        <v>51.288899999999998</v>
      </c>
      <c r="E975" s="12">
        <f>51.2966 * CHOOSE( CONTROL!$C$15, $D$11, 100%, $F$11)</f>
        <v>51.296599999999998</v>
      </c>
      <c r="F975" s="4">
        <f>51.9511 * CHOOSE(CONTROL!$C$15, $D$11, 100%, $F$11)</f>
        <v>51.951099999999997</v>
      </c>
      <c r="G975" s="8">
        <f>50.4381 * CHOOSE( CONTROL!$C$15, $D$11, 100%, $F$11)</f>
        <v>50.438099999999999</v>
      </c>
      <c r="H975" s="4">
        <f>51.3185 * CHOOSE(CONTROL!$C$15, $D$11, 100%, $F$11)</f>
        <v>51.3185</v>
      </c>
      <c r="I975" s="8">
        <f>49.7137 * CHOOSE(CONTROL!$C$15, $D$11, 100%, $F$11)</f>
        <v>49.713700000000003</v>
      </c>
      <c r="J975" s="4">
        <f>49.5686 * CHOOSE(CONTROL!$C$15, $D$11, 100%, $F$11)</f>
        <v>49.568600000000004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71224</v>
      </c>
      <c r="B976" s="8">
        <f>51.213 * CHOOSE(CONTROL!$C$15, $D$11, 100%, $F$11)</f>
        <v>51.213000000000001</v>
      </c>
      <c r="C976" s="8">
        <f>51.2181 * CHOOSE(CONTROL!$C$15, $D$11, 100%, $F$11)</f>
        <v>51.2181</v>
      </c>
      <c r="D976" s="8">
        <f>51.1971 * CHOOSE( CONTROL!$C$15, $D$11, 100%, $F$11)</f>
        <v>51.197099999999999</v>
      </c>
      <c r="E976" s="12">
        <f>51.2042 * CHOOSE( CONTROL!$C$15, $D$11, 100%, $F$11)</f>
        <v>51.2042</v>
      </c>
      <c r="F976" s="4">
        <f>51.8579 * CHOOSE(CONTROL!$C$15, $D$11, 100%, $F$11)</f>
        <v>51.857900000000001</v>
      </c>
      <c r="G976" s="8">
        <f>50.3474 * CHOOSE( CONTROL!$C$15, $D$11, 100%, $F$11)</f>
        <v>50.3474</v>
      </c>
      <c r="H976" s="4">
        <f>51.2267 * CHOOSE(CONTROL!$C$15, $D$11, 100%, $F$11)</f>
        <v>51.226700000000001</v>
      </c>
      <c r="I976" s="8">
        <f>49.6281 * CHOOSE(CONTROL!$C$15, $D$11, 100%, $F$11)</f>
        <v>49.628100000000003</v>
      </c>
      <c r="J976" s="4">
        <f>49.4784 * CHOOSE(CONTROL!$C$15, $D$11, 100%, $F$11)</f>
        <v>49.478400000000001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71255</v>
      </c>
      <c r="B977" s="8">
        <f>53.1692 * CHOOSE(CONTROL!$C$15, $D$11, 100%, $F$11)</f>
        <v>53.169199999999996</v>
      </c>
      <c r="C977" s="8">
        <f>53.1743 * CHOOSE(CONTROL!$C$15, $D$11, 100%, $F$11)</f>
        <v>53.174300000000002</v>
      </c>
      <c r="D977" s="8">
        <f>53.1523 * CHOOSE( CONTROL!$C$15, $D$11, 100%, $F$11)</f>
        <v>53.152299999999997</v>
      </c>
      <c r="E977" s="12">
        <f>53.1598 * CHOOSE( CONTROL!$C$15, $D$11, 100%, $F$11)</f>
        <v>53.159799999999997</v>
      </c>
      <c r="F977" s="4">
        <f>53.8141 * CHOOSE(CONTROL!$C$15, $D$11, 100%, $F$11)</f>
        <v>53.814100000000003</v>
      </c>
      <c r="G977" s="8">
        <f>52.2686 * CHOOSE( CONTROL!$C$15, $D$11, 100%, $F$11)</f>
        <v>52.268599999999999</v>
      </c>
      <c r="H977" s="4">
        <f>53.1505 * CHOOSE(CONTROL!$C$15, $D$11, 100%, $F$11)</f>
        <v>53.150500000000001</v>
      </c>
      <c r="I977" s="8">
        <f>51.4919 * CHOOSE(CONTROL!$C$15, $D$11, 100%, $F$11)</f>
        <v>51.491900000000001</v>
      </c>
      <c r="J977" s="4">
        <f>51.3695 * CHOOSE(CONTROL!$C$15, $D$11, 100%, $F$11)</f>
        <v>51.369500000000002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71283</v>
      </c>
      <c r="B978" s="8">
        <f>49.7338 * CHOOSE(CONTROL!$C$15, $D$11, 100%, $F$11)</f>
        <v>49.733800000000002</v>
      </c>
      <c r="C978" s="8">
        <f>49.7389 * CHOOSE(CONTROL!$C$15, $D$11, 100%, $F$11)</f>
        <v>49.738900000000001</v>
      </c>
      <c r="D978" s="8">
        <f>49.7126 * CHOOSE( CONTROL!$C$15, $D$11, 100%, $F$11)</f>
        <v>49.712600000000002</v>
      </c>
      <c r="E978" s="12">
        <f>49.7217 * CHOOSE( CONTROL!$C$15, $D$11, 100%, $F$11)</f>
        <v>49.721699999999998</v>
      </c>
      <c r="F978" s="4">
        <f>50.3787 * CHOOSE(CONTROL!$C$15, $D$11, 100%, $F$11)</f>
        <v>50.378700000000002</v>
      </c>
      <c r="G978" s="8">
        <f>48.8817 * CHOOSE( CONTROL!$C$15, $D$11, 100%, $F$11)</f>
        <v>48.881700000000002</v>
      </c>
      <c r="H978" s="4">
        <f>49.7721 * CHOOSE(CONTROL!$C$15, $D$11, 100%, $F$11)</f>
        <v>49.772100000000002</v>
      </c>
      <c r="I978" s="8">
        <f>48.1402 * CHOOSE(CONTROL!$C$15, $D$11, 100%, $F$11)</f>
        <v>48.1402</v>
      </c>
      <c r="J978" s="4">
        <f>48.0485 * CHOOSE(CONTROL!$C$15, $D$11, 100%, $F$11)</f>
        <v>48.048499999999997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71314</v>
      </c>
      <c r="B979" s="8">
        <f>48.6757 * CHOOSE(CONTROL!$C$15, $D$11, 100%, $F$11)</f>
        <v>48.675699999999999</v>
      </c>
      <c r="C979" s="8">
        <f>48.6809 * CHOOSE(CONTROL!$C$15, $D$11, 100%, $F$11)</f>
        <v>48.680900000000001</v>
      </c>
      <c r="D979" s="8">
        <f>48.6549 * CHOOSE( CONTROL!$C$15, $D$11, 100%, $F$11)</f>
        <v>48.654899999999998</v>
      </c>
      <c r="E979" s="12">
        <f>48.6639 * CHOOSE( CONTROL!$C$15, $D$11, 100%, $F$11)</f>
        <v>48.663899999999998</v>
      </c>
      <c r="F979" s="4">
        <f>49.3206 * CHOOSE(CONTROL!$C$15, $D$11, 100%, $F$11)</f>
        <v>49.320599999999999</v>
      </c>
      <c r="G979" s="8">
        <f>47.8415 * CHOOSE( CONTROL!$C$15, $D$11, 100%, $F$11)</f>
        <v>47.841500000000003</v>
      </c>
      <c r="H979" s="4">
        <f>48.7316 * CHOOSE(CONTROL!$C$15, $D$11, 100%, $F$11)</f>
        <v>48.7316</v>
      </c>
      <c r="I979" s="8">
        <f>47.1181 * CHOOSE(CONTROL!$C$15, $D$11, 100%, $F$11)</f>
        <v>47.118099999999998</v>
      </c>
      <c r="J979" s="4">
        <f>47.0257 * CHOOSE(CONTROL!$C$15, $D$11, 100%, $F$11)</f>
        <v>47.025700000000001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71344</v>
      </c>
      <c r="B980" s="8">
        <f>49.4159 * CHOOSE(CONTROL!$C$15, $D$11, 100%, $F$11)</f>
        <v>49.415900000000001</v>
      </c>
      <c r="C980" s="8">
        <f>49.4204 * CHOOSE(CONTROL!$C$15, $D$11, 100%, $F$11)</f>
        <v>49.420400000000001</v>
      </c>
      <c r="D980" s="8">
        <f>49.4276 * CHOOSE( CONTROL!$C$15, $D$11, 100%, $F$11)</f>
        <v>49.427599999999998</v>
      </c>
      <c r="E980" s="12">
        <f>49.4247 * CHOOSE( CONTROL!$C$15, $D$11, 100%, $F$11)</f>
        <v>49.424700000000001</v>
      </c>
      <c r="F980" s="4">
        <f>50.0988 * CHOOSE(CONTROL!$C$15, $D$11, 100%, $F$11)</f>
        <v>50.098799999999997</v>
      </c>
      <c r="G980" s="8">
        <f>48.5639 * CHOOSE( CONTROL!$C$15, $D$11, 100%, $F$11)</f>
        <v>48.563899999999997</v>
      </c>
      <c r="H980" s="4">
        <f>49.4968 * CHOOSE(CONTROL!$C$15, $D$11, 100%, $F$11)</f>
        <v>49.4968</v>
      </c>
      <c r="I980" s="8">
        <f>47.853 * CHOOSE(CONTROL!$C$15, $D$11, 100%, $F$11)</f>
        <v>47.853000000000002</v>
      </c>
      <c r="J980" s="4">
        <f>47.7404 * CHOOSE(CONTROL!$C$15, $D$11, 100%, $F$11)</f>
        <v>47.740400000000001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1.1791</v>
      </c>
      <c r="Q980" s="9">
        <v>19.053000000000001</v>
      </c>
      <c r="R980" s="9"/>
      <c r="S980" s="11"/>
    </row>
    <row r="981" spans="1:19" ht="15.75">
      <c r="A981" s="13">
        <v>71375</v>
      </c>
      <c r="B981" s="8">
        <f>CHOOSE( CONTROL!$C$32, 50.7363, 50.7331) * CHOOSE(CONTROL!$C$15, $D$11, 100%, $F$11)</f>
        <v>50.7363</v>
      </c>
      <c r="C981" s="8">
        <f>CHOOSE( CONTROL!$C$32, 50.7443, 50.7411) * CHOOSE(CONTROL!$C$15, $D$11, 100%, $F$11)</f>
        <v>50.744300000000003</v>
      </c>
      <c r="D981" s="8">
        <f>CHOOSE( CONTROL!$C$32, 50.7467, 50.7435) * CHOOSE( CONTROL!$C$15, $D$11, 100%, $F$11)</f>
        <v>50.746699999999997</v>
      </c>
      <c r="E981" s="12">
        <f>CHOOSE( CONTROL!$C$32, 50.7446, 50.7414) * CHOOSE( CONTROL!$C$15, $D$11, 100%, $F$11)</f>
        <v>50.744599999999998</v>
      </c>
      <c r="F981" s="4">
        <f>CHOOSE( CONTROL!$C$32, 51.4179, 51.4147) * CHOOSE(CONTROL!$C$15, $D$11, 100%, $F$11)</f>
        <v>51.417900000000003</v>
      </c>
      <c r="G981" s="8">
        <f>CHOOSE( CONTROL!$C$32, 49.8622, 49.8591) * CHOOSE( CONTROL!$C$15, $D$11, 100%, $F$11)</f>
        <v>49.862200000000001</v>
      </c>
      <c r="H981" s="4">
        <f>CHOOSE( CONTROL!$C$32, 50.794, 50.7909) * CHOOSE(CONTROL!$C$15, $D$11, 100%, $F$11)</f>
        <v>50.793999999999997</v>
      </c>
      <c r="I981" s="8">
        <f>CHOOSE( CONTROL!$C$32, 49.1304, 49.1273) * CHOOSE(CONTROL!$C$15, $D$11, 100%, $F$11)</f>
        <v>49.130400000000002</v>
      </c>
      <c r="J981" s="4">
        <f>CHOOSE( CONTROL!$C$32, 49.0156, 49.0125) * CHOOSE(CONTROL!$C$15, $D$11, 100%, $F$11)</f>
        <v>49.015599999999999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1.2183999999999999</v>
      </c>
      <c r="Q981" s="9">
        <v>19.688099999999999</v>
      </c>
      <c r="R981" s="9"/>
      <c r="S981" s="11"/>
    </row>
    <row r="982" spans="1:19" ht="15.75">
      <c r="A982" s="13">
        <v>71405</v>
      </c>
      <c r="B982" s="8">
        <f>CHOOSE( CONTROL!$C$32, 49.9212, 49.918) * CHOOSE(CONTROL!$C$15, $D$11, 100%, $F$11)</f>
        <v>49.921199999999999</v>
      </c>
      <c r="C982" s="8">
        <f>CHOOSE( CONTROL!$C$32, 49.9292, 49.926) * CHOOSE(CONTROL!$C$15, $D$11, 100%, $F$11)</f>
        <v>49.929200000000002</v>
      </c>
      <c r="D982" s="8">
        <f>CHOOSE( CONTROL!$C$32, 49.9318, 49.9286) * CHOOSE( CONTROL!$C$15, $D$11, 100%, $F$11)</f>
        <v>49.931800000000003</v>
      </c>
      <c r="E982" s="12">
        <f>CHOOSE( CONTROL!$C$32, 49.9296, 49.9264) * CHOOSE( CONTROL!$C$15, $D$11, 100%, $F$11)</f>
        <v>49.929600000000001</v>
      </c>
      <c r="F982" s="4">
        <f>CHOOSE( CONTROL!$C$32, 50.6027, 50.5995) * CHOOSE(CONTROL!$C$15, $D$11, 100%, $F$11)</f>
        <v>50.602699999999999</v>
      </c>
      <c r="G982" s="8">
        <f>CHOOSE( CONTROL!$C$32, 49.061, 49.0579) * CHOOSE( CONTROL!$C$15, $D$11, 100%, $F$11)</f>
        <v>49.061</v>
      </c>
      <c r="H982" s="4">
        <f>CHOOSE( CONTROL!$C$32, 49.9924, 49.9893) * CHOOSE(CONTROL!$C$15, $D$11, 100%, $F$11)</f>
        <v>49.992400000000004</v>
      </c>
      <c r="I982" s="8">
        <f>CHOOSE( CONTROL!$C$32, 48.3434, 48.3403) * CHOOSE(CONTROL!$C$15, $D$11, 100%, $F$11)</f>
        <v>48.343400000000003</v>
      </c>
      <c r="J982" s="4">
        <f>CHOOSE( CONTROL!$C$32, 48.2276, 48.2245) * CHOOSE(CONTROL!$C$15, $D$11, 100%, $F$11)</f>
        <v>48.227600000000002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1.1791</v>
      </c>
      <c r="Q982" s="9">
        <v>19.053000000000001</v>
      </c>
      <c r="R982" s="9"/>
      <c r="S982" s="11"/>
    </row>
    <row r="983" spans="1:19" ht="15.75">
      <c r="A983" s="13">
        <v>71436</v>
      </c>
      <c r="B983" s="8">
        <f>CHOOSE( CONTROL!$C$32, 52.0678, 52.0646) * CHOOSE(CONTROL!$C$15, $D$11, 100%, $F$11)</f>
        <v>52.067799999999998</v>
      </c>
      <c r="C983" s="8">
        <f>CHOOSE( CONTROL!$C$32, 52.0758, 52.0726) * CHOOSE(CONTROL!$C$15, $D$11, 100%, $F$11)</f>
        <v>52.075800000000001</v>
      </c>
      <c r="D983" s="8">
        <f>CHOOSE( CONTROL!$C$32, 52.0787, 52.0755) * CHOOSE( CONTROL!$C$15, $D$11, 100%, $F$11)</f>
        <v>52.078699999999998</v>
      </c>
      <c r="E983" s="12">
        <f>CHOOSE( CONTROL!$C$32, 52.0764, 52.0732) * CHOOSE( CONTROL!$C$15, $D$11, 100%, $F$11)</f>
        <v>52.0764</v>
      </c>
      <c r="F983" s="4">
        <f>CHOOSE( CONTROL!$C$32, 52.7493, 52.7461) * CHOOSE(CONTROL!$C$15, $D$11, 100%, $F$11)</f>
        <v>52.749299999999998</v>
      </c>
      <c r="G983" s="8">
        <f>CHOOSE( CONTROL!$C$32, 51.1725, 51.1693) * CHOOSE( CONTROL!$C$15, $D$11, 100%, $F$11)</f>
        <v>51.172499999999999</v>
      </c>
      <c r="H983" s="4">
        <f>CHOOSE( CONTROL!$C$32, 52.1034, 52.1003) * CHOOSE(CONTROL!$C$15, $D$11, 100%, $F$11)</f>
        <v>52.103400000000001</v>
      </c>
      <c r="I983" s="8">
        <f>CHOOSE( CONTROL!$C$32, 50.421, 50.4179) * CHOOSE(CONTROL!$C$15, $D$11, 100%, $F$11)</f>
        <v>50.420999999999999</v>
      </c>
      <c r="J983" s="4">
        <f>CHOOSE( CONTROL!$C$32, 50.3027, 50.2996) * CHOOSE(CONTROL!$C$15, $D$11, 100%, $F$11)</f>
        <v>50.302700000000002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71467</v>
      </c>
      <c r="B984" s="8">
        <f>CHOOSE( CONTROL!$C$32, 48.0513, 48.0481) * CHOOSE(CONTROL!$C$15, $D$11, 100%, $F$11)</f>
        <v>48.051299999999998</v>
      </c>
      <c r="C984" s="8">
        <f>CHOOSE( CONTROL!$C$32, 48.0593, 48.0561) * CHOOSE(CONTROL!$C$15, $D$11, 100%, $F$11)</f>
        <v>48.0593</v>
      </c>
      <c r="D984" s="8">
        <f>CHOOSE( CONTROL!$C$32, 48.0624, 48.0592) * CHOOSE( CONTROL!$C$15, $D$11, 100%, $F$11)</f>
        <v>48.062399999999997</v>
      </c>
      <c r="E984" s="12">
        <f>CHOOSE( CONTROL!$C$32, 48.0601, 48.0569) * CHOOSE( CONTROL!$C$15, $D$11, 100%, $F$11)</f>
        <v>48.060099999999998</v>
      </c>
      <c r="F984" s="4">
        <f>CHOOSE( CONTROL!$C$32, 48.7328, 48.7296) * CHOOSE(CONTROL!$C$15, $D$11, 100%, $F$11)</f>
        <v>48.732799999999997</v>
      </c>
      <c r="G984" s="8">
        <f>CHOOSE( CONTROL!$C$32, 47.2228, 47.2197) * CHOOSE( CONTROL!$C$15, $D$11, 100%, $F$11)</f>
        <v>47.222799999999999</v>
      </c>
      <c r="H984" s="4">
        <f>CHOOSE( CONTROL!$C$32, 48.1535, 48.1503) * CHOOSE(CONTROL!$C$15, $D$11, 100%, $F$11)</f>
        <v>48.153500000000001</v>
      </c>
      <c r="I984" s="8">
        <f>CHOOSE( CONTROL!$C$32, 46.5371, 46.534) * CHOOSE(CONTROL!$C$15, $D$11, 100%, $F$11)</f>
        <v>46.537100000000002</v>
      </c>
      <c r="J984" s="4">
        <f>CHOOSE( CONTROL!$C$32, 46.4199, 46.4168) * CHOOSE(CONTROL!$C$15, $D$11, 100%, $F$11)</f>
        <v>46.419899999999998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1.2183999999999999</v>
      </c>
      <c r="Q984" s="9">
        <v>19.688099999999999</v>
      </c>
      <c r="R984" s="9"/>
      <c r="S984" s="11"/>
    </row>
    <row r="985" spans="1:19" ht="15.75">
      <c r="A985" s="13">
        <v>71497</v>
      </c>
      <c r="B985" s="8">
        <f>CHOOSE( CONTROL!$C$32, 47.0455, 47.0423) * CHOOSE(CONTROL!$C$15, $D$11, 100%, $F$11)</f>
        <v>47.045499999999997</v>
      </c>
      <c r="C985" s="8">
        <f>CHOOSE( CONTROL!$C$32, 47.0535, 47.0503) * CHOOSE(CONTROL!$C$15, $D$11, 100%, $F$11)</f>
        <v>47.0535</v>
      </c>
      <c r="D985" s="8">
        <f>CHOOSE( CONTROL!$C$32, 47.0566, 47.0534) * CHOOSE( CONTROL!$C$15, $D$11, 100%, $F$11)</f>
        <v>47.056600000000003</v>
      </c>
      <c r="E985" s="12">
        <f>CHOOSE( CONTROL!$C$32, 47.0543, 47.0511) * CHOOSE( CONTROL!$C$15, $D$11, 100%, $F$11)</f>
        <v>47.054299999999998</v>
      </c>
      <c r="F985" s="4">
        <f>CHOOSE( CONTROL!$C$32, 47.727, 47.7238) * CHOOSE(CONTROL!$C$15, $D$11, 100%, $F$11)</f>
        <v>47.726999999999997</v>
      </c>
      <c r="G985" s="8">
        <f>CHOOSE( CONTROL!$C$32, 46.2338, 46.2306) * CHOOSE( CONTROL!$C$15, $D$11, 100%, $F$11)</f>
        <v>46.233800000000002</v>
      </c>
      <c r="H985" s="4">
        <f>CHOOSE( CONTROL!$C$32, 47.1644, 47.1612) * CHOOSE(CONTROL!$C$15, $D$11, 100%, $F$11)</f>
        <v>47.164400000000001</v>
      </c>
      <c r="I985" s="8">
        <f>CHOOSE( CONTROL!$C$32, 45.5644, 45.5613) * CHOOSE(CONTROL!$C$15, $D$11, 100%, $F$11)</f>
        <v>45.564399999999999</v>
      </c>
      <c r="J985" s="4">
        <f>CHOOSE( CONTROL!$C$32, 45.4476, 45.4445) * CHOOSE(CONTROL!$C$15, $D$11, 100%, $F$11)</f>
        <v>45.447600000000001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1.1791</v>
      </c>
      <c r="Q985" s="9">
        <v>19.053000000000001</v>
      </c>
      <c r="R985" s="9"/>
      <c r="S985" s="11"/>
    </row>
    <row r="986" spans="1:19" ht="15.75">
      <c r="A986" s="13">
        <v>71528</v>
      </c>
      <c r="B986" s="8">
        <f>49.1289 * CHOOSE(CONTROL!$C$15, $D$11, 100%, $F$11)</f>
        <v>49.128900000000002</v>
      </c>
      <c r="C986" s="8">
        <f>49.1343 * CHOOSE(CONTROL!$C$15, $D$11, 100%, $F$11)</f>
        <v>49.134300000000003</v>
      </c>
      <c r="D986" s="8">
        <f>49.1422 * CHOOSE( CONTROL!$C$15, $D$11, 100%, $F$11)</f>
        <v>49.142200000000003</v>
      </c>
      <c r="E986" s="12">
        <f>49.139 * CHOOSE( CONTROL!$C$15, $D$11, 100%, $F$11)</f>
        <v>49.139000000000003</v>
      </c>
      <c r="F986" s="4">
        <f>49.8122 * CHOOSE(CONTROL!$C$15, $D$11, 100%, $F$11)</f>
        <v>49.812199999999997</v>
      </c>
      <c r="G986" s="8">
        <f>48.2839 * CHOOSE( CONTROL!$C$15, $D$11, 100%, $F$11)</f>
        <v>48.283900000000003</v>
      </c>
      <c r="H986" s="4">
        <f>49.215 * CHOOSE(CONTROL!$C$15, $D$11, 100%, $F$11)</f>
        <v>49.215000000000003</v>
      </c>
      <c r="I986" s="8">
        <f>47.5818 * CHOOSE(CONTROL!$C$15, $D$11, 100%, $F$11)</f>
        <v>47.581800000000001</v>
      </c>
      <c r="J986" s="4">
        <f>47.4633 * CHOOSE(CONTROL!$C$15, $D$11, 100%, $F$11)</f>
        <v>47.463299999999997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1.2183999999999999</v>
      </c>
      <c r="Q986" s="9">
        <v>19.688099999999999</v>
      </c>
      <c r="R986" s="9"/>
      <c r="S986" s="11"/>
    </row>
    <row r="987" spans="1:19" ht="15.75">
      <c r="A987" s="13">
        <v>71558</v>
      </c>
      <c r="B987" s="8">
        <f>52.9832 * CHOOSE(CONTROL!$C$15, $D$11, 100%, $F$11)</f>
        <v>52.983199999999997</v>
      </c>
      <c r="C987" s="8">
        <f>52.9883 * CHOOSE(CONTROL!$C$15, $D$11, 100%, $F$11)</f>
        <v>52.988300000000002</v>
      </c>
      <c r="D987" s="8">
        <f>52.9658 * CHOOSE( CONTROL!$C$15, $D$11, 100%, $F$11)</f>
        <v>52.965800000000002</v>
      </c>
      <c r="E987" s="12">
        <f>52.9735 * CHOOSE( CONTROL!$C$15, $D$11, 100%, $F$11)</f>
        <v>52.973500000000001</v>
      </c>
      <c r="F987" s="4">
        <f>53.6281 * CHOOSE(CONTROL!$C$15, $D$11, 100%, $F$11)</f>
        <v>53.628100000000003</v>
      </c>
      <c r="G987" s="8">
        <f>52.0872 * CHOOSE( CONTROL!$C$15, $D$11, 100%, $F$11)</f>
        <v>52.087200000000003</v>
      </c>
      <c r="H987" s="4">
        <f>52.9676 * CHOOSE(CONTROL!$C$15, $D$11, 100%, $F$11)</f>
        <v>52.967599999999997</v>
      </c>
      <c r="I987" s="8">
        <f>51.3356 * CHOOSE(CONTROL!$C$15, $D$11, 100%, $F$11)</f>
        <v>51.335599999999999</v>
      </c>
      <c r="J987" s="4">
        <f>51.1897 * CHOOSE(CONTROL!$C$15, $D$11, 100%, $F$11)</f>
        <v>51.189700000000002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71589</v>
      </c>
      <c r="B988" s="8">
        <f>52.8869 * CHOOSE(CONTROL!$C$15, $D$11, 100%, $F$11)</f>
        <v>52.886899999999997</v>
      </c>
      <c r="C988" s="8">
        <f>52.892 * CHOOSE(CONTROL!$C$15, $D$11, 100%, $F$11)</f>
        <v>52.892000000000003</v>
      </c>
      <c r="D988" s="8">
        <f>52.8709 * CHOOSE( CONTROL!$C$15, $D$11, 100%, $F$11)</f>
        <v>52.870899999999999</v>
      </c>
      <c r="E988" s="12">
        <f>52.8781 * CHOOSE( CONTROL!$C$15, $D$11, 100%, $F$11)</f>
        <v>52.878100000000003</v>
      </c>
      <c r="F988" s="4">
        <f>53.5317 * CHOOSE(CONTROL!$C$15, $D$11, 100%, $F$11)</f>
        <v>53.531700000000001</v>
      </c>
      <c r="G988" s="8">
        <f>51.9936 * CHOOSE( CONTROL!$C$15, $D$11, 100%, $F$11)</f>
        <v>51.993600000000001</v>
      </c>
      <c r="H988" s="4">
        <f>52.8729 * CHOOSE(CONTROL!$C$15, $D$11, 100%, $F$11)</f>
        <v>52.872900000000001</v>
      </c>
      <c r="I988" s="8">
        <f>51.247 * CHOOSE(CONTROL!$C$15, $D$11, 100%, $F$11)</f>
        <v>51.247</v>
      </c>
      <c r="J988" s="4">
        <f>51.0966 * CHOOSE(CONTROL!$C$15, $D$11, 100%, $F$11)</f>
        <v>51.096600000000002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71620</v>
      </c>
      <c r="B989" s="8">
        <f>54.907 * CHOOSE(CONTROL!$C$15, $D$11, 100%, $F$11)</f>
        <v>54.906999999999996</v>
      </c>
      <c r="C989" s="8">
        <f>54.9121 * CHOOSE(CONTROL!$C$15, $D$11, 100%, $F$11)</f>
        <v>54.912100000000002</v>
      </c>
      <c r="D989" s="8">
        <f>54.8901 * CHOOSE( CONTROL!$C$15, $D$11, 100%, $F$11)</f>
        <v>54.890099999999997</v>
      </c>
      <c r="E989" s="12">
        <f>54.8976 * CHOOSE( CONTROL!$C$15, $D$11, 100%, $F$11)</f>
        <v>54.897599999999997</v>
      </c>
      <c r="F989" s="4">
        <f>55.5519 * CHOOSE(CONTROL!$C$15, $D$11, 100%, $F$11)</f>
        <v>55.551900000000003</v>
      </c>
      <c r="G989" s="8">
        <f>53.9776 * CHOOSE( CONTROL!$C$15, $D$11, 100%, $F$11)</f>
        <v>53.977600000000002</v>
      </c>
      <c r="H989" s="4">
        <f>54.8595 * CHOOSE(CONTROL!$C$15, $D$11, 100%, $F$11)</f>
        <v>54.859499999999997</v>
      </c>
      <c r="I989" s="8">
        <f>53.1727 * CHOOSE(CONTROL!$C$15, $D$11, 100%, $F$11)</f>
        <v>53.172699999999999</v>
      </c>
      <c r="J989" s="4">
        <f>53.0494 * CHOOSE(CONTROL!$C$15, $D$11, 100%, $F$11)</f>
        <v>53.049399999999999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71649</v>
      </c>
      <c r="B990" s="8">
        <f>51.3593 * CHOOSE(CONTROL!$C$15, $D$11, 100%, $F$11)</f>
        <v>51.359299999999998</v>
      </c>
      <c r="C990" s="8">
        <f>51.3644 * CHOOSE(CONTROL!$C$15, $D$11, 100%, $F$11)</f>
        <v>51.364400000000003</v>
      </c>
      <c r="D990" s="8">
        <f>51.3381 * CHOOSE( CONTROL!$C$15, $D$11, 100%, $F$11)</f>
        <v>51.338099999999997</v>
      </c>
      <c r="E990" s="12">
        <f>51.3472 * CHOOSE( CONTROL!$C$15, $D$11, 100%, $F$11)</f>
        <v>51.347200000000001</v>
      </c>
      <c r="F990" s="4">
        <f>52.0042 * CHOOSE(CONTROL!$C$15, $D$11, 100%, $F$11)</f>
        <v>52.004199999999997</v>
      </c>
      <c r="G990" s="8">
        <f>50.4803 * CHOOSE( CONTROL!$C$15, $D$11, 100%, $F$11)</f>
        <v>50.4803</v>
      </c>
      <c r="H990" s="4">
        <f>51.3706 * CHOOSE(CONTROL!$C$15, $D$11, 100%, $F$11)</f>
        <v>51.370600000000003</v>
      </c>
      <c r="I990" s="8">
        <f>49.7124 * CHOOSE(CONTROL!$C$15, $D$11, 100%, $F$11)</f>
        <v>49.712400000000002</v>
      </c>
      <c r="J990" s="4">
        <f>49.6199 * CHOOSE(CONTROL!$C$15, $D$11, 100%, $F$11)</f>
        <v>49.619900000000001</v>
      </c>
      <c r="K990" s="4"/>
      <c r="L990" s="9">
        <v>27.415299999999998</v>
      </c>
      <c r="M990" s="9">
        <v>11.285299999999999</v>
      </c>
      <c r="N990" s="9">
        <v>4.6254999999999997</v>
      </c>
      <c r="O990" s="9">
        <v>0.34989999999999999</v>
      </c>
      <c r="P990" s="9">
        <v>1.2093</v>
      </c>
      <c r="Q990" s="9">
        <v>18.417899999999999</v>
      </c>
      <c r="R990" s="9"/>
      <c r="S990" s="11"/>
    </row>
    <row r="991" spans="1:19" ht="15.75">
      <c r="A991" s="13">
        <v>71680</v>
      </c>
      <c r="B991" s="8">
        <f>50.2666 * CHOOSE(CONTROL!$C$15, $D$11, 100%, $F$11)</f>
        <v>50.266599999999997</v>
      </c>
      <c r="C991" s="8">
        <f>50.2718 * CHOOSE(CONTROL!$C$15, $D$11, 100%, $F$11)</f>
        <v>50.271799999999999</v>
      </c>
      <c r="D991" s="8">
        <f>50.2458 * CHOOSE( CONTROL!$C$15, $D$11, 100%, $F$11)</f>
        <v>50.245800000000003</v>
      </c>
      <c r="E991" s="12">
        <f>50.2548 * CHOOSE( CONTROL!$C$15, $D$11, 100%, $F$11)</f>
        <v>50.254800000000003</v>
      </c>
      <c r="F991" s="4">
        <f>50.9115 * CHOOSE(CONTROL!$C$15, $D$11, 100%, $F$11)</f>
        <v>50.911499999999997</v>
      </c>
      <c r="G991" s="8">
        <f>49.406 * CHOOSE( CONTROL!$C$15, $D$11, 100%, $F$11)</f>
        <v>49.405999999999999</v>
      </c>
      <c r="H991" s="4">
        <f>50.2961 * CHOOSE(CONTROL!$C$15, $D$11, 100%, $F$11)</f>
        <v>50.296100000000003</v>
      </c>
      <c r="I991" s="8">
        <f>48.6568 * CHOOSE(CONTROL!$C$15, $D$11, 100%, $F$11)</f>
        <v>48.656799999999997</v>
      </c>
      <c r="J991" s="4">
        <f>48.5636 * CHOOSE(CONTROL!$C$15, $D$11, 100%, $F$11)</f>
        <v>48.563600000000001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71710</v>
      </c>
      <c r="B992" s="8">
        <f>51.0309 * CHOOSE(CONTROL!$C$15, $D$11, 100%, $F$11)</f>
        <v>51.030900000000003</v>
      </c>
      <c r="C992" s="8">
        <f>51.0355 * CHOOSE(CONTROL!$C$15, $D$11, 100%, $F$11)</f>
        <v>51.035499999999999</v>
      </c>
      <c r="D992" s="8">
        <f>51.0426 * CHOOSE( CONTROL!$C$15, $D$11, 100%, $F$11)</f>
        <v>51.0426</v>
      </c>
      <c r="E992" s="12">
        <f>51.0397 * CHOOSE( CONTROL!$C$15, $D$11, 100%, $F$11)</f>
        <v>51.039700000000003</v>
      </c>
      <c r="F992" s="4">
        <f>51.7139 * CHOOSE(CONTROL!$C$15, $D$11, 100%, $F$11)</f>
        <v>51.713900000000002</v>
      </c>
      <c r="G992" s="8">
        <f>50.1522 * CHOOSE( CONTROL!$C$15, $D$11, 100%, $F$11)</f>
        <v>50.152200000000001</v>
      </c>
      <c r="H992" s="4">
        <f>51.0851 * CHOOSE(CONTROL!$C$15, $D$11, 100%, $F$11)</f>
        <v>51.085099999999997</v>
      </c>
      <c r="I992" s="8">
        <f>49.4151 * CHOOSE(CONTROL!$C$15, $D$11, 100%, $F$11)</f>
        <v>49.415100000000002</v>
      </c>
      <c r="J992" s="4">
        <f>49.3017 * CHOOSE(CONTROL!$C$15, $D$11, 100%, $F$11)</f>
        <v>49.301699999999997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1.1791</v>
      </c>
      <c r="Q992" s="9">
        <v>19.053000000000001</v>
      </c>
      <c r="R992" s="9"/>
      <c r="S992" s="11"/>
    </row>
    <row r="993" spans="1:19" ht="15.75">
      <c r="A993" s="13">
        <v>71741</v>
      </c>
      <c r="B993" s="8">
        <f>CHOOSE( CONTROL!$C$32, 52.3944, 52.3912) * CHOOSE(CONTROL!$C$15, $D$11, 100%, $F$11)</f>
        <v>52.394399999999997</v>
      </c>
      <c r="C993" s="8">
        <f>CHOOSE( CONTROL!$C$32, 52.4024, 52.3992) * CHOOSE(CONTROL!$C$15, $D$11, 100%, $F$11)</f>
        <v>52.4024</v>
      </c>
      <c r="D993" s="8">
        <f>CHOOSE( CONTROL!$C$32, 52.4048, 52.4016) * CHOOSE( CONTROL!$C$15, $D$11, 100%, $F$11)</f>
        <v>52.404800000000002</v>
      </c>
      <c r="E993" s="12">
        <f>CHOOSE( CONTROL!$C$32, 52.4027, 52.3995) * CHOOSE( CONTROL!$C$15, $D$11, 100%, $F$11)</f>
        <v>52.402700000000003</v>
      </c>
      <c r="F993" s="4">
        <f>CHOOSE( CONTROL!$C$32, 53.076, 53.0728) * CHOOSE(CONTROL!$C$15, $D$11, 100%, $F$11)</f>
        <v>53.076000000000001</v>
      </c>
      <c r="G993" s="8">
        <f>CHOOSE( CONTROL!$C$32, 51.4928, 51.4897) * CHOOSE( CONTROL!$C$15, $D$11, 100%, $F$11)</f>
        <v>51.492800000000003</v>
      </c>
      <c r="H993" s="4">
        <f>CHOOSE( CONTROL!$C$32, 52.4246, 52.4215) * CHOOSE(CONTROL!$C$15, $D$11, 100%, $F$11)</f>
        <v>52.424599999999998</v>
      </c>
      <c r="I993" s="8">
        <f>CHOOSE( CONTROL!$C$32, 50.7341, 50.731) * CHOOSE(CONTROL!$C$15, $D$11, 100%, $F$11)</f>
        <v>50.734099999999998</v>
      </c>
      <c r="J993" s="4">
        <f>CHOOSE( CONTROL!$C$32, 50.6185, 50.6154) * CHOOSE(CONTROL!$C$15, $D$11, 100%, $F$11)</f>
        <v>50.618499999999997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1.2183999999999999</v>
      </c>
      <c r="Q993" s="9">
        <v>19.688099999999999</v>
      </c>
      <c r="R993" s="9"/>
      <c r="S993" s="11"/>
    </row>
    <row r="994" spans="1:19" ht="15.75">
      <c r="A994" s="13">
        <v>71771</v>
      </c>
      <c r="B994" s="8">
        <f>CHOOSE( CONTROL!$C$32, 51.5526, 51.5494) * CHOOSE(CONTROL!$C$15, $D$11, 100%, $F$11)</f>
        <v>51.552599999999998</v>
      </c>
      <c r="C994" s="8">
        <f>CHOOSE( CONTROL!$C$32, 51.5606, 51.5574) * CHOOSE(CONTROL!$C$15, $D$11, 100%, $F$11)</f>
        <v>51.560600000000001</v>
      </c>
      <c r="D994" s="8">
        <f>CHOOSE( CONTROL!$C$32, 51.5633, 51.5601) * CHOOSE( CONTROL!$C$15, $D$11, 100%, $F$11)</f>
        <v>51.563299999999998</v>
      </c>
      <c r="E994" s="12">
        <f>CHOOSE( CONTROL!$C$32, 51.5611, 51.5579) * CHOOSE( CONTROL!$C$15, $D$11, 100%, $F$11)</f>
        <v>51.561100000000003</v>
      </c>
      <c r="F994" s="4">
        <f>CHOOSE( CONTROL!$C$32, 52.2342, 52.231) * CHOOSE(CONTROL!$C$15, $D$11, 100%, $F$11)</f>
        <v>52.234200000000001</v>
      </c>
      <c r="G994" s="8">
        <f>CHOOSE( CONTROL!$C$32, 50.6654, 50.6623) * CHOOSE( CONTROL!$C$15, $D$11, 100%, $F$11)</f>
        <v>50.665399999999998</v>
      </c>
      <c r="H994" s="4">
        <f>CHOOSE( CONTROL!$C$32, 51.5968, 51.5936) * CHOOSE(CONTROL!$C$15, $D$11, 100%, $F$11)</f>
        <v>51.596800000000002</v>
      </c>
      <c r="I994" s="8">
        <f>CHOOSE( CONTROL!$C$32, 49.9213, 49.9182) * CHOOSE(CONTROL!$C$15, $D$11, 100%, $F$11)</f>
        <v>49.921300000000002</v>
      </c>
      <c r="J994" s="4">
        <f>CHOOSE( CONTROL!$C$32, 49.8047, 49.8016) * CHOOSE(CONTROL!$C$15, $D$11, 100%, $F$11)</f>
        <v>49.804699999999997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1.1791</v>
      </c>
      <c r="Q994" s="9">
        <v>19.053000000000001</v>
      </c>
      <c r="R994" s="9"/>
      <c r="S994" s="11"/>
    </row>
    <row r="995" spans="1:19" ht="15.75">
      <c r="A995" s="13">
        <v>71802</v>
      </c>
      <c r="B995" s="8">
        <f>CHOOSE( CONTROL!$C$32, 53.7694, 53.7662) * CHOOSE(CONTROL!$C$15, $D$11, 100%, $F$11)</f>
        <v>53.769399999999997</v>
      </c>
      <c r="C995" s="8">
        <f>CHOOSE( CONTROL!$C$32, 53.7774, 53.7742) * CHOOSE(CONTROL!$C$15, $D$11, 100%, $F$11)</f>
        <v>53.7774</v>
      </c>
      <c r="D995" s="8">
        <f>CHOOSE( CONTROL!$C$32, 53.7804, 53.7772) * CHOOSE( CONTROL!$C$15, $D$11, 100%, $F$11)</f>
        <v>53.7804</v>
      </c>
      <c r="E995" s="12">
        <f>CHOOSE( CONTROL!$C$32, 53.7781, 53.7749) * CHOOSE( CONTROL!$C$15, $D$11, 100%, $F$11)</f>
        <v>53.778100000000002</v>
      </c>
      <c r="F995" s="4">
        <f>CHOOSE( CONTROL!$C$32, 54.451, 54.4478) * CHOOSE(CONTROL!$C$15, $D$11, 100%, $F$11)</f>
        <v>54.451000000000001</v>
      </c>
      <c r="G995" s="8">
        <f>CHOOSE( CONTROL!$C$32, 52.8459, 52.8428) * CHOOSE( CONTROL!$C$15, $D$11, 100%, $F$11)</f>
        <v>52.8459</v>
      </c>
      <c r="H995" s="4">
        <f>CHOOSE( CONTROL!$C$32, 53.7768, 53.7737) * CHOOSE(CONTROL!$C$15, $D$11, 100%, $F$11)</f>
        <v>53.776800000000001</v>
      </c>
      <c r="I995" s="8">
        <f>CHOOSE( CONTROL!$C$32, 52.0668, 52.0637) * CHOOSE(CONTROL!$C$15, $D$11, 100%, $F$11)</f>
        <v>52.066800000000001</v>
      </c>
      <c r="J995" s="4">
        <f>CHOOSE( CONTROL!$C$32, 51.9477, 51.9446) * CHOOSE(CONTROL!$C$15, $D$11, 100%, $F$11)</f>
        <v>51.947699999999998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71833</v>
      </c>
      <c r="B996" s="8">
        <f>CHOOSE( CONTROL!$C$32, 49.6216, 49.6184) * CHOOSE(CONTROL!$C$15, $D$11, 100%, $F$11)</f>
        <v>49.621600000000001</v>
      </c>
      <c r="C996" s="8">
        <f>CHOOSE( CONTROL!$C$32, 49.6296, 49.6264) * CHOOSE(CONTROL!$C$15, $D$11, 100%, $F$11)</f>
        <v>49.629600000000003</v>
      </c>
      <c r="D996" s="8">
        <f>CHOOSE( CONTROL!$C$32, 49.6327, 49.6295) * CHOOSE( CONTROL!$C$15, $D$11, 100%, $F$11)</f>
        <v>49.6327</v>
      </c>
      <c r="E996" s="12">
        <f>CHOOSE( CONTROL!$C$32, 49.6304, 49.6272) * CHOOSE( CONTROL!$C$15, $D$11, 100%, $F$11)</f>
        <v>49.630400000000002</v>
      </c>
      <c r="F996" s="4">
        <f>CHOOSE( CONTROL!$C$32, 50.3031, 50.2999) * CHOOSE(CONTROL!$C$15, $D$11, 100%, $F$11)</f>
        <v>50.303100000000001</v>
      </c>
      <c r="G996" s="8">
        <f>CHOOSE( CONTROL!$C$32, 48.7671, 48.7639) * CHOOSE( CONTROL!$C$15, $D$11, 100%, $F$11)</f>
        <v>48.767099999999999</v>
      </c>
      <c r="H996" s="4">
        <f>CHOOSE( CONTROL!$C$32, 49.6977, 49.6946) * CHOOSE(CONTROL!$C$15, $D$11, 100%, $F$11)</f>
        <v>49.697699999999998</v>
      </c>
      <c r="I996" s="8">
        <f>CHOOSE( CONTROL!$C$32, 48.0558, 48.0527) * CHOOSE(CONTROL!$C$15, $D$11, 100%, $F$11)</f>
        <v>48.055799999999998</v>
      </c>
      <c r="J996" s="4">
        <f>CHOOSE( CONTROL!$C$32, 47.9379, 47.9348) * CHOOSE(CONTROL!$C$15, $D$11, 100%, $F$11)</f>
        <v>47.937899999999999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1.2183999999999999</v>
      </c>
      <c r="Q996" s="9">
        <v>19.688099999999999</v>
      </c>
      <c r="R996" s="9"/>
      <c r="S996" s="11"/>
    </row>
    <row r="997" spans="1:19" ht="15.75">
      <c r="A997" s="13">
        <v>71863</v>
      </c>
      <c r="B997" s="8">
        <f>CHOOSE( CONTROL!$C$32, 48.5829, 48.5797) * CHOOSE(CONTROL!$C$15, $D$11, 100%, $F$11)</f>
        <v>48.582900000000002</v>
      </c>
      <c r="C997" s="8">
        <f>CHOOSE( CONTROL!$C$32, 48.5909, 48.5877) * CHOOSE(CONTROL!$C$15, $D$11, 100%, $F$11)</f>
        <v>48.590899999999998</v>
      </c>
      <c r="D997" s="8">
        <f>CHOOSE( CONTROL!$C$32, 48.594, 48.5908) * CHOOSE( CONTROL!$C$15, $D$11, 100%, $F$11)</f>
        <v>48.594000000000001</v>
      </c>
      <c r="E997" s="12">
        <f>CHOOSE( CONTROL!$C$32, 48.5917, 48.5885) * CHOOSE( CONTROL!$C$15, $D$11, 100%, $F$11)</f>
        <v>48.591700000000003</v>
      </c>
      <c r="F997" s="4">
        <f>CHOOSE( CONTROL!$C$32, 49.2644, 49.2612) * CHOOSE(CONTROL!$C$15, $D$11, 100%, $F$11)</f>
        <v>49.264400000000002</v>
      </c>
      <c r="G997" s="8">
        <f>CHOOSE( CONTROL!$C$32, 47.7457, 47.7425) * CHOOSE( CONTROL!$C$15, $D$11, 100%, $F$11)</f>
        <v>47.745699999999999</v>
      </c>
      <c r="H997" s="4">
        <f>CHOOSE( CONTROL!$C$32, 48.6763, 48.6731) * CHOOSE(CONTROL!$C$15, $D$11, 100%, $F$11)</f>
        <v>48.676299999999998</v>
      </c>
      <c r="I997" s="8">
        <f>CHOOSE( CONTROL!$C$32, 47.0514, 47.0483) * CHOOSE(CONTROL!$C$15, $D$11, 100%, $F$11)</f>
        <v>47.051400000000001</v>
      </c>
      <c r="J997" s="4">
        <f>CHOOSE( CONTROL!$C$32, 46.9338, 46.9307) * CHOOSE(CONTROL!$C$15, $D$11, 100%, $F$11)</f>
        <v>46.933799999999998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1.1791</v>
      </c>
      <c r="Q997" s="9">
        <v>19.053000000000001</v>
      </c>
      <c r="R997" s="9"/>
      <c r="S997" s="11"/>
    </row>
    <row r="998" spans="1:19" ht="15.75">
      <c r="A998" s="13">
        <v>71894</v>
      </c>
      <c r="B998" s="8">
        <f>50.7346 * CHOOSE(CONTROL!$C$15, $D$11, 100%, $F$11)</f>
        <v>50.7346</v>
      </c>
      <c r="C998" s="8">
        <f>50.74 * CHOOSE(CONTROL!$C$15, $D$11, 100%, $F$11)</f>
        <v>50.74</v>
      </c>
      <c r="D998" s="8">
        <f>50.7479 * CHOOSE( CONTROL!$C$15, $D$11, 100%, $F$11)</f>
        <v>50.747900000000001</v>
      </c>
      <c r="E998" s="12">
        <f>50.7447 * CHOOSE( CONTROL!$C$15, $D$11, 100%, $F$11)</f>
        <v>50.744700000000002</v>
      </c>
      <c r="F998" s="4">
        <f>51.4179 * CHOOSE(CONTROL!$C$15, $D$11, 100%, $F$11)</f>
        <v>51.417900000000003</v>
      </c>
      <c r="G998" s="8">
        <f>49.8629 * CHOOSE( CONTROL!$C$15, $D$11, 100%, $F$11)</f>
        <v>49.862900000000003</v>
      </c>
      <c r="H998" s="4">
        <f>50.794 * CHOOSE(CONTROL!$C$15, $D$11, 100%, $F$11)</f>
        <v>50.793999999999997</v>
      </c>
      <c r="I998" s="8">
        <f>49.1348 * CHOOSE(CONTROL!$C$15, $D$11, 100%, $F$11)</f>
        <v>49.134799999999998</v>
      </c>
      <c r="J998" s="4">
        <f>49.0156 * CHOOSE(CONTROL!$C$15, $D$11, 100%, $F$11)</f>
        <v>49.015599999999999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1.2183999999999999</v>
      </c>
      <c r="Q998" s="9">
        <v>19.688099999999999</v>
      </c>
      <c r="R998" s="9"/>
      <c r="S998" s="11"/>
    </row>
    <row r="999" spans="1:19" ht="15.75">
      <c r="A999" s="13">
        <v>71924</v>
      </c>
      <c r="B999" s="8">
        <f>54.7149 * CHOOSE(CONTROL!$C$15, $D$11, 100%, $F$11)</f>
        <v>54.7149</v>
      </c>
      <c r="C999" s="8">
        <f>54.72 * CHOOSE(CONTROL!$C$15, $D$11, 100%, $F$11)</f>
        <v>54.72</v>
      </c>
      <c r="D999" s="8">
        <f>54.6976 * CHOOSE( CONTROL!$C$15, $D$11, 100%, $F$11)</f>
        <v>54.697600000000001</v>
      </c>
      <c r="E999" s="12">
        <f>54.7052 * CHOOSE( CONTROL!$C$15, $D$11, 100%, $F$11)</f>
        <v>54.705199999999998</v>
      </c>
      <c r="F999" s="4">
        <f>55.3598 * CHOOSE(CONTROL!$C$15, $D$11, 100%, $F$11)</f>
        <v>55.3598</v>
      </c>
      <c r="G999" s="8">
        <f>53.7903 * CHOOSE( CONTROL!$C$15, $D$11, 100%, $F$11)</f>
        <v>53.790300000000002</v>
      </c>
      <c r="H999" s="4">
        <f>54.6706 * CHOOSE(CONTROL!$C$15, $D$11, 100%, $F$11)</f>
        <v>54.6706</v>
      </c>
      <c r="I999" s="8">
        <f>53.0105 * CHOOSE(CONTROL!$C$15, $D$11, 100%, $F$11)</f>
        <v>53.0105</v>
      </c>
      <c r="J999" s="4">
        <f>52.8637 * CHOOSE(CONTROL!$C$15, $D$11, 100%, $F$11)</f>
        <v>52.863700000000001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71955</v>
      </c>
      <c r="B1000" s="8">
        <f>54.6155 * CHOOSE(CONTROL!$C$15, $D$11, 100%, $F$11)</f>
        <v>54.615499999999997</v>
      </c>
      <c r="C1000" s="8">
        <f>54.6206 * CHOOSE(CONTROL!$C$15, $D$11, 100%, $F$11)</f>
        <v>54.620600000000003</v>
      </c>
      <c r="D1000" s="8">
        <f>54.5995 * CHOOSE( CONTROL!$C$15, $D$11, 100%, $F$11)</f>
        <v>54.599499999999999</v>
      </c>
      <c r="E1000" s="12">
        <f>54.6067 * CHOOSE( CONTROL!$C$15, $D$11, 100%, $F$11)</f>
        <v>54.606699999999996</v>
      </c>
      <c r="F1000" s="4">
        <f>55.2604 * CHOOSE(CONTROL!$C$15, $D$11, 100%, $F$11)</f>
        <v>55.260399999999997</v>
      </c>
      <c r="G1000" s="8">
        <f>53.6935 * CHOOSE( CONTROL!$C$15, $D$11, 100%, $F$11)</f>
        <v>53.6935</v>
      </c>
      <c r="H1000" s="4">
        <f>54.5728 * CHOOSE(CONTROL!$C$15, $D$11, 100%, $F$11)</f>
        <v>54.572800000000001</v>
      </c>
      <c r="I1000" s="8">
        <f>52.9189 * CHOOSE(CONTROL!$C$15, $D$11, 100%, $F$11)</f>
        <v>52.918900000000001</v>
      </c>
      <c r="J1000" s="4">
        <f>52.7676 * CHOOSE(CONTROL!$C$15, $D$11, 100%, $F$11)</f>
        <v>52.767600000000002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71986</v>
      </c>
      <c r="B1001" s="8">
        <f>56.7017 * CHOOSE(CONTROL!$C$15, $D$11, 100%, $F$11)</f>
        <v>56.701700000000002</v>
      </c>
      <c r="C1001" s="8">
        <f>56.7068 * CHOOSE(CONTROL!$C$15, $D$11, 100%, $F$11)</f>
        <v>56.706800000000001</v>
      </c>
      <c r="D1001" s="8">
        <f>56.6848 * CHOOSE( CONTROL!$C$15, $D$11, 100%, $F$11)</f>
        <v>56.684800000000003</v>
      </c>
      <c r="E1001" s="12">
        <f>56.6923 * CHOOSE( CONTROL!$C$15, $D$11, 100%, $F$11)</f>
        <v>56.692300000000003</v>
      </c>
      <c r="F1001" s="4">
        <f>57.3466 * CHOOSE(CONTROL!$C$15, $D$11, 100%, $F$11)</f>
        <v>57.346600000000002</v>
      </c>
      <c r="G1001" s="8">
        <f>55.7425 * CHOOSE( CONTROL!$C$15, $D$11, 100%, $F$11)</f>
        <v>55.7425</v>
      </c>
      <c r="H1001" s="4">
        <f>56.6244 * CHOOSE(CONTROL!$C$15, $D$11, 100%, $F$11)</f>
        <v>56.624400000000001</v>
      </c>
      <c r="I1001" s="8">
        <f>54.9085 * CHOOSE(CONTROL!$C$15, $D$11, 100%, $F$11)</f>
        <v>54.908499999999997</v>
      </c>
      <c r="J1001" s="4">
        <f>54.7843 * CHOOSE(CONTROL!$C$15, $D$11, 100%, $F$11)</f>
        <v>54.784300000000002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72014</v>
      </c>
      <c r="B1002" s="8">
        <f>53.038 * CHOOSE(CONTROL!$C$15, $D$11, 100%, $F$11)</f>
        <v>53.037999999999997</v>
      </c>
      <c r="C1002" s="8">
        <f>53.0431 * CHOOSE(CONTROL!$C$15, $D$11, 100%, $F$11)</f>
        <v>53.043100000000003</v>
      </c>
      <c r="D1002" s="8">
        <f>53.0167 * CHOOSE( CONTROL!$C$15, $D$11, 100%, $F$11)</f>
        <v>53.0167</v>
      </c>
      <c r="E1002" s="12">
        <f>53.0258 * CHOOSE( CONTROL!$C$15, $D$11, 100%, $F$11)</f>
        <v>53.025799999999997</v>
      </c>
      <c r="F1002" s="4">
        <f>53.6829 * CHOOSE(CONTROL!$C$15, $D$11, 100%, $F$11)</f>
        <v>53.682899999999997</v>
      </c>
      <c r="G1002" s="8">
        <f>52.1311 * CHOOSE( CONTROL!$C$15, $D$11, 100%, $F$11)</f>
        <v>52.131100000000004</v>
      </c>
      <c r="H1002" s="4">
        <f>53.0215 * CHOOSE(CONTROL!$C$15, $D$11, 100%, $F$11)</f>
        <v>53.021500000000003</v>
      </c>
      <c r="I1002" s="8">
        <f>51.336 * CHOOSE(CONTROL!$C$15, $D$11, 100%, $F$11)</f>
        <v>51.335999999999999</v>
      </c>
      <c r="J1002" s="4">
        <f>51.2426 * CHOOSE(CONTROL!$C$15, $D$11, 100%, $F$11)</f>
        <v>51.242600000000003</v>
      </c>
      <c r="K1002" s="4"/>
      <c r="L1002" s="9">
        <v>26.469899999999999</v>
      </c>
      <c r="M1002" s="9">
        <v>10.8962</v>
      </c>
      <c r="N1002" s="9">
        <v>4.4660000000000002</v>
      </c>
      <c r="O1002" s="9">
        <v>0.33789999999999998</v>
      </c>
      <c r="P1002" s="9">
        <v>1.1676</v>
      </c>
      <c r="Q1002" s="9">
        <v>17.782800000000002</v>
      </c>
      <c r="R1002" s="9"/>
      <c r="S1002" s="11"/>
    </row>
    <row r="1003" spans="1:19" ht="15.75">
      <c r="A1003" s="13">
        <v>72045</v>
      </c>
      <c r="B1003" s="8">
        <f>51.9096 * CHOOSE(CONTROL!$C$15, $D$11, 100%, $F$11)</f>
        <v>51.909599999999998</v>
      </c>
      <c r="C1003" s="8">
        <f>51.9147 * CHOOSE(CONTROL!$C$15, $D$11, 100%, $F$11)</f>
        <v>51.914700000000003</v>
      </c>
      <c r="D1003" s="8">
        <f>51.8887 * CHOOSE( CONTROL!$C$15, $D$11, 100%, $F$11)</f>
        <v>51.8887</v>
      </c>
      <c r="E1003" s="12">
        <f>51.8977 * CHOOSE( CONTROL!$C$15, $D$11, 100%, $F$11)</f>
        <v>51.8977</v>
      </c>
      <c r="F1003" s="4">
        <f>52.5544 * CHOOSE(CONTROL!$C$15, $D$11, 100%, $F$11)</f>
        <v>52.554400000000001</v>
      </c>
      <c r="G1003" s="8">
        <f>51.0217 * CHOOSE( CONTROL!$C$15, $D$11, 100%, $F$11)</f>
        <v>51.021700000000003</v>
      </c>
      <c r="H1003" s="4">
        <f>51.9118 * CHOOSE(CONTROL!$C$15, $D$11, 100%, $F$11)</f>
        <v>51.911799999999999</v>
      </c>
      <c r="I1003" s="8">
        <f>50.2458 * CHOOSE(CONTROL!$C$15, $D$11, 100%, $F$11)</f>
        <v>50.245800000000003</v>
      </c>
      <c r="J1003" s="4">
        <f>50.1518 * CHOOSE(CONTROL!$C$15, $D$11, 100%, $F$11)</f>
        <v>50.151800000000001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72075</v>
      </c>
      <c r="B1004" s="8">
        <f>52.6988 * CHOOSE(CONTROL!$C$15, $D$11, 100%, $F$11)</f>
        <v>52.698799999999999</v>
      </c>
      <c r="C1004" s="8">
        <f>52.7034 * CHOOSE(CONTROL!$C$15, $D$11, 100%, $F$11)</f>
        <v>52.703400000000002</v>
      </c>
      <c r="D1004" s="8">
        <f>52.7105 * CHOOSE( CONTROL!$C$15, $D$11, 100%, $F$11)</f>
        <v>52.710500000000003</v>
      </c>
      <c r="E1004" s="12">
        <f>52.7076 * CHOOSE( CONTROL!$C$15, $D$11, 100%, $F$11)</f>
        <v>52.707599999999999</v>
      </c>
      <c r="F1004" s="4">
        <f>53.3817 * CHOOSE(CONTROL!$C$15, $D$11, 100%, $F$11)</f>
        <v>53.381700000000002</v>
      </c>
      <c r="G1004" s="8">
        <f>51.7924 * CHOOSE( CONTROL!$C$15, $D$11, 100%, $F$11)</f>
        <v>51.792400000000001</v>
      </c>
      <c r="H1004" s="4">
        <f>52.7253 * CHOOSE(CONTROL!$C$15, $D$11, 100%, $F$11)</f>
        <v>52.725299999999997</v>
      </c>
      <c r="I1004" s="8">
        <f>51.0283 * CHOOSE(CONTROL!$C$15, $D$11, 100%, $F$11)</f>
        <v>51.028300000000002</v>
      </c>
      <c r="J1004" s="4">
        <f>50.914 * CHOOSE(CONTROL!$C$15, $D$11, 100%, $F$11)</f>
        <v>50.914000000000001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1.1791</v>
      </c>
      <c r="Q1004" s="9">
        <v>19.053000000000001</v>
      </c>
      <c r="R1004" s="9"/>
      <c r="S1004" s="11"/>
    </row>
    <row r="1005" spans="1:19" ht="15.75">
      <c r="A1005" s="13">
        <v>72106</v>
      </c>
      <c r="B1005" s="8">
        <f>CHOOSE( CONTROL!$C$32, 54.1068, 54.1036) * CHOOSE(CONTROL!$C$15, $D$11, 100%, $F$11)</f>
        <v>54.1068</v>
      </c>
      <c r="C1005" s="8">
        <f>CHOOSE( CONTROL!$C$32, 54.1148, 54.1116) * CHOOSE(CONTROL!$C$15, $D$11, 100%, $F$11)</f>
        <v>54.114800000000002</v>
      </c>
      <c r="D1005" s="8">
        <f>CHOOSE( CONTROL!$C$32, 54.1171, 54.1139) * CHOOSE( CONTROL!$C$15, $D$11, 100%, $F$11)</f>
        <v>54.117100000000001</v>
      </c>
      <c r="E1005" s="12">
        <f>CHOOSE( CONTROL!$C$32, 54.115, 54.1118) * CHOOSE( CONTROL!$C$15, $D$11, 100%, $F$11)</f>
        <v>54.115000000000002</v>
      </c>
      <c r="F1005" s="4">
        <f>CHOOSE( CONTROL!$C$32, 54.7883, 54.7851) * CHOOSE(CONTROL!$C$15, $D$11, 100%, $F$11)</f>
        <v>54.7883</v>
      </c>
      <c r="G1005" s="8">
        <f>CHOOSE( CONTROL!$C$32, 53.1768, 53.1736) * CHOOSE( CONTROL!$C$15, $D$11, 100%, $F$11)</f>
        <v>53.1768</v>
      </c>
      <c r="H1005" s="4">
        <f>CHOOSE( CONTROL!$C$32, 54.1086, 54.1054) * CHOOSE(CONTROL!$C$15, $D$11, 100%, $F$11)</f>
        <v>54.108600000000003</v>
      </c>
      <c r="I1005" s="8">
        <f>CHOOSE( CONTROL!$C$32, 52.3902, 52.3871) * CHOOSE(CONTROL!$C$15, $D$11, 100%, $F$11)</f>
        <v>52.3902</v>
      </c>
      <c r="J1005" s="4">
        <f>CHOOSE( CONTROL!$C$32, 52.2738, 52.2707) * CHOOSE(CONTROL!$C$15, $D$11, 100%, $F$11)</f>
        <v>52.273800000000001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1.2183999999999999</v>
      </c>
      <c r="Q1005" s="9">
        <v>19.688099999999999</v>
      </c>
      <c r="R1005" s="9"/>
      <c r="S1005" s="11"/>
    </row>
    <row r="1006" spans="1:19" ht="15.75">
      <c r="A1006" s="13">
        <v>72136</v>
      </c>
      <c r="B1006" s="8">
        <f>CHOOSE( CONTROL!$C$32, 53.2374, 53.2342) * CHOOSE(CONTROL!$C$15, $D$11, 100%, $F$11)</f>
        <v>53.237400000000001</v>
      </c>
      <c r="C1006" s="8">
        <f>CHOOSE( CONTROL!$C$32, 53.2454, 53.2422) * CHOOSE(CONTROL!$C$15, $D$11, 100%, $F$11)</f>
        <v>53.245399999999997</v>
      </c>
      <c r="D1006" s="8">
        <f>CHOOSE( CONTROL!$C$32, 53.2481, 53.2449) * CHOOSE( CONTROL!$C$15, $D$11, 100%, $F$11)</f>
        <v>53.248100000000001</v>
      </c>
      <c r="E1006" s="12">
        <f>CHOOSE( CONTROL!$C$32, 53.2459, 53.2427) * CHOOSE( CONTROL!$C$15, $D$11, 100%, $F$11)</f>
        <v>53.245899999999999</v>
      </c>
      <c r="F1006" s="4">
        <f>CHOOSE( CONTROL!$C$32, 53.919, 53.9158) * CHOOSE(CONTROL!$C$15, $D$11, 100%, $F$11)</f>
        <v>53.918999999999997</v>
      </c>
      <c r="G1006" s="8">
        <f>CHOOSE( CONTROL!$C$32, 52.3223, 52.3192) * CHOOSE( CONTROL!$C$15, $D$11, 100%, $F$11)</f>
        <v>52.322299999999998</v>
      </c>
      <c r="H1006" s="4">
        <f>CHOOSE( CONTROL!$C$32, 53.2537, 53.2505) * CHOOSE(CONTROL!$C$15, $D$11, 100%, $F$11)</f>
        <v>53.253700000000002</v>
      </c>
      <c r="I1006" s="8">
        <f>CHOOSE( CONTROL!$C$32, 51.5508, 51.5477) * CHOOSE(CONTROL!$C$15, $D$11, 100%, $F$11)</f>
        <v>51.550800000000002</v>
      </c>
      <c r="J1006" s="4">
        <f>CHOOSE( CONTROL!$C$32, 51.4334, 51.4303) * CHOOSE(CONTROL!$C$15, $D$11, 100%, $F$11)</f>
        <v>51.433399999999999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1.1791</v>
      </c>
      <c r="Q1006" s="9">
        <v>19.053000000000001</v>
      </c>
      <c r="R1006" s="9"/>
      <c r="S1006" s="11"/>
    </row>
    <row r="1007" spans="1:19" ht="15.75">
      <c r="A1007" s="13">
        <v>72167</v>
      </c>
      <c r="B1007" s="8">
        <f>CHOOSE( CONTROL!$C$32, 55.5267, 55.5235) * CHOOSE(CONTROL!$C$15, $D$11, 100%, $F$11)</f>
        <v>55.526699999999998</v>
      </c>
      <c r="C1007" s="8">
        <f>CHOOSE( CONTROL!$C$32, 55.5347, 55.5315) * CHOOSE(CONTROL!$C$15, $D$11, 100%, $F$11)</f>
        <v>55.534700000000001</v>
      </c>
      <c r="D1007" s="8">
        <f>CHOOSE( CONTROL!$C$32, 55.5377, 55.5345) * CHOOSE( CONTROL!$C$15, $D$11, 100%, $F$11)</f>
        <v>55.537700000000001</v>
      </c>
      <c r="E1007" s="12">
        <f>CHOOSE( CONTROL!$C$32, 55.5354, 55.5322) * CHOOSE( CONTROL!$C$15, $D$11, 100%, $F$11)</f>
        <v>55.535400000000003</v>
      </c>
      <c r="F1007" s="4">
        <f>CHOOSE( CONTROL!$C$32, 56.2083, 56.2051) * CHOOSE(CONTROL!$C$15, $D$11, 100%, $F$11)</f>
        <v>56.208300000000001</v>
      </c>
      <c r="G1007" s="8">
        <f>CHOOSE( CONTROL!$C$32, 54.5741, 54.5709) * CHOOSE( CONTROL!$C$15, $D$11, 100%, $F$11)</f>
        <v>54.574100000000001</v>
      </c>
      <c r="H1007" s="4">
        <f>CHOOSE( CONTROL!$C$32, 55.505, 55.5018) * CHOOSE(CONTROL!$C$15, $D$11, 100%, $F$11)</f>
        <v>55.505000000000003</v>
      </c>
      <c r="I1007" s="8">
        <f>CHOOSE( CONTROL!$C$32, 53.7664, 53.7633) * CHOOSE(CONTROL!$C$15, $D$11, 100%, $F$11)</f>
        <v>53.766399999999997</v>
      </c>
      <c r="J1007" s="4">
        <f>CHOOSE( CONTROL!$C$32, 53.6464, 53.6434) * CHOOSE(CONTROL!$C$15, $D$11, 100%, $F$11)</f>
        <v>53.6464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72198</v>
      </c>
      <c r="B1008" s="8">
        <f>CHOOSE( CONTROL!$C$32, 51.2432, 51.24) * CHOOSE(CONTROL!$C$15, $D$11, 100%, $F$11)</f>
        <v>51.243200000000002</v>
      </c>
      <c r="C1008" s="8">
        <f>CHOOSE( CONTROL!$C$32, 51.2512, 51.248) * CHOOSE(CONTROL!$C$15, $D$11, 100%, $F$11)</f>
        <v>51.251199999999997</v>
      </c>
      <c r="D1008" s="8">
        <f>CHOOSE( CONTROL!$C$32, 51.2543, 51.2511) * CHOOSE( CONTROL!$C$15, $D$11, 100%, $F$11)</f>
        <v>51.254300000000001</v>
      </c>
      <c r="E1008" s="12">
        <f>CHOOSE( CONTROL!$C$32, 51.252, 51.2488) * CHOOSE( CONTROL!$C$15, $D$11, 100%, $F$11)</f>
        <v>51.252000000000002</v>
      </c>
      <c r="F1008" s="4">
        <f>CHOOSE( CONTROL!$C$32, 51.9247, 51.9216) * CHOOSE(CONTROL!$C$15, $D$11, 100%, $F$11)</f>
        <v>51.924700000000001</v>
      </c>
      <c r="G1008" s="8">
        <f>CHOOSE( CONTROL!$C$32, 50.3618, 50.3587) * CHOOSE( CONTROL!$C$15, $D$11, 100%, $F$11)</f>
        <v>50.361800000000002</v>
      </c>
      <c r="H1008" s="4">
        <f>CHOOSE( CONTROL!$C$32, 51.2925, 51.2894) * CHOOSE(CONTROL!$C$15, $D$11, 100%, $F$11)</f>
        <v>51.292499999999997</v>
      </c>
      <c r="I1008" s="8">
        <f>CHOOSE( CONTROL!$C$32, 49.6243, 49.6212) * CHOOSE(CONTROL!$C$15, $D$11, 100%, $F$11)</f>
        <v>49.624299999999998</v>
      </c>
      <c r="J1008" s="4">
        <f>CHOOSE( CONTROL!$C$32, 49.5056, 49.5025) * CHOOSE(CONTROL!$C$15, $D$11, 100%, $F$11)</f>
        <v>49.505600000000001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1.2183999999999999</v>
      </c>
      <c r="Q1008" s="9">
        <v>19.688099999999999</v>
      </c>
      <c r="R1008" s="9"/>
      <c r="S1008" s="11"/>
    </row>
    <row r="1009" spans="1:19" ht="15.75">
      <c r="A1009" s="13">
        <v>72228</v>
      </c>
      <c r="B1009" s="8">
        <f>CHOOSE( CONTROL!$C$32, 50.1706, 50.1674) * CHOOSE(CONTROL!$C$15, $D$11, 100%, $F$11)</f>
        <v>50.1706</v>
      </c>
      <c r="C1009" s="8">
        <f>CHOOSE( CONTROL!$C$32, 50.1786, 50.1754) * CHOOSE(CONTROL!$C$15, $D$11, 100%, $F$11)</f>
        <v>50.178600000000003</v>
      </c>
      <c r="D1009" s="8">
        <f>CHOOSE( CONTROL!$C$32, 50.1817, 50.1785) * CHOOSE( CONTROL!$C$15, $D$11, 100%, $F$11)</f>
        <v>50.181699999999999</v>
      </c>
      <c r="E1009" s="12">
        <f>CHOOSE( CONTROL!$C$32, 50.1794, 50.1762) * CHOOSE( CONTROL!$C$15, $D$11, 100%, $F$11)</f>
        <v>50.179400000000001</v>
      </c>
      <c r="F1009" s="4">
        <f>CHOOSE( CONTROL!$C$32, 50.8521, 50.8489) * CHOOSE(CONTROL!$C$15, $D$11, 100%, $F$11)</f>
        <v>50.8521</v>
      </c>
      <c r="G1009" s="8">
        <f>CHOOSE( CONTROL!$C$32, 49.307, 49.3039) * CHOOSE( CONTROL!$C$15, $D$11, 100%, $F$11)</f>
        <v>49.307000000000002</v>
      </c>
      <c r="H1009" s="4">
        <f>CHOOSE( CONTROL!$C$32, 50.2376, 50.2345) * CHOOSE(CONTROL!$C$15, $D$11, 100%, $F$11)</f>
        <v>50.2376</v>
      </c>
      <c r="I1009" s="8">
        <f>CHOOSE( CONTROL!$C$32, 48.587, 48.5839) * CHOOSE(CONTROL!$C$15, $D$11, 100%, $F$11)</f>
        <v>48.587000000000003</v>
      </c>
      <c r="J1009" s="4">
        <f>CHOOSE( CONTROL!$C$32, 48.4686, 48.4656) * CHOOSE(CONTROL!$C$15, $D$11, 100%, $F$11)</f>
        <v>48.468600000000002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1.1791</v>
      </c>
      <c r="Q1009" s="9">
        <v>19.053000000000001</v>
      </c>
      <c r="R1009" s="9"/>
      <c r="S1009" s="11"/>
    </row>
    <row r="1010" spans="1:19" ht="15.75">
      <c r="A1010" s="13">
        <v>72259</v>
      </c>
      <c r="B1010" s="8">
        <f>52.3928 * CHOOSE(CONTROL!$C$15, $D$11, 100%, $F$11)</f>
        <v>52.392800000000001</v>
      </c>
      <c r="C1010" s="8">
        <f>52.3982 * CHOOSE(CONTROL!$C$15, $D$11, 100%, $F$11)</f>
        <v>52.398200000000003</v>
      </c>
      <c r="D1010" s="8">
        <f>52.4061 * CHOOSE( CONTROL!$C$15, $D$11, 100%, $F$11)</f>
        <v>52.406100000000002</v>
      </c>
      <c r="E1010" s="12">
        <f>52.4029 * CHOOSE( CONTROL!$C$15, $D$11, 100%, $F$11)</f>
        <v>52.402900000000002</v>
      </c>
      <c r="F1010" s="4">
        <f>53.0761 * CHOOSE(CONTROL!$C$15, $D$11, 100%, $F$11)</f>
        <v>53.076099999999997</v>
      </c>
      <c r="G1010" s="8">
        <f>51.4937 * CHOOSE( CONTROL!$C$15, $D$11, 100%, $F$11)</f>
        <v>51.493699999999997</v>
      </c>
      <c r="H1010" s="4">
        <f>52.4247 * CHOOSE(CONTROL!$C$15, $D$11, 100%, $F$11)</f>
        <v>52.424700000000001</v>
      </c>
      <c r="I1010" s="8">
        <f>50.7386 * CHOOSE(CONTROL!$C$15, $D$11, 100%, $F$11)</f>
        <v>50.738599999999998</v>
      </c>
      <c r="J1010" s="4">
        <f>50.6186 * CHOOSE(CONTROL!$C$15, $D$11, 100%, $F$11)</f>
        <v>50.618600000000001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1.2183999999999999</v>
      </c>
      <c r="Q1010" s="9">
        <v>19.688099999999999</v>
      </c>
      <c r="R1010" s="9"/>
      <c r="S1010" s="11"/>
    </row>
    <row r="1011" spans="1:19" ht="15.75">
      <c r="A1011" s="13">
        <v>72289</v>
      </c>
      <c r="B1011" s="8">
        <f>56.5033 * CHOOSE(CONTROL!$C$15, $D$11, 100%, $F$11)</f>
        <v>56.503300000000003</v>
      </c>
      <c r="C1011" s="8">
        <f>56.5084 * CHOOSE(CONTROL!$C$15, $D$11, 100%, $F$11)</f>
        <v>56.508400000000002</v>
      </c>
      <c r="D1011" s="8">
        <f>56.486 * CHOOSE( CONTROL!$C$15, $D$11, 100%, $F$11)</f>
        <v>56.485999999999997</v>
      </c>
      <c r="E1011" s="12">
        <f>56.4936 * CHOOSE( CONTROL!$C$15, $D$11, 100%, $F$11)</f>
        <v>56.493600000000001</v>
      </c>
      <c r="F1011" s="4">
        <f>57.1482 * CHOOSE(CONTROL!$C$15, $D$11, 100%, $F$11)</f>
        <v>57.148200000000003</v>
      </c>
      <c r="G1011" s="8">
        <f>55.549 * CHOOSE( CONTROL!$C$15, $D$11, 100%, $F$11)</f>
        <v>55.548999999999999</v>
      </c>
      <c r="H1011" s="4">
        <f>56.4293 * CHOOSE(CONTROL!$C$15, $D$11, 100%, $F$11)</f>
        <v>56.429299999999998</v>
      </c>
      <c r="I1011" s="8">
        <f>54.7402 * CHOOSE(CONTROL!$C$15, $D$11, 100%, $F$11)</f>
        <v>54.740200000000002</v>
      </c>
      <c r="J1011" s="4">
        <f>54.5926 * CHOOSE(CONTROL!$C$15, $D$11, 100%, $F$11)</f>
        <v>54.592599999999997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72320</v>
      </c>
      <c r="B1012" s="8">
        <f>56.4006 * CHOOSE(CONTROL!$C$15, $D$11, 100%, $F$11)</f>
        <v>56.400599999999997</v>
      </c>
      <c r="C1012" s="8">
        <f>56.4057 * CHOOSE(CONTROL!$C$15, $D$11, 100%, $F$11)</f>
        <v>56.405700000000003</v>
      </c>
      <c r="D1012" s="8">
        <f>56.3847 * CHOOSE( CONTROL!$C$15, $D$11, 100%, $F$11)</f>
        <v>56.384700000000002</v>
      </c>
      <c r="E1012" s="12">
        <f>56.3918 * CHOOSE( CONTROL!$C$15, $D$11, 100%, $F$11)</f>
        <v>56.391800000000003</v>
      </c>
      <c r="F1012" s="4">
        <f>57.0455 * CHOOSE(CONTROL!$C$15, $D$11, 100%, $F$11)</f>
        <v>57.045499999999997</v>
      </c>
      <c r="G1012" s="8">
        <f>55.449 * CHOOSE( CONTROL!$C$15, $D$11, 100%, $F$11)</f>
        <v>55.448999999999998</v>
      </c>
      <c r="H1012" s="4">
        <f>56.3283 * CHOOSE(CONTROL!$C$15, $D$11, 100%, $F$11)</f>
        <v>56.328299999999999</v>
      </c>
      <c r="I1012" s="8">
        <f>54.6455 * CHOOSE(CONTROL!$C$15, $D$11, 100%, $F$11)</f>
        <v>54.645499999999998</v>
      </c>
      <c r="J1012" s="4">
        <f>54.4933 * CHOOSE(CONTROL!$C$15, $D$11, 100%, $F$11)</f>
        <v>54.493299999999998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72351</v>
      </c>
      <c r="B1013" s="8">
        <f>58.5551 * CHOOSE(CONTROL!$C$15, $D$11, 100%, $F$11)</f>
        <v>58.555100000000003</v>
      </c>
      <c r="C1013" s="8">
        <f>58.5602 * CHOOSE(CONTROL!$C$15, $D$11, 100%, $F$11)</f>
        <v>58.560200000000002</v>
      </c>
      <c r="D1013" s="8">
        <f>58.5382 * CHOOSE( CONTROL!$C$15, $D$11, 100%, $F$11)</f>
        <v>58.538200000000003</v>
      </c>
      <c r="E1013" s="12">
        <f>58.5457 * CHOOSE( CONTROL!$C$15, $D$11, 100%, $F$11)</f>
        <v>58.545699999999997</v>
      </c>
      <c r="F1013" s="4">
        <f>59.1999 * CHOOSE(CONTROL!$C$15, $D$11, 100%, $F$11)</f>
        <v>59.1999</v>
      </c>
      <c r="G1013" s="8">
        <f>57.5652 * CHOOSE( CONTROL!$C$15, $D$11, 100%, $F$11)</f>
        <v>57.565199999999997</v>
      </c>
      <c r="H1013" s="4">
        <f>58.4471 * CHOOSE(CONTROL!$C$15, $D$11, 100%, $F$11)</f>
        <v>58.447099999999999</v>
      </c>
      <c r="I1013" s="8">
        <f>56.701 * CHOOSE(CONTROL!$C$15, $D$11, 100%, $F$11)</f>
        <v>56.701000000000001</v>
      </c>
      <c r="J1013" s="4">
        <f>56.576 * CHOOSE(CONTROL!$C$15, $D$11, 100%, $F$11)</f>
        <v>56.576000000000001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72379</v>
      </c>
      <c r="B1014" s="8">
        <f>54.7715 * CHOOSE(CONTROL!$C$15, $D$11, 100%, $F$11)</f>
        <v>54.771500000000003</v>
      </c>
      <c r="C1014" s="8">
        <f>54.7766 * CHOOSE(CONTROL!$C$15, $D$11, 100%, $F$11)</f>
        <v>54.776600000000002</v>
      </c>
      <c r="D1014" s="8">
        <f>54.7503 * CHOOSE( CONTROL!$C$15, $D$11, 100%, $F$11)</f>
        <v>54.750300000000003</v>
      </c>
      <c r="E1014" s="12">
        <f>54.7594 * CHOOSE( CONTROL!$C$15, $D$11, 100%, $F$11)</f>
        <v>54.759399999999999</v>
      </c>
      <c r="F1014" s="4">
        <f>55.4164 * CHOOSE(CONTROL!$C$15, $D$11, 100%, $F$11)</f>
        <v>55.416400000000003</v>
      </c>
      <c r="G1014" s="8">
        <f>53.8359 * CHOOSE( CONTROL!$C$15, $D$11, 100%, $F$11)</f>
        <v>53.835900000000002</v>
      </c>
      <c r="H1014" s="4">
        <f>54.7263 * CHOOSE(CONTROL!$C$15, $D$11, 100%, $F$11)</f>
        <v>54.726300000000002</v>
      </c>
      <c r="I1014" s="8">
        <f>53.0126 * CHOOSE(CONTROL!$C$15, $D$11, 100%, $F$11)</f>
        <v>53.012599999999999</v>
      </c>
      <c r="J1014" s="4">
        <f>52.9185 * CHOOSE(CONTROL!$C$15, $D$11, 100%, $F$11)</f>
        <v>52.918500000000002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72410</v>
      </c>
      <c r="B1015" s="8">
        <f>53.6062 * CHOOSE(CONTROL!$C$15, $D$11, 100%, $F$11)</f>
        <v>53.606200000000001</v>
      </c>
      <c r="C1015" s="8">
        <f>53.6113 * CHOOSE(CONTROL!$C$15, $D$11, 100%, $F$11)</f>
        <v>53.6113</v>
      </c>
      <c r="D1015" s="8">
        <f>53.5853 * CHOOSE( CONTROL!$C$15, $D$11, 100%, $F$11)</f>
        <v>53.585299999999997</v>
      </c>
      <c r="E1015" s="12">
        <f>53.5943 * CHOOSE( CONTROL!$C$15, $D$11, 100%, $F$11)</f>
        <v>53.594299999999997</v>
      </c>
      <c r="F1015" s="4">
        <f>54.2511 * CHOOSE(CONTROL!$C$15, $D$11, 100%, $F$11)</f>
        <v>54.251100000000001</v>
      </c>
      <c r="G1015" s="8">
        <f>52.6902 * CHOOSE( CONTROL!$C$15, $D$11, 100%, $F$11)</f>
        <v>52.690199999999997</v>
      </c>
      <c r="H1015" s="4">
        <f>53.5803 * CHOOSE(CONTROL!$C$15, $D$11, 100%, $F$11)</f>
        <v>53.580300000000001</v>
      </c>
      <c r="I1015" s="8">
        <f>51.8868 * CHOOSE(CONTROL!$C$15, $D$11, 100%, $F$11)</f>
        <v>51.886800000000001</v>
      </c>
      <c r="J1015" s="4">
        <f>51.7919 * CHOOSE(CONTROL!$C$15, $D$11, 100%, $F$11)</f>
        <v>51.791899999999998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72440</v>
      </c>
      <c r="B1016" s="8">
        <f>54.4213 * CHOOSE(CONTROL!$C$15, $D$11, 100%, $F$11)</f>
        <v>54.421300000000002</v>
      </c>
      <c r="C1016" s="8">
        <f>54.4258 * CHOOSE(CONTROL!$C$15, $D$11, 100%, $F$11)</f>
        <v>54.425800000000002</v>
      </c>
      <c r="D1016" s="8">
        <f>54.433 * CHOOSE( CONTROL!$C$15, $D$11, 100%, $F$11)</f>
        <v>54.433</v>
      </c>
      <c r="E1016" s="12">
        <f>54.4301 * CHOOSE( CONTROL!$C$15, $D$11, 100%, $F$11)</f>
        <v>54.430100000000003</v>
      </c>
      <c r="F1016" s="4">
        <f>55.1042 * CHOOSE(CONTROL!$C$15, $D$11, 100%, $F$11)</f>
        <v>55.104199999999999</v>
      </c>
      <c r="G1016" s="8">
        <f>53.4863 * CHOOSE( CONTROL!$C$15, $D$11, 100%, $F$11)</f>
        <v>53.4863</v>
      </c>
      <c r="H1016" s="4">
        <f>54.4192 * CHOOSE(CONTROL!$C$15, $D$11, 100%, $F$11)</f>
        <v>54.419199999999996</v>
      </c>
      <c r="I1016" s="8">
        <f>52.6942 * CHOOSE(CONTROL!$C$15, $D$11, 100%, $F$11)</f>
        <v>52.694200000000002</v>
      </c>
      <c r="J1016" s="4">
        <f>52.5791 * CHOOSE(CONTROL!$C$15, $D$11, 100%, $F$11)</f>
        <v>52.579099999999997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1.1791</v>
      </c>
      <c r="Q1016" s="9">
        <v>19.053000000000001</v>
      </c>
      <c r="R1016" s="9"/>
      <c r="S1016" s="11"/>
    </row>
    <row r="1017" spans="1:19" ht="15.75">
      <c r="A1017" s="13">
        <v>72471</v>
      </c>
      <c r="B1017" s="8">
        <f>CHOOSE( CONTROL!$C$32, 55.8751, 55.8719) * CHOOSE(CONTROL!$C$15, $D$11, 100%, $F$11)</f>
        <v>55.875100000000003</v>
      </c>
      <c r="C1017" s="8">
        <f>CHOOSE( CONTROL!$C$32, 55.8831, 55.8799) * CHOOSE(CONTROL!$C$15, $D$11, 100%, $F$11)</f>
        <v>55.883099999999999</v>
      </c>
      <c r="D1017" s="8">
        <f>CHOOSE( CONTROL!$C$32, 55.8854, 55.8822) * CHOOSE( CONTROL!$C$15, $D$11, 100%, $F$11)</f>
        <v>55.885399999999997</v>
      </c>
      <c r="E1017" s="12">
        <f>CHOOSE( CONTROL!$C$32, 55.8833, 55.8801) * CHOOSE( CONTROL!$C$15, $D$11, 100%, $F$11)</f>
        <v>55.883299999999998</v>
      </c>
      <c r="F1017" s="4">
        <f>CHOOSE( CONTROL!$C$32, 56.5566, 56.5534) * CHOOSE(CONTROL!$C$15, $D$11, 100%, $F$11)</f>
        <v>56.556600000000003</v>
      </c>
      <c r="G1017" s="8">
        <f>CHOOSE( CONTROL!$C$32, 54.9158, 54.9126) * CHOOSE( CONTROL!$C$15, $D$11, 100%, $F$11)</f>
        <v>54.915799999999997</v>
      </c>
      <c r="H1017" s="4">
        <f>CHOOSE( CONTROL!$C$32, 55.8476, 55.8444) * CHOOSE(CONTROL!$C$15, $D$11, 100%, $F$11)</f>
        <v>55.8476</v>
      </c>
      <c r="I1017" s="8">
        <f>CHOOSE( CONTROL!$C$32, 54.1005, 54.0974) * CHOOSE(CONTROL!$C$15, $D$11, 100%, $F$11)</f>
        <v>54.100499999999997</v>
      </c>
      <c r="J1017" s="4">
        <f>CHOOSE( CONTROL!$C$32, 53.9832, 53.9801) * CHOOSE(CONTROL!$C$15, $D$11, 100%, $F$11)</f>
        <v>53.983199999999997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1.2183999999999999</v>
      </c>
      <c r="Q1017" s="9">
        <v>19.688099999999999</v>
      </c>
      <c r="R1017" s="9"/>
      <c r="S1017" s="11"/>
    </row>
    <row r="1018" spans="1:19" ht="15.75">
      <c r="A1018" s="13">
        <v>72501</v>
      </c>
      <c r="B1018" s="8">
        <f>CHOOSE( CONTROL!$C$32, 54.9773, 54.9741) * CHOOSE(CONTROL!$C$15, $D$11, 100%, $F$11)</f>
        <v>54.9773</v>
      </c>
      <c r="C1018" s="8">
        <f>CHOOSE( CONTROL!$C$32, 54.9853, 54.9821) * CHOOSE(CONTROL!$C$15, $D$11, 100%, $F$11)</f>
        <v>54.985300000000002</v>
      </c>
      <c r="D1018" s="8">
        <f>CHOOSE( CONTROL!$C$32, 54.988, 54.9848) * CHOOSE( CONTROL!$C$15, $D$11, 100%, $F$11)</f>
        <v>54.988</v>
      </c>
      <c r="E1018" s="12">
        <f>CHOOSE( CONTROL!$C$32, 54.9858, 54.9826) * CHOOSE( CONTROL!$C$15, $D$11, 100%, $F$11)</f>
        <v>54.985799999999998</v>
      </c>
      <c r="F1018" s="4">
        <f>CHOOSE( CONTROL!$C$32, 55.6589, 55.6557) * CHOOSE(CONTROL!$C$15, $D$11, 100%, $F$11)</f>
        <v>55.658900000000003</v>
      </c>
      <c r="G1018" s="8">
        <f>CHOOSE( CONTROL!$C$32, 54.0334, 54.0302) * CHOOSE( CONTROL!$C$15, $D$11, 100%, $F$11)</f>
        <v>54.0334</v>
      </c>
      <c r="H1018" s="4">
        <f>CHOOSE( CONTROL!$C$32, 54.9647, 54.9616) * CHOOSE(CONTROL!$C$15, $D$11, 100%, $F$11)</f>
        <v>54.964700000000001</v>
      </c>
      <c r="I1018" s="8">
        <f>CHOOSE( CONTROL!$C$32, 53.2336, 53.2305) * CHOOSE(CONTROL!$C$15, $D$11, 100%, $F$11)</f>
        <v>53.233600000000003</v>
      </c>
      <c r="J1018" s="4">
        <f>CHOOSE( CONTROL!$C$32, 53.1153, 53.1123) * CHOOSE(CONTROL!$C$15, $D$11, 100%, $F$11)</f>
        <v>53.115299999999998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1.1791</v>
      </c>
      <c r="Q1018" s="9">
        <v>19.053000000000001</v>
      </c>
      <c r="R1018" s="9"/>
      <c r="S1018" s="11"/>
    </row>
    <row r="1019" spans="1:19" ht="15.75">
      <c r="A1019" s="13">
        <v>72532</v>
      </c>
      <c r="B1019" s="8">
        <f>CHOOSE( CONTROL!$C$32, 57.3415, 57.3383) * CHOOSE(CONTROL!$C$15, $D$11, 100%, $F$11)</f>
        <v>57.341500000000003</v>
      </c>
      <c r="C1019" s="8">
        <f>CHOOSE( CONTROL!$C$32, 57.3495, 57.3463) * CHOOSE(CONTROL!$C$15, $D$11, 100%, $F$11)</f>
        <v>57.349499999999999</v>
      </c>
      <c r="D1019" s="8">
        <f>CHOOSE( CONTROL!$C$32, 57.3524, 57.3492) * CHOOSE( CONTROL!$C$15, $D$11, 100%, $F$11)</f>
        <v>57.352400000000003</v>
      </c>
      <c r="E1019" s="12">
        <f>CHOOSE( CONTROL!$C$32, 57.3501, 57.3469) * CHOOSE( CONTROL!$C$15, $D$11, 100%, $F$11)</f>
        <v>57.350099999999998</v>
      </c>
      <c r="F1019" s="4">
        <f>CHOOSE( CONTROL!$C$32, 58.023, 58.0198) * CHOOSE(CONTROL!$C$15, $D$11, 100%, $F$11)</f>
        <v>58.023000000000003</v>
      </c>
      <c r="G1019" s="8">
        <f>CHOOSE( CONTROL!$C$32, 56.3588, 56.3556) * CHOOSE( CONTROL!$C$15, $D$11, 100%, $F$11)</f>
        <v>56.358800000000002</v>
      </c>
      <c r="H1019" s="4">
        <f>CHOOSE( CONTROL!$C$32, 57.2897, 57.2865) * CHOOSE(CONTROL!$C$15, $D$11, 100%, $F$11)</f>
        <v>57.289700000000003</v>
      </c>
      <c r="I1019" s="8">
        <f>CHOOSE( CONTROL!$C$32, 55.5216, 55.5186) * CHOOSE(CONTROL!$C$15, $D$11, 100%, $F$11)</f>
        <v>55.521599999999999</v>
      </c>
      <c r="J1019" s="4">
        <f>CHOOSE( CONTROL!$C$32, 55.4008, 55.3977) * CHOOSE(CONTROL!$C$15, $D$11, 100%, $F$11)</f>
        <v>55.400799999999997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72563</v>
      </c>
      <c r="B1020" s="8">
        <f>CHOOSE( CONTROL!$C$32, 52.9179, 52.9147) * CHOOSE(CONTROL!$C$15, $D$11, 100%, $F$11)</f>
        <v>52.917900000000003</v>
      </c>
      <c r="C1020" s="8">
        <f>CHOOSE( CONTROL!$C$32, 52.9259, 52.9227) * CHOOSE(CONTROL!$C$15, $D$11, 100%, $F$11)</f>
        <v>52.925899999999999</v>
      </c>
      <c r="D1020" s="8">
        <f>CHOOSE( CONTROL!$C$32, 52.929, 52.9258) * CHOOSE( CONTROL!$C$15, $D$11, 100%, $F$11)</f>
        <v>52.929000000000002</v>
      </c>
      <c r="E1020" s="12">
        <f>CHOOSE( CONTROL!$C$32, 52.9267, 52.9235) * CHOOSE( CONTROL!$C$15, $D$11, 100%, $F$11)</f>
        <v>52.926699999999997</v>
      </c>
      <c r="F1020" s="4">
        <f>CHOOSE( CONTROL!$C$32, 53.5994, 53.5962) * CHOOSE(CONTROL!$C$15, $D$11, 100%, $F$11)</f>
        <v>53.599400000000003</v>
      </c>
      <c r="G1020" s="8">
        <f>CHOOSE( CONTROL!$C$32, 52.0088, 52.0056) * CHOOSE( CONTROL!$C$15, $D$11, 100%, $F$11)</f>
        <v>52.008800000000001</v>
      </c>
      <c r="H1020" s="4">
        <f>CHOOSE( CONTROL!$C$32, 52.9394, 52.9363) * CHOOSE(CONTROL!$C$15, $D$11, 100%, $F$11)</f>
        <v>52.939399999999999</v>
      </c>
      <c r="I1020" s="8">
        <f>CHOOSE( CONTROL!$C$32, 51.244, 51.2409) * CHOOSE(CONTROL!$C$15, $D$11, 100%, $F$11)</f>
        <v>51.244</v>
      </c>
      <c r="J1020" s="4">
        <f>CHOOSE( CONTROL!$C$32, 51.1245, 51.1214) * CHOOSE(CONTROL!$C$15, $D$11, 100%, $F$11)</f>
        <v>51.124499999999998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1.2183999999999999</v>
      </c>
      <c r="Q1020" s="9">
        <v>19.688099999999999</v>
      </c>
      <c r="R1020" s="9"/>
      <c r="S1020" s="11"/>
    </row>
    <row r="1021" spans="1:19" ht="15.75">
      <c r="A1021" s="13">
        <v>72593</v>
      </c>
      <c r="B1021" s="8">
        <f>CHOOSE( CONTROL!$C$32, 51.8102, 51.807) * CHOOSE(CONTROL!$C$15, $D$11, 100%, $F$11)</f>
        <v>51.810200000000002</v>
      </c>
      <c r="C1021" s="8">
        <f>CHOOSE( CONTROL!$C$32, 51.8182, 51.815) * CHOOSE(CONTROL!$C$15, $D$11, 100%, $F$11)</f>
        <v>51.818199999999997</v>
      </c>
      <c r="D1021" s="8">
        <f>CHOOSE( CONTROL!$C$32, 51.8213, 51.8181) * CHOOSE( CONTROL!$C$15, $D$11, 100%, $F$11)</f>
        <v>51.821300000000001</v>
      </c>
      <c r="E1021" s="12">
        <f>CHOOSE( CONTROL!$C$32, 51.819, 51.8158) * CHOOSE( CONTROL!$C$15, $D$11, 100%, $F$11)</f>
        <v>51.819000000000003</v>
      </c>
      <c r="F1021" s="4">
        <f>CHOOSE( CONTROL!$C$32, 52.4917, 52.4885) * CHOOSE(CONTROL!$C$15, $D$11, 100%, $F$11)</f>
        <v>52.491700000000002</v>
      </c>
      <c r="G1021" s="8">
        <f>CHOOSE( CONTROL!$C$32, 50.9194, 50.9163) * CHOOSE( CONTROL!$C$15, $D$11, 100%, $F$11)</f>
        <v>50.919400000000003</v>
      </c>
      <c r="H1021" s="4">
        <f>CHOOSE( CONTROL!$C$32, 51.8501, 51.8469) * CHOOSE(CONTROL!$C$15, $D$11, 100%, $F$11)</f>
        <v>51.850099999999998</v>
      </c>
      <c r="I1021" s="8">
        <f>CHOOSE( CONTROL!$C$32, 50.1728, 50.1697) * CHOOSE(CONTROL!$C$15, $D$11, 100%, $F$11)</f>
        <v>50.172800000000002</v>
      </c>
      <c r="J1021" s="4">
        <f>CHOOSE( CONTROL!$C$32, 50.0537, 50.0506) * CHOOSE(CONTROL!$C$15, $D$11, 100%, $F$11)</f>
        <v>50.053699999999999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1.1791</v>
      </c>
      <c r="Q1021" s="9">
        <v>19.053000000000001</v>
      </c>
      <c r="R1021" s="9"/>
      <c r="S1021" s="11"/>
    </row>
    <row r="1022" spans="1:19" ht="15.75">
      <c r="A1022" s="13">
        <v>72624</v>
      </c>
      <c r="B1022" s="8">
        <f>54.1052 * CHOOSE(CONTROL!$C$15, $D$11, 100%, $F$11)</f>
        <v>54.105200000000004</v>
      </c>
      <c r="C1022" s="8">
        <f>54.1106 * CHOOSE(CONTROL!$C$15, $D$11, 100%, $F$11)</f>
        <v>54.110599999999998</v>
      </c>
      <c r="D1022" s="8">
        <f>54.1185 * CHOOSE( CONTROL!$C$15, $D$11, 100%, $F$11)</f>
        <v>54.118499999999997</v>
      </c>
      <c r="E1022" s="12">
        <f>54.1153 * CHOOSE( CONTROL!$C$15, $D$11, 100%, $F$11)</f>
        <v>54.115299999999998</v>
      </c>
      <c r="F1022" s="4">
        <f>54.7885 * CHOOSE(CONTROL!$C$15, $D$11, 100%, $F$11)</f>
        <v>54.788499999999999</v>
      </c>
      <c r="G1022" s="8">
        <f>53.1777 * CHOOSE( CONTROL!$C$15, $D$11, 100%, $F$11)</f>
        <v>53.177700000000002</v>
      </c>
      <c r="H1022" s="4">
        <f>54.1088 * CHOOSE(CONTROL!$C$15, $D$11, 100%, $F$11)</f>
        <v>54.108800000000002</v>
      </c>
      <c r="I1022" s="8">
        <f>52.3948 * CHOOSE(CONTROL!$C$15, $D$11, 100%, $F$11)</f>
        <v>52.394799999999996</v>
      </c>
      <c r="J1022" s="4">
        <f>52.274 * CHOOSE(CONTROL!$C$15, $D$11, 100%, $F$11)</f>
        <v>52.274000000000001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1.2183999999999999</v>
      </c>
      <c r="Q1022" s="9">
        <v>19.688099999999999</v>
      </c>
      <c r="R1022" s="9"/>
      <c r="S1022" s="11"/>
    </row>
    <row r="1023" spans="1:19" ht="15.75">
      <c r="A1023" s="13">
        <v>72654</v>
      </c>
      <c r="B1023" s="8">
        <f>58.3502 * CHOOSE(CONTROL!$C$15, $D$11, 100%, $F$11)</f>
        <v>58.350200000000001</v>
      </c>
      <c r="C1023" s="8">
        <f>58.3553 * CHOOSE(CONTROL!$C$15, $D$11, 100%, $F$11)</f>
        <v>58.3553</v>
      </c>
      <c r="D1023" s="8">
        <f>58.3328 * CHOOSE( CONTROL!$C$15, $D$11, 100%, $F$11)</f>
        <v>58.332799999999999</v>
      </c>
      <c r="E1023" s="12">
        <f>58.3405 * CHOOSE( CONTROL!$C$15, $D$11, 100%, $F$11)</f>
        <v>58.340499999999999</v>
      </c>
      <c r="F1023" s="4">
        <f>58.9951 * CHOOSE(CONTROL!$C$15, $D$11, 100%, $F$11)</f>
        <v>58.995100000000001</v>
      </c>
      <c r="G1023" s="8">
        <f>57.3653 * CHOOSE( CONTROL!$C$15, $D$11, 100%, $F$11)</f>
        <v>57.365299999999998</v>
      </c>
      <c r="H1023" s="4">
        <f>58.2456 * CHOOSE(CONTROL!$C$15, $D$11, 100%, $F$11)</f>
        <v>58.245600000000003</v>
      </c>
      <c r="I1023" s="8">
        <f>56.5265 * CHOOSE(CONTROL!$C$15, $D$11, 100%, $F$11)</f>
        <v>56.526499999999999</v>
      </c>
      <c r="J1023" s="4">
        <f>56.378 * CHOOSE(CONTROL!$C$15, $D$11, 100%, $F$11)</f>
        <v>56.378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72685</v>
      </c>
      <c r="B1024" s="8">
        <f>58.2441 * CHOOSE(CONTROL!$C$15, $D$11, 100%, $F$11)</f>
        <v>58.244100000000003</v>
      </c>
      <c r="C1024" s="8">
        <f>58.2492 * CHOOSE(CONTROL!$C$15, $D$11, 100%, $F$11)</f>
        <v>58.249200000000002</v>
      </c>
      <c r="D1024" s="8">
        <f>58.2282 * CHOOSE( CONTROL!$C$15, $D$11, 100%, $F$11)</f>
        <v>58.228200000000001</v>
      </c>
      <c r="E1024" s="12">
        <f>58.2353 * CHOOSE( CONTROL!$C$15, $D$11, 100%, $F$11)</f>
        <v>58.235300000000002</v>
      </c>
      <c r="F1024" s="4">
        <f>58.889 * CHOOSE(CONTROL!$C$15, $D$11, 100%, $F$11)</f>
        <v>58.889000000000003</v>
      </c>
      <c r="G1024" s="8">
        <f>57.262 * CHOOSE( CONTROL!$C$15, $D$11, 100%, $F$11)</f>
        <v>57.262</v>
      </c>
      <c r="H1024" s="4">
        <f>58.1413 * CHOOSE(CONTROL!$C$15, $D$11, 100%, $F$11)</f>
        <v>58.141300000000001</v>
      </c>
      <c r="I1024" s="8">
        <f>56.4285 * CHOOSE(CONTROL!$C$15, $D$11, 100%, $F$11)</f>
        <v>56.4285</v>
      </c>
      <c r="J1024" s="4">
        <f>56.2754 * CHOOSE(CONTROL!$C$15, $D$11, 100%, $F$11)</f>
        <v>56.275399999999998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72716</v>
      </c>
      <c r="B1025" s="8">
        <f>60.469 * CHOOSE(CONTROL!$C$15, $D$11, 100%, $F$11)</f>
        <v>60.469000000000001</v>
      </c>
      <c r="C1025" s="8">
        <f>60.4741 * CHOOSE(CONTROL!$C$15, $D$11, 100%, $F$11)</f>
        <v>60.4741</v>
      </c>
      <c r="D1025" s="8">
        <f>60.4522 * CHOOSE( CONTROL!$C$15, $D$11, 100%, $F$11)</f>
        <v>60.452199999999998</v>
      </c>
      <c r="E1025" s="12">
        <f>60.4597 * CHOOSE( CONTROL!$C$15, $D$11, 100%, $F$11)</f>
        <v>60.459699999999998</v>
      </c>
      <c r="F1025" s="4">
        <f>61.1139 * CHOOSE(CONTROL!$C$15, $D$11, 100%, $F$11)</f>
        <v>61.113900000000001</v>
      </c>
      <c r="G1025" s="8">
        <f>59.4474 * CHOOSE( CONTROL!$C$15, $D$11, 100%, $F$11)</f>
        <v>59.447400000000002</v>
      </c>
      <c r="H1025" s="4">
        <f>60.3293 * CHOOSE(CONTROL!$C$15, $D$11, 100%, $F$11)</f>
        <v>60.329300000000003</v>
      </c>
      <c r="I1025" s="8">
        <f>58.5522 * CHOOSE(CONTROL!$C$15, $D$11, 100%, $F$11)</f>
        <v>58.552199999999999</v>
      </c>
      <c r="J1025" s="4">
        <f>58.4262 * CHOOSE(CONTROL!$C$15, $D$11, 100%, $F$11)</f>
        <v>58.426200000000001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72744</v>
      </c>
      <c r="B1026" s="8">
        <f>56.5618 * CHOOSE(CONTROL!$C$15, $D$11, 100%, $F$11)</f>
        <v>56.561799999999998</v>
      </c>
      <c r="C1026" s="8">
        <f>56.5669 * CHOOSE(CONTROL!$C$15, $D$11, 100%, $F$11)</f>
        <v>56.566899999999997</v>
      </c>
      <c r="D1026" s="8">
        <f>56.5405 * CHOOSE( CONTROL!$C$15, $D$11, 100%, $F$11)</f>
        <v>56.540500000000002</v>
      </c>
      <c r="E1026" s="12">
        <f>56.5496 * CHOOSE( CONTROL!$C$15, $D$11, 100%, $F$11)</f>
        <v>56.549599999999998</v>
      </c>
      <c r="F1026" s="4">
        <f>57.2066 * CHOOSE(CONTROL!$C$15, $D$11, 100%, $F$11)</f>
        <v>57.206600000000002</v>
      </c>
      <c r="G1026" s="8">
        <f>55.5965 * CHOOSE( CONTROL!$C$15, $D$11, 100%, $F$11)</f>
        <v>55.596499999999999</v>
      </c>
      <c r="H1026" s="4">
        <f>56.4868 * CHOOSE(CONTROL!$C$15, $D$11, 100%, $F$11)</f>
        <v>56.486800000000002</v>
      </c>
      <c r="I1026" s="8">
        <f>54.7441 * CHOOSE(CONTROL!$C$15, $D$11, 100%, $F$11)</f>
        <v>54.744100000000003</v>
      </c>
      <c r="J1026" s="4">
        <f>54.6491 * CHOOSE(CONTROL!$C$15, $D$11, 100%, $F$11)</f>
        <v>54.649099999999997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72775</v>
      </c>
      <c r="B1027" s="8">
        <f>55.3583 * CHOOSE(CONTROL!$C$15, $D$11, 100%, $F$11)</f>
        <v>55.3583</v>
      </c>
      <c r="C1027" s="8">
        <f>55.3635 * CHOOSE(CONTROL!$C$15, $D$11, 100%, $F$11)</f>
        <v>55.363500000000002</v>
      </c>
      <c r="D1027" s="8">
        <f>55.3375 * CHOOSE( CONTROL!$C$15, $D$11, 100%, $F$11)</f>
        <v>55.337499999999999</v>
      </c>
      <c r="E1027" s="12">
        <f>55.3465 * CHOOSE( CONTROL!$C$15, $D$11, 100%, $F$11)</f>
        <v>55.346499999999999</v>
      </c>
      <c r="F1027" s="4">
        <f>56.0032 * CHOOSE(CONTROL!$C$15, $D$11, 100%, $F$11)</f>
        <v>56.0032</v>
      </c>
      <c r="G1027" s="8">
        <f>54.4133 * CHOOSE( CONTROL!$C$15, $D$11, 100%, $F$11)</f>
        <v>54.4133</v>
      </c>
      <c r="H1027" s="4">
        <f>55.3033 * CHOOSE(CONTROL!$C$15, $D$11, 100%, $F$11)</f>
        <v>55.3033</v>
      </c>
      <c r="I1027" s="8">
        <f>53.5814 * CHOOSE(CONTROL!$C$15, $D$11, 100%, $F$11)</f>
        <v>53.581400000000002</v>
      </c>
      <c r="J1027" s="4">
        <f>53.4857 * CHOOSE(CONTROL!$C$15, $D$11, 100%, $F$11)</f>
        <v>53.485700000000001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72805</v>
      </c>
      <c r="B1028" s="8">
        <f>56.2 * CHOOSE(CONTROL!$C$15, $D$11, 100%, $F$11)</f>
        <v>56.2</v>
      </c>
      <c r="C1028" s="8">
        <f>56.2046 * CHOOSE(CONTROL!$C$15, $D$11, 100%, $F$11)</f>
        <v>56.204599999999999</v>
      </c>
      <c r="D1028" s="8">
        <f>56.2117 * CHOOSE( CONTROL!$C$15, $D$11, 100%, $F$11)</f>
        <v>56.2117</v>
      </c>
      <c r="E1028" s="12">
        <f>56.2088 * CHOOSE( CONTROL!$C$15, $D$11, 100%, $F$11)</f>
        <v>56.208799999999997</v>
      </c>
      <c r="F1028" s="4">
        <f>56.8829 * CHOOSE(CONTROL!$C$15, $D$11, 100%, $F$11)</f>
        <v>56.882899999999999</v>
      </c>
      <c r="G1028" s="8">
        <f>55.2355 * CHOOSE( CONTROL!$C$15, $D$11, 100%, $F$11)</f>
        <v>55.235500000000002</v>
      </c>
      <c r="H1028" s="4">
        <f>56.1685 * CHOOSE(CONTROL!$C$15, $D$11, 100%, $F$11)</f>
        <v>56.168500000000002</v>
      </c>
      <c r="I1028" s="8">
        <f>54.4146 * CHOOSE(CONTROL!$C$15, $D$11, 100%, $F$11)</f>
        <v>54.4146</v>
      </c>
      <c r="J1028" s="4">
        <f>54.2987 * CHOOSE(CONTROL!$C$15, $D$11, 100%, $F$11)</f>
        <v>54.298699999999997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1.1791</v>
      </c>
      <c r="Q1028" s="9">
        <v>19.053000000000001</v>
      </c>
      <c r="R1028" s="9"/>
      <c r="S1028" s="11"/>
    </row>
    <row r="1029" spans="1:19" ht="15.75">
      <c r="A1029" s="13">
        <v>72836</v>
      </c>
      <c r="B1029" s="8">
        <f>CHOOSE( CONTROL!$C$32, 57.7013, 57.6981) * CHOOSE(CONTROL!$C$15, $D$11, 100%, $F$11)</f>
        <v>57.701300000000003</v>
      </c>
      <c r="C1029" s="8">
        <f>CHOOSE( CONTROL!$C$32, 57.7093, 57.7061) * CHOOSE(CONTROL!$C$15, $D$11, 100%, $F$11)</f>
        <v>57.709299999999999</v>
      </c>
      <c r="D1029" s="8">
        <f>CHOOSE( CONTROL!$C$32, 57.7116, 57.7084) * CHOOSE( CONTROL!$C$15, $D$11, 100%, $F$11)</f>
        <v>57.711599999999997</v>
      </c>
      <c r="E1029" s="12">
        <f>CHOOSE( CONTROL!$C$32, 57.7095, 57.7063) * CHOOSE( CONTROL!$C$15, $D$11, 100%, $F$11)</f>
        <v>57.709499999999998</v>
      </c>
      <c r="F1029" s="4">
        <f>CHOOSE( CONTROL!$C$32, 58.3828, 58.3796) * CHOOSE(CONTROL!$C$15, $D$11, 100%, $F$11)</f>
        <v>58.382800000000003</v>
      </c>
      <c r="G1029" s="8">
        <f>CHOOSE( CONTROL!$C$32, 56.7117, 56.7085) * CHOOSE( CONTROL!$C$15, $D$11, 100%, $F$11)</f>
        <v>56.7117</v>
      </c>
      <c r="H1029" s="4">
        <f>CHOOSE( CONTROL!$C$32, 57.6435, 57.6403) * CHOOSE(CONTROL!$C$15, $D$11, 100%, $F$11)</f>
        <v>57.643500000000003</v>
      </c>
      <c r="I1029" s="8">
        <f>CHOOSE( CONTROL!$C$32, 55.8668, 55.8637) * CHOOSE(CONTROL!$C$15, $D$11, 100%, $F$11)</f>
        <v>55.866799999999998</v>
      </c>
      <c r="J1029" s="4">
        <f>CHOOSE( CONTROL!$C$32, 55.7486, 55.7455) * CHOOSE(CONTROL!$C$15, $D$11, 100%, $F$11)</f>
        <v>55.748600000000003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1.2183999999999999</v>
      </c>
      <c r="Q1029" s="9">
        <v>19.688099999999999</v>
      </c>
      <c r="R1029" s="9"/>
      <c r="S1029" s="11"/>
    </row>
    <row r="1030" spans="1:19" ht="15.75">
      <c r="A1030" s="13">
        <v>72866</v>
      </c>
      <c r="B1030" s="8">
        <f>CHOOSE( CONTROL!$C$32, 56.7741, 56.7709) * CHOOSE(CONTROL!$C$15, $D$11, 100%, $F$11)</f>
        <v>56.774099999999997</v>
      </c>
      <c r="C1030" s="8">
        <f>CHOOSE( CONTROL!$C$32, 56.7821, 56.7789) * CHOOSE(CONTROL!$C$15, $D$11, 100%, $F$11)</f>
        <v>56.7821</v>
      </c>
      <c r="D1030" s="8">
        <f>CHOOSE( CONTROL!$C$32, 56.7848, 56.7816) * CHOOSE( CONTROL!$C$15, $D$11, 100%, $F$11)</f>
        <v>56.784799999999997</v>
      </c>
      <c r="E1030" s="12">
        <f>CHOOSE( CONTROL!$C$32, 56.7826, 56.7794) * CHOOSE( CONTROL!$C$15, $D$11, 100%, $F$11)</f>
        <v>56.782600000000002</v>
      </c>
      <c r="F1030" s="4">
        <f>CHOOSE( CONTROL!$C$32, 57.4557, 57.4525) * CHOOSE(CONTROL!$C$15, $D$11, 100%, $F$11)</f>
        <v>57.4557</v>
      </c>
      <c r="G1030" s="8">
        <f>CHOOSE( CONTROL!$C$32, 55.8004, 55.7972) * CHOOSE( CONTROL!$C$15, $D$11, 100%, $F$11)</f>
        <v>55.800400000000003</v>
      </c>
      <c r="H1030" s="4">
        <f>CHOOSE( CONTROL!$C$32, 56.7317, 56.7286) * CHOOSE(CONTROL!$C$15, $D$11, 100%, $F$11)</f>
        <v>56.731699999999996</v>
      </c>
      <c r="I1030" s="8">
        <f>CHOOSE( CONTROL!$C$32, 54.9715, 54.9684) * CHOOSE(CONTROL!$C$15, $D$11, 100%, $F$11)</f>
        <v>54.971499999999999</v>
      </c>
      <c r="J1030" s="4">
        <f>CHOOSE( CONTROL!$C$32, 54.8523, 54.8492) * CHOOSE(CONTROL!$C$15, $D$11, 100%, $F$11)</f>
        <v>54.8523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1.1791</v>
      </c>
      <c r="Q1030" s="9">
        <v>19.053000000000001</v>
      </c>
      <c r="R1030" s="9"/>
      <c r="S1030" s="11"/>
    </row>
    <row r="1031" spans="1:19" ht="15.75">
      <c r="A1031" s="13">
        <v>72897</v>
      </c>
      <c r="B1031" s="8">
        <f>CHOOSE( CONTROL!$C$32, 59.2156, 59.2124) * CHOOSE(CONTROL!$C$15, $D$11, 100%, $F$11)</f>
        <v>59.215600000000002</v>
      </c>
      <c r="C1031" s="8">
        <f>CHOOSE( CONTROL!$C$32, 59.2236, 59.2204) * CHOOSE(CONTROL!$C$15, $D$11, 100%, $F$11)</f>
        <v>59.223599999999998</v>
      </c>
      <c r="D1031" s="8">
        <f>CHOOSE( CONTROL!$C$32, 59.2265, 59.2233) * CHOOSE( CONTROL!$C$15, $D$11, 100%, $F$11)</f>
        <v>59.226500000000001</v>
      </c>
      <c r="E1031" s="12">
        <f>CHOOSE( CONTROL!$C$32, 59.2242, 59.221) * CHOOSE( CONTROL!$C$15, $D$11, 100%, $F$11)</f>
        <v>59.224200000000003</v>
      </c>
      <c r="F1031" s="4">
        <f>CHOOSE( CONTROL!$C$32, 59.8972, 59.894) * CHOOSE(CONTROL!$C$15, $D$11, 100%, $F$11)</f>
        <v>59.897199999999998</v>
      </c>
      <c r="G1031" s="8">
        <f>CHOOSE( CONTROL!$C$32, 58.2018, 58.1987) * CHOOSE( CONTROL!$C$15, $D$11, 100%, $F$11)</f>
        <v>58.201799999999999</v>
      </c>
      <c r="H1031" s="4">
        <f>CHOOSE( CONTROL!$C$32, 59.1327, 59.1296) * CHOOSE(CONTROL!$C$15, $D$11, 100%, $F$11)</f>
        <v>59.1327</v>
      </c>
      <c r="I1031" s="8">
        <f>CHOOSE( CONTROL!$C$32, 57.3343, 57.3312) * CHOOSE(CONTROL!$C$15, $D$11, 100%, $F$11)</f>
        <v>57.334299999999999</v>
      </c>
      <c r="J1031" s="4">
        <f>CHOOSE( CONTROL!$C$32, 57.2125, 57.2094) * CHOOSE(CONTROL!$C$15, $D$11, 100%, $F$11)</f>
        <v>57.212499999999999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72928</v>
      </c>
      <c r="B1032" s="8">
        <f>CHOOSE( CONTROL!$C$32, 54.6473, 54.6441) * CHOOSE(CONTROL!$C$15, $D$11, 100%, $F$11)</f>
        <v>54.647300000000001</v>
      </c>
      <c r="C1032" s="8">
        <f>CHOOSE( CONTROL!$C$32, 54.6553, 54.6522) * CHOOSE(CONTROL!$C$15, $D$11, 100%, $F$11)</f>
        <v>54.655299999999997</v>
      </c>
      <c r="D1032" s="8">
        <f>CHOOSE( CONTROL!$C$32, 54.6584, 54.6552) * CHOOSE( CONTROL!$C$15, $D$11, 100%, $F$11)</f>
        <v>54.6584</v>
      </c>
      <c r="E1032" s="12">
        <f>CHOOSE( CONTROL!$C$32, 54.6561, 54.6529) * CHOOSE( CONTROL!$C$15, $D$11, 100%, $F$11)</f>
        <v>54.656100000000002</v>
      </c>
      <c r="F1032" s="4">
        <f>CHOOSE( CONTROL!$C$32, 55.3289, 55.3257) * CHOOSE(CONTROL!$C$15, $D$11, 100%, $F$11)</f>
        <v>55.328899999999997</v>
      </c>
      <c r="G1032" s="8">
        <f>CHOOSE( CONTROL!$C$32, 53.7095, 53.7064) * CHOOSE( CONTROL!$C$15, $D$11, 100%, $F$11)</f>
        <v>53.709499999999998</v>
      </c>
      <c r="H1032" s="4">
        <f>CHOOSE( CONTROL!$C$32, 54.6402, 54.637) * CHOOSE(CONTROL!$C$15, $D$11, 100%, $F$11)</f>
        <v>54.6402</v>
      </c>
      <c r="I1032" s="8">
        <f>CHOOSE( CONTROL!$C$32, 52.9167, 52.9136) * CHOOSE(CONTROL!$C$15, $D$11, 100%, $F$11)</f>
        <v>52.916699999999999</v>
      </c>
      <c r="J1032" s="4">
        <f>CHOOSE( CONTROL!$C$32, 52.7963, 52.7933) * CHOOSE(CONTROL!$C$15, $D$11, 100%, $F$11)</f>
        <v>52.796300000000002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1.2183999999999999</v>
      </c>
      <c r="Q1032" s="9">
        <v>19.688099999999999</v>
      </c>
      <c r="R1032" s="9"/>
      <c r="S1032" s="11"/>
    </row>
    <row r="1033" spans="1:19" ht="15.75">
      <c r="A1033" s="13">
        <v>72958</v>
      </c>
      <c r="B1033" s="8">
        <f>CHOOSE( CONTROL!$C$32, 53.5034, 53.5002) * CHOOSE(CONTROL!$C$15, $D$11, 100%, $F$11)</f>
        <v>53.503399999999999</v>
      </c>
      <c r="C1033" s="8">
        <f>CHOOSE( CONTROL!$C$32, 53.5114, 53.5082) * CHOOSE(CONTROL!$C$15, $D$11, 100%, $F$11)</f>
        <v>53.511400000000002</v>
      </c>
      <c r="D1033" s="8">
        <f>CHOOSE( CONTROL!$C$32, 53.5145, 53.5113) * CHOOSE( CONTROL!$C$15, $D$11, 100%, $F$11)</f>
        <v>53.514499999999998</v>
      </c>
      <c r="E1033" s="12">
        <f>CHOOSE( CONTROL!$C$32, 53.5122, 53.509) * CHOOSE( CONTROL!$C$15, $D$11, 100%, $F$11)</f>
        <v>53.5122</v>
      </c>
      <c r="F1033" s="4">
        <f>CHOOSE( CONTROL!$C$32, 54.1849, 54.1817) * CHOOSE(CONTROL!$C$15, $D$11, 100%, $F$11)</f>
        <v>54.184899999999999</v>
      </c>
      <c r="G1033" s="8">
        <f>CHOOSE( CONTROL!$C$32, 52.5846, 52.5814) * CHOOSE( CONTROL!$C$15, $D$11, 100%, $F$11)</f>
        <v>52.584600000000002</v>
      </c>
      <c r="H1033" s="4">
        <f>CHOOSE( CONTROL!$C$32, 53.5152, 53.5121) * CHOOSE(CONTROL!$C$15, $D$11, 100%, $F$11)</f>
        <v>53.5152</v>
      </c>
      <c r="I1033" s="8">
        <f>CHOOSE( CONTROL!$C$32, 51.8104, 51.8073) * CHOOSE(CONTROL!$C$15, $D$11, 100%, $F$11)</f>
        <v>51.810400000000001</v>
      </c>
      <c r="J1033" s="4">
        <f>CHOOSE( CONTROL!$C$32, 51.6905, 51.6874) * CHOOSE(CONTROL!$C$15, $D$11, 100%, $F$11)</f>
        <v>51.6905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1.1791</v>
      </c>
      <c r="Q1033" s="9">
        <v>19.053000000000001</v>
      </c>
      <c r="R1033" s="9"/>
      <c r="S1033" s="11"/>
    </row>
    <row r="1034" spans="1:19" ht="15.75">
      <c r="A1034" s="13">
        <v>72989</v>
      </c>
      <c r="B1034" s="8">
        <f>55.8737 * CHOOSE(CONTROL!$C$15, $D$11, 100%, $F$11)</f>
        <v>55.873699999999999</v>
      </c>
      <c r="C1034" s="8">
        <f>55.8791 * CHOOSE(CONTROL!$C$15, $D$11, 100%, $F$11)</f>
        <v>55.879100000000001</v>
      </c>
      <c r="D1034" s="8">
        <f>55.8869 * CHOOSE( CONTROL!$C$15, $D$11, 100%, $F$11)</f>
        <v>55.886899999999997</v>
      </c>
      <c r="E1034" s="12">
        <f>55.8838 * CHOOSE( CONTROL!$C$15, $D$11, 100%, $F$11)</f>
        <v>55.883800000000001</v>
      </c>
      <c r="F1034" s="4">
        <f>56.557 * CHOOSE(CONTROL!$C$15, $D$11, 100%, $F$11)</f>
        <v>56.557000000000002</v>
      </c>
      <c r="G1034" s="8">
        <f>54.9168 * CHOOSE( CONTROL!$C$15, $D$11, 100%, $F$11)</f>
        <v>54.916800000000002</v>
      </c>
      <c r="H1034" s="4">
        <f>55.8479 * CHOOSE(CONTROL!$C$15, $D$11, 100%, $F$11)</f>
        <v>55.847900000000003</v>
      </c>
      <c r="I1034" s="8">
        <f>54.1052 * CHOOSE(CONTROL!$C$15, $D$11, 100%, $F$11)</f>
        <v>54.105200000000004</v>
      </c>
      <c r="J1034" s="4">
        <f>53.9835 * CHOOSE(CONTROL!$C$15, $D$11, 100%, $F$11)</f>
        <v>53.983499999999999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1.2183999999999999</v>
      </c>
      <c r="Q1034" s="9">
        <v>19.688099999999999</v>
      </c>
      <c r="R1034" s="9"/>
      <c r="S1034" s="11"/>
    </row>
    <row r="1035" spans="1:19" ht="15.75">
      <c r="A1035" s="13">
        <v>73019</v>
      </c>
      <c r="B1035" s="8">
        <f>60.2575 * CHOOSE(CONTROL!$C$15, $D$11, 100%, $F$11)</f>
        <v>60.2575</v>
      </c>
      <c r="C1035" s="8">
        <f>60.2626 * CHOOSE(CONTROL!$C$15, $D$11, 100%, $F$11)</f>
        <v>60.262599999999999</v>
      </c>
      <c r="D1035" s="8">
        <f>60.2401 * CHOOSE( CONTROL!$C$15, $D$11, 100%, $F$11)</f>
        <v>60.240099999999998</v>
      </c>
      <c r="E1035" s="12">
        <f>60.2478 * CHOOSE( CONTROL!$C$15, $D$11, 100%, $F$11)</f>
        <v>60.247799999999998</v>
      </c>
      <c r="F1035" s="4">
        <f>60.9024 * CHOOSE(CONTROL!$C$15, $D$11, 100%, $F$11)</f>
        <v>60.9024</v>
      </c>
      <c r="G1035" s="8">
        <f>59.2409 * CHOOSE( CONTROL!$C$15, $D$11, 100%, $F$11)</f>
        <v>59.240900000000003</v>
      </c>
      <c r="H1035" s="4">
        <f>60.1213 * CHOOSE(CONTROL!$C$15, $D$11, 100%, $F$11)</f>
        <v>60.121299999999998</v>
      </c>
      <c r="I1035" s="8">
        <f>58.3712 * CHOOSE(CONTROL!$C$15, $D$11, 100%, $F$11)</f>
        <v>58.371200000000002</v>
      </c>
      <c r="J1035" s="4">
        <f>58.2217 * CHOOSE(CONTROL!$C$15, $D$11, 100%, $F$11)</f>
        <v>58.221699999999998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73050</v>
      </c>
      <c r="B1036" s="8">
        <f>60.1479 * CHOOSE(CONTROL!$C$15, $D$11, 100%, $F$11)</f>
        <v>60.1479</v>
      </c>
      <c r="C1036" s="8">
        <f>60.1531 * CHOOSE(CONTROL!$C$15, $D$11, 100%, $F$11)</f>
        <v>60.153100000000002</v>
      </c>
      <c r="D1036" s="8">
        <f>60.132 * CHOOSE( CONTROL!$C$15, $D$11, 100%, $F$11)</f>
        <v>60.131999999999998</v>
      </c>
      <c r="E1036" s="12">
        <f>60.1392 * CHOOSE( CONTROL!$C$15, $D$11, 100%, $F$11)</f>
        <v>60.139200000000002</v>
      </c>
      <c r="F1036" s="4">
        <f>60.7928 * CHOOSE(CONTROL!$C$15, $D$11, 100%, $F$11)</f>
        <v>60.7928</v>
      </c>
      <c r="G1036" s="8">
        <f>59.1342 * CHOOSE( CONTROL!$C$15, $D$11, 100%, $F$11)</f>
        <v>59.1342</v>
      </c>
      <c r="H1036" s="4">
        <f>60.0135 * CHOOSE(CONTROL!$C$15, $D$11, 100%, $F$11)</f>
        <v>60.013500000000001</v>
      </c>
      <c r="I1036" s="8">
        <f>58.2698 * CHOOSE(CONTROL!$C$15, $D$11, 100%, $F$11)</f>
        <v>58.269799999999996</v>
      </c>
      <c r="J1036" s="4">
        <f>58.1158 * CHOOSE(CONTROL!$C$15, $D$11, 100%, $F$11)</f>
        <v>58.1158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73081</v>
      </c>
      <c r="B1037" s="8">
        <f>62.4456 * CHOOSE(CONTROL!$C$15, $D$11, 100%, $F$11)</f>
        <v>62.445599999999999</v>
      </c>
      <c r="C1037" s="8">
        <f>62.4507 * CHOOSE(CONTROL!$C$15, $D$11, 100%, $F$11)</f>
        <v>62.450699999999998</v>
      </c>
      <c r="D1037" s="8">
        <f>62.4287 * CHOOSE( CONTROL!$C$15, $D$11, 100%, $F$11)</f>
        <v>62.428699999999999</v>
      </c>
      <c r="E1037" s="12">
        <f>62.4362 * CHOOSE( CONTROL!$C$15, $D$11, 100%, $F$11)</f>
        <v>62.436199999999999</v>
      </c>
      <c r="F1037" s="4">
        <f>63.0905 * CHOOSE(CONTROL!$C$15, $D$11, 100%, $F$11)</f>
        <v>63.090499999999999</v>
      </c>
      <c r="G1037" s="8">
        <f>61.3912 * CHOOSE( CONTROL!$C$15, $D$11, 100%, $F$11)</f>
        <v>61.391199999999998</v>
      </c>
      <c r="H1037" s="4">
        <f>62.2731 * CHOOSE(CONTROL!$C$15, $D$11, 100%, $F$11)</f>
        <v>62.273099999999999</v>
      </c>
      <c r="I1037" s="8">
        <f>60.4639 * CHOOSE(CONTROL!$C$15, $D$11, 100%, $F$11)</f>
        <v>60.463900000000002</v>
      </c>
      <c r="J1037" s="4">
        <f>60.337 * CHOOSE(CONTROL!$C$15, $D$11, 100%, $F$11)</f>
        <v>60.337000000000003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73109</v>
      </c>
      <c r="B1038" s="8">
        <f>58.4106 * CHOOSE(CONTROL!$C$15, $D$11, 100%, $F$11)</f>
        <v>58.410600000000002</v>
      </c>
      <c r="C1038" s="8">
        <f>58.4157 * CHOOSE(CONTROL!$C$15, $D$11, 100%, $F$11)</f>
        <v>58.415700000000001</v>
      </c>
      <c r="D1038" s="8">
        <f>58.3893 * CHOOSE( CONTROL!$C$15, $D$11, 100%, $F$11)</f>
        <v>58.389299999999999</v>
      </c>
      <c r="E1038" s="12">
        <f>58.3984 * CHOOSE( CONTROL!$C$15, $D$11, 100%, $F$11)</f>
        <v>58.398400000000002</v>
      </c>
      <c r="F1038" s="4">
        <f>59.0554 * CHOOSE(CONTROL!$C$15, $D$11, 100%, $F$11)</f>
        <v>59.055399999999999</v>
      </c>
      <c r="G1038" s="8">
        <f>57.4146 * CHOOSE( CONTROL!$C$15, $D$11, 100%, $F$11)</f>
        <v>57.4146</v>
      </c>
      <c r="H1038" s="4">
        <f>58.305 * CHOOSE(CONTROL!$C$15, $D$11, 100%, $F$11)</f>
        <v>58.305</v>
      </c>
      <c r="I1038" s="8">
        <f>56.5322 * CHOOSE(CONTROL!$C$15, $D$11, 100%, $F$11)</f>
        <v>56.532200000000003</v>
      </c>
      <c r="J1038" s="4">
        <f>56.4363 * CHOOSE(CONTROL!$C$15, $D$11, 100%, $F$11)</f>
        <v>56.436300000000003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73140</v>
      </c>
      <c r="B1039" s="8">
        <f>57.1678 * CHOOSE(CONTROL!$C$15, $D$11, 100%, $F$11)</f>
        <v>57.1678</v>
      </c>
      <c r="C1039" s="8">
        <f>57.1729 * CHOOSE(CONTROL!$C$15, $D$11, 100%, $F$11)</f>
        <v>57.172899999999998</v>
      </c>
      <c r="D1039" s="8">
        <f>57.1469 * CHOOSE( CONTROL!$C$15, $D$11, 100%, $F$11)</f>
        <v>57.146900000000002</v>
      </c>
      <c r="E1039" s="12">
        <f>57.1559 * CHOOSE( CONTROL!$C$15, $D$11, 100%, $F$11)</f>
        <v>57.155900000000003</v>
      </c>
      <c r="F1039" s="4">
        <f>57.8127 * CHOOSE(CONTROL!$C$15, $D$11, 100%, $F$11)</f>
        <v>57.8127</v>
      </c>
      <c r="G1039" s="8">
        <f>56.1927 * CHOOSE( CONTROL!$C$15, $D$11, 100%, $F$11)</f>
        <v>56.192700000000002</v>
      </c>
      <c r="H1039" s="4">
        <f>57.0828 * CHOOSE(CONTROL!$C$15, $D$11, 100%, $F$11)</f>
        <v>57.082799999999999</v>
      </c>
      <c r="I1039" s="8">
        <f>55.3315 * CHOOSE(CONTROL!$C$15, $D$11, 100%, $F$11)</f>
        <v>55.331499999999998</v>
      </c>
      <c r="J1039" s="4">
        <f>55.2349 * CHOOSE(CONTROL!$C$15, $D$11, 100%, $F$11)</f>
        <v>55.234900000000003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73170</v>
      </c>
      <c r="B1040" s="8">
        <f>58.037 * CHOOSE(CONTROL!$C$15, $D$11, 100%, $F$11)</f>
        <v>58.036999999999999</v>
      </c>
      <c r="C1040" s="8">
        <f>58.0415 * CHOOSE(CONTROL!$C$15, $D$11, 100%, $F$11)</f>
        <v>58.041499999999999</v>
      </c>
      <c r="D1040" s="8">
        <f>58.0487 * CHOOSE( CONTROL!$C$15, $D$11, 100%, $F$11)</f>
        <v>58.048699999999997</v>
      </c>
      <c r="E1040" s="12">
        <f>58.0458 * CHOOSE( CONTROL!$C$15, $D$11, 100%, $F$11)</f>
        <v>58.0458</v>
      </c>
      <c r="F1040" s="4">
        <f>58.7199 * CHOOSE(CONTROL!$C$15, $D$11, 100%, $F$11)</f>
        <v>58.719900000000003</v>
      </c>
      <c r="G1040" s="8">
        <f>57.042 * CHOOSE( CONTROL!$C$15, $D$11, 100%, $F$11)</f>
        <v>57.042000000000002</v>
      </c>
      <c r="H1040" s="4">
        <f>57.975 * CHOOSE(CONTROL!$C$15, $D$11, 100%, $F$11)</f>
        <v>57.975000000000001</v>
      </c>
      <c r="I1040" s="8">
        <f>56.1912 * CHOOSE(CONTROL!$C$15, $D$11, 100%, $F$11)</f>
        <v>56.191200000000002</v>
      </c>
      <c r="J1040" s="4">
        <f>56.0744 * CHOOSE(CONTROL!$C$15, $D$11, 100%, $F$11)</f>
        <v>56.074399999999997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1.1791</v>
      </c>
      <c r="Q1040" s="9">
        <v>19.053000000000001</v>
      </c>
      <c r="R1040" s="9"/>
      <c r="S1040" s="11"/>
    </row>
    <row r="1041" spans="1:19" ht="15.75">
      <c r="A1041" s="13">
        <v>73201</v>
      </c>
      <c r="B1041" s="8">
        <f>CHOOSE( CONTROL!$C$32, 59.5871, 59.5839) * CHOOSE(CONTROL!$C$15, $D$11, 100%, $F$11)</f>
        <v>59.5871</v>
      </c>
      <c r="C1041" s="8">
        <f>CHOOSE( CONTROL!$C$32, 59.5952, 59.592) * CHOOSE(CONTROL!$C$15, $D$11, 100%, $F$11)</f>
        <v>59.595199999999998</v>
      </c>
      <c r="D1041" s="8">
        <f>CHOOSE( CONTROL!$C$32, 59.5975, 59.5943) * CHOOSE( CONTROL!$C$15, $D$11, 100%, $F$11)</f>
        <v>59.597499999999997</v>
      </c>
      <c r="E1041" s="12">
        <f>CHOOSE( CONTROL!$C$32, 59.5954, 59.5922) * CHOOSE( CONTROL!$C$15, $D$11, 100%, $F$11)</f>
        <v>59.595399999999998</v>
      </c>
      <c r="F1041" s="4">
        <f>CHOOSE( CONTROL!$C$32, 60.2687, 60.2655) * CHOOSE(CONTROL!$C$15, $D$11, 100%, $F$11)</f>
        <v>60.268700000000003</v>
      </c>
      <c r="G1041" s="8">
        <f>CHOOSE( CONTROL!$C$32, 58.5663, 58.5631) * CHOOSE( CONTROL!$C$15, $D$11, 100%, $F$11)</f>
        <v>58.566299999999998</v>
      </c>
      <c r="H1041" s="4">
        <f>CHOOSE( CONTROL!$C$32, 59.4981, 59.4949) * CHOOSE(CONTROL!$C$15, $D$11, 100%, $F$11)</f>
        <v>59.498100000000001</v>
      </c>
      <c r="I1041" s="8">
        <f>CHOOSE( CONTROL!$C$32, 57.6908, 57.6877) * CHOOSE(CONTROL!$C$15, $D$11, 100%, $F$11)</f>
        <v>57.690800000000003</v>
      </c>
      <c r="J1041" s="4">
        <f>CHOOSE( CONTROL!$C$32, 57.5717, 57.5686) * CHOOSE(CONTROL!$C$15, $D$11, 100%, $F$11)</f>
        <v>57.5717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1.2183999999999999</v>
      </c>
      <c r="Q1041" s="9">
        <v>19.688099999999999</v>
      </c>
      <c r="R1041" s="9"/>
      <c r="S1041" s="11"/>
    </row>
    <row r="1042" spans="1:19" ht="15.75">
      <c r="A1042" s="13">
        <v>73231</v>
      </c>
      <c r="B1042" s="8">
        <f>CHOOSE( CONTROL!$C$32, 58.6297, 58.6265) * CHOOSE(CONTROL!$C$15, $D$11, 100%, $F$11)</f>
        <v>58.6297</v>
      </c>
      <c r="C1042" s="8">
        <f>CHOOSE( CONTROL!$C$32, 58.6377, 58.6345) * CHOOSE(CONTROL!$C$15, $D$11, 100%, $F$11)</f>
        <v>58.637700000000002</v>
      </c>
      <c r="D1042" s="8">
        <f>CHOOSE( CONTROL!$C$32, 58.6403, 58.6371) * CHOOSE( CONTROL!$C$15, $D$11, 100%, $F$11)</f>
        <v>58.640300000000003</v>
      </c>
      <c r="E1042" s="12">
        <f>CHOOSE( CONTROL!$C$32, 58.6381, 58.6349) * CHOOSE( CONTROL!$C$15, $D$11, 100%, $F$11)</f>
        <v>58.638100000000001</v>
      </c>
      <c r="F1042" s="4">
        <f>CHOOSE( CONTROL!$C$32, 59.3112, 59.308) * CHOOSE(CONTROL!$C$15, $D$11, 100%, $F$11)</f>
        <v>59.311199999999999</v>
      </c>
      <c r="G1042" s="8">
        <f>CHOOSE( CONTROL!$C$32, 57.6252, 57.622) * CHOOSE( CONTROL!$C$15, $D$11, 100%, $F$11)</f>
        <v>57.6252</v>
      </c>
      <c r="H1042" s="4">
        <f>CHOOSE( CONTROL!$C$32, 58.5565, 58.5534) * CHOOSE(CONTROL!$C$15, $D$11, 100%, $F$11)</f>
        <v>58.5565</v>
      </c>
      <c r="I1042" s="8">
        <f>CHOOSE( CONTROL!$C$32, 56.7661, 56.763) * CHOOSE(CONTROL!$C$15, $D$11, 100%, $F$11)</f>
        <v>56.766100000000002</v>
      </c>
      <c r="J1042" s="4">
        <f>CHOOSE( CONTROL!$C$32, 56.6461, 56.643) * CHOOSE(CONTROL!$C$15, $D$11, 100%, $F$11)</f>
        <v>56.646099999999997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1.1791</v>
      </c>
      <c r="Q1042" s="9">
        <v>19.053000000000001</v>
      </c>
      <c r="R1042" s="9"/>
      <c r="S1042" s="11"/>
    </row>
    <row r="1043" spans="1:19" ht="15.75">
      <c r="A1043" s="13">
        <v>73262</v>
      </c>
      <c r="B1043" s="8">
        <f>CHOOSE( CONTROL!$C$32, 61.151, 61.1478) * CHOOSE(CONTROL!$C$15, $D$11, 100%, $F$11)</f>
        <v>61.151000000000003</v>
      </c>
      <c r="C1043" s="8">
        <f>CHOOSE( CONTROL!$C$32, 61.159, 61.1558) * CHOOSE(CONTROL!$C$15, $D$11, 100%, $F$11)</f>
        <v>61.158999999999999</v>
      </c>
      <c r="D1043" s="8">
        <f>CHOOSE( CONTROL!$C$32, 61.1619, 61.1587) * CHOOSE( CONTROL!$C$15, $D$11, 100%, $F$11)</f>
        <v>61.161900000000003</v>
      </c>
      <c r="E1043" s="12">
        <f>CHOOSE( CONTROL!$C$32, 61.1596, 61.1564) * CHOOSE( CONTROL!$C$15, $D$11, 100%, $F$11)</f>
        <v>61.159599999999998</v>
      </c>
      <c r="F1043" s="4">
        <f>CHOOSE( CONTROL!$C$32, 61.8326, 61.8294) * CHOOSE(CONTROL!$C$15, $D$11, 100%, $F$11)</f>
        <v>61.832599999999999</v>
      </c>
      <c r="G1043" s="8">
        <f>CHOOSE( CONTROL!$C$32, 60.1051, 60.102) * CHOOSE( CONTROL!$C$15, $D$11, 100%, $F$11)</f>
        <v>60.1051</v>
      </c>
      <c r="H1043" s="4">
        <f>CHOOSE( CONTROL!$C$32, 61.036, 61.0329) * CHOOSE(CONTROL!$C$15, $D$11, 100%, $F$11)</f>
        <v>61.036000000000001</v>
      </c>
      <c r="I1043" s="8">
        <f>CHOOSE( CONTROL!$C$32, 59.2062, 59.2031) * CHOOSE(CONTROL!$C$15, $D$11, 100%, $F$11)</f>
        <v>59.206200000000003</v>
      </c>
      <c r="J1043" s="4">
        <f>CHOOSE( CONTROL!$C$32, 59.0835, 59.0804) * CHOOSE(CONTROL!$C$15, $D$11, 100%, $F$11)</f>
        <v>59.083500000000001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1.2183999999999999</v>
      </c>
      <c r="Q1043" s="9">
        <v>19.688099999999999</v>
      </c>
      <c r="R1043" s="9"/>
      <c r="S1043" s="11"/>
    </row>
    <row r="1044" spans="1:19" ht="15.75">
      <c r="A1044" s="13">
        <v>73293</v>
      </c>
      <c r="B1044" s="8">
        <f>CHOOSE( CONTROL!$C$32, 56.4333, 56.4301) * CHOOSE(CONTROL!$C$15, $D$11, 100%, $F$11)</f>
        <v>56.433300000000003</v>
      </c>
      <c r="C1044" s="8">
        <f>CHOOSE( CONTROL!$C$32, 56.4414, 56.4382) * CHOOSE(CONTROL!$C$15, $D$11, 100%, $F$11)</f>
        <v>56.441400000000002</v>
      </c>
      <c r="D1044" s="8">
        <f>CHOOSE( CONTROL!$C$32, 56.4444, 56.4412) * CHOOSE( CONTROL!$C$15, $D$11, 100%, $F$11)</f>
        <v>56.444400000000002</v>
      </c>
      <c r="E1044" s="12">
        <f>CHOOSE( CONTROL!$C$32, 56.4421, 56.4389) * CHOOSE( CONTROL!$C$15, $D$11, 100%, $F$11)</f>
        <v>56.442100000000003</v>
      </c>
      <c r="F1044" s="4">
        <f>CHOOSE( CONTROL!$C$32, 57.1149, 57.1117) * CHOOSE(CONTROL!$C$15, $D$11, 100%, $F$11)</f>
        <v>57.114899999999999</v>
      </c>
      <c r="G1044" s="8">
        <f>CHOOSE( CONTROL!$C$32, 55.4659, 55.4628) * CHOOSE( CONTROL!$C$15, $D$11, 100%, $F$11)</f>
        <v>55.465899999999998</v>
      </c>
      <c r="H1044" s="4">
        <f>CHOOSE( CONTROL!$C$32, 56.3966, 56.3934) * CHOOSE(CONTROL!$C$15, $D$11, 100%, $F$11)</f>
        <v>56.396599999999999</v>
      </c>
      <c r="I1044" s="8">
        <f>CHOOSE( CONTROL!$C$32, 54.6441, 54.641) * CHOOSE(CONTROL!$C$15, $D$11, 100%, $F$11)</f>
        <v>54.644100000000002</v>
      </c>
      <c r="J1044" s="4">
        <f>CHOOSE( CONTROL!$C$32, 54.5229, 54.5198) * CHOOSE(CONTROL!$C$15, $D$11, 100%, $F$11)</f>
        <v>54.5229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1.2183999999999999</v>
      </c>
      <c r="Q1044" s="9">
        <v>19.688099999999999</v>
      </c>
      <c r="R1044" s="9"/>
      <c r="S1044" s="11"/>
    </row>
    <row r="1045" spans="1:19" ht="15.75">
      <c r="A1045" s="13">
        <v>73323</v>
      </c>
      <c r="B1045" s="8">
        <f>CHOOSE( CONTROL!$C$32, 55.252, 55.2488) * CHOOSE(CONTROL!$C$15, $D$11, 100%, $F$11)</f>
        <v>55.252000000000002</v>
      </c>
      <c r="C1045" s="8">
        <f>CHOOSE( CONTROL!$C$32, 55.26, 55.2568) * CHOOSE(CONTROL!$C$15, $D$11, 100%, $F$11)</f>
        <v>55.26</v>
      </c>
      <c r="D1045" s="8">
        <f>CHOOSE( CONTROL!$C$32, 55.2631, 55.2599) * CHOOSE( CONTROL!$C$15, $D$11, 100%, $F$11)</f>
        <v>55.263100000000001</v>
      </c>
      <c r="E1045" s="12">
        <f>CHOOSE( CONTROL!$C$32, 55.2608, 55.2576) * CHOOSE( CONTROL!$C$15, $D$11, 100%, $F$11)</f>
        <v>55.260800000000003</v>
      </c>
      <c r="F1045" s="4">
        <f>CHOOSE( CONTROL!$C$32, 55.9335, 55.9303) * CHOOSE(CONTROL!$C$15, $D$11, 100%, $F$11)</f>
        <v>55.933500000000002</v>
      </c>
      <c r="G1045" s="8">
        <f>CHOOSE( CONTROL!$C$32, 54.3042, 54.301) * CHOOSE( CONTROL!$C$15, $D$11, 100%, $F$11)</f>
        <v>54.304200000000002</v>
      </c>
      <c r="H1045" s="4">
        <f>CHOOSE( CONTROL!$C$32, 55.2348, 55.2317) * CHOOSE(CONTROL!$C$15, $D$11, 100%, $F$11)</f>
        <v>55.2348</v>
      </c>
      <c r="I1045" s="8">
        <f>CHOOSE( CONTROL!$C$32, 53.5016, 53.4985) * CHOOSE(CONTROL!$C$15, $D$11, 100%, $F$11)</f>
        <v>53.501600000000003</v>
      </c>
      <c r="J1045" s="4">
        <f>CHOOSE( CONTROL!$C$32, 53.3809, 53.3778) * CHOOSE(CONTROL!$C$15, $D$11, 100%, $F$11)</f>
        <v>53.380899999999997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1.1791</v>
      </c>
      <c r="Q1045" s="9">
        <v>19.053000000000001</v>
      </c>
      <c r="R1045" s="9"/>
      <c r="S1045" s="11"/>
    </row>
    <row r="1046" spans="1:19" ht="15.75">
      <c r="A1046" s="13">
        <v>73354</v>
      </c>
      <c r="B1046" s="8">
        <f>57.7 * CHOOSE(CONTROL!$C$15, $D$11, 100%, $F$11)</f>
        <v>57.7</v>
      </c>
      <c r="C1046" s="8">
        <f>57.7053 * CHOOSE(CONTROL!$C$15, $D$11, 100%, $F$11)</f>
        <v>57.705300000000001</v>
      </c>
      <c r="D1046" s="8">
        <f>57.7132 * CHOOSE( CONTROL!$C$15, $D$11, 100%, $F$11)</f>
        <v>57.713200000000001</v>
      </c>
      <c r="E1046" s="12">
        <f>57.71 * CHOOSE( CONTROL!$C$15, $D$11, 100%, $F$11)</f>
        <v>57.71</v>
      </c>
      <c r="F1046" s="4">
        <f>58.3832 * CHOOSE(CONTROL!$C$15, $D$11, 100%, $F$11)</f>
        <v>58.383200000000002</v>
      </c>
      <c r="G1046" s="8">
        <f>56.7128 * CHOOSE( CONTROL!$C$15, $D$11, 100%, $F$11)</f>
        <v>56.712800000000001</v>
      </c>
      <c r="H1046" s="4">
        <f>57.6439 * CHOOSE(CONTROL!$C$15, $D$11, 100%, $F$11)</f>
        <v>57.643900000000002</v>
      </c>
      <c r="I1046" s="8">
        <f>55.8716 * CHOOSE(CONTROL!$C$15, $D$11, 100%, $F$11)</f>
        <v>55.871600000000001</v>
      </c>
      <c r="J1046" s="4">
        <f>55.749 * CHOOSE(CONTROL!$C$15, $D$11, 100%, $F$11)</f>
        <v>55.749000000000002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1.2183999999999999</v>
      </c>
      <c r="Q1046" s="9">
        <v>19.688099999999999</v>
      </c>
      <c r="R1046" s="9"/>
      <c r="S1046" s="11"/>
    </row>
    <row r="1047" spans="1:19" ht="15.75">
      <c r="A1047" s="13">
        <v>73384</v>
      </c>
      <c r="B1047" s="8">
        <f>62.2271 * CHOOSE(CONTROL!$C$15, $D$11, 100%, $F$11)</f>
        <v>62.2271</v>
      </c>
      <c r="C1047" s="8">
        <f>62.2323 * CHOOSE(CONTROL!$C$15, $D$11, 100%, $F$11)</f>
        <v>62.232300000000002</v>
      </c>
      <c r="D1047" s="8">
        <f>62.2098 * CHOOSE( CONTROL!$C$15, $D$11, 100%, $F$11)</f>
        <v>62.209800000000001</v>
      </c>
      <c r="E1047" s="12">
        <f>62.2175 * CHOOSE( CONTROL!$C$15, $D$11, 100%, $F$11)</f>
        <v>62.217500000000001</v>
      </c>
      <c r="F1047" s="4">
        <f>62.872 * CHOOSE(CONTROL!$C$15, $D$11, 100%, $F$11)</f>
        <v>62.872</v>
      </c>
      <c r="G1047" s="8">
        <f>61.1779 * CHOOSE( CONTROL!$C$15, $D$11, 100%, $F$11)</f>
        <v>61.177900000000001</v>
      </c>
      <c r="H1047" s="4">
        <f>62.0583 * CHOOSE(CONTROL!$C$15, $D$11, 100%, $F$11)</f>
        <v>62.058300000000003</v>
      </c>
      <c r="I1047" s="8">
        <f>60.2762 * CHOOSE(CONTROL!$C$15, $D$11, 100%, $F$11)</f>
        <v>60.276200000000003</v>
      </c>
      <c r="J1047" s="4">
        <f>60.1258 * CHOOSE(CONTROL!$C$15, $D$11, 100%, $F$11)</f>
        <v>60.125799999999998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73415</v>
      </c>
      <c r="B1048" s="8">
        <f>62.114 * CHOOSE(CONTROL!$C$15, $D$11, 100%, $F$11)</f>
        <v>62.113999999999997</v>
      </c>
      <c r="C1048" s="8">
        <f>62.1191 * CHOOSE(CONTROL!$C$15, $D$11, 100%, $F$11)</f>
        <v>62.119100000000003</v>
      </c>
      <c r="D1048" s="8">
        <f>62.0981 * CHOOSE( CONTROL!$C$15, $D$11, 100%, $F$11)</f>
        <v>62.098100000000002</v>
      </c>
      <c r="E1048" s="12">
        <f>62.1052 * CHOOSE( CONTROL!$C$15, $D$11, 100%, $F$11)</f>
        <v>62.105200000000004</v>
      </c>
      <c r="F1048" s="4">
        <f>62.7589 * CHOOSE(CONTROL!$C$15, $D$11, 100%, $F$11)</f>
        <v>62.758899999999997</v>
      </c>
      <c r="G1048" s="8">
        <f>61.0677 * CHOOSE( CONTROL!$C$15, $D$11, 100%, $F$11)</f>
        <v>61.067700000000002</v>
      </c>
      <c r="H1048" s="4">
        <f>61.947 * CHOOSE(CONTROL!$C$15, $D$11, 100%, $F$11)</f>
        <v>61.947000000000003</v>
      </c>
      <c r="I1048" s="8">
        <f>60.1714 * CHOOSE(CONTROL!$C$15, $D$11, 100%, $F$11)</f>
        <v>60.171399999999998</v>
      </c>
      <c r="J1048" s="4">
        <f>60.0164 * CHOOSE(CONTROL!$C$15, $D$11, 100%, $F$11)</f>
        <v>60.016399999999997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>
      <c r="A1049" s="10"/>
      <c r="F1049" s="1"/>
      <c r="H1049" s="1"/>
      <c r="Q1049" s="9"/>
    </row>
    <row r="1050" spans="1:19" ht="15" customHeight="1">
      <c r="A1050" s="3">
        <v>2015</v>
      </c>
      <c r="B1050" s="8">
        <f t="shared" ref="B1050:H1050" si="2">AVERAGE(B17:B28)</f>
        <v>2.7884416666666669</v>
      </c>
      <c r="C1050" s="8">
        <f t="shared" si="2"/>
        <v>2.7947166666666665</v>
      </c>
      <c r="D1050" s="8">
        <f t="shared" si="2"/>
        <v>2.7807333333333339</v>
      </c>
      <c r="E1050" s="8">
        <f t="shared" si="2"/>
        <v>2.7847833333333334</v>
      </c>
      <c r="F1050" s="4">
        <f t="shared" si="2"/>
        <v>3.4444833333333338</v>
      </c>
      <c r="G1050" s="8">
        <f t="shared" si="2"/>
        <v>2.72</v>
      </c>
      <c r="H1050" s="4">
        <f t="shared" si="2"/>
        <v>3.616141666666667</v>
      </c>
      <c r="I1050" s="8"/>
      <c r="J1050" s="4">
        <f>AVERAGE(J17:J28)</f>
        <v>2.665458333333333</v>
      </c>
      <c r="K1050" s="4">
        <f>AVERAGE(K17:K28)</f>
        <v>2.7252749999999999</v>
      </c>
      <c r="L1050" s="5">
        <f>SUM(L17:L28)</f>
        <v>369.27089999999998</v>
      </c>
      <c r="M1050" s="5">
        <f>SUM(M17:M28)</f>
        <v>142.0401</v>
      </c>
      <c r="N1050" s="5">
        <f>SUM(N17:N28)</f>
        <v>58.217499999999994</v>
      </c>
      <c r="O1050" s="5">
        <f>SUM(O17:O28)</f>
        <v>7.2496000000000018</v>
      </c>
      <c r="P1050" s="5">
        <f>SUM(P17:P28)</f>
        <v>14.046099999999997</v>
      </c>
      <c r="Q1050" s="5"/>
      <c r="R1050" s="5">
        <f>SUM(R17:R28)</f>
        <v>3.5999999999999992</v>
      </c>
      <c r="S1050" s="5">
        <f>SUM(S17:S28)</f>
        <v>12.811500000000002</v>
      </c>
    </row>
    <row r="1051" spans="1:19" ht="15" customHeight="1">
      <c r="A1051" s="3">
        <v>2016</v>
      </c>
      <c r="B1051" s="8">
        <f t="shared" ref="B1051:H1051" si="3">AVERAGE(B29:B40)</f>
        <v>2.4574916666666664</v>
      </c>
      <c r="C1051" s="8">
        <f t="shared" si="3"/>
        <v>2.4637916666666664</v>
      </c>
      <c r="D1051" s="8">
        <f t="shared" si="3"/>
        <v>2.4466416666666668</v>
      </c>
      <c r="E1051" s="8">
        <f t="shared" si="3"/>
        <v>2.4519000000000002</v>
      </c>
      <c r="F1051" s="4">
        <f t="shared" si="3"/>
        <v>3.1240416666666664</v>
      </c>
      <c r="G1051" s="8">
        <f t="shared" si="3"/>
        <v>2.3896333333333337</v>
      </c>
      <c r="H1051" s="4">
        <f t="shared" si="3"/>
        <v>3.300991666666667</v>
      </c>
      <c r="I1051" s="8"/>
      <c r="J1051" s="4">
        <f>AVERAGE(J29:J40)</f>
        <v>2.3455416666666671</v>
      </c>
      <c r="K1051" s="5"/>
      <c r="L1051" s="5">
        <f>SUM(L29:L40)</f>
        <v>371.47629999999998</v>
      </c>
      <c r="M1051" s="5">
        <f>SUM(M29:M40)</f>
        <v>142.42920000000001</v>
      </c>
      <c r="N1051" s="5">
        <f>SUM(N29:N40)</f>
        <v>58.377000000000002</v>
      </c>
      <c r="O1051" s="5">
        <f>SUM(O29:O40)</f>
        <v>5.3597999999999999</v>
      </c>
      <c r="P1051" s="5">
        <f>SUM(P29:P40)</f>
        <v>17.840799999999998</v>
      </c>
      <c r="Q1051" s="5"/>
      <c r="R1051" s="5">
        <f>SUM(R29:R40)</f>
        <v>4.8</v>
      </c>
      <c r="S1051" s="5"/>
    </row>
    <row r="1052" spans="1:19" ht="15" customHeight="1">
      <c r="A1052" s="3">
        <v>2017</v>
      </c>
      <c r="B1052" s="8">
        <f t="shared" ref="B1052:J1052" si="4">AVERAGE(B41:B52)</f>
        <v>2.8671500000000001</v>
      </c>
      <c r="C1052" s="8">
        <f t="shared" si="4"/>
        <v>2.8734416666666664</v>
      </c>
      <c r="D1052" s="8">
        <f t="shared" si="4"/>
        <v>2.8551250000000006</v>
      </c>
      <c r="E1052" s="8">
        <f t="shared" si="4"/>
        <v>2.8609249999999999</v>
      </c>
      <c r="F1052" s="4">
        <f t="shared" si="4"/>
        <v>3.5336833333333337</v>
      </c>
      <c r="G1052" s="8">
        <f t="shared" si="4"/>
        <v>2.7920583333333333</v>
      </c>
      <c r="H1052" s="4">
        <f t="shared" si="4"/>
        <v>3.7038333333333333</v>
      </c>
      <c r="I1052" s="8">
        <f t="shared" si="4"/>
        <v>2.8366583333333337</v>
      </c>
      <c r="J1052" s="4">
        <f t="shared" si="4"/>
        <v>2.7415416666666665</v>
      </c>
      <c r="K1052" s="4"/>
      <c r="L1052" s="5">
        <f t="shared" ref="L1052:Q1052" si="5">SUM(L41:L52)</f>
        <v>355.53689999999995</v>
      </c>
      <c r="M1052" s="5">
        <f t="shared" si="5"/>
        <v>142.0401</v>
      </c>
      <c r="N1052" s="5">
        <f t="shared" si="5"/>
        <v>58.217499999999994</v>
      </c>
      <c r="O1052" s="5">
        <f t="shared" si="5"/>
        <v>4.4046000000000003</v>
      </c>
      <c r="P1052" s="5">
        <f t="shared" si="5"/>
        <v>20.805900000000001</v>
      </c>
      <c r="Q1052" s="5">
        <f t="shared" si="5"/>
        <v>198.18529999999998</v>
      </c>
      <c r="R1052" s="5"/>
      <c r="S1052" s="4"/>
    </row>
    <row r="1053" spans="1:19" ht="15" customHeight="1">
      <c r="A1053" s="3">
        <v>2018</v>
      </c>
      <c r="B1053" s="8">
        <f t="shared" ref="B1053:J1053" si="6">AVERAGE(B53:B64)</f>
        <v>3.7060749999999998</v>
      </c>
      <c r="C1053" s="8">
        <f t="shared" si="6"/>
        <v>3.7123833333333334</v>
      </c>
      <c r="D1053" s="8">
        <f t="shared" si="6"/>
        <v>3.7049750000000006</v>
      </c>
      <c r="E1053" s="8">
        <f t="shared" si="6"/>
        <v>3.7069000000000005</v>
      </c>
      <c r="F1053" s="4">
        <f t="shared" si="6"/>
        <v>4.372608333333333</v>
      </c>
      <c r="G1053" s="8">
        <f t="shared" si="6"/>
        <v>3.6170916666666666</v>
      </c>
      <c r="H1053" s="4">
        <f t="shared" si="6"/>
        <v>4.5288666666666666</v>
      </c>
      <c r="I1053" s="8">
        <f t="shared" si="6"/>
        <v>3.6480833333333336</v>
      </c>
      <c r="J1053" s="4">
        <f t="shared" si="6"/>
        <v>3.5525416666666665</v>
      </c>
      <c r="K1053" s="4"/>
      <c r="L1053" s="5">
        <f t="shared" ref="L1053:Q1053" si="7">SUM(L53:L64)</f>
        <v>355.53689999999995</v>
      </c>
      <c r="M1053" s="5">
        <f t="shared" si="7"/>
        <v>142.0401</v>
      </c>
      <c r="N1053" s="5">
        <f t="shared" si="7"/>
        <v>58.217499999999994</v>
      </c>
      <c r="O1053" s="5">
        <f t="shared" si="7"/>
        <v>4.4046000000000003</v>
      </c>
      <c r="P1053" s="5">
        <f t="shared" si="7"/>
        <v>14.707600000000001</v>
      </c>
      <c r="Q1053" s="5">
        <f t="shared" si="7"/>
        <v>293.19730000000004</v>
      </c>
      <c r="R1053" s="5"/>
      <c r="S1053" s="4"/>
    </row>
    <row r="1054" spans="1:19" ht="15" customHeight="1">
      <c r="A1054" s="3">
        <v>2019</v>
      </c>
      <c r="B1054" s="8">
        <f t="shared" ref="B1054:J1054" si="8">AVERAGE(B65:B76)</f>
        <v>3.7356916666666664</v>
      </c>
      <c r="C1054" s="8">
        <f t="shared" si="8"/>
        <v>3.7419833333333323</v>
      </c>
      <c r="D1054" s="8">
        <f t="shared" si="8"/>
        <v>3.7345916666666663</v>
      </c>
      <c r="E1054" s="8">
        <f t="shared" si="8"/>
        <v>3.7365083333333331</v>
      </c>
      <c r="F1054" s="4">
        <f t="shared" si="8"/>
        <v>4.4022083333333333</v>
      </c>
      <c r="G1054" s="8">
        <f t="shared" si="8"/>
        <v>3.6462083333333326</v>
      </c>
      <c r="H1054" s="4">
        <f t="shared" si="8"/>
        <v>4.5579916666666671</v>
      </c>
      <c r="I1054" s="8">
        <f t="shared" si="8"/>
        <v>3.6767083333333335</v>
      </c>
      <c r="J1054" s="4">
        <f t="shared" si="8"/>
        <v>3.5811666666666668</v>
      </c>
      <c r="K1054" s="4"/>
      <c r="L1054" s="5">
        <f t="shared" ref="L1054:Q1054" si="9">SUM(L65:L76)</f>
        <v>355.53689999999995</v>
      </c>
      <c r="M1054" s="5">
        <f t="shared" si="9"/>
        <v>142.0401</v>
      </c>
      <c r="N1054" s="5">
        <f t="shared" si="9"/>
        <v>58.217499999999994</v>
      </c>
      <c r="O1054" s="5">
        <f t="shared" si="9"/>
        <v>4.4046000000000003</v>
      </c>
      <c r="P1054" s="5">
        <f t="shared" si="9"/>
        <v>14.707600000000001</v>
      </c>
      <c r="Q1054" s="5">
        <f t="shared" si="9"/>
        <v>290.24799999999999</v>
      </c>
      <c r="R1054" s="5"/>
      <c r="S1054" s="4"/>
    </row>
    <row r="1055" spans="1:19" ht="15" customHeight="1">
      <c r="A1055" s="3">
        <v>2020</v>
      </c>
      <c r="B1055" s="8">
        <f t="shared" ref="B1055:J1055" si="10">AVERAGE(B77:B88)</f>
        <v>4.3668416666666667</v>
      </c>
      <c r="C1055" s="8">
        <f t="shared" si="10"/>
        <v>4.373141666666668</v>
      </c>
      <c r="D1055" s="8">
        <f t="shared" si="10"/>
        <v>4.3657333333333339</v>
      </c>
      <c r="E1055" s="8">
        <f t="shared" si="10"/>
        <v>4.3676666666666657</v>
      </c>
      <c r="F1055" s="4">
        <f t="shared" si="10"/>
        <v>5.033383333333334</v>
      </c>
      <c r="G1055" s="8">
        <f t="shared" si="10"/>
        <v>4.2668916666666679</v>
      </c>
      <c r="H1055" s="4">
        <f t="shared" si="10"/>
        <v>5.1786749999999993</v>
      </c>
      <c r="I1055" s="8">
        <f t="shared" si="10"/>
        <v>4.2871583333333332</v>
      </c>
      <c r="J1055" s="4">
        <f t="shared" si="10"/>
        <v>4.1913166666666664</v>
      </c>
      <c r="K1055" s="4"/>
      <c r="L1055" s="5">
        <f t="shared" ref="L1055:Q1055" si="11">SUM(L77:L88)</f>
        <v>356.48229999999995</v>
      </c>
      <c r="M1055" s="5">
        <f t="shared" si="11"/>
        <v>142.42920000000001</v>
      </c>
      <c r="N1055" s="5">
        <f t="shared" si="11"/>
        <v>58.377000000000002</v>
      </c>
      <c r="O1055" s="5">
        <f t="shared" si="11"/>
        <v>4.4165999999999999</v>
      </c>
      <c r="P1055" s="5">
        <f t="shared" si="11"/>
        <v>14.7493</v>
      </c>
      <c r="Q1055" s="5">
        <f t="shared" si="11"/>
        <v>349.04309999999998</v>
      </c>
      <c r="R1055" s="5"/>
      <c r="S1055" s="4"/>
    </row>
    <row r="1056" spans="1:19" ht="15" customHeight="1">
      <c r="A1056" s="3">
        <v>2021</v>
      </c>
      <c r="B1056" s="8">
        <f t="shared" ref="B1056:J1056" si="12">AVERAGE(B89:B100)</f>
        <v>4.5116750000000003</v>
      </c>
      <c r="C1056" s="8">
        <f t="shared" si="12"/>
        <v>4.5179583333333335</v>
      </c>
      <c r="D1056" s="8">
        <f t="shared" si="12"/>
        <v>4.510558333333333</v>
      </c>
      <c r="E1056" s="8">
        <f t="shared" si="12"/>
        <v>4.5124916666666666</v>
      </c>
      <c r="F1056" s="4">
        <f t="shared" si="12"/>
        <v>5.1781916666666659</v>
      </c>
      <c r="G1056" s="8">
        <f t="shared" si="12"/>
        <v>4.4093083333333345</v>
      </c>
      <c r="H1056" s="4">
        <f t="shared" si="12"/>
        <v>5.3211000000000004</v>
      </c>
      <c r="I1056" s="8">
        <f t="shared" si="12"/>
        <v>4.4272166666666664</v>
      </c>
      <c r="J1056" s="4">
        <f t="shared" si="12"/>
        <v>4.3313083333333333</v>
      </c>
      <c r="K1056" s="4"/>
      <c r="L1056" s="5">
        <f t="shared" ref="L1056:Q1056" si="13">SUM(L89:L100)</f>
        <v>355.53689999999995</v>
      </c>
      <c r="M1056" s="5">
        <f t="shared" si="13"/>
        <v>142.0401</v>
      </c>
      <c r="N1056" s="5">
        <f t="shared" si="13"/>
        <v>58.217499999999994</v>
      </c>
      <c r="O1056" s="5">
        <f t="shared" si="13"/>
        <v>4.4046000000000003</v>
      </c>
      <c r="P1056" s="5">
        <f t="shared" si="13"/>
        <v>14.707600000000001</v>
      </c>
      <c r="Q1056" s="5">
        <f t="shared" si="13"/>
        <v>388.68129999999996</v>
      </c>
      <c r="R1056" s="5"/>
      <c r="S1056" s="4"/>
    </row>
    <row r="1057" spans="1:19" ht="15" customHeight="1">
      <c r="A1057" s="3">
        <v>2022</v>
      </c>
      <c r="B1057" s="8">
        <f t="shared" ref="B1057:J1057" si="14">AVERAGE(B101:B112)</f>
        <v>4.7806166666666661</v>
      </c>
      <c r="C1057" s="8">
        <f t="shared" si="14"/>
        <v>4.7869333333333328</v>
      </c>
      <c r="D1057" s="8">
        <f t="shared" si="14"/>
        <v>4.7795249999999996</v>
      </c>
      <c r="E1057" s="8">
        <f t="shared" si="14"/>
        <v>4.7814416666666659</v>
      </c>
      <c r="F1057" s="4">
        <f t="shared" si="14"/>
        <v>5.447141666666667</v>
      </c>
      <c r="G1057" s="8">
        <f t="shared" si="14"/>
        <v>4.6738083333333336</v>
      </c>
      <c r="H1057" s="4">
        <f t="shared" si="14"/>
        <v>5.5855833333333331</v>
      </c>
      <c r="I1057" s="8">
        <f t="shared" si="14"/>
        <v>4.6873499999999995</v>
      </c>
      <c r="J1057" s="4">
        <f t="shared" si="14"/>
        <v>4.5912833333333332</v>
      </c>
      <c r="K1057" s="4"/>
      <c r="L1057" s="5">
        <f t="shared" ref="L1057:Q1057" si="15">SUM(L101:L112)</f>
        <v>355.53689999999995</v>
      </c>
      <c r="M1057" s="5">
        <f t="shared" si="15"/>
        <v>142.0401</v>
      </c>
      <c r="N1057" s="5">
        <f t="shared" si="15"/>
        <v>58.217499999999994</v>
      </c>
      <c r="O1057" s="5">
        <f t="shared" si="15"/>
        <v>4.4046000000000003</v>
      </c>
      <c r="P1057" s="5">
        <f t="shared" si="15"/>
        <v>14.707600000000001</v>
      </c>
      <c r="Q1057" s="5">
        <f t="shared" si="15"/>
        <v>386.33820000000003</v>
      </c>
      <c r="R1057" s="5"/>
      <c r="S1057" s="4"/>
    </row>
    <row r="1058" spans="1:19" ht="15" customHeight="1">
      <c r="A1058" s="3">
        <v>2023</v>
      </c>
      <c r="B1058" s="8">
        <f t="shared" ref="B1058:J1058" si="16">AVERAGE(B113:B124)</f>
        <v>5.1116416666666664</v>
      </c>
      <c r="C1058" s="8">
        <f t="shared" si="16"/>
        <v>5.1179416666666659</v>
      </c>
      <c r="D1058" s="8">
        <f t="shared" si="16"/>
        <v>5.1105333333333336</v>
      </c>
      <c r="E1058" s="8">
        <f t="shared" si="16"/>
        <v>5.1124583333333335</v>
      </c>
      <c r="F1058" s="4">
        <f t="shared" si="16"/>
        <v>5.7781583333333337</v>
      </c>
      <c r="G1058" s="8">
        <f t="shared" si="16"/>
        <v>4.9993499999999997</v>
      </c>
      <c r="H1058" s="4">
        <f t="shared" si="16"/>
        <v>5.9111333333333347</v>
      </c>
      <c r="I1058" s="8">
        <f t="shared" si="16"/>
        <v>5.0075166666666657</v>
      </c>
      <c r="J1058" s="4">
        <f t="shared" si="16"/>
        <v>4.9113166666666661</v>
      </c>
      <c r="K1058" s="4"/>
      <c r="L1058" s="5">
        <f t="shared" ref="L1058:Q1058" si="17">SUM(L113:L124)</f>
        <v>355.53689999999995</v>
      </c>
      <c r="M1058" s="5">
        <f t="shared" si="17"/>
        <v>142.0401</v>
      </c>
      <c r="N1058" s="5">
        <f t="shared" si="17"/>
        <v>58.217499999999994</v>
      </c>
      <c r="O1058" s="5">
        <f t="shared" si="17"/>
        <v>4.4046000000000003</v>
      </c>
      <c r="P1058" s="5">
        <f t="shared" si="17"/>
        <v>14.707600000000001</v>
      </c>
      <c r="Q1058" s="5">
        <f t="shared" si="17"/>
        <v>384.12599999999998</v>
      </c>
      <c r="R1058" s="5"/>
      <c r="S1058" s="4"/>
    </row>
    <row r="1059" spans="1:19" ht="15" customHeight="1">
      <c r="A1059" s="3">
        <v>2024</v>
      </c>
      <c r="B1059" s="8">
        <f t="shared" ref="B1059:J1059" si="18">AVERAGE(B125:B136)</f>
        <v>5.7116250000000015</v>
      </c>
      <c r="C1059" s="8">
        <f t="shared" si="18"/>
        <v>5.7179166666666665</v>
      </c>
      <c r="D1059" s="8">
        <f t="shared" si="18"/>
        <v>5.7105166666666669</v>
      </c>
      <c r="E1059" s="8">
        <f t="shared" si="18"/>
        <v>5.7124416666666669</v>
      </c>
      <c r="F1059" s="4">
        <f t="shared" si="18"/>
        <v>6.3781666666666661</v>
      </c>
      <c r="G1059" s="8">
        <f t="shared" si="18"/>
        <v>5.5893750000000004</v>
      </c>
      <c r="H1059" s="4">
        <f t="shared" si="18"/>
        <v>6.5011666666666663</v>
      </c>
      <c r="I1059" s="8">
        <f t="shared" si="18"/>
        <v>5.5878000000000005</v>
      </c>
      <c r="J1059" s="4">
        <f t="shared" si="18"/>
        <v>5.4912916666666662</v>
      </c>
      <c r="K1059" s="4"/>
      <c r="L1059" s="5">
        <f t="shared" ref="L1059:Q1059" si="19">SUM(L125:L136)</f>
        <v>356.48229999999995</v>
      </c>
      <c r="M1059" s="5">
        <f t="shared" si="19"/>
        <v>142.42920000000001</v>
      </c>
      <c r="N1059" s="5">
        <f t="shared" si="19"/>
        <v>58.377000000000002</v>
      </c>
      <c r="O1059" s="5">
        <f t="shared" si="19"/>
        <v>4.4165999999999999</v>
      </c>
      <c r="P1059" s="5">
        <f t="shared" si="19"/>
        <v>14.7493</v>
      </c>
      <c r="Q1059" s="5">
        <f t="shared" si="19"/>
        <v>383.00459999999998</v>
      </c>
      <c r="R1059" s="5"/>
      <c r="S1059" s="4"/>
    </row>
    <row r="1060" spans="1:19" ht="15" customHeight="1">
      <c r="A1060" s="3">
        <v>2025</v>
      </c>
      <c r="B1060" s="8">
        <f t="shared" ref="B1060:J1060" si="20">AVERAGE(B137:B148)</f>
        <v>5.7012666666666663</v>
      </c>
      <c r="C1060" s="8">
        <f t="shared" si="20"/>
        <v>5.7075666666666676</v>
      </c>
      <c r="D1060" s="8">
        <f t="shared" si="20"/>
        <v>5.7001833333333343</v>
      </c>
      <c r="E1060" s="8">
        <f t="shared" si="20"/>
        <v>5.7021000000000006</v>
      </c>
      <c r="F1060" s="4">
        <f t="shared" si="20"/>
        <v>6.3678249999999998</v>
      </c>
      <c r="G1060" s="8">
        <f t="shared" si="20"/>
        <v>5.5792166666666665</v>
      </c>
      <c r="H1060" s="4">
        <f t="shared" si="20"/>
        <v>6.490991666666666</v>
      </c>
      <c r="I1060" s="8">
        <f t="shared" si="20"/>
        <v>5.5778083333333344</v>
      </c>
      <c r="J1060" s="4">
        <f t="shared" si="20"/>
        <v>5.4813000000000001</v>
      </c>
      <c r="K1060" s="4"/>
      <c r="L1060" s="5">
        <f t="shared" ref="L1060:Q1060" si="21">SUM(L137:L148)</f>
        <v>355.53689999999995</v>
      </c>
      <c r="M1060" s="5">
        <f t="shared" si="21"/>
        <v>142.0401</v>
      </c>
      <c r="N1060" s="5">
        <f t="shared" si="21"/>
        <v>58.217499999999994</v>
      </c>
      <c r="O1060" s="5">
        <f t="shared" si="21"/>
        <v>4.4046000000000003</v>
      </c>
      <c r="P1060" s="5">
        <f t="shared" si="21"/>
        <v>14.707600000000001</v>
      </c>
      <c r="Q1060" s="5">
        <f t="shared" si="21"/>
        <v>379.76819999999998</v>
      </c>
      <c r="R1060" s="5"/>
      <c r="S1060" s="4"/>
    </row>
    <row r="1061" spans="1:19" ht="15" customHeight="1">
      <c r="A1061" s="3">
        <v>2026</v>
      </c>
      <c r="B1061" s="8">
        <f t="shared" ref="B1061:J1061" si="22">AVERAGE(B149:B160)</f>
        <v>5.6805999999999992</v>
      </c>
      <c r="C1061" s="8">
        <f t="shared" si="22"/>
        <v>5.6868833333333333</v>
      </c>
      <c r="D1061" s="8">
        <f t="shared" si="22"/>
        <v>5.6794833333333337</v>
      </c>
      <c r="E1061" s="8">
        <f t="shared" si="22"/>
        <v>5.6814166666666663</v>
      </c>
      <c r="F1061" s="4">
        <f t="shared" si="22"/>
        <v>6.3471166666666656</v>
      </c>
      <c r="G1061" s="8">
        <f t="shared" si="22"/>
        <v>5.5588666666666668</v>
      </c>
      <c r="H1061" s="4">
        <f t="shared" si="22"/>
        <v>6.4706333333333328</v>
      </c>
      <c r="I1061" s="8">
        <f t="shared" si="22"/>
        <v>5.5577916666666667</v>
      </c>
      <c r="J1061" s="4">
        <f t="shared" si="22"/>
        <v>5.4612833333333333</v>
      </c>
      <c r="K1061" s="4"/>
      <c r="L1061" s="5">
        <f t="shared" ref="L1061:Q1061" si="23">SUM(L149:L160)</f>
        <v>355.53689999999995</v>
      </c>
      <c r="M1061" s="5">
        <f t="shared" si="23"/>
        <v>142.0401</v>
      </c>
      <c r="N1061" s="5">
        <f t="shared" si="23"/>
        <v>58.217499999999994</v>
      </c>
      <c r="O1061" s="5">
        <f t="shared" si="23"/>
        <v>4.4046000000000003</v>
      </c>
      <c r="P1061" s="5">
        <f t="shared" si="23"/>
        <v>14.707600000000001</v>
      </c>
      <c r="Q1061" s="5">
        <f t="shared" si="23"/>
        <v>377.59969999999987</v>
      </c>
      <c r="R1061" s="5"/>
      <c r="S1061" s="4"/>
    </row>
    <row r="1062" spans="1:19" ht="15" customHeight="1">
      <c r="A1062" s="3">
        <v>2027</v>
      </c>
      <c r="B1062" s="8">
        <f t="shared" ref="B1062:J1062" si="24">AVERAGE(B161:B172)</f>
        <v>5.8564499999999997</v>
      </c>
      <c r="C1062" s="8">
        <f t="shared" si="24"/>
        <v>5.8627416666666674</v>
      </c>
      <c r="D1062" s="8">
        <f t="shared" si="24"/>
        <v>5.8553416666666669</v>
      </c>
      <c r="E1062" s="8">
        <f t="shared" si="24"/>
        <v>5.8572666666666677</v>
      </c>
      <c r="F1062" s="4">
        <f t="shared" si="24"/>
        <v>6.5229666666666679</v>
      </c>
      <c r="G1062" s="8">
        <f t="shared" si="24"/>
        <v>5.7318083333333334</v>
      </c>
      <c r="H1062" s="4">
        <f t="shared" si="24"/>
        <v>6.6435666666666657</v>
      </c>
      <c r="I1062" s="8">
        <f t="shared" si="24"/>
        <v>5.7278666666666673</v>
      </c>
      <c r="J1062" s="4">
        <f t="shared" si="24"/>
        <v>5.6313083333333322</v>
      </c>
      <c r="K1062" s="4"/>
      <c r="L1062" s="5">
        <f t="shared" ref="L1062:Q1062" si="25">SUM(L161:L172)</f>
        <v>355.53689999999995</v>
      </c>
      <c r="M1062" s="5">
        <f t="shared" si="25"/>
        <v>142.0401</v>
      </c>
      <c r="N1062" s="5">
        <f t="shared" si="25"/>
        <v>58.217499999999994</v>
      </c>
      <c r="O1062" s="5">
        <f t="shared" si="25"/>
        <v>4.4046000000000003</v>
      </c>
      <c r="P1062" s="5">
        <f t="shared" si="25"/>
        <v>14.707600000000001</v>
      </c>
      <c r="Q1062" s="5">
        <f t="shared" si="25"/>
        <v>375.43180000000001</v>
      </c>
      <c r="R1062" s="5"/>
      <c r="S1062" s="4"/>
    </row>
    <row r="1063" spans="1:19" ht="15" customHeight="1">
      <c r="A1063" s="3">
        <v>2028</v>
      </c>
      <c r="B1063" s="8">
        <f t="shared" ref="B1063:J1063" si="26">AVERAGE(B173:B184)</f>
        <v>6.0426416666666682</v>
      </c>
      <c r="C1063" s="8">
        <f t="shared" si="26"/>
        <v>6.0489416666666669</v>
      </c>
      <c r="D1063" s="8">
        <f t="shared" si="26"/>
        <v>6.0415416666666673</v>
      </c>
      <c r="E1063" s="8">
        <f t="shared" si="26"/>
        <v>6.0434750000000008</v>
      </c>
      <c r="F1063" s="4">
        <f t="shared" si="26"/>
        <v>6.7091666666666683</v>
      </c>
      <c r="G1063" s="8">
        <f t="shared" si="26"/>
        <v>5.9149166666666657</v>
      </c>
      <c r="H1063" s="4">
        <f t="shared" si="26"/>
        <v>6.8266666666666671</v>
      </c>
      <c r="I1063" s="8">
        <f t="shared" si="26"/>
        <v>5.907983333333334</v>
      </c>
      <c r="J1063" s="4">
        <f t="shared" si="26"/>
        <v>5.8113000000000001</v>
      </c>
      <c r="K1063" s="4"/>
      <c r="L1063" s="5">
        <f t="shared" ref="L1063:Q1063" si="27">SUM(L173:L184)</f>
        <v>356.48229999999995</v>
      </c>
      <c r="M1063" s="5">
        <f t="shared" si="27"/>
        <v>142.42920000000001</v>
      </c>
      <c r="N1063" s="5">
        <f t="shared" si="27"/>
        <v>58.377000000000002</v>
      </c>
      <c r="O1063" s="5">
        <f t="shared" si="27"/>
        <v>4.4165999999999999</v>
      </c>
      <c r="P1063" s="5">
        <f t="shared" si="27"/>
        <v>14.7493</v>
      </c>
      <c r="Q1063" s="5">
        <f t="shared" si="27"/>
        <v>374.28599999999994</v>
      </c>
      <c r="R1063" s="5"/>
      <c r="S1063" s="4"/>
    </row>
    <row r="1064" spans="1:19" ht="15" customHeight="1">
      <c r="A1064" s="3">
        <v>2029</v>
      </c>
      <c r="B1064" s="8">
        <f t="shared" ref="B1064:J1064" si="28">AVERAGE(B185:B196)</f>
        <v>6.2288333333333341</v>
      </c>
      <c r="C1064" s="8">
        <f t="shared" si="28"/>
        <v>6.2351500000000009</v>
      </c>
      <c r="D1064" s="8">
        <f t="shared" si="28"/>
        <v>6.2277499999999995</v>
      </c>
      <c r="E1064" s="8">
        <f t="shared" si="28"/>
        <v>6.2296666666666667</v>
      </c>
      <c r="F1064" s="4">
        <f t="shared" si="28"/>
        <v>6.8953499999999996</v>
      </c>
      <c r="G1064" s="8">
        <f t="shared" si="28"/>
        <v>6.0980166666666671</v>
      </c>
      <c r="H1064" s="4">
        <f t="shared" si="28"/>
        <v>7.0097999999999994</v>
      </c>
      <c r="I1064" s="8">
        <f t="shared" si="28"/>
        <v>6.0880583333333336</v>
      </c>
      <c r="J1064" s="4">
        <f t="shared" si="28"/>
        <v>5.9912999999999998</v>
      </c>
      <c r="K1064" s="4"/>
      <c r="L1064" s="5">
        <f t="shared" ref="L1064:Q1064" si="29">SUM(L185:L196)</f>
        <v>355.53689999999995</v>
      </c>
      <c r="M1064" s="5">
        <f t="shared" si="29"/>
        <v>142.0401</v>
      </c>
      <c r="N1064" s="5">
        <f t="shared" si="29"/>
        <v>58.217499999999994</v>
      </c>
      <c r="O1064" s="5">
        <f t="shared" si="29"/>
        <v>4.4046000000000003</v>
      </c>
      <c r="P1064" s="5">
        <f t="shared" si="29"/>
        <v>14.707600000000001</v>
      </c>
      <c r="Q1064" s="5">
        <f t="shared" si="29"/>
        <v>371.09549999999996</v>
      </c>
      <c r="R1064" s="5"/>
      <c r="S1064" s="4"/>
    </row>
    <row r="1065" spans="1:19" ht="15" customHeight="1">
      <c r="A1065" s="3">
        <v>2030</v>
      </c>
      <c r="B1065" s="8">
        <f t="shared" ref="B1065:J1065" si="30">AVERAGE(B197:B208)</f>
        <v>6.4253916666666671</v>
      </c>
      <c r="C1065" s="8">
        <f t="shared" si="30"/>
        <v>6.4316916666666684</v>
      </c>
      <c r="D1065" s="8">
        <f t="shared" si="30"/>
        <v>6.4242750000000006</v>
      </c>
      <c r="E1065" s="8">
        <f t="shared" si="30"/>
        <v>6.4262083333333351</v>
      </c>
      <c r="F1065" s="4">
        <f t="shared" si="30"/>
        <v>7.0919166666666662</v>
      </c>
      <c r="G1065" s="8">
        <f t="shared" si="30"/>
        <v>6.2913166666666669</v>
      </c>
      <c r="H1065" s="4">
        <f t="shared" si="30"/>
        <v>7.203075000000001</v>
      </c>
      <c r="I1065" s="8">
        <f t="shared" si="30"/>
        <v>6.2781500000000001</v>
      </c>
      <c r="J1065" s="4">
        <f t="shared" si="30"/>
        <v>6.1812916666666666</v>
      </c>
      <c r="K1065" s="4"/>
      <c r="L1065" s="5">
        <f t="shared" ref="L1065:Q1065" si="31">SUM(L197:L208)</f>
        <v>355.53689999999995</v>
      </c>
      <c r="M1065" s="5">
        <f t="shared" si="31"/>
        <v>142.0401</v>
      </c>
      <c r="N1065" s="5">
        <f t="shared" si="31"/>
        <v>58.217499999999994</v>
      </c>
      <c r="O1065" s="5">
        <f t="shared" si="31"/>
        <v>4.4046000000000003</v>
      </c>
      <c r="P1065" s="5">
        <f t="shared" si="31"/>
        <v>14.707600000000001</v>
      </c>
      <c r="Q1065" s="5">
        <f t="shared" si="31"/>
        <v>368.9276999999999</v>
      </c>
      <c r="R1065" s="5"/>
      <c r="S1065" s="4"/>
    </row>
    <row r="1066" spans="1:19" ht="15" customHeight="1">
      <c r="A1066" s="3">
        <v>2031</v>
      </c>
      <c r="B1066" s="8">
        <f t="shared" ref="B1066:J1066" si="32">AVERAGE(B209:B220)</f>
        <v>6.6219416666666673</v>
      </c>
      <c r="C1066" s="8">
        <f t="shared" si="32"/>
        <v>6.6282333333333341</v>
      </c>
      <c r="D1066" s="8">
        <f t="shared" si="32"/>
        <v>6.6208333333333336</v>
      </c>
      <c r="E1066" s="8">
        <f t="shared" si="32"/>
        <v>6.6227583333333344</v>
      </c>
      <c r="F1066" s="4">
        <f t="shared" si="32"/>
        <v>7.2884666666666673</v>
      </c>
      <c r="G1066" s="8">
        <f t="shared" si="32"/>
        <v>6.484608333333334</v>
      </c>
      <c r="H1066" s="4">
        <f t="shared" si="32"/>
        <v>7.3963749999999999</v>
      </c>
      <c r="I1066" s="8">
        <f t="shared" si="32"/>
        <v>6.4682500000000003</v>
      </c>
      <c r="J1066" s="4">
        <f t="shared" si="32"/>
        <v>6.3713000000000006</v>
      </c>
      <c r="K1066" s="4"/>
      <c r="L1066" s="5">
        <f t="shared" ref="L1066:Q1066" si="33">SUM(L209:L220)</f>
        <v>355.53689999999995</v>
      </c>
      <c r="M1066" s="5">
        <f t="shared" si="33"/>
        <v>142.0401</v>
      </c>
      <c r="N1066" s="5">
        <f t="shared" si="33"/>
        <v>58.217499999999994</v>
      </c>
      <c r="O1066" s="5">
        <f t="shared" si="33"/>
        <v>4.4046000000000003</v>
      </c>
      <c r="P1066" s="5">
        <f t="shared" si="33"/>
        <v>14.707600000000001</v>
      </c>
      <c r="Q1066" s="5">
        <f t="shared" si="33"/>
        <v>365.31420000000003</v>
      </c>
      <c r="R1066" s="5"/>
      <c r="S1066" s="4"/>
    </row>
    <row r="1067" spans="1:19" ht="15" customHeight="1">
      <c r="A1067" s="3">
        <v>2032</v>
      </c>
      <c r="B1067" s="8">
        <f t="shared" ref="B1067:J1067" si="34">AVERAGE(B221:B232)</f>
        <v>6.8288333333333346</v>
      </c>
      <c r="C1067" s="8">
        <f t="shared" si="34"/>
        <v>6.8351250000000006</v>
      </c>
      <c r="D1067" s="8">
        <f t="shared" si="34"/>
        <v>6.8277333333333345</v>
      </c>
      <c r="E1067" s="8">
        <f t="shared" si="34"/>
        <v>6.8296500000000009</v>
      </c>
      <c r="F1067" s="4">
        <f t="shared" si="34"/>
        <v>7.4953583333333329</v>
      </c>
      <c r="G1067" s="8">
        <f t="shared" si="34"/>
        <v>6.6880583333333332</v>
      </c>
      <c r="H1067" s="4">
        <f t="shared" si="34"/>
        <v>7.5998166666666664</v>
      </c>
      <c r="I1067" s="8">
        <f t="shared" si="34"/>
        <v>6.668333333333333</v>
      </c>
      <c r="J1067" s="4">
        <f t="shared" si="34"/>
        <v>6.5713083333333335</v>
      </c>
      <c r="K1067" s="4"/>
      <c r="L1067" s="5">
        <f t="shared" ref="L1067:Q1067" si="35">SUM(L221:L232)</f>
        <v>356.48229999999995</v>
      </c>
      <c r="M1067" s="5">
        <f t="shared" si="35"/>
        <v>142.42920000000001</v>
      </c>
      <c r="N1067" s="5">
        <f t="shared" si="35"/>
        <v>58.377000000000002</v>
      </c>
      <c r="O1067" s="5">
        <f t="shared" si="35"/>
        <v>4.4165999999999999</v>
      </c>
      <c r="P1067" s="5">
        <f t="shared" si="35"/>
        <v>14.7493</v>
      </c>
      <c r="Q1067" s="5">
        <f t="shared" si="35"/>
        <v>364.46999999999997</v>
      </c>
      <c r="R1067" s="5"/>
      <c r="S1067" s="4"/>
    </row>
    <row r="1068" spans="1:19" ht="15" customHeight="1">
      <c r="A1068" s="3">
        <v>2033</v>
      </c>
      <c r="B1068" s="8">
        <f t="shared" ref="B1068:J1068" si="36">AVERAGE(B233:B244)</f>
        <v>7.0357166666666657</v>
      </c>
      <c r="C1068" s="8">
        <f t="shared" si="36"/>
        <v>7.0420083333333343</v>
      </c>
      <c r="D1068" s="8">
        <f t="shared" si="36"/>
        <v>7.0346083333333338</v>
      </c>
      <c r="E1068" s="8">
        <f t="shared" si="36"/>
        <v>7.0365333333333338</v>
      </c>
      <c r="F1068" s="4">
        <f t="shared" si="36"/>
        <v>7.7022500000000003</v>
      </c>
      <c r="G1068" s="8">
        <f t="shared" si="36"/>
        <v>6.8915250000000015</v>
      </c>
      <c r="H1068" s="4">
        <f t="shared" si="36"/>
        <v>7.8032916666666665</v>
      </c>
      <c r="I1068" s="8">
        <f t="shared" si="36"/>
        <v>6.8684416666666666</v>
      </c>
      <c r="J1068" s="4">
        <f t="shared" si="36"/>
        <v>6.7713000000000001</v>
      </c>
      <c r="K1068" s="4"/>
      <c r="L1068" s="5">
        <f t="shared" ref="L1068:Q1068" si="37">SUM(L233:L244)</f>
        <v>355.53689999999995</v>
      </c>
      <c r="M1068" s="5">
        <f t="shared" si="37"/>
        <v>142.0401</v>
      </c>
      <c r="N1068" s="5">
        <f t="shared" si="37"/>
        <v>58.217499999999994</v>
      </c>
      <c r="O1068" s="5">
        <f t="shared" si="37"/>
        <v>4.4046000000000003</v>
      </c>
      <c r="P1068" s="5">
        <f t="shared" si="37"/>
        <v>14.707600000000001</v>
      </c>
      <c r="Q1068" s="5">
        <f t="shared" si="37"/>
        <v>362.33550000000002</v>
      </c>
      <c r="R1068" s="5"/>
      <c r="S1068" s="4"/>
    </row>
    <row r="1069" spans="1:19" ht="15" customHeight="1">
      <c r="A1069" s="3">
        <v>2034</v>
      </c>
      <c r="B1069" s="8">
        <f t="shared" ref="B1069:J1069" si="38">AVERAGE(B245:B256)</f>
        <v>7.1805333333333339</v>
      </c>
      <c r="C1069" s="8">
        <f t="shared" si="38"/>
        <v>7.1868250000000016</v>
      </c>
      <c r="D1069" s="8">
        <f t="shared" si="38"/>
        <v>7.1794416666666665</v>
      </c>
      <c r="E1069" s="8">
        <f t="shared" si="38"/>
        <v>7.1813583333333328</v>
      </c>
      <c r="F1069" s="4">
        <f t="shared" si="38"/>
        <v>7.8470666666666666</v>
      </c>
      <c r="G1069" s="8">
        <f t="shared" si="38"/>
        <v>7.0339416666666663</v>
      </c>
      <c r="H1069" s="4">
        <f t="shared" si="38"/>
        <v>7.9457083333333323</v>
      </c>
      <c r="I1069" s="8">
        <f t="shared" si="38"/>
        <v>7.0085166666666652</v>
      </c>
      <c r="J1069" s="4">
        <f t="shared" si="38"/>
        <v>6.9113083333333343</v>
      </c>
      <c r="K1069" s="4"/>
      <c r="L1069" s="5">
        <f t="shared" ref="L1069:Q1069" si="39">SUM(L245:L256)</f>
        <v>355.53689999999995</v>
      </c>
      <c r="M1069" s="5">
        <f t="shared" si="39"/>
        <v>142.0401</v>
      </c>
      <c r="N1069" s="5">
        <f t="shared" si="39"/>
        <v>58.217499999999994</v>
      </c>
      <c r="O1069" s="5">
        <f t="shared" si="39"/>
        <v>4.4046000000000003</v>
      </c>
      <c r="P1069" s="5">
        <f t="shared" si="39"/>
        <v>14.707600000000001</v>
      </c>
      <c r="Q1069" s="5">
        <f t="shared" si="39"/>
        <v>361.59120000000007</v>
      </c>
      <c r="R1069" s="5"/>
      <c r="S1069" s="4"/>
    </row>
    <row r="1070" spans="1:19" ht="15" customHeight="1">
      <c r="A1070" s="3">
        <v>2035</v>
      </c>
      <c r="B1070" s="8">
        <f t="shared" ref="B1070:J1070" si="40">AVERAGE(B257:B268)</f>
        <v>7.3253583333333339</v>
      </c>
      <c r="C1070" s="8">
        <f t="shared" si="40"/>
        <v>7.3316416666666662</v>
      </c>
      <c r="D1070" s="8">
        <f t="shared" si="40"/>
        <v>7.3242499999999993</v>
      </c>
      <c r="E1070" s="8">
        <f t="shared" si="40"/>
        <v>7.3261750000000001</v>
      </c>
      <c r="F1070" s="4">
        <f t="shared" si="40"/>
        <v>7.9918833333333339</v>
      </c>
      <c r="G1070" s="8">
        <f t="shared" si="40"/>
        <v>7.176358333333333</v>
      </c>
      <c r="H1070" s="4">
        <f t="shared" si="40"/>
        <v>8.0881333333333334</v>
      </c>
      <c r="I1070" s="8">
        <f t="shared" si="40"/>
        <v>7.1485916666666673</v>
      </c>
      <c r="J1070" s="4">
        <f t="shared" si="40"/>
        <v>7.0513083333333322</v>
      </c>
      <c r="K1070" s="4"/>
      <c r="L1070" s="5">
        <f t="shared" ref="L1070:Q1070" si="41">SUM(L257:L268)</f>
        <v>355.53689999999995</v>
      </c>
      <c r="M1070" s="5">
        <f t="shared" si="41"/>
        <v>142.0401</v>
      </c>
      <c r="N1070" s="5">
        <f t="shared" si="41"/>
        <v>58.217499999999994</v>
      </c>
      <c r="O1070" s="5">
        <f t="shared" si="41"/>
        <v>4.4046000000000003</v>
      </c>
      <c r="P1070" s="5">
        <f t="shared" si="41"/>
        <v>14.707600000000001</v>
      </c>
      <c r="Q1070" s="5">
        <f t="shared" si="41"/>
        <v>360.82469999999995</v>
      </c>
      <c r="R1070" s="5"/>
      <c r="S1070" s="4"/>
    </row>
    <row r="1071" spans="1:19" ht="15" customHeight="1">
      <c r="A1071" s="3">
        <v>2036</v>
      </c>
      <c r="B1071" s="8">
        <f t="shared" ref="B1071:J1071" si="42">AVERAGE(B269:B280)</f>
        <v>7.5638583333333331</v>
      </c>
      <c r="C1071" s="8">
        <f t="shared" si="42"/>
        <v>7.5701666666666663</v>
      </c>
      <c r="D1071" s="8">
        <f t="shared" si="42"/>
        <v>7.5627416666666676</v>
      </c>
      <c r="E1071" s="8">
        <f t="shared" si="42"/>
        <v>7.5646750000000003</v>
      </c>
      <c r="F1071" s="4">
        <f t="shared" si="42"/>
        <v>8.2303750000000004</v>
      </c>
      <c r="G1071" s="8">
        <f t="shared" si="42"/>
        <v>7.4109166666666679</v>
      </c>
      <c r="H1071" s="4">
        <f t="shared" si="42"/>
        <v>8.322675000000002</v>
      </c>
      <c r="I1071" s="8">
        <f t="shared" si="42"/>
        <v>7.3792666666666662</v>
      </c>
      <c r="J1071" s="4">
        <f t="shared" si="42"/>
        <v>7.2818499999999995</v>
      </c>
      <c r="K1071" s="4"/>
      <c r="L1071" s="5">
        <f t="shared" ref="L1071:Q1071" si="43">SUM(L269:L280)</f>
        <v>356.48229999999995</v>
      </c>
      <c r="M1071" s="5">
        <f t="shared" si="43"/>
        <v>142.42920000000001</v>
      </c>
      <c r="N1071" s="5">
        <f t="shared" si="43"/>
        <v>58.377000000000002</v>
      </c>
      <c r="O1071" s="5">
        <f t="shared" si="43"/>
        <v>4.4165999999999999</v>
      </c>
      <c r="P1071" s="5">
        <f t="shared" si="43"/>
        <v>14.7493</v>
      </c>
      <c r="Q1071" s="5">
        <f t="shared" si="43"/>
        <v>361.0446</v>
      </c>
      <c r="R1071" s="5"/>
      <c r="S1071" s="4"/>
    </row>
    <row r="1072" spans="1:19" ht="15" customHeight="1">
      <c r="A1072" s="3">
        <v>2037</v>
      </c>
      <c r="B1072" s="8">
        <f t="shared" ref="B1072:J1072" si="44">AVERAGE(B281:B292)</f>
        <v>7.8101583333333329</v>
      </c>
      <c r="C1072" s="8">
        <f t="shared" si="44"/>
        <v>7.8164750000000005</v>
      </c>
      <c r="D1072" s="8">
        <f t="shared" si="44"/>
        <v>7.8090666666666655</v>
      </c>
      <c r="E1072" s="8">
        <f t="shared" si="44"/>
        <v>7.8109999999999999</v>
      </c>
      <c r="F1072" s="4">
        <f t="shared" si="44"/>
        <v>8.4766916666666674</v>
      </c>
      <c r="G1072" s="8">
        <f t="shared" si="44"/>
        <v>7.6531166666666657</v>
      </c>
      <c r="H1072" s="4">
        <f t="shared" si="44"/>
        <v>8.5648916666666679</v>
      </c>
      <c r="I1072" s="8">
        <f t="shared" si="44"/>
        <v>7.6174833333333325</v>
      </c>
      <c r="J1072" s="4">
        <f t="shared" si="44"/>
        <v>7.5199583333333324</v>
      </c>
      <c r="K1072" s="4"/>
      <c r="L1072" s="5">
        <f t="shared" ref="L1072:Q1072" si="45">SUM(L281:L292)</f>
        <v>355.53689999999995</v>
      </c>
      <c r="M1072" s="5">
        <f t="shared" si="45"/>
        <v>142.0401</v>
      </c>
      <c r="N1072" s="5">
        <f t="shared" si="45"/>
        <v>58.217499999999994</v>
      </c>
      <c r="O1072" s="5">
        <f t="shared" si="45"/>
        <v>4.4046000000000003</v>
      </c>
      <c r="P1072" s="5">
        <f t="shared" si="45"/>
        <v>14.707600000000001</v>
      </c>
      <c r="Q1072" s="5">
        <f t="shared" si="45"/>
        <v>359.29169999999999</v>
      </c>
      <c r="R1072" s="5"/>
      <c r="S1072" s="4"/>
    </row>
    <row r="1073" spans="1:19" ht="15" customHeight="1">
      <c r="A1073" s="3">
        <f t="shared" ref="A1073:A1104" si="46">A1072+1</f>
        <v>2038</v>
      </c>
      <c r="B1073" s="8">
        <f t="shared" ref="B1073:J1073" si="47">AVERAGE(B293:B304)</f>
        <v>8.0645333333333333</v>
      </c>
      <c r="C1073" s="8">
        <f t="shared" si="47"/>
        <v>8.0708333333333311</v>
      </c>
      <c r="D1073" s="8">
        <f t="shared" si="47"/>
        <v>8.0634250000000005</v>
      </c>
      <c r="E1073" s="8">
        <f t="shared" si="47"/>
        <v>8.0653416666666669</v>
      </c>
      <c r="F1073" s="4">
        <f t="shared" si="47"/>
        <v>8.7310583333333351</v>
      </c>
      <c r="G1073" s="8">
        <f t="shared" si="47"/>
        <v>7.9032583333333344</v>
      </c>
      <c r="H1073" s="4">
        <f t="shared" si="47"/>
        <v>8.815058333333333</v>
      </c>
      <c r="I1073" s="8">
        <f t="shared" si="47"/>
        <v>7.8634999999999993</v>
      </c>
      <c r="J1073" s="4">
        <f t="shared" si="47"/>
        <v>7.765858333333334</v>
      </c>
      <c r="K1073" s="4"/>
      <c r="L1073" s="5">
        <f t="shared" ref="L1073:Q1073" si="48">SUM(L293:L304)</f>
        <v>355.53689999999995</v>
      </c>
      <c r="M1073" s="5">
        <f t="shared" si="48"/>
        <v>142.0401</v>
      </c>
      <c r="N1073" s="5">
        <f t="shared" si="48"/>
        <v>58.217499999999994</v>
      </c>
      <c r="O1073" s="5">
        <f t="shared" si="48"/>
        <v>4.4046000000000003</v>
      </c>
      <c r="P1073" s="5">
        <f t="shared" si="48"/>
        <v>14.707600000000001</v>
      </c>
      <c r="Q1073" s="5">
        <f t="shared" si="48"/>
        <v>358.54670000000004</v>
      </c>
      <c r="R1073" s="5"/>
      <c r="S1073" s="4"/>
    </row>
    <row r="1074" spans="1:19" ht="15" customHeight="1">
      <c r="A1074" s="3">
        <f t="shared" si="46"/>
        <v>2039</v>
      </c>
      <c r="B1074" s="8">
        <f t="shared" ref="B1074:J1074" si="49">AVERAGE(B305:B316)</f>
        <v>8.3272083333333331</v>
      </c>
      <c r="C1074" s="8">
        <f t="shared" si="49"/>
        <v>8.3334916666666654</v>
      </c>
      <c r="D1074" s="8">
        <f t="shared" si="49"/>
        <v>8.3261000000000021</v>
      </c>
      <c r="E1074" s="8">
        <f t="shared" si="49"/>
        <v>8.3280250000000002</v>
      </c>
      <c r="F1074" s="4">
        <f t="shared" si="49"/>
        <v>8.9937416666666667</v>
      </c>
      <c r="G1074" s="8">
        <f t="shared" si="49"/>
        <v>8.1615916666666646</v>
      </c>
      <c r="H1074" s="4">
        <f t="shared" si="49"/>
        <v>9.0733749999999986</v>
      </c>
      <c r="I1074" s="8">
        <f t="shared" si="49"/>
        <v>8.1175583333333332</v>
      </c>
      <c r="J1074" s="4">
        <f t="shared" si="49"/>
        <v>8.0197833333333328</v>
      </c>
      <c r="K1074" s="7"/>
      <c r="L1074" s="5">
        <f t="shared" ref="L1074:Q1074" si="50">SUM(L305:L316)</f>
        <v>355.53689999999995</v>
      </c>
      <c r="M1074" s="5">
        <f t="shared" si="50"/>
        <v>142.0401</v>
      </c>
      <c r="N1074" s="5">
        <f t="shared" si="50"/>
        <v>58.217499999999994</v>
      </c>
      <c r="O1074" s="5">
        <f t="shared" si="50"/>
        <v>4.4046000000000003</v>
      </c>
      <c r="P1074" s="5">
        <f t="shared" si="50"/>
        <v>14.707600000000001</v>
      </c>
      <c r="Q1074" s="5">
        <f t="shared" si="50"/>
        <v>357.78019999999998</v>
      </c>
      <c r="R1074" s="5"/>
      <c r="S1074" s="6"/>
    </row>
    <row r="1075" spans="1:19" ht="15" customHeight="1">
      <c r="A1075" s="3">
        <f t="shared" si="46"/>
        <v>2040</v>
      </c>
      <c r="B1075" s="8">
        <f t="shared" ref="B1075:J1075" si="51">AVERAGE(B317:B328)</f>
        <v>8.5984583333333333</v>
      </c>
      <c r="C1075" s="8">
        <f t="shared" si="51"/>
        <v>8.6047916666666655</v>
      </c>
      <c r="D1075" s="8">
        <f t="shared" si="51"/>
        <v>8.5973666666666659</v>
      </c>
      <c r="E1075" s="8">
        <f t="shared" si="51"/>
        <v>8.5993000000000013</v>
      </c>
      <c r="F1075" s="4">
        <f t="shared" si="51"/>
        <v>9.264991666666667</v>
      </c>
      <c r="G1075" s="8">
        <f t="shared" si="51"/>
        <v>8.4283666666666655</v>
      </c>
      <c r="H1075" s="4">
        <f t="shared" si="51"/>
        <v>9.3401249999999987</v>
      </c>
      <c r="I1075" s="8">
        <f t="shared" si="51"/>
        <v>8.3799166666666665</v>
      </c>
      <c r="J1075" s="4">
        <f t="shared" si="51"/>
        <v>8.2820083333333336</v>
      </c>
      <c r="K1075" s="7"/>
      <c r="L1075" s="5">
        <f t="shared" ref="L1075:Q1075" si="52">SUM(L317:L328)</f>
        <v>356.48229999999995</v>
      </c>
      <c r="M1075" s="5">
        <f t="shared" si="52"/>
        <v>142.42920000000001</v>
      </c>
      <c r="N1075" s="5">
        <f t="shared" si="52"/>
        <v>58.377000000000002</v>
      </c>
      <c r="O1075" s="5">
        <f t="shared" si="52"/>
        <v>4.4165999999999999</v>
      </c>
      <c r="P1075" s="5">
        <f t="shared" si="52"/>
        <v>14.7493</v>
      </c>
      <c r="Q1075" s="5">
        <f t="shared" si="52"/>
        <v>357.99180000000001</v>
      </c>
      <c r="R1075" s="5"/>
      <c r="S1075" s="6"/>
    </row>
    <row r="1076" spans="1:19" ht="15" customHeight="1">
      <c r="A1076" s="3">
        <f t="shared" si="46"/>
        <v>2041</v>
      </c>
      <c r="B1076" s="8">
        <f t="shared" ref="B1076:J1076" si="53">AVERAGE(B329:B340)</f>
        <v>8.8786083333333341</v>
      </c>
      <c r="C1076" s="8">
        <f t="shared" si="53"/>
        <v>8.8849083333333336</v>
      </c>
      <c r="D1076" s="8">
        <f t="shared" si="53"/>
        <v>8.8774999999999995</v>
      </c>
      <c r="E1076" s="8">
        <f t="shared" si="53"/>
        <v>8.8794249999999995</v>
      </c>
      <c r="F1076" s="4">
        <f t="shared" si="53"/>
        <v>9.5451333333333341</v>
      </c>
      <c r="G1076" s="8">
        <f t="shared" si="53"/>
        <v>8.7038666666666664</v>
      </c>
      <c r="H1076" s="4">
        <f t="shared" si="53"/>
        <v>9.6156249999999996</v>
      </c>
      <c r="I1076" s="8">
        <f t="shared" si="53"/>
        <v>8.6508666666666656</v>
      </c>
      <c r="J1076" s="4">
        <f t="shared" si="53"/>
        <v>8.552833333333334</v>
      </c>
      <c r="K1076" s="7"/>
      <c r="L1076" s="5">
        <f t="shared" ref="L1076:Q1076" si="54">SUM(L329:L340)</f>
        <v>355.53689999999995</v>
      </c>
      <c r="M1076" s="5">
        <f t="shared" si="54"/>
        <v>142.0401</v>
      </c>
      <c r="N1076" s="5">
        <f t="shared" si="54"/>
        <v>58.217499999999994</v>
      </c>
      <c r="O1076" s="5">
        <f t="shared" si="54"/>
        <v>4.4046000000000003</v>
      </c>
      <c r="P1076" s="5">
        <f t="shared" si="54"/>
        <v>14.707600000000001</v>
      </c>
      <c r="Q1076" s="5">
        <f t="shared" si="54"/>
        <v>356.26930000000004</v>
      </c>
      <c r="R1076" s="5"/>
      <c r="S1076" s="6"/>
    </row>
    <row r="1077" spans="1:19" ht="15" customHeight="1">
      <c r="A1077" s="3">
        <f t="shared" si="46"/>
        <v>2042</v>
      </c>
      <c r="B1077" s="8">
        <f t="shared" ref="B1077:J1077" si="55">AVERAGE(B341:B352)</f>
        <v>9.1679250000000003</v>
      </c>
      <c r="C1077" s="8">
        <f t="shared" si="55"/>
        <v>9.1742083333333309</v>
      </c>
      <c r="D1077" s="8">
        <f t="shared" si="55"/>
        <v>9.1668083333333339</v>
      </c>
      <c r="E1077" s="8">
        <f t="shared" si="55"/>
        <v>9.1687333333333338</v>
      </c>
      <c r="F1077" s="4">
        <f t="shared" si="55"/>
        <v>9.8344416666666685</v>
      </c>
      <c r="G1077" s="8">
        <f t="shared" si="55"/>
        <v>8.9883583333333341</v>
      </c>
      <c r="H1077" s="4">
        <f t="shared" si="55"/>
        <v>9.900125000000001</v>
      </c>
      <c r="I1077" s="8">
        <f t="shared" si="55"/>
        <v>8.9306666666666654</v>
      </c>
      <c r="J1077" s="4">
        <f t="shared" si="55"/>
        <v>8.8324999999999996</v>
      </c>
      <c r="K1077" s="7"/>
      <c r="L1077" s="5">
        <f t="shared" ref="L1077:Q1077" si="56">SUM(L341:L352)</f>
        <v>355.53689999999995</v>
      </c>
      <c r="M1077" s="5">
        <f t="shared" si="56"/>
        <v>142.0401</v>
      </c>
      <c r="N1077" s="5">
        <f t="shared" si="56"/>
        <v>58.217499999999994</v>
      </c>
      <c r="O1077" s="5">
        <f t="shared" si="56"/>
        <v>4.4046000000000003</v>
      </c>
      <c r="P1077" s="5">
        <f t="shared" si="56"/>
        <v>14.707600000000001</v>
      </c>
      <c r="Q1077" s="5">
        <f t="shared" si="56"/>
        <v>242.47669999999997</v>
      </c>
      <c r="R1077" s="5"/>
      <c r="S1077" s="6"/>
    </row>
    <row r="1078" spans="1:19" ht="15" customHeight="1">
      <c r="A1078" s="3">
        <f t="shared" si="46"/>
        <v>2043</v>
      </c>
      <c r="B1078" s="8">
        <f t="shared" ref="B1078:J1078" si="57">AVERAGE(B353:B364)</f>
        <v>9.4666750000000004</v>
      </c>
      <c r="C1078" s="8">
        <f t="shared" si="57"/>
        <v>9.4729666666666663</v>
      </c>
      <c r="D1078" s="8">
        <f t="shared" si="57"/>
        <v>9.4655749999999994</v>
      </c>
      <c r="E1078" s="8">
        <f t="shared" si="57"/>
        <v>9.4675000000000011</v>
      </c>
      <c r="F1078" s="4">
        <f t="shared" si="57"/>
        <v>10.133208333333334</v>
      </c>
      <c r="G1078" s="8">
        <f t="shared" si="57"/>
        <v>9.2821666666666687</v>
      </c>
      <c r="H1078" s="4">
        <f t="shared" si="57"/>
        <v>10.193941666666667</v>
      </c>
      <c r="I1078" s="8">
        <f t="shared" si="57"/>
        <v>9.2196249999999988</v>
      </c>
      <c r="J1078" s="4">
        <f t="shared" si="57"/>
        <v>9.1212999999999997</v>
      </c>
      <c r="K1078" s="7"/>
      <c r="L1078" s="5">
        <f t="shared" ref="L1078:Q1078" si="58">SUM(L353:L364)</f>
        <v>355.53689999999995</v>
      </c>
      <c r="M1078" s="5">
        <f t="shared" si="58"/>
        <v>142.0401</v>
      </c>
      <c r="N1078" s="5">
        <f t="shared" si="58"/>
        <v>58.217499999999994</v>
      </c>
      <c r="O1078" s="5">
        <f t="shared" si="58"/>
        <v>4.4046000000000003</v>
      </c>
      <c r="P1078" s="5">
        <f t="shared" si="58"/>
        <v>14.707600000000001</v>
      </c>
      <c r="Q1078" s="5">
        <f t="shared" si="58"/>
        <v>241.71019999999996</v>
      </c>
      <c r="R1078" s="5"/>
      <c r="S1078" s="6"/>
    </row>
    <row r="1079" spans="1:19" ht="15" customHeight="1">
      <c r="A1079" s="3">
        <f t="shared" si="46"/>
        <v>2044</v>
      </c>
      <c r="B1079" s="8">
        <f t="shared" ref="B1079:J1079" si="59">AVERAGE(B365:B376)</f>
        <v>9.7752333333333308</v>
      </c>
      <c r="C1079" s="8">
        <f t="shared" si="59"/>
        <v>9.7815166666666666</v>
      </c>
      <c r="D1079" s="8">
        <f t="shared" si="59"/>
        <v>9.7741083333333325</v>
      </c>
      <c r="E1079" s="8">
        <f t="shared" si="59"/>
        <v>9.7760416666666661</v>
      </c>
      <c r="F1079" s="4">
        <f t="shared" si="59"/>
        <v>10.441716666666666</v>
      </c>
      <c r="G1079" s="8">
        <f t="shared" si="59"/>
        <v>9.5855916666666658</v>
      </c>
      <c r="H1079" s="4">
        <f t="shared" si="59"/>
        <v>10.497341666666667</v>
      </c>
      <c r="I1079" s="8">
        <f t="shared" si="59"/>
        <v>9.5180500000000006</v>
      </c>
      <c r="J1079" s="4">
        <f t="shared" si="59"/>
        <v>9.4195666666666682</v>
      </c>
      <c r="K1079" s="7"/>
      <c r="L1079" s="5">
        <f t="shared" ref="L1079:Q1079" si="60">SUM(L365:L376)</f>
        <v>356.48229999999995</v>
      </c>
      <c r="M1079" s="5">
        <f t="shared" si="60"/>
        <v>142.42920000000001</v>
      </c>
      <c r="N1079" s="5">
        <f t="shared" si="60"/>
        <v>58.377000000000002</v>
      </c>
      <c r="O1079" s="5">
        <f t="shared" si="60"/>
        <v>4.4165999999999999</v>
      </c>
      <c r="P1079" s="5">
        <f t="shared" si="60"/>
        <v>14.7493</v>
      </c>
      <c r="Q1079" s="5">
        <f t="shared" si="60"/>
        <v>241.58220000000006</v>
      </c>
      <c r="R1079" s="5"/>
      <c r="S1079" s="6"/>
    </row>
    <row r="1080" spans="1:19" ht="15" customHeight="1">
      <c r="A1080" s="3">
        <f t="shared" si="46"/>
        <v>2045</v>
      </c>
      <c r="B1080" s="8">
        <f t="shared" ref="B1080:J1080" si="61">AVERAGE(B377:B388)</f>
        <v>10.093825000000001</v>
      </c>
      <c r="C1080" s="8">
        <f t="shared" si="61"/>
        <v>10.100141666666667</v>
      </c>
      <c r="D1080" s="8">
        <f t="shared" si="61"/>
        <v>10.092725</v>
      </c>
      <c r="E1080" s="8">
        <f t="shared" si="61"/>
        <v>10.094666666666667</v>
      </c>
      <c r="F1080" s="4">
        <f t="shared" si="61"/>
        <v>10.760366666666664</v>
      </c>
      <c r="G1080" s="8">
        <f t="shared" si="61"/>
        <v>9.8989250000000002</v>
      </c>
      <c r="H1080" s="4">
        <f t="shared" si="61"/>
        <v>10.810699999999999</v>
      </c>
      <c r="I1080" s="8">
        <f t="shared" si="61"/>
        <v>9.8262083333333354</v>
      </c>
      <c r="J1080" s="4">
        <f t="shared" si="61"/>
        <v>9.7275833333333335</v>
      </c>
      <c r="K1080" s="7"/>
      <c r="L1080" s="5">
        <f t="shared" ref="L1080:Q1080" si="62">SUM(L377:L388)</f>
        <v>355.53689999999995</v>
      </c>
      <c r="M1080" s="5">
        <f t="shared" si="62"/>
        <v>142.0401</v>
      </c>
      <c r="N1080" s="5">
        <f t="shared" si="62"/>
        <v>58.217499999999994</v>
      </c>
      <c r="O1080" s="5">
        <f t="shared" si="62"/>
        <v>4.4046000000000003</v>
      </c>
      <c r="P1080" s="5">
        <f t="shared" si="62"/>
        <v>14.707600000000001</v>
      </c>
      <c r="Q1080" s="5">
        <f t="shared" si="62"/>
        <v>240.15570000000002</v>
      </c>
      <c r="R1080" s="5"/>
      <c r="S1080" s="6"/>
    </row>
    <row r="1081" spans="1:19" ht="15" customHeight="1">
      <c r="A1081" s="3">
        <f t="shared" si="46"/>
        <v>2046</v>
      </c>
      <c r="B1081" s="8">
        <f t="shared" ref="B1081:J1081" si="63">AVERAGE(B389:B400)</f>
        <v>10.422866666666666</v>
      </c>
      <c r="C1081" s="8">
        <f t="shared" si="63"/>
        <v>10.429166666666667</v>
      </c>
      <c r="D1081" s="8">
        <f t="shared" si="63"/>
        <v>10.421766666666668</v>
      </c>
      <c r="E1081" s="8">
        <f t="shared" si="63"/>
        <v>10.4237</v>
      </c>
      <c r="F1081" s="4">
        <f t="shared" si="63"/>
        <v>11.089400000000003</v>
      </c>
      <c r="G1081" s="8">
        <f t="shared" si="63"/>
        <v>10.222500000000002</v>
      </c>
      <c r="H1081" s="4">
        <f t="shared" si="63"/>
        <v>11.134291666666668</v>
      </c>
      <c r="I1081" s="8">
        <f t="shared" si="63"/>
        <v>10.144449999999999</v>
      </c>
      <c r="J1081" s="4">
        <f t="shared" si="63"/>
        <v>10.045666666666667</v>
      </c>
      <c r="K1081" s="7"/>
      <c r="L1081" s="5">
        <f t="shared" ref="L1081:Q1081" si="64">SUM(L389:L400)</f>
        <v>355.53689999999995</v>
      </c>
      <c r="M1081" s="5">
        <f t="shared" si="64"/>
        <v>142.0401</v>
      </c>
      <c r="N1081" s="5">
        <f t="shared" si="64"/>
        <v>58.217499999999994</v>
      </c>
      <c r="O1081" s="5">
        <f t="shared" si="64"/>
        <v>4.4046000000000003</v>
      </c>
      <c r="P1081" s="5">
        <f t="shared" si="64"/>
        <v>14.707600000000001</v>
      </c>
      <c r="Q1081" s="5">
        <f t="shared" si="64"/>
        <v>239.38920000000005</v>
      </c>
      <c r="R1081" s="5"/>
      <c r="S1081" s="6"/>
    </row>
    <row r="1082" spans="1:19" ht="15" customHeight="1">
      <c r="A1082" s="3">
        <f t="shared" si="46"/>
        <v>2047</v>
      </c>
      <c r="B1082" s="8">
        <f t="shared" ref="B1082:J1082" si="65">AVERAGE(B401:B412)</f>
        <v>10.762675000000002</v>
      </c>
      <c r="C1082" s="8">
        <f t="shared" si="65"/>
        <v>10.768966666666666</v>
      </c>
      <c r="D1082" s="8">
        <f t="shared" si="65"/>
        <v>10.761583333333334</v>
      </c>
      <c r="E1082" s="8">
        <f t="shared" si="65"/>
        <v>10.763500000000001</v>
      </c>
      <c r="F1082" s="4">
        <f t="shared" si="65"/>
        <v>11.429208333333335</v>
      </c>
      <c r="G1082" s="8">
        <f t="shared" si="65"/>
        <v>10.556658333333333</v>
      </c>
      <c r="H1082" s="4">
        <f t="shared" si="65"/>
        <v>11.468449999999999</v>
      </c>
      <c r="I1082" s="8">
        <f t="shared" si="65"/>
        <v>10.473091666666669</v>
      </c>
      <c r="J1082" s="4">
        <f t="shared" si="65"/>
        <v>10.374158333333334</v>
      </c>
      <c r="K1082" s="7"/>
      <c r="L1082" s="5">
        <f t="shared" ref="L1082:Q1082" si="66">SUM(L401:L412)</f>
        <v>355.53689999999995</v>
      </c>
      <c r="M1082" s="5">
        <f t="shared" si="66"/>
        <v>142.0401</v>
      </c>
      <c r="N1082" s="5">
        <f t="shared" si="66"/>
        <v>58.217499999999994</v>
      </c>
      <c r="O1082" s="5">
        <f t="shared" si="66"/>
        <v>4.4046000000000003</v>
      </c>
      <c r="P1082" s="5">
        <f t="shared" si="66"/>
        <v>14.707600000000001</v>
      </c>
      <c r="Q1082" s="5">
        <f t="shared" si="66"/>
        <v>238.62270000000004</v>
      </c>
      <c r="R1082" s="5"/>
      <c r="S1082" s="6"/>
    </row>
    <row r="1083" spans="1:19" ht="15" customHeight="1">
      <c r="A1083" s="3">
        <f t="shared" si="46"/>
        <v>2048</v>
      </c>
      <c r="B1083" s="8">
        <f t="shared" ref="B1083:J1083" si="67">AVERAGE(B413:B424)</f>
        <v>11.113591666666666</v>
      </c>
      <c r="C1083" s="8">
        <f t="shared" si="67"/>
        <v>11.119883333333334</v>
      </c>
      <c r="D1083" s="8">
        <f t="shared" si="67"/>
        <v>11.112475000000002</v>
      </c>
      <c r="E1083" s="8">
        <f t="shared" si="67"/>
        <v>11.114408333333335</v>
      </c>
      <c r="F1083" s="4">
        <f t="shared" si="67"/>
        <v>11.780133333333332</v>
      </c>
      <c r="G1083" s="8">
        <f t="shared" si="67"/>
        <v>10.901775000000001</v>
      </c>
      <c r="H1083" s="4">
        <f t="shared" si="67"/>
        <v>11.813550000000001</v>
      </c>
      <c r="I1083" s="8">
        <f t="shared" si="67"/>
        <v>10.8125</v>
      </c>
      <c r="J1083" s="4">
        <f t="shared" si="67"/>
        <v>10.713391666666666</v>
      </c>
      <c r="K1083" s="7"/>
      <c r="L1083" s="5">
        <f t="shared" ref="L1083:Q1083" si="68">SUM(L413:L424)</f>
        <v>356.48229999999995</v>
      </c>
      <c r="M1083" s="5">
        <f t="shared" si="68"/>
        <v>142.42920000000001</v>
      </c>
      <c r="N1083" s="5">
        <f t="shared" si="68"/>
        <v>58.377000000000002</v>
      </c>
      <c r="O1083" s="5">
        <f t="shared" si="68"/>
        <v>4.4165999999999999</v>
      </c>
      <c r="P1083" s="5">
        <f t="shared" si="68"/>
        <v>14.7493</v>
      </c>
      <c r="Q1083" s="5">
        <f t="shared" si="68"/>
        <v>238.50780000000003</v>
      </c>
      <c r="R1083" s="5"/>
      <c r="S1083" s="6"/>
    </row>
    <row r="1084" spans="1:19" ht="15" customHeight="1">
      <c r="A1084" s="3">
        <f t="shared" si="46"/>
        <v>2049</v>
      </c>
      <c r="B1084" s="8">
        <f t="shared" ref="B1084:J1084" si="69">AVERAGE(B425:B436)</f>
        <v>11.475983333333334</v>
      </c>
      <c r="C1084" s="8">
        <f t="shared" si="69"/>
        <v>11.482275000000001</v>
      </c>
      <c r="D1084" s="8">
        <f t="shared" si="69"/>
        <v>11.474908333333333</v>
      </c>
      <c r="E1084" s="8">
        <f t="shared" si="69"/>
        <v>11.476825</v>
      </c>
      <c r="F1084" s="4">
        <f t="shared" si="69"/>
        <v>12.142516666666664</v>
      </c>
      <c r="G1084" s="8">
        <f t="shared" si="69"/>
        <v>11.258149999999999</v>
      </c>
      <c r="H1084" s="4">
        <f t="shared" si="69"/>
        <v>12.169941666666666</v>
      </c>
      <c r="I1084" s="8">
        <f t="shared" si="69"/>
        <v>11.163008333333336</v>
      </c>
      <c r="J1084" s="4">
        <f t="shared" si="69"/>
        <v>11.063724999999998</v>
      </c>
      <c r="K1084" s="7"/>
      <c r="L1084" s="5">
        <f t="shared" ref="L1084:Q1084" si="70">SUM(L425:L436)</f>
        <v>355.53689999999995</v>
      </c>
      <c r="M1084" s="5">
        <f t="shared" si="70"/>
        <v>142.0401</v>
      </c>
      <c r="N1084" s="5">
        <f t="shared" si="70"/>
        <v>58.217499999999994</v>
      </c>
      <c r="O1084" s="5">
        <f t="shared" si="70"/>
        <v>4.4046000000000003</v>
      </c>
      <c r="P1084" s="5">
        <f t="shared" si="70"/>
        <v>14.707600000000001</v>
      </c>
      <c r="Q1084" s="5">
        <f t="shared" si="70"/>
        <v>237.08969999999999</v>
      </c>
      <c r="R1084" s="5"/>
      <c r="S1084" s="6"/>
    </row>
    <row r="1085" spans="1:19" ht="15" customHeight="1">
      <c r="A1085" s="3">
        <f t="shared" si="46"/>
        <v>2050</v>
      </c>
      <c r="B1085" s="8">
        <f t="shared" ref="B1085:J1085" si="71">AVERAGE(B437:B448)</f>
        <v>11.850233333333334</v>
      </c>
      <c r="C1085" s="8">
        <f t="shared" si="71"/>
        <v>11.856524999999998</v>
      </c>
      <c r="D1085" s="8">
        <f t="shared" si="71"/>
        <v>11.849124999999999</v>
      </c>
      <c r="E1085" s="8">
        <f t="shared" si="71"/>
        <v>11.851041666666667</v>
      </c>
      <c r="F1085" s="4">
        <f t="shared" si="71"/>
        <v>12.516766666666669</v>
      </c>
      <c r="G1085" s="8">
        <f t="shared" si="71"/>
        <v>11.626208333333333</v>
      </c>
      <c r="H1085" s="4">
        <f t="shared" si="71"/>
        <v>12.537966666666668</v>
      </c>
      <c r="I1085" s="8">
        <f t="shared" si="71"/>
        <v>11.524975</v>
      </c>
      <c r="J1085" s="4">
        <f t="shared" si="71"/>
        <v>11.425474999999999</v>
      </c>
      <c r="K1085" s="7"/>
      <c r="L1085" s="5">
        <f t="shared" ref="L1085:Q1085" si="72">SUM(L437:L448)</f>
        <v>355.53689999999995</v>
      </c>
      <c r="M1085" s="5">
        <f t="shared" si="72"/>
        <v>142.0401</v>
      </c>
      <c r="N1085" s="5">
        <f t="shared" si="72"/>
        <v>58.217499999999994</v>
      </c>
      <c r="O1085" s="5">
        <f t="shared" si="72"/>
        <v>4.4046000000000003</v>
      </c>
      <c r="P1085" s="5">
        <f t="shared" si="72"/>
        <v>14.707600000000001</v>
      </c>
      <c r="Q1085" s="5">
        <f t="shared" si="72"/>
        <v>236.32320000000004</v>
      </c>
      <c r="R1085" s="5"/>
      <c r="S1085" s="6"/>
    </row>
    <row r="1086" spans="1:19" ht="15" customHeight="1">
      <c r="A1086" s="3">
        <f t="shared" si="46"/>
        <v>2051</v>
      </c>
      <c r="B1086" s="8">
        <f t="shared" ref="B1086:J1086" si="73">AVERAGE(B449:B460)</f>
        <v>12.236716666666666</v>
      </c>
      <c r="C1086" s="8">
        <f t="shared" si="73"/>
        <v>12.243008333333334</v>
      </c>
      <c r="D1086" s="8">
        <f t="shared" si="73"/>
        <v>12.235608333333333</v>
      </c>
      <c r="E1086" s="8">
        <f t="shared" si="73"/>
        <v>12.237541666666667</v>
      </c>
      <c r="F1086" s="4">
        <f t="shared" si="73"/>
        <v>12.903241666666666</v>
      </c>
      <c r="G1086" s="8">
        <f t="shared" si="73"/>
        <v>12.006283333333334</v>
      </c>
      <c r="H1086" s="4">
        <f t="shared" si="73"/>
        <v>12.918058333333333</v>
      </c>
      <c r="I1086" s="8">
        <f t="shared" si="73"/>
        <v>11.898766666666665</v>
      </c>
      <c r="J1086" s="4">
        <f t="shared" si="73"/>
        <v>11.799108333333331</v>
      </c>
      <c r="K1086" s="7"/>
      <c r="L1086" s="5">
        <f t="shared" ref="L1086:Q1086" si="74">SUM(L449:L460)</f>
        <v>355.53689999999995</v>
      </c>
      <c r="M1086" s="5">
        <f t="shared" si="74"/>
        <v>142.0401</v>
      </c>
      <c r="N1086" s="5">
        <f t="shared" si="74"/>
        <v>58.217499999999994</v>
      </c>
      <c r="O1086" s="5">
        <f t="shared" si="74"/>
        <v>4.4046000000000003</v>
      </c>
      <c r="P1086" s="5">
        <f t="shared" si="74"/>
        <v>14.707600000000001</v>
      </c>
      <c r="Q1086" s="5">
        <f t="shared" si="74"/>
        <v>235.57820000000007</v>
      </c>
      <c r="R1086" s="5"/>
      <c r="S1086" s="6"/>
    </row>
    <row r="1087" spans="1:19" ht="15" customHeight="1">
      <c r="A1087" s="3">
        <f t="shared" si="46"/>
        <v>2052</v>
      </c>
      <c r="B1087" s="8">
        <f t="shared" ref="B1087:J1087" si="75">AVERAGE(B461:B472)</f>
        <v>12.63585</v>
      </c>
      <c r="C1087" s="8">
        <f t="shared" si="75"/>
        <v>12.642141666666666</v>
      </c>
      <c r="D1087" s="8">
        <f t="shared" si="75"/>
        <v>12.634725000000001</v>
      </c>
      <c r="E1087" s="8">
        <f t="shared" si="75"/>
        <v>12.63666666666667</v>
      </c>
      <c r="F1087" s="4">
        <f t="shared" si="75"/>
        <v>13.302366666666666</v>
      </c>
      <c r="G1087" s="8">
        <f t="shared" si="75"/>
        <v>12.398775000000001</v>
      </c>
      <c r="H1087" s="4">
        <f t="shared" si="75"/>
        <v>13.310541666666667</v>
      </c>
      <c r="I1087" s="8">
        <f t="shared" si="75"/>
        <v>12.284791666666665</v>
      </c>
      <c r="J1087" s="4">
        <f t="shared" si="75"/>
        <v>12.184941666666667</v>
      </c>
      <c r="K1087" s="7"/>
      <c r="L1087" s="5">
        <f t="shared" ref="L1087:Q1087" si="76">SUM(L461:L472)</f>
        <v>356.48229999999995</v>
      </c>
      <c r="M1087" s="5">
        <f t="shared" si="76"/>
        <v>142.42920000000001</v>
      </c>
      <c r="N1087" s="5">
        <f t="shared" si="76"/>
        <v>58.377000000000002</v>
      </c>
      <c r="O1087" s="5">
        <f t="shared" si="76"/>
        <v>4.4165999999999999</v>
      </c>
      <c r="P1087" s="5">
        <f t="shared" si="76"/>
        <v>14.7493</v>
      </c>
      <c r="Q1087" s="5">
        <f t="shared" si="76"/>
        <v>235.45500000000004</v>
      </c>
      <c r="R1087" s="5"/>
      <c r="S1087" s="6"/>
    </row>
    <row r="1088" spans="1:19" ht="15" customHeight="1">
      <c r="A1088" s="3">
        <f t="shared" si="46"/>
        <v>2053</v>
      </c>
      <c r="B1088" s="8">
        <f t="shared" ref="B1088:J1088" si="77">AVERAGE(B473:B484)</f>
        <v>13.048008333333334</v>
      </c>
      <c r="C1088" s="8">
        <f t="shared" si="77"/>
        <v>13.054316666666665</v>
      </c>
      <c r="D1088" s="8">
        <f t="shared" si="77"/>
        <v>13.046916666666666</v>
      </c>
      <c r="E1088" s="8">
        <f t="shared" si="77"/>
        <v>13.048841666666668</v>
      </c>
      <c r="F1088" s="4">
        <f t="shared" si="77"/>
        <v>13.714549999999997</v>
      </c>
      <c r="G1088" s="8">
        <f t="shared" si="77"/>
        <v>12.804125000000001</v>
      </c>
      <c r="H1088" s="4">
        <f t="shared" si="77"/>
        <v>13.7159</v>
      </c>
      <c r="I1088" s="8">
        <f t="shared" si="77"/>
        <v>12.683441666666665</v>
      </c>
      <c r="J1088" s="4">
        <f t="shared" si="77"/>
        <v>12.583408333333333</v>
      </c>
      <c r="K1088" s="7"/>
      <c r="L1088" s="5">
        <f t="shared" ref="L1088:Q1088" si="78">SUM(L473:L484)</f>
        <v>355.53689999999995</v>
      </c>
      <c r="M1088" s="5">
        <f t="shared" si="78"/>
        <v>142.0401</v>
      </c>
      <c r="N1088" s="5">
        <f t="shared" si="78"/>
        <v>58.217499999999994</v>
      </c>
      <c r="O1088" s="5">
        <f t="shared" si="78"/>
        <v>4.4046000000000003</v>
      </c>
      <c r="P1088" s="5">
        <f t="shared" si="78"/>
        <v>14.707600000000001</v>
      </c>
      <c r="Q1088" s="5">
        <f t="shared" si="78"/>
        <v>234.04520000000002</v>
      </c>
      <c r="R1088" s="5"/>
      <c r="S1088" s="6"/>
    </row>
    <row r="1089" spans="1:19" ht="15" customHeight="1">
      <c r="A1089" s="3">
        <f t="shared" si="46"/>
        <v>2054</v>
      </c>
      <c r="B1089" s="8">
        <f t="shared" ref="B1089:J1089" si="79">AVERAGE(B485:B496)</f>
        <v>13.473666666666668</v>
      </c>
      <c r="C1089" s="8">
        <f t="shared" si="79"/>
        <v>13.479958333333336</v>
      </c>
      <c r="D1089" s="8">
        <f t="shared" si="79"/>
        <v>13.472566666666665</v>
      </c>
      <c r="E1089" s="8">
        <f t="shared" si="79"/>
        <v>13.474491666666665</v>
      </c>
      <c r="F1089" s="4">
        <f t="shared" si="79"/>
        <v>14.140200000000002</v>
      </c>
      <c r="G1089" s="8">
        <f t="shared" si="79"/>
        <v>13.222708333333335</v>
      </c>
      <c r="H1089" s="4">
        <f t="shared" si="79"/>
        <v>14.134491666666667</v>
      </c>
      <c r="I1089" s="8">
        <f t="shared" si="79"/>
        <v>13.095125000000001</v>
      </c>
      <c r="J1089" s="4">
        <f t="shared" si="79"/>
        <v>12.994866666666665</v>
      </c>
      <c r="K1089" s="7"/>
      <c r="L1089" s="5">
        <f t="shared" ref="L1089:Q1089" si="80">SUM(L485:L496)</f>
        <v>355.53689999999995</v>
      </c>
      <c r="M1089" s="5">
        <f t="shared" si="80"/>
        <v>142.0401</v>
      </c>
      <c r="N1089" s="5">
        <f t="shared" si="80"/>
        <v>58.217499999999994</v>
      </c>
      <c r="O1089" s="5">
        <f t="shared" si="80"/>
        <v>4.4046000000000003</v>
      </c>
      <c r="P1089" s="5">
        <f t="shared" si="80"/>
        <v>14.707600000000001</v>
      </c>
      <c r="Q1089" s="5">
        <f t="shared" si="80"/>
        <v>233.30079999999998</v>
      </c>
      <c r="R1089" s="5"/>
      <c r="S1089" s="6"/>
    </row>
    <row r="1090" spans="1:19" ht="15" customHeight="1">
      <c r="A1090" s="3">
        <f t="shared" si="46"/>
        <v>2055</v>
      </c>
      <c r="B1090" s="8">
        <f t="shared" ref="B1090:J1090" si="81">AVERAGE(B497:B508)</f>
        <v>13.913241666666666</v>
      </c>
      <c r="C1090" s="8">
        <f t="shared" si="81"/>
        <v>13.919541666666667</v>
      </c>
      <c r="D1090" s="8">
        <f t="shared" si="81"/>
        <v>13.912150000000002</v>
      </c>
      <c r="E1090" s="8">
        <f t="shared" si="81"/>
        <v>13.914074999999999</v>
      </c>
      <c r="F1090" s="4">
        <f t="shared" si="81"/>
        <v>14.579775</v>
      </c>
      <c r="G1090" s="8">
        <f t="shared" si="81"/>
        <v>13.655008333333335</v>
      </c>
      <c r="H1090" s="4">
        <f t="shared" si="81"/>
        <v>14.566775</v>
      </c>
      <c r="I1090" s="8">
        <f t="shared" si="81"/>
        <v>13.520275</v>
      </c>
      <c r="J1090" s="4">
        <f t="shared" si="81"/>
        <v>13.419791666666667</v>
      </c>
      <c r="K1090" s="7"/>
      <c r="L1090" s="5">
        <f t="shared" ref="L1090:Q1090" si="82">SUM(L497:L508)</f>
        <v>355.53689999999995</v>
      </c>
      <c r="M1090" s="5">
        <f t="shared" si="82"/>
        <v>142.0401</v>
      </c>
      <c r="N1090" s="5">
        <f t="shared" si="82"/>
        <v>58.217499999999994</v>
      </c>
      <c r="O1090" s="5">
        <f t="shared" si="82"/>
        <v>4.4046000000000003</v>
      </c>
      <c r="P1090" s="5">
        <f t="shared" si="82"/>
        <v>14.707600000000001</v>
      </c>
      <c r="Q1090" s="5">
        <f t="shared" si="82"/>
        <v>232.55579999999998</v>
      </c>
      <c r="R1090" s="5"/>
      <c r="S1090" s="6"/>
    </row>
    <row r="1091" spans="1:19" ht="15" customHeight="1">
      <c r="A1091" s="3">
        <f t="shared" si="46"/>
        <v>2056</v>
      </c>
      <c r="B1091" s="8">
        <f t="shared" ref="B1091:J1091" si="83">AVERAGE(B509:B520)</f>
        <v>14.36719166666667</v>
      </c>
      <c r="C1091" s="8">
        <f t="shared" si="83"/>
        <v>14.373491666666668</v>
      </c>
      <c r="D1091" s="8">
        <f t="shared" si="83"/>
        <v>14.366091666666664</v>
      </c>
      <c r="E1091" s="8">
        <f t="shared" si="83"/>
        <v>14.368025000000001</v>
      </c>
      <c r="F1091" s="4">
        <f t="shared" si="83"/>
        <v>15.033716666666669</v>
      </c>
      <c r="G1091" s="8">
        <f t="shared" si="83"/>
        <v>14.101433333333333</v>
      </c>
      <c r="H1091" s="4">
        <f t="shared" si="83"/>
        <v>15.013208333333333</v>
      </c>
      <c r="I1091" s="8">
        <f t="shared" si="83"/>
        <v>13.959341666666667</v>
      </c>
      <c r="J1091" s="4">
        <f t="shared" si="83"/>
        <v>13.858641666666669</v>
      </c>
      <c r="K1091" s="7"/>
      <c r="L1091" s="5">
        <f t="shared" ref="L1091:Q1091" si="84">SUM(L509:L520)</f>
        <v>356.48229999999995</v>
      </c>
      <c r="M1091" s="5">
        <f t="shared" si="84"/>
        <v>142.42920000000001</v>
      </c>
      <c r="N1091" s="5">
        <f t="shared" si="84"/>
        <v>58.377000000000002</v>
      </c>
      <c r="O1091" s="5">
        <f t="shared" si="84"/>
        <v>4.4165999999999999</v>
      </c>
      <c r="P1091" s="5">
        <f t="shared" si="84"/>
        <v>14.7493</v>
      </c>
      <c r="Q1091" s="5">
        <f t="shared" si="84"/>
        <v>232.44659999999996</v>
      </c>
      <c r="R1091" s="5"/>
      <c r="S1091" s="6"/>
    </row>
    <row r="1092" spans="1:19" ht="15" customHeight="1">
      <c r="A1092" s="3">
        <f t="shared" si="46"/>
        <v>2057</v>
      </c>
      <c r="B1092" s="8">
        <f t="shared" ref="B1092:J1092" si="85">AVERAGE(B521:B532)</f>
        <v>14.835983333333331</v>
      </c>
      <c r="C1092" s="8">
        <f t="shared" si="85"/>
        <v>14.842291666666666</v>
      </c>
      <c r="D1092" s="8">
        <f t="shared" si="85"/>
        <v>14.83488333333333</v>
      </c>
      <c r="E1092" s="8">
        <f t="shared" si="85"/>
        <v>14.836799999999997</v>
      </c>
      <c r="F1092" s="4">
        <f t="shared" si="85"/>
        <v>15.502533333333334</v>
      </c>
      <c r="G1092" s="8">
        <f t="shared" si="85"/>
        <v>14.562466666666667</v>
      </c>
      <c r="H1092" s="4">
        <f t="shared" si="85"/>
        <v>15.474233333333331</v>
      </c>
      <c r="I1092" s="8">
        <f t="shared" si="85"/>
        <v>14.412749999999997</v>
      </c>
      <c r="J1092" s="4">
        <f t="shared" si="85"/>
        <v>14.311841666666668</v>
      </c>
      <c r="K1092" s="7"/>
      <c r="L1092" s="5">
        <f t="shared" ref="L1092:Q1092" si="86">SUM(L521:L532)</f>
        <v>355.53689999999995</v>
      </c>
      <c r="M1092" s="5">
        <f t="shared" si="86"/>
        <v>142.0401</v>
      </c>
      <c r="N1092" s="5">
        <f t="shared" si="86"/>
        <v>58.217499999999994</v>
      </c>
      <c r="O1092" s="5">
        <f t="shared" si="86"/>
        <v>4.4046000000000003</v>
      </c>
      <c r="P1092" s="5">
        <f t="shared" si="86"/>
        <v>14.707600000000001</v>
      </c>
      <c r="Q1092" s="5">
        <f t="shared" si="86"/>
        <v>231.81149999999997</v>
      </c>
      <c r="R1092" s="5"/>
      <c r="S1092" s="6"/>
    </row>
    <row r="1093" spans="1:19" ht="15" customHeight="1">
      <c r="A1093" s="3">
        <f t="shared" si="46"/>
        <v>2058</v>
      </c>
      <c r="B1093" s="8">
        <f t="shared" ref="B1093:J1093" si="87">AVERAGE(B533:B544)</f>
        <v>15.320125000000003</v>
      </c>
      <c r="C1093" s="8">
        <f t="shared" si="87"/>
        <v>15.326408333333335</v>
      </c>
      <c r="D1093" s="8">
        <f t="shared" si="87"/>
        <v>15.319033333333332</v>
      </c>
      <c r="E1093" s="8">
        <f t="shared" si="87"/>
        <v>15.320949999999998</v>
      </c>
      <c r="F1093" s="4">
        <f t="shared" si="87"/>
        <v>15.986658333333333</v>
      </c>
      <c r="G1093" s="8">
        <f t="shared" si="87"/>
        <v>15.038550000000001</v>
      </c>
      <c r="H1093" s="4">
        <f t="shared" si="87"/>
        <v>15.950333333333338</v>
      </c>
      <c r="I1093" s="8">
        <f t="shared" si="87"/>
        <v>14.881008333333329</v>
      </c>
      <c r="J1093" s="4">
        <f t="shared" si="87"/>
        <v>14.779841666666664</v>
      </c>
      <c r="K1093" s="7"/>
      <c r="L1093" s="5">
        <f t="shared" ref="L1093:Q1093" si="88">SUM(L533:L544)</f>
        <v>355.53689999999995</v>
      </c>
      <c r="M1093" s="5">
        <f t="shared" si="88"/>
        <v>142.0401</v>
      </c>
      <c r="N1093" s="5">
        <f t="shared" si="88"/>
        <v>58.217499999999994</v>
      </c>
      <c r="O1093" s="5">
        <f t="shared" si="88"/>
        <v>4.4046000000000003</v>
      </c>
      <c r="P1093" s="5">
        <f t="shared" si="88"/>
        <v>14.707600000000001</v>
      </c>
      <c r="Q1093" s="5">
        <f t="shared" si="88"/>
        <v>231.81149999999997</v>
      </c>
      <c r="R1093" s="5"/>
      <c r="S1093" s="6"/>
    </row>
    <row r="1094" spans="1:19" ht="15" customHeight="1">
      <c r="A1094" s="3">
        <f t="shared" si="46"/>
        <v>2059</v>
      </c>
      <c r="B1094" s="8">
        <f t="shared" ref="B1094:J1094" si="89">AVERAGE(B545:B556)</f>
        <v>15.820091666666668</v>
      </c>
      <c r="C1094" s="8">
        <f t="shared" si="89"/>
        <v>15.826366666666667</v>
      </c>
      <c r="D1094" s="8">
        <f t="shared" si="89"/>
        <v>15.818983333333335</v>
      </c>
      <c r="E1094" s="8">
        <f t="shared" si="89"/>
        <v>15.820900000000002</v>
      </c>
      <c r="F1094" s="4">
        <f t="shared" si="89"/>
        <v>16.486600000000006</v>
      </c>
      <c r="G1094" s="8">
        <f t="shared" si="89"/>
        <v>15.530225</v>
      </c>
      <c r="H1094" s="4">
        <f t="shared" si="89"/>
        <v>16.442008333333334</v>
      </c>
      <c r="I1094" s="8">
        <f t="shared" si="89"/>
        <v>15.364541666666669</v>
      </c>
      <c r="J1094" s="4">
        <f t="shared" si="89"/>
        <v>15.263141666666668</v>
      </c>
      <c r="K1094" s="4"/>
      <c r="L1094" s="5">
        <f>SUM(L545:L556)</f>
        <v>355.53689999999995</v>
      </c>
      <c r="M1094" s="5">
        <f>SUM(M545:M556)</f>
        <v>142.0401</v>
      </c>
      <c r="N1094" s="5">
        <f>SUM(N545:N556)</f>
        <v>58.217499999999994</v>
      </c>
      <c r="O1094" s="5">
        <f>SUM(O534:O545)</f>
        <v>4.4046000000000003</v>
      </c>
      <c r="P1094" s="5">
        <f>SUM(P545:P556)</f>
        <v>14.707600000000001</v>
      </c>
      <c r="Q1094" s="5">
        <f>SUM(Q545:Q556)</f>
        <v>231.81149999999997</v>
      </c>
      <c r="R1094" s="5"/>
      <c r="S1094" s="4"/>
    </row>
    <row r="1095" spans="1:19" ht="15" customHeight="1">
      <c r="A1095" s="3">
        <f t="shared" si="46"/>
        <v>2060</v>
      </c>
      <c r="B1095" s="8">
        <f t="shared" ref="B1095:J1095" si="90">AVERAGE(B557:B568)</f>
        <v>16.336408333333335</v>
      </c>
      <c r="C1095" s="8">
        <f t="shared" si="90"/>
        <v>16.342708333333334</v>
      </c>
      <c r="D1095" s="8">
        <f t="shared" si="90"/>
        <v>16.335291666666667</v>
      </c>
      <c r="E1095" s="8">
        <f t="shared" si="90"/>
        <v>16.337233333333334</v>
      </c>
      <c r="F1095" s="4">
        <f t="shared" si="90"/>
        <v>17.002941666666668</v>
      </c>
      <c r="G1095" s="8">
        <f t="shared" si="90"/>
        <v>16.037974999999999</v>
      </c>
      <c r="H1095" s="4">
        <f t="shared" si="90"/>
        <v>16.949750000000005</v>
      </c>
      <c r="I1095" s="8">
        <f t="shared" si="90"/>
        <v>15.863916666666663</v>
      </c>
      <c r="J1095" s="4">
        <f t="shared" si="90"/>
        <v>15.762283333333336</v>
      </c>
      <c r="K1095" s="7"/>
      <c r="L1095" s="5">
        <f>SUM(L557:L568)</f>
        <v>356.48229999999995</v>
      </c>
      <c r="M1095" s="5">
        <f>SUM(M557:M568)</f>
        <v>142.42920000000001</v>
      </c>
      <c r="N1095" s="5">
        <f>SUM(N557:N568)</f>
        <v>58.377000000000002</v>
      </c>
      <c r="O1095" s="5">
        <f>SUM(O535:O546)</f>
        <v>4.4046000000000003</v>
      </c>
      <c r="P1095" s="5">
        <f>SUM(P557:P568)</f>
        <v>14.7493</v>
      </c>
      <c r="Q1095" s="5">
        <f>SUM(Q557:Q568)</f>
        <v>232.44659999999996</v>
      </c>
      <c r="R1095" s="5"/>
      <c r="S1095" s="6"/>
    </row>
    <row r="1096" spans="1:19" ht="15" customHeight="1">
      <c r="A1096" s="3">
        <f t="shared" si="46"/>
        <v>2061</v>
      </c>
      <c r="B1096" s="8">
        <f t="shared" ref="B1096:J1096" si="91">AVERAGE(B569:B580)</f>
        <v>16.869591666666668</v>
      </c>
      <c r="C1096" s="8">
        <f t="shared" si="91"/>
        <v>16.875908333333332</v>
      </c>
      <c r="D1096" s="8">
        <f t="shared" si="91"/>
        <v>16.868491666666667</v>
      </c>
      <c r="E1096" s="8">
        <f t="shared" si="91"/>
        <v>16.870416666666667</v>
      </c>
      <c r="F1096" s="4">
        <f t="shared" si="91"/>
        <v>17.536125000000002</v>
      </c>
      <c r="G1096" s="8">
        <f t="shared" si="91"/>
        <v>16.562333333333331</v>
      </c>
      <c r="H1096" s="4">
        <f t="shared" si="91"/>
        <v>17.474116666666667</v>
      </c>
      <c r="I1096" s="8">
        <f t="shared" si="91"/>
        <v>16.379625000000001</v>
      </c>
      <c r="J1096" s="4">
        <f t="shared" si="91"/>
        <v>16.277725</v>
      </c>
      <c r="K1096" s="7"/>
      <c r="L1096" s="5">
        <f>SUM(L569:L580)</f>
        <v>355.53689999999995</v>
      </c>
      <c r="M1096" s="5">
        <f>SUM(M569:M580)</f>
        <v>142.0401</v>
      </c>
      <c r="N1096" s="5">
        <f>SUM(N569:N580)</f>
        <v>58.217499999999994</v>
      </c>
      <c r="O1096" s="5">
        <f>SUM(O536:O547)</f>
        <v>4.4046000000000003</v>
      </c>
      <c r="P1096" s="5">
        <f>SUM(P569:P580)</f>
        <v>14.707600000000001</v>
      </c>
      <c r="Q1096" s="5">
        <f>SUM(Q569:Q580)</f>
        <v>231.81149999999997</v>
      </c>
      <c r="R1096" s="5"/>
      <c r="S1096" s="6"/>
    </row>
    <row r="1097" spans="1:19" ht="15" customHeight="1">
      <c r="A1097" s="3">
        <f t="shared" si="46"/>
        <v>2062</v>
      </c>
      <c r="B1097" s="4">
        <f t="shared" ref="B1097:J1106" ca="1" si="92">AVERAGE(OFFSET(B$581,($A1097-$A$1097)*12,0,12,1))</f>
        <v>17.420233333333332</v>
      </c>
      <c r="C1097" s="4">
        <f t="shared" ca="1" si="92"/>
        <v>17.426525000000002</v>
      </c>
      <c r="D1097" s="4">
        <f t="shared" ca="1" si="92"/>
        <v>17.419133333333331</v>
      </c>
      <c r="E1097" s="4">
        <f t="shared" ca="1" si="92"/>
        <v>17.421049999999997</v>
      </c>
      <c r="F1097" s="4">
        <f t="shared" ca="1" si="92"/>
        <v>18.086774999999999</v>
      </c>
      <c r="G1097" s="4">
        <f t="shared" ca="1" si="92"/>
        <v>17.103833333333334</v>
      </c>
      <c r="H1097" s="4">
        <f t="shared" ca="1" si="92"/>
        <v>18.015608333333336</v>
      </c>
      <c r="I1097" s="4">
        <f t="shared" ca="1" si="92"/>
        <v>16.912200000000002</v>
      </c>
      <c r="J1097" s="4">
        <f t="shared" ca="1" si="92"/>
        <v>16.810016666666669</v>
      </c>
      <c r="K1097" s="4"/>
      <c r="L1097" s="5">
        <f t="shared" ref="L1097:Q1106" ca="1" si="93">SUM(OFFSET(L$581,($A1097-$A$1097)*12,0,12,1))</f>
        <v>355.53689999999995</v>
      </c>
      <c r="M1097" s="5">
        <f t="shared" ca="1" si="93"/>
        <v>142.0401</v>
      </c>
      <c r="N1097" s="5">
        <f t="shared" ca="1" si="93"/>
        <v>58.217499999999994</v>
      </c>
      <c r="O1097" s="5">
        <f t="shared" ca="1" si="93"/>
        <v>4.4046000000000003</v>
      </c>
      <c r="P1097" s="5">
        <f t="shared" ca="1" si="93"/>
        <v>14.707600000000001</v>
      </c>
      <c r="Q1097" s="5">
        <f t="shared" ca="1" si="93"/>
        <v>231.81149999999997</v>
      </c>
      <c r="R1097" s="4"/>
      <c r="S1097" s="4"/>
    </row>
    <row r="1098" spans="1:19" ht="15" customHeight="1">
      <c r="A1098" s="3">
        <f t="shared" si="46"/>
        <v>2063</v>
      </c>
      <c r="B1098" s="4">
        <f t="shared" ca="1" si="92"/>
        <v>17.988874999999997</v>
      </c>
      <c r="C1098" s="4">
        <f t="shared" ca="1" si="92"/>
        <v>17.995166666666666</v>
      </c>
      <c r="D1098" s="4">
        <f t="shared" ca="1" si="92"/>
        <v>17.987774999999999</v>
      </c>
      <c r="E1098" s="4">
        <f t="shared" ca="1" si="92"/>
        <v>17.989691666666666</v>
      </c>
      <c r="F1098" s="4">
        <f t="shared" ca="1" si="92"/>
        <v>18.655416666666664</v>
      </c>
      <c r="G1098" s="4">
        <f t="shared" ca="1" si="92"/>
        <v>17.663058333333328</v>
      </c>
      <c r="H1098" s="4">
        <f t="shared" ca="1" si="92"/>
        <v>18.574825000000001</v>
      </c>
      <c r="I1098" s="4">
        <f t="shared" ca="1" si="92"/>
        <v>17.462166666666665</v>
      </c>
      <c r="J1098" s="4">
        <f t="shared" ca="1" si="92"/>
        <v>17.359716666666667</v>
      </c>
      <c r="K1098" s="4"/>
      <c r="L1098" s="5">
        <f t="shared" ca="1" si="93"/>
        <v>355.53689999999995</v>
      </c>
      <c r="M1098" s="5">
        <f t="shared" ca="1" si="93"/>
        <v>142.0401</v>
      </c>
      <c r="N1098" s="5">
        <f t="shared" ca="1" si="93"/>
        <v>58.217499999999994</v>
      </c>
      <c r="O1098" s="5">
        <f t="shared" ca="1" si="93"/>
        <v>4.4046000000000003</v>
      </c>
      <c r="P1098" s="5">
        <f t="shared" ca="1" si="93"/>
        <v>14.707600000000001</v>
      </c>
      <c r="Q1098" s="5">
        <f t="shared" ca="1" si="93"/>
        <v>231.81149999999997</v>
      </c>
      <c r="R1098" s="4"/>
      <c r="S1098" s="4"/>
    </row>
    <row r="1099" spans="1:19" ht="15" customHeight="1">
      <c r="A1099" s="3">
        <f t="shared" si="46"/>
        <v>2064</v>
      </c>
      <c r="B1099" s="4">
        <f t="shared" ca="1" si="92"/>
        <v>18.576116666666667</v>
      </c>
      <c r="C1099" s="4">
        <f t="shared" ca="1" si="92"/>
        <v>18.582424999999997</v>
      </c>
      <c r="D1099" s="4">
        <f t="shared" ca="1" si="92"/>
        <v>18.575016666666667</v>
      </c>
      <c r="E1099" s="4">
        <f t="shared" ca="1" si="92"/>
        <v>18.576933333333333</v>
      </c>
      <c r="F1099" s="4">
        <f t="shared" ca="1" si="92"/>
        <v>19.242641666666668</v>
      </c>
      <c r="G1099" s="4">
        <f t="shared" ca="1" si="92"/>
        <v>18.240549999999999</v>
      </c>
      <c r="H1099" s="4">
        <f t="shared" ca="1" si="92"/>
        <v>19.152333333333335</v>
      </c>
      <c r="I1099" s="4">
        <f t="shared" ca="1" si="92"/>
        <v>18.030133333333335</v>
      </c>
      <c r="J1099" s="4">
        <f t="shared" ca="1" si="92"/>
        <v>17.927408333333336</v>
      </c>
      <c r="K1099" s="4"/>
      <c r="L1099" s="5">
        <f t="shared" ca="1" si="93"/>
        <v>356.48229999999995</v>
      </c>
      <c r="M1099" s="5">
        <f t="shared" ca="1" si="93"/>
        <v>142.42920000000001</v>
      </c>
      <c r="N1099" s="5">
        <f t="shared" ca="1" si="93"/>
        <v>58.377000000000002</v>
      </c>
      <c r="O1099" s="5">
        <f t="shared" ca="1" si="93"/>
        <v>4.4165999999999999</v>
      </c>
      <c r="P1099" s="5">
        <f t="shared" ca="1" si="93"/>
        <v>14.7493</v>
      </c>
      <c r="Q1099" s="5">
        <f t="shared" ca="1" si="93"/>
        <v>232.44659999999996</v>
      </c>
      <c r="R1099" s="4"/>
      <c r="S1099" s="4"/>
    </row>
    <row r="1100" spans="1:19" ht="15" customHeight="1">
      <c r="A1100" s="3">
        <f t="shared" si="46"/>
        <v>2065</v>
      </c>
      <c r="B1100" s="4">
        <f t="shared" ca="1" si="92"/>
        <v>19.182566666666666</v>
      </c>
      <c r="C1100" s="4">
        <f t="shared" ca="1" si="92"/>
        <v>19.188849999999999</v>
      </c>
      <c r="D1100" s="4">
        <f t="shared" ca="1" si="92"/>
        <v>19.181458333333335</v>
      </c>
      <c r="E1100" s="4">
        <f t="shared" ca="1" si="92"/>
        <v>19.183383333333332</v>
      </c>
      <c r="F1100" s="4">
        <f t="shared" ca="1" si="92"/>
        <v>19.849100000000004</v>
      </c>
      <c r="G1100" s="4">
        <f t="shared" ca="1" si="92"/>
        <v>18.836941666666668</v>
      </c>
      <c r="H1100" s="4">
        <f t="shared" ca="1" si="92"/>
        <v>19.748708333333337</v>
      </c>
      <c r="I1100" s="4">
        <f t="shared" ca="1" si="92"/>
        <v>18.616683333333334</v>
      </c>
      <c r="J1100" s="4">
        <f t="shared" ca="1" si="92"/>
        <v>18.513658333333336</v>
      </c>
      <c r="K1100" s="4"/>
      <c r="L1100" s="5">
        <f t="shared" ca="1" si="93"/>
        <v>355.53689999999995</v>
      </c>
      <c r="M1100" s="5">
        <f t="shared" ca="1" si="93"/>
        <v>142.0401</v>
      </c>
      <c r="N1100" s="5">
        <f t="shared" ca="1" si="93"/>
        <v>58.217499999999994</v>
      </c>
      <c r="O1100" s="5">
        <f t="shared" ca="1" si="93"/>
        <v>4.4046000000000003</v>
      </c>
      <c r="P1100" s="5">
        <f t="shared" ca="1" si="93"/>
        <v>14.707600000000001</v>
      </c>
      <c r="Q1100" s="5">
        <f t="shared" ca="1" si="93"/>
        <v>231.81149999999997</v>
      </c>
      <c r="R1100" s="4"/>
      <c r="S1100" s="4"/>
    </row>
    <row r="1101" spans="1:19" ht="15" customHeight="1">
      <c r="A1101" s="3">
        <f t="shared" si="46"/>
        <v>2066</v>
      </c>
      <c r="B1101" s="4">
        <f t="shared" ca="1" si="92"/>
        <v>19.808833333333332</v>
      </c>
      <c r="C1101" s="4">
        <f t="shared" ca="1" si="92"/>
        <v>19.815141666666666</v>
      </c>
      <c r="D1101" s="4">
        <f t="shared" ca="1" si="92"/>
        <v>19.807733333333331</v>
      </c>
      <c r="E1101" s="4">
        <f t="shared" ca="1" si="92"/>
        <v>19.809666666666665</v>
      </c>
      <c r="F1101" s="4">
        <f t="shared" ca="1" si="92"/>
        <v>20.475375</v>
      </c>
      <c r="G1101" s="4">
        <f t="shared" ca="1" si="92"/>
        <v>19.452850000000002</v>
      </c>
      <c r="H1101" s="4">
        <f t="shared" ca="1" si="92"/>
        <v>20.364608333333333</v>
      </c>
      <c r="I1101" s="4">
        <f t="shared" ca="1" si="92"/>
        <v>19.222399999999997</v>
      </c>
      <c r="J1101" s="4">
        <f t="shared" ca="1" si="92"/>
        <v>19.119083333333332</v>
      </c>
      <c r="K1101" s="4"/>
      <c r="L1101" s="5">
        <f t="shared" ca="1" si="93"/>
        <v>355.53689999999995</v>
      </c>
      <c r="M1101" s="5">
        <f t="shared" ca="1" si="93"/>
        <v>142.0401</v>
      </c>
      <c r="N1101" s="5">
        <f t="shared" ca="1" si="93"/>
        <v>58.217499999999994</v>
      </c>
      <c r="O1101" s="5">
        <f t="shared" ca="1" si="93"/>
        <v>4.4046000000000003</v>
      </c>
      <c r="P1101" s="5">
        <f t="shared" ca="1" si="93"/>
        <v>14.707600000000001</v>
      </c>
      <c r="Q1101" s="5">
        <f t="shared" ca="1" si="93"/>
        <v>231.81149999999997</v>
      </c>
      <c r="R1101" s="4"/>
      <c r="S1101" s="4"/>
    </row>
    <row r="1102" spans="1:19" ht="15" customHeight="1">
      <c r="A1102" s="3">
        <f t="shared" si="46"/>
        <v>2067</v>
      </c>
      <c r="B1102" s="4">
        <f t="shared" ca="1" si="92"/>
        <v>20.4556</v>
      </c>
      <c r="C1102" s="4">
        <f t="shared" ca="1" si="92"/>
        <v>20.4619</v>
      </c>
      <c r="D1102" s="4">
        <f t="shared" ca="1" si="92"/>
        <v>20.454491666666666</v>
      </c>
      <c r="E1102" s="4">
        <f t="shared" ca="1" si="92"/>
        <v>20.456424999999999</v>
      </c>
      <c r="F1102" s="4">
        <f t="shared" ca="1" si="92"/>
        <v>21.122133333333334</v>
      </c>
      <c r="G1102" s="4">
        <f t="shared" ca="1" si="92"/>
        <v>20.088883333333332</v>
      </c>
      <c r="H1102" s="4">
        <f t="shared" ca="1" si="92"/>
        <v>21.000658333333334</v>
      </c>
      <c r="I1102" s="4">
        <f t="shared" ca="1" si="92"/>
        <v>19.847925</v>
      </c>
      <c r="J1102" s="4">
        <f t="shared" ca="1" si="92"/>
        <v>19.744299999999999</v>
      </c>
      <c r="K1102" s="4"/>
      <c r="L1102" s="5">
        <f t="shared" ca="1" si="93"/>
        <v>355.53689999999995</v>
      </c>
      <c r="M1102" s="5">
        <f t="shared" ca="1" si="93"/>
        <v>142.0401</v>
      </c>
      <c r="N1102" s="5">
        <f t="shared" ca="1" si="93"/>
        <v>58.217499999999994</v>
      </c>
      <c r="O1102" s="5">
        <f t="shared" ca="1" si="93"/>
        <v>4.4046000000000003</v>
      </c>
      <c r="P1102" s="5">
        <f t="shared" ca="1" si="93"/>
        <v>14.707600000000001</v>
      </c>
      <c r="Q1102" s="5">
        <f t="shared" ca="1" si="93"/>
        <v>231.81149999999997</v>
      </c>
      <c r="R1102" s="4"/>
      <c r="S1102" s="4"/>
    </row>
    <row r="1103" spans="1:19" ht="15" customHeight="1">
      <c r="A1103" s="3">
        <f t="shared" si="46"/>
        <v>2068</v>
      </c>
      <c r="B1103" s="4">
        <f t="shared" ca="1" si="92"/>
        <v>21.123508333333337</v>
      </c>
      <c r="C1103" s="4">
        <f t="shared" ca="1" si="92"/>
        <v>21.129816666666667</v>
      </c>
      <c r="D1103" s="4">
        <f t="shared" ca="1" si="92"/>
        <v>21.122416666666666</v>
      </c>
      <c r="E1103" s="4">
        <f t="shared" ca="1" si="92"/>
        <v>21.124341666666666</v>
      </c>
      <c r="F1103" s="4">
        <f t="shared" ca="1" si="92"/>
        <v>21.790041666666664</v>
      </c>
      <c r="G1103" s="4">
        <f t="shared" ca="1" si="92"/>
        <v>20.745708333333333</v>
      </c>
      <c r="H1103" s="4">
        <f t="shared" ca="1" si="92"/>
        <v>21.657475000000002</v>
      </c>
      <c r="I1103" s="4">
        <f t="shared" ca="1" si="92"/>
        <v>20.493950000000002</v>
      </c>
      <c r="J1103" s="4">
        <f t="shared" ca="1" si="92"/>
        <v>20.38998333333333</v>
      </c>
      <c r="K1103" s="4"/>
      <c r="L1103" s="5">
        <f t="shared" ca="1" si="93"/>
        <v>356.48229999999995</v>
      </c>
      <c r="M1103" s="5">
        <f t="shared" ca="1" si="93"/>
        <v>142.42920000000001</v>
      </c>
      <c r="N1103" s="5">
        <f t="shared" ca="1" si="93"/>
        <v>58.377000000000002</v>
      </c>
      <c r="O1103" s="5">
        <f t="shared" ca="1" si="93"/>
        <v>4.4165999999999999</v>
      </c>
      <c r="P1103" s="5">
        <f t="shared" ca="1" si="93"/>
        <v>14.7493</v>
      </c>
      <c r="Q1103" s="5">
        <f t="shared" ca="1" si="93"/>
        <v>232.44659999999996</v>
      </c>
      <c r="R1103" s="4"/>
      <c r="S1103" s="4"/>
    </row>
    <row r="1104" spans="1:19" ht="15" customHeight="1">
      <c r="A1104" s="3">
        <f t="shared" si="46"/>
        <v>2069</v>
      </c>
      <c r="B1104" s="4">
        <f t="shared" ca="1" si="92"/>
        <v>21.813275000000004</v>
      </c>
      <c r="C1104" s="4">
        <f t="shared" ca="1" si="92"/>
        <v>21.819566666666663</v>
      </c>
      <c r="D1104" s="4">
        <f t="shared" ca="1" si="92"/>
        <v>21.812175000000007</v>
      </c>
      <c r="E1104" s="4">
        <f t="shared" ca="1" si="92"/>
        <v>21.8141</v>
      </c>
      <c r="F1104" s="4">
        <f t="shared" ca="1" si="92"/>
        <v>22.479791666666667</v>
      </c>
      <c r="G1104" s="4">
        <f t="shared" ca="1" si="92"/>
        <v>21.424041666666664</v>
      </c>
      <c r="H1104" s="4">
        <f t="shared" ca="1" si="92"/>
        <v>22.335799999999995</v>
      </c>
      <c r="I1104" s="4">
        <f t="shared" ca="1" si="92"/>
        <v>21.161058333333333</v>
      </c>
      <c r="J1104" s="4">
        <f t="shared" ca="1" si="92"/>
        <v>21.056775000000002</v>
      </c>
      <c r="K1104" s="4"/>
      <c r="L1104" s="5">
        <f t="shared" ca="1" si="93"/>
        <v>355.53689999999995</v>
      </c>
      <c r="M1104" s="5">
        <f t="shared" ca="1" si="93"/>
        <v>142.0401</v>
      </c>
      <c r="N1104" s="5">
        <f t="shared" ca="1" si="93"/>
        <v>58.217499999999994</v>
      </c>
      <c r="O1104" s="5">
        <f t="shared" ca="1" si="93"/>
        <v>4.4046000000000003</v>
      </c>
      <c r="P1104" s="5">
        <f t="shared" ca="1" si="93"/>
        <v>14.707600000000001</v>
      </c>
      <c r="Q1104" s="5">
        <f t="shared" ca="1" si="93"/>
        <v>231.81149999999997</v>
      </c>
      <c r="R1104" s="4"/>
      <c r="S1104" s="4"/>
    </row>
    <row r="1105" spans="1:19" ht="15" customHeight="1">
      <c r="A1105" s="3">
        <f t="shared" ref="A1105:A1135" si="94">A1104+1</f>
        <v>2070</v>
      </c>
      <c r="B1105" s="4">
        <f t="shared" ca="1" si="92"/>
        <v>22.525575</v>
      </c>
      <c r="C1105" s="4">
        <f t="shared" ca="1" si="92"/>
        <v>22.531883333333337</v>
      </c>
      <c r="D1105" s="4">
        <f t="shared" ca="1" si="92"/>
        <v>22.524475000000006</v>
      </c>
      <c r="E1105" s="4">
        <f t="shared" ca="1" si="92"/>
        <v>22.526391666666669</v>
      </c>
      <c r="F1105" s="4">
        <f t="shared" ca="1" si="92"/>
        <v>23.192116666666667</v>
      </c>
      <c r="G1105" s="4">
        <f t="shared" ca="1" si="92"/>
        <v>22.124541666666669</v>
      </c>
      <c r="H1105" s="4">
        <f t="shared" ca="1" si="92"/>
        <v>23.036316666666664</v>
      </c>
      <c r="I1105" s="4">
        <f t="shared" ca="1" si="92"/>
        <v>21.849983333333338</v>
      </c>
      <c r="J1105" s="4">
        <f t="shared" ca="1" si="92"/>
        <v>21.745366666666669</v>
      </c>
      <c r="K1105" s="4"/>
      <c r="L1105" s="5">
        <f t="shared" ca="1" si="93"/>
        <v>355.53689999999995</v>
      </c>
      <c r="M1105" s="5">
        <f t="shared" ca="1" si="93"/>
        <v>142.0401</v>
      </c>
      <c r="N1105" s="5">
        <f t="shared" ca="1" si="93"/>
        <v>58.217499999999994</v>
      </c>
      <c r="O1105" s="5">
        <f t="shared" ca="1" si="93"/>
        <v>4.4046000000000003</v>
      </c>
      <c r="P1105" s="5">
        <f t="shared" ca="1" si="93"/>
        <v>14.707600000000001</v>
      </c>
      <c r="Q1105" s="5">
        <f t="shared" ca="1" si="93"/>
        <v>231.81149999999997</v>
      </c>
      <c r="R1105" s="4"/>
      <c r="S1105" s="4"/>
    </row>
    <row r="1106" spans="1:19" ht="15" customHeight="1">
      <c r="A1106" s="3">
        <f t="shared" si="94"/>
        <v>2071</v>
      </c>
      <c r="B1106" s="4">
        <f t="shared" ca="1" si="92"/>
        <v>23.261174999999998</v>
      </c>
      <c r="C1106" s="4">
        <f t="shared" ca="1" si="92"/>
        <v>23.267483333333335</v>
      </c>
      <c r="D1106" s="4">
        <f t="shared" ca="1" si="92"/>
        <v>23.260075000000001</v>
      </c>
      <c r="E1106" s="4">
        <f t="shared" ca="1" si="92"/>
        <v>23.262</v>
      </c>
      <c r="F1106" s="4">
        <f t="shared" ca="1" si="92"/>
        <v>23.927733333333336</v>
      </c>
      <c r="G1106" s="4">
        <f t="shared" ca="1" si="92"/>
        <v>22.847941666666667</v>
      </c>
      <c r="H1106" s="4">
        <f t="shared" ca="1" si="92"/>
        <v>23.759708333333332</v>
      </c>
      <c r="I1106" s="4">
        <f t="shared" ca="1" si="92"/>
        <v>22.561475000000002</v>
      </c>
      <c r="J1106" s="4">
        <f t="shared" ca="1" si="92"/>
        <v>22.456458333333334</v>
      </c>
      <c r="K1106" s="4"/>
      <c r="L1106" s="5">
        <f t="shared" ca="1" si="93"/>
        <v>355.53689999999995</v>
      </c>
      <c r="M1106" s="5">
        <f t="shared" ca="1" si="93"/>
        <v>142.0401</v>
      </c>
      <c r="N1106" s="5">
        <f t="shared" ca="1" si="93"/>
        <v>58.217499999999994</v>
      </c>
      <c r="O1106" s="5">
        <f t="shared" ca="1" si="93"/>
        <v>4.4046000000000003</v>
      </c>
      <c r="P1106" s="5">
        <f t="shared" ca="1" si="93"/>
        <v>14.707600000000001</v>
      </c>
      <c r="Q1106" s="5">
        <f t="shared" ca="1" si="93"/>
        <v>231.81149999999997</v>
      </c>
      <c r="R1106" s="4"/>
      <c r="S1106" s="4"/>
    </row>
    <row r="1107" spans="1:19" ht="15" customHeight="1">
      <c r="A1107" s="3">
        <f t="shared" si="94"/>
        <v>2072</v>
      </c>
      <c r="B1107" s="4">
        <f t="shared" ref="B1107:J1116" ca="1" si="95">AVERAGE(OFFSET(B$581,($A1107-$A$1097)*12,0,12,1))</f>
        <v>24.020849999999996</v>
      </c>
      <c r="C1107" s="4">
        <f t="shared" ca="1" si="95"/>
        <v>24.027141666666665</v>
      </c>
      <c r="D1107" s="4">
        <f t="shared" ca="1" si="95"/>
        <v>24.019750000000002</v>
      </c>
      <c r="E1107" s="4">
        <f t="shared" ca="1" si="95"/>
        <v>24.021666666666665</v>
      </c>
      <c r="F1107" s="4">
        <f t="shared" ca="1" si="95"/>
        <v>24.687391666666667</v>
      </c>
      <c r="G1107" s="4">
        <f t="shared" ca="1" si="95"/>
        <v>23.595025000000003</v>
      </c>
      <c r="H1107" s="4">
        <f t="shared" ca="1" si="95"/>
        <v>24.506791666666668</v>
      </c>
      <c r="I1107" s="4">
        <f t="shared" ca="1" si="95"/>
        <v>23.296183333333332</v>
      </c>
      <c r="J1107" s="4">
        <f t="shared" ca="1" si="95"/>
        <v>23.190841666666667</v>
      </c>
      <c r="K1107" s="4"/>
      <c r="L1107" s="5">
        <f t="shared" ref="L1107:Q1116" ca="1" si="96">SUM(OFFSET(L$581,($A1107-$A$1097)*12,0,12,1))</f>
        <v>356.48229999999995</v>
      </c>
      <c r="M1107" s="5">
        <f t="shared" ca="1" si="96"/>
        <v>142.42920000000001</v>
      </c>
      <c r="N1107" s="5">
        <f t="shared" ca="1" si="96"/>
        <v>58.377000000000002</v>
      </c>
      <c r="O1107" s="5">
        <f t="shared" ca="1" si="96"/>
        <v>4.4165999999999999</v>
      </c>
      <c r="P1107" s="5">
        <f t="shared" ca="1" si="96"/>
        <v>14.7493</v>
      </c>
      <c r="Q1107" s="5">
        <f t="shared" ca="1" si="96"/>
        <v>232.44659999999996</v>
      </c>
      <c r="R1107" s="4"/>
      <c r="S1107" s="4"/>
    </row>
    <row r="1108" spans="1:19" ht="15" customHeight="1">
      <c r="A1108" s="3">
        <f t="shared" si="94"/>
        <v>2073</v>
      </c>
      <c r="B1108" s="4">
        <f t="shared" ca="1" si="95"/>
        <v>24.805358333333341</v>
      </c>
      <c r="C1108" s="4">
        <f t="shared" ca="1" si="95"/>
        <v>24.811649999999997</v>
      </c>
      <c r="D1108" s="4">
        <f t="shared" ca="1" si="95"/>
        <v>24.804258333333337</v>
      </c>
      <c r="E1108" s="4">
        <f t="shared" ca="1" si="95"/>
        <v>24.806191666666667</v>
      </c>
      <c r="F1108" s="4">
        <f t="shared" ca="1" si="95"/>
        <v>25.471900000000002</v>
      </c>
      <c r="G1108" s="4">
        <f t="shared" ca="1" si="95"/>
        <v>24.366500000000002</v>
      </c>
      <c r="H1108" s="4">
        <f t="shared" ca="1" si="95"/>
        <v>25.278275000000004</v>
      </c>
      <c r="I1108" s="4">
        <f t="shared" ca="1" si="95"/>
        <v>24.054966666666662</v>
      </c>
      <c r="J1108" s="4">
        <f t="shared" ca="1" si="95"/>
        <v>23.949208333333335</v>
      </c>
      <c r="K1108" s="4"/>
      <c r="L1108" s="5">
        <f t="shared" ca="1" si="96"/>
        <v>355.53689999999995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4.4046000000000003</v>
      </c>
      <c r="P1108" s="5">
        <f t="shared" ca="1" si="96"/>
        <v>14.707600000000001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4"/>
        <v>2074</v>
      </c>
      <c r="B1109" s="4">
        <f t="shared" ca="1" si="95"/>
        <v>25.615508333333334</v>
      </c>
      <c r="C1109" s="4">
        <f t="shared" ca="1" si="95"/>
        <v>25.621816666666664</v>
      </c>
      <c r="D1109" s="4">
        <f t="shared" ca="1" si="95"/>
        <v>25.614424999999997</v>
      </c>
      <c r="E1109" s="4">
        <f t="shared" ca="1" si="95"/>
        <v>25.616341666666671</v>
      </c>
      <c r="F1109" s="4">
        <f t="shared" ca="1" si="95"/>
        <v>26.282058333333328</v>
      </c>
      <c r="G1109" s="4">
        <f t="shared" ca="1" si="95"/>
        <v>25.163249999999994</v>
      </c>
      <c r="H1109" s="4">
        <f t="shared" ca="1" si="95"/>
        <v>26.075008333333333</v>
      </c>
      <c r="I1109" s="4">
        <f t="shared" ca="1" si="95"/>
        <v>24.838549999999998</v>
      </c>
      <c r="J1109" s="4">
        <f t="shared" ca="1" si="95"/>
        <v>24.732408333333336</v>
      </c>
      <c r="K1109" s="4"/>
      <c r="L1109" s="5">
        <f t="shared" ca="1" si="96"/>
        <v>355.53689999999995</v>
      </c>
      <c r="M1109" s="5">
        <f t="shared" ca="1" si="96"/>
        <v>142.0401</v>
      </c>
      <c r="N1109" s="5">
        <f t="shared" ca="1" si="96"/>
        <v>58.217499999999994</v>
      </c>
      <c r="O1109" s="5">
        <f t="shared" ca="1" si="96"/>
        <v>4.4046000000000003</v>
      </c>
      <c r="P1109" s="5">
        <f t="shared" ca="1" si="96"/>
        <v>14.707600000000001</v>
      </c>
      <c r="Q1109" s="5">
        <f t="shared" ca="1" si="96"/>
        <v>231.81149999999997</v>
      </c>
      <c r="R1109" s="4"/>
      <c r="S1109" s="4"/>
    </row>
    <row r="1110" spans="1:19" ht="15" customHeight="1">
      <c r="A1110" s="3">
        <f t="shared" si="94"/>
        <v>2075</v>
      </c>
      <c r="B1110" s="4">
        <f t="shared" ca="1" si="95"/>
        <v>26.452199999999994</v>
      </c>
      <c r="C1110" s="4">
        <f t="shared" ca="1" si="95"/>
        <v>26.458483333333334</v>
      </c>
      <c r="D1110" s="4">
        <f t="shared" ca="1" si="95"/>
        <v>26.451083333333333</v>
      </c>
      <c r="E1110" s="4">
        <f t="shared" ca="1" si="95"/>
        <v>26.453016666666667</v>
      </c>
      <c r="F1110" s="4">
        <f t="shared" ca="1" si="95"/>
        <v>27.118733333333335</v>
      </c>
      <c r="G1110" s="4">
        <f t="shared" ca="1" si="95"/>
        <v>25.986016666666668</v>
      </c>
      <c r="H1110" s="4">
        <f t="shared" ca="1" si="95"/>
        <v>26.897791666666663</v>
      </c>
      <c r="I1110" s="4">
        <f t="shared" ca="1" si="95"/>
        <v>25.647733333333331</v>
      </c>
      <c r="J1110" s="4">
        <f t="shared" ca="1" si="95"/>
        <v>25.541191666666666</v>
      </c>
      <c r="K1110" s="4"/>
      <c r="L1110" s="5">
        <f t="shared" ca="1" si="96"/>
        <v>355.53689999999995</v>
      </c>
      <c r="M1110" s="5">
        <f t="shared" ca="1" si="96"/>
        <v>142.0401</v>
      </c>
      <c r="N1110" s="5">
        <f t="shared" ca="1" si="96"/>
        <v>58.217499999999994</v>
      </c>
      <c r="O1110" s="5">
        <f t="shared" ca="1" si="96"/>
        <v>4.4046000000000003</v>
      </c>
      <c r="P1110" s="5">
        <f t="shared" ca="1" si="96"/>
        <v>14.707600000000001</v>
      </c>
      <c r="Q1110" s="5">
        <f t="shared" ca="1" si="96"/>
        <v>231.81149999999997</v>
      </c>
      <c r="R1110" s="4"/>
      <c r="S1110" s="4"/>
    </row>
    <row r="1111" spans="1:19" ht="15" customHeight="1">
      <c r="A1111" s="3">
        <f t="shared" si="94"/>
        <v>2076</v>
      </c>
      <c r="B1111" s="4">
        <f t="shared" ca="1" si="95"/>
        <v>27.316199999999998</v>
      </c>
      <c r="C1111" s="4">
        <f t="shared" ca="1" si="95"/>
        <v>27.322491666666664</v>
      </c>
      <c r="D1111" s="4">
        <f t="shared" ca="1" si="95"/>
        <v>27.31508333333333</v>
      </c>
      <c r="E1111" s="4">
        <f t="shared" ca="1" si="95"/>
        <v>27.317008333333334</v>
      </c>
      <c r="F1111" s="4">
        <f t="shared" ca="1" si="95"/>
        <v>27.982733333333332</v>
      </c>
      <c r="G1111" s="4">
        <f t="shared" ca="1" si="95"/>
        <v>26.835716666666674</v>
      </c>
      <c r="H1111" s="4">
        <f t="shared" ca="1" si="95"/>
        <v>27.747500000000002</v>
      </c>
      <c r="I1111" s="4">
        <f t="shared" ca="1" si="95"/>
        <v>26.483408333333333</v>
      </c>
      <c r="J1111" s="4">
        <f t="shared" ca="1" si="95"/>
        <v>26.376458333333332</v>
      </c>
      <c r="K1111" s="4"/>
      <c r="L1111" s="5">
        <f t="shared" ca="1" si="96"/>
        <v>356.48229999999995</v>
      </c>
      <c r="M1111" s="5">
        <f t="shared" ca="1" si="96"/>
        <v>142.42920000000001</v>
      </c>
      <c r="N1111" s="5">
        <f t="shared" ca="1" si="96"/>
        <v>58.377000000000002</v>
      </c>
      <c r="O1111" s="5">
        <f t="shared" ca="1" si="96"/>
        <v>4.4165999999999999</v>
      </c>
      <c r="P1111" s="5">
        <f t="shared" ca="1" si="96"/>
        <v>14.7493</v>
      </c>
      <c r="Q1111" s="5">
        <f t="shared" ca="1" si="96"/>
        <v>232.44659999999996</v>
      </c>
      <c r="R1111" s="4"/>
      <c r="S1111" s="4"/>
    </row>
    <row r="1112" spans="1:19" ht="15" customHeight="1">
      <c r="A1112" s="3">
        <f t="shared" si="94"/>
        <v>2077</v>
      </c>
      <c r="B1112" s="4">
        <f t="shared" ca="1" si="95"/>
        <v>28.208491666666671</v>
      </c>
      <c r="C1112" s="4">
        <f t="shared" ca="1" si="95"/>
        <v>28.214791666666667</v>
      </c>
      <c r="D1112" s="4">
        <f t="shared" ca="1" si="95"/>
        <v>28.207374999999999</v>
      </c>
      <c r="E1112" s="4">
        <f t="shared" ca="1" si="95"/>
        <v>28.209316666666666</v>
      </c>
      <c r="F1112" s="4">
        <f t="shared" ca="1" si="95"/>
        <v>28.875016666666671</v>
      </c>
      <c r="G1112" s="4">
        <f t="shared" ca="1" si="95"/>
        <v>27.713199999999997</v>
      </c>
      <c r="H1112" s="4">
        <f t="shared" ca="1" si="95"/>
        <v>28.624966666666669</v>
      </c>
      <c r="I1112" s="4">
        <f t="shared" ca="1" si="95"/>
        <v>27.346400000000003</v>
      </c>
      <c r="J1112" s="4">
        <f t="shared" ca="1" si="95"/>
        <v>27.239024999999998</v>
      </c>
      <c r="K1112" s="4"/>
      <c r="L1112" s="5">
        <f t="shared" ca="1" si="96"/>
        <v>355.53689999999995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4.4046000000000003</v>
      </c>
      <c r="P1112" s="5">
        <f t="shared" ca="1" si="96"/>
        <v>14.707600000000001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4"/>
        <v>2078</v>
      </c>
      <c r="B1113" s="4">
        <f t="shared" ca="1" si="95"/>
        <v>29.129941666666671</v>
      </c>
      <c r="C1113" s="4">
        <f t="shared" ca="1" si="95"/>
        <v>29.13623333333334</v>
      </c>
      <c r="D1113" s="4">
        <f t="shared" ca="1" si="95"/>
        <v>29.128841666666663</v>
      </c>
      <c r="E1113" s="4">
        <f t="shared" ca="1" si="95"/>
        <v>29.130775</v>
      </c>
      <c r="F1113" s="4">
        <f t="shared" ca="1" si="95"/>
        <v>29.796474999999997</v>
      </c>
      <c r="G1113" s="4">
        <f t="shared" ca="1" si="95"/>
        <v>28.619391666666669</v>
      </c>
      <c r="H1113" s="4">
        <f t="shared" ca="1" si="95"/>
        <v>29.531150000000007</v>
      </c>
      <c r="I1113" s="4">
        <f t="shared" ca="1" si="95"/>
        <v>28.237624999999998</v>
      </c>
      <c r="J1113" s="4">
        <f t="shared" ca="1" si="95"/>
        <v>28.129799999999999</v>
      </c>
      <c r="K1113" s="4"/>
      <c r="L1113" s="5">
        <f t="shared" ca="1" si="96"/>
        <v>355.53689999999995</v>
      </c>
      <c r="M1113" s="5">
        <f t="shared" ca="1" si="96"/>
        <v>142.0401</v>
      </c>
      <c r="N1113" s="5">
        <f t="shared" ca="1" si="96"/>
        <v>58.217499999999994</v>
      </c>
      <c r="O1113" s="5">
        <f t="shared" ca="1" si="96"/>
        <v>4.4046000000000003</v>
      </c>
      <c r="P1113" s="5">
        <f t="shared" ca="1" si="96"/>
        <v>14.707600000000001</v>
      </c>
      <c r="Q1113" s="5">
        <f t="shared" ca="1" si="96"/>
        <v>231.81149999999997</v>
      </c>
      <c r="R1113" s="4"/>
      <c r="S1113" s="4"/>
    </row>
    <row r="1114" spans="1:19" ht="15" customHeight="1">
      <c r="A1114" s="3">
        <f t="shared" si="94"/>
        <v>2079</v>
      </c>
      <c r="B1114" s="4">
        <f t="shared" ca="1" si="95"/>
        <v>30.081541666666666</v>
      </c>
      <c r="C1114" s="4">
        <f t="shared" ca="1" si="95"/>
        <v>30.087850000000003</v>
      </c>
      <c r="D1114" s="4">
        <f t="shared" ca="1" si="95"/>
        <v>30.080441666666669</v>
      </c>
      <c r="E1114" s="4">
        <f t="shared" ca="1" si="95"/>
        <v>30.082366666666662</v>
      </c>
      <c r="F1114" s="4">
        <f t="shared" ca="1" si="95"/>
        <v>30.748075</v>
      </c>
      <c r="G1114" s="4">
        <f t="shared" ca="1" si="95"/>
        <v>29.555183333333336</v>
      </c>
      <c r="H1114" s="4">
        <f t="shared" ca="1" si="95"/>
        <v>30.466966666666675</v>
      </c>
      <c r="I1114" s="4">
        <f t="shared" ca="1" si="95"/>
        <v>29.158008333333338</v>
      </c>
      <c r="J1114" s="4">
        <f t="shared" ca="1" si="95"/>
        <v>29.049699999999998</v>
      </c>
      <c r="K1114" s="4"/>
      <c r="L1114" s="5">
        <f t="shared" ca="1" si="96"/>
        <v>355.53689999999995</v>
      </c>
      <c r="M1114" s="5">
        <f t="shared" ca="1" si="96"/>
        <v>142.0401</v>
      </c>
      <c r="N1114" s="5">
        <f t="shared" ca="1" si="96"/>
        <v>58.217499999999994</v>
      </c>
      <c r="O1114" s="5">
        <f t="shared" ca="1" si="96"/>
        <v>4.4046000000000003</v>
      </c>
      <c r="P1114" s="5">
        <f t="shared" ca="1" si="96"/>
        <v>14.707600000000001</v>
      </c>
      <c r="Q1114" s="5">
        <f t="shared" ca="1" si="96"/>
        <v>231.81149999999997</v>
      </c>
      <c r="R1114" s="4"/>
      <c r="S1114" s="4"/>
    </row>
    <row r="1115" spans="1:19" ht="15" customHeight="1">
      <c r="A1115" s="3">
        <f t="shared" si="94"/>
        <v>2080</v>
      </c>
      <c r="B1115" s="4">
        <f t="shared" ca="1" si="95"/>
        <v>31.064250000000001</v>
      </c>
      <c r="C1115" s="4">
        <f t="shared" ca="1" si="95"/>
        <v>31.070558333333334</v>
      </c>
      <c r="D1115" s="4">
        <f t="shared" ca="1" si="95"/>
        <v>31.063150000000004</v>
      </c>
      <c r="E1115" s="4">
        <f t="shared" ca="1" si="95"/>
        <v>31.065083333333337</v>
      </c>
      <c r="F1115" s="4">
        <f t="shared" ca="1" si="95"/>
        <v>31.730783333333331</v>
      </c>
      <c r="G1115" s="4">
        <f t="shared" ca="1" si="95"/>
        <v>30.521608333333333</v>
      </c>
      <c r="H1115" s="4">
        <f t="shared" ca="1" si="95"/>
        <v>31.433391666666669</v>
      </c>
      <c r="I1115" s="4">
        <f t="shared" ca="1" si="95"/>
        <v>30.108458333333331</v>
      </c>
      <c r="J1115" s="4">
        <f t="shared" ca="1" si="95"/>
        <v>29.999700000000004</v>
      </c>
      <c r="K1115" s="4"/>
      <c r="L1115" s="5">
        <f t="shared" ca="1" si="96"/>
        <v>356.48229999999995</v>
      </c>
      <c r="M1115" s="5">
        <f t="shared" ca="1" si="96"/>
        <v>142.42920000000001</v>
      </c>
      <c r="N1115" s="5">
        <f t="shared" ca="1" si="96"/>
        <v>58.377000000000002</v>
      </c>
      <c r="O1115" s="5">
        <f t="shared" ca="1" si="96"/>
        <v>4.4165999999999999</v>
      </c>
      <c r="P1115" s="5">
        <f t="shared" ca="1" si="96"/>
        <v>14.7493</v>
      </c>
      <c r="Q1115" s="5">
        <f t="shared" ca="1" si="96"/>
        <v>232.44659999999996</v>
      </c>
      <c r="R1115" s="4"/>
      <c r="S1115" s="4"/>
    </row>
    <row r="1116" spans="1:19" ht="15" customHeight="1">
      <c r="A1116" s="3">
        <f t="shared" si="94"/>
        <v>2081</v>
      </c>
      <c r="B1116" s="4">
        <f t="shared" ca="1" si="95"/>
        <v>32.079091666666663</v>
      </c>
      <c r="C1116" s="4">
        <f t="shared" ca="1" si="95"/>
        <v>32.085400000000007</v>
      </c>
      <c r="D1116" s="4">
        <f t="shared" ca="1" si="95"/>
        <v>32.078008333333337</v>
      </c>
      <c r="E1116" s="4">
        <f t="shared" ca="1" si="95"/>
        <v>32.079933333333322</v>
      </c>
      <c r="F1116" s="4">
        <f t="shared" ca="1" si="95"/>
        <v>32.745649999999998</v>
      </c>
      <c r="G1116" s="4">
        <f t="shared" ca="1" si="95"/>
        <v>31.519649999999995</v>
      </c>
      <c r="H1116" s="4">
        <f t="shared" ca="1" si="95"/>
        <v>32.431424999999997</v>
      </c>
      <c r="I1116" s="4">
        <f t="shared" ca="1" si="95"/>
        <v>31.090008333333333</v>
      </c>
      <c r="J1116" s="4">
        <f t="shared" ca="1" si="95"/>
        <v>30.980733333333333</v>
      </c>
      <c r="K1116" s="4"/>
      <c r="L1116" s="5">
        <f t="shared" ca="1" si="96"/>
        <v>355.53689999999995</v>
      </c>
      <c r="M1116" s="5">
        <f t="shared" ca="1" si="96"/>
        <v>142.0401</v>
      </c>
      <c r="N1116" s="5">
        <f t="shared" ca="1" si="96"/>
        <v>58.217499999999994</v>
      </c>
      <c r="O1116" s="5">
        <f t="shared" ca="1" si="96"/>
        <v>4.4046000000000003</v>
      </c>
      <c r="P1116" s="5">
        <f t="shared" ca="1" si="96"/>
        <v>14.707600000000001</v>
      </c>
      <c r="Q1116" s="5">
        <f t="shared" ca="1" si="96"/>
        <v>231.81149999999997</v>
      </c>
      <c r="R1116" s="4"/>
      <c r="S1116" s="4"/>
    </row>
    <row r="1117" spans="1:19" ht="15" customHeight="1">
      <c r="A1117" s="3">
        <f t="shared" si="94"/>
        <v>2082</v>
      </c>
      <c r="B1117" s="4">
        <f t="shared" ref="B1117:J1126" ca="1" si="97">AVERAGE(OFFSET(B$581,($A1117-$A$1097)*12,0,12,1))</f>
        <v>33.127133333333333</v>
      </c>
      <c r="C1117" s="4">
        <f t="shared" ca="1" si="97"/>
        <v>33.133458333333337</v>
      </c>
      <c r="D1117" s="4">
        <f t="shared" ca="1" si="97"/>
        <v>33.126066666666667</v>
      </c>
      <c r="E1117" s="4">
        <f t="shared" ca="1" si="97"/>
        <v>33.127983333333333</v>
      </c>
      <c r="F1117" s="4">
        <f t="shared" ca="1" si="97"/>
        <v>33.793666666666667</v>
      </c>
      <c r="G1117" s="4">
        <f t="shared" ca="1" si="97"/>
        <v>32.5503</v>
      </c>
      <c r="H1117" s="4">
        <f t="shared" ca="1" si="97"/>
        <v>33.462075000000006</v>
      </c>
      <c r="I1117" s="4">
        <f t="shared" ca="1" si="97"/>
        <v>32.103666666666669</v>
      </c>
      <c r="J1117" s="4">
        <f t="shared" ca="1" si="97"/>
        <v>31.993900000000007</v>
      </c>
      <c r="K1117" s="4"/>
      <c r="L1117" s="5">
        <f t="shared" ref="L1117:Q1126" ca="1" si="98">SUM(OFFSET(L$581,($A1117-$A$1097)*12,0,12,1))</f>
        <v>355.53689999999995</v>
      </c>
      <c r="M1117" s="5">
        <f t="shared" ca="1" si="98"/>
        <v>142.0401</v>
      </c>
      <c r="N1117" s="5">
        <f t="shared" ca="1" si="98"/>
        <v>58.217499999999994</v>
      </c>
      <c r="O1117" s="5">
        <f t="shared" ca="1" si="98"/>
        <v>4.4046000000000003</v>
      </c>
      <c r="P1117" s="5">
        <f t="shared" ca="1" si="98"/>
        <v>14.707600000000001</v>
      </c>
      <c r="Q1117" s="5">
        <f t="shared" ca="1" si="98"/>
        <v>231.81149999999997</v>
      </c>
      <c r="R1117" s="4"/>
      <c r="S1117" s="4"/>
    </row>
    <row r="1118" spans="1:19" ht="15" customHeight="1">
      <c r="A1118" s="3">
        <f t="shared" si="94"/>
        <v>2083</v>
      </c>
      <c r="B1118" s="4">
        <f t="shared" ca="1" si="97"/>
        <v>34.209491666666665</v>
      </c>
      <c r="C1118" s="4">
        <f t="shared" ca="1" si="97"/>
        <v>34.215775000000008</v>
      </c>
      <c r="D1118" s="4">
        <f t="shared" ca="1" si="97"/>
        <v>34.208374999999997</v>
      </c>
      <c r="E1118" s="4">
        <f t="shared" ca="1" si="97"/>
        <v>34.210299999999997</v>
      </c>
      <c r="F1118" s="4">
        <f t="shared" ca="1" si="97"/>
        <v>34.876008333333338</v>
      </c>
      <c r="G1118" s="4">
        <f t="shared" ca="1" si="97"/>
        <v>33.614691666666666</v>
      </c>
      <c r="H1118" s="4">
        <f t="shared" ca="1" si="97"/>
        <v>34.526458333333331</v>
      </c>
      <c r="I1118" s="4">
        <f t="shared" ca="1" si="97"/>
        <v>33.150441666666666</v>
      </c>
      <c r="J1118" s="4">
        <f t="shared" ca="1" si="97"/>
        <v>33.040166666666671</v>
      </c>
      <c r="K1118" s="4"/>
      <c r="L1118" s="5">
        <f t="shared" ca="1" si="98"/>
        <v>355.53689999999995</v>
      </c>
      <c r="M1118" s="5">
        <f t="shared" ca="1" si="98"/>
        <v>142.0401</v>
      </c>
      <c r="N1118" s="5">
        <f t="shared" ca="1" si="98"/>
        <v>58.217499999999994</v>
      </c>
      <c r="O1118" s="5">
        <f t="shared" ca="1" si="98"/>
        <v>4.4046000000000003</v>
      </c>
      <c r="P1118" s="5">
        <f t="shared" ca="1" si="98"/>
        <v>14.707600000000001</v>
      </c>
      <c r="Q1118" s="5">
        <f t="shared" ca="1" si="98"/>
        <v>231.81149999999997</v>
      </c>
      <c r="R1118" s="4"/>
      <c r="S1118" s="4"/>
    </row>
    <row r="1119" spans="1:19" ht="15" customHeight="1">
      <c r="A1119" s="3">
        <f t="shared" si="94"/>
        <v>2084</v>
      </c>
      <c r="B1119" s="4">
        <f t="shared" ca="1" si="97"/>
        <v>35.32718333333333</v>
      </c>
      <c r="C1119" s="4">
        <f t="shared" ca="1" si="97"/>
        <v>35.333483333333334</v>
      </c>
      <c r="D1119" s="4">
        <f t="shared" ca="1" si="97"/>
        <v>35.326083333333337</v>
      </c>
      <c r="E1119" s="4">
        <f t="shared" ca="1" si="97"/>
        <v>35.328016666666663</v>
      </c>
      <c r="F1119" s="4">
        <f t="shared" ca="1" si="97"/>
        <v>35.993716666666664</v>
      </c>
      <c r="G1119" s="4">
        <f t="shared" ca="1" si="97"/>
        <v>34.713866666666668</v>
      </c>
      <c r="H1119" s="4">
        <f t="shared" ca="1" si="97"/>
        <v>35.625633333333333</v>
      </c>
      <c r="I1119" s="4">
        <f t="shared" ca="1" si="97"/>
        <v>34.23148333333333</v>
      </c>
      <c r="J1119" s="4">
        <f t="shared" ca="1" si="97"/>
        <v>34.120658333333331</v>
      </c>
      <c r="K1119" s="4"/>
      <c r="L1119" s="5">
        <f t="shared" ca="1" si="98"/>
        <v>356.48229999999995</v>
      </c>
      <c r="M1119" s="5">
        <f t="shared" ca="1" si="98"/>
        <v>142.42920000000001</v>
      </c>
      <c r="N1119" s="5">
        <f t="shared" ca="1" si="98"/>
        <v>58.377000000000002</v>
      </c>
      <c r="O1119" s="5">
        <f t="shared" ca="1" si="98"/>
        <v>4.4165999999999999</v>
      </c>
      <c r="P1119" s="5">
        <f t="shared" ca="1" si="98"/>
        <v>14.7493</v>
      </c>
      <c r="Q1119" s="5">
        <f t="shared" ca="1" si="98"/>
        <v>232.44659999999996</v>
      </c>
      <c r="R1119" s="4"/>
      <c r="S1119" s="4"/>
    </row>
    <row r="1120" spans="1:19" ht="15" customHeight="1">
      <c r="A1120" s="3">
        <f t="shared" si="94"/>
        <v>2085</v>
      </c>
      <c r="B1120" s="4">
        <f t="shared" ca="1" si="97"/>
        <v>36.48146666666667</v>
      </c>
      <c r="C1120" s="4">
        <f t="shared" ca="1" si="97"/>
        <v>36.487749999999998</v>
      </c>
      <c r="D1120" s="4">
        <f t="shared" ca="1" si="97"/>
        <v>36.480349999999994</v>
      </c>
      <c r="E1120" s="4">
        <f t="shared" ca="1" si="97"/>
        <v>36.482283333333335</v>
      </c>
      <c r="F1120" s="4">
        <f t="shared" ca="1" si="97"/>
        <v>37.147983333333336</v>
      </c>
      <c r="G1120" s="4">
        <f t="shared" ca="1" si="97"/>
        <v>35.848983333333329</v>
      </c>
      <c r="H1120" s="4">
        <f t="shared" ca="1" si="97"/>
        <v>36.760749999999994</v>
      </c>
      <c r="I1120" s="4">
        <f t="shared" ca="1" si="97"/>
        <v>35.347883333333336</v>
      </c>
      <c r="J1120" s="4">
        <f t="shared" ca="1" si="97"/>
        <v>35.236491666666673</v>
      </c>
      <c r="K1120" s="4"/>
      <c r="L1120" s="5">
        <f t="shared" ca="1" si="98"/>
        <v>355.53689999999995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4.4046000000000003</v>
      </c>
      <c r="P1120" s="5">
        <f t="shared" ca="1" si="98"/>
        <v>14.707600000000001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4"/>
        <v>2086</v>
      </c>
      <c r="B1121" s="4">
        <f t="shared" ca="1" si="97"/>
        <v>37.673449999999995</v>
      </c>
      <c r="C1121" s="4">
        <f t="shared" ca="1" si="97"/>
        <v>37.679758333333332</v>
      </c>
      <c r="D1121" s="4">
        <f t="shared" ca="1" si="97"/>
        <v>37.672366666666669</v>
      </c>
      <c r="E1121" s="4">
        <f t="shared" ca="1" si="97"/>
        <v>37.674283333333335</v>
      </c>
      <c r="F1121" s="4">
        <f t="shared" ca="1" si="97"/>
        <v>38.33999166666667</v>
      </c>
      <c r="G1121" s="4">
        <f t="shared" ca="1" si="97"/>
        <v>37.021224999999994</v>
      </c>
      <c r="H1121" s="4">
        <f t="shared" ca="1" si="97"/>
        <v>37.932999999999993</v>
      </c>
      <c r="I1121" s="4">
        <f t="shared" ca="1" si="97"/>
        <v>36.500774999999997</v>
      </c>
      <c r="J1121" s="4">
        <f t="shared" ca="1" si="97"/>
        <v>36.388816666666671</v>
      </c>
      <c r="K1121" s="4"/>
      <c r="L1121" s="5">
        <f t="shared" ca="1" si="98"/>
        <v>355.53689999999995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4.4046000000000003</v>
      </c>
      <c r="P1121" s="5">
        <f t="shared" ca="1" si="98"/>
        <v>14.707600000000001</v>
      </c>
      <c r="Q1121" s="5">
        <f t="shared" ca="1" si="98"/>
        <v>231.81149999999997</v>
      </c>
      <c r="R1121" s="4"/>
      <c r="S1121" s="4"/>
    </row>
    <row r="1122" spans="1:19" ht="15" customHeight="1">
      <c r="A1122" s="3">
        <f t="shared" si="94"/>
        <v>2087</v>
      </c>
      <c r="B1122" s="4">
        <f t="shared" ca="1" si="97"/>
        <v>38.904474999999998</v>
      </c>
      <c r="C1122" s="4">
        <f t="shared" ca="1" si="97"/>
        <v>38.910758333333334</v>
      </c>
      <c r="D1122" s="4">
        <f t="shared" ca="1" si="97"/>
        <v>38.903358333333337</v>
      </c>
      <c r="E1122" s="4">
        <f t="shared" ca="1" si="97"/>
        <v>38.90528333333333</v>
      </c>
      <c r="F1122" s="4">
        <f t="shared" ca="1" si="97"/>
        <v>39.571008333333332</v>
      </c>
      <c r="G1122" s="4">
        <f t="shared" ca="1" si="97"/>
        <v>38.231833333333334</v>
      </c>
      <c r="H1122" s="4">
        <f t="shared" ca="1" si="97"/>
        <v>39.143608333333333</v>
      </c>
      <c r="I1122" s="4">
        <f t="shared" ca="1" si="97"/>
        <v>37.691375000000001</v>
      </c>
      <c r="J1122" s="4">
        <f t="shared" ca="1" si="97"/>
        <v>37.578825000000002</v>
      </c>
      <c r="K1122" s="4"/>
      <c r="L1122" s="5">
        <f t="shared" ca="1" si="98"/>
        <v>355.53689999999995</v>
      </c>
      <c r="M1122" s="5">
        <f t="shared" ca="1" si="98"/>
        <v>142.0401</v>
      </c>
      <c r="N1122" s="5">
        <f t="shared" ca="1" si="98"/>
        <v>58.217499999999994</v>
      </c>
      <c r="O1122" s="5">
        <f t="shared" ca="1" si="98"/>
        <v>4.4046000000000003</v>
      </c>
      <c r="P1122" s="5">
        <f t="shared" ca="1" si="98"/>
        <v>14.707600000000001</v>
      </c>
      <c r="Q1122" s="5">
        <f t="shared" ca="1" si="98"/>
        <v>231.81149999999997</v>
      </c>
      <c r="R1122" s="4"/>
      <c r="S1122" s="4"/>
    </row>
    <row r="1123" spans="1:19" ht="15" customHeight="1">
      <c r="A1123" s="3">
        <f t="shared" si="94"/>
        <v>2088</v>
      </c>
      <c r="B1123" s="4">
        <f t="shared" ca="1" si="97"/>
        <v>40.175725</v>
      </c>
      <c r="C1123" s="4">
        <f t="shared" ca="1" si="97"/>
        <v>40.182008333333329</v>
      </c>
      <c r="D1123" s="4">
        <f t="shared" ca="1" si="97"/>
        <v>40.174633333333333</v>
      </c>
      <c r="E1123" s="4">
        <f t="shared" ca="1" si="97"/>
        <v>40.17655833333334</v>
      </c>
      <c r="F1123" s="4">
        <f t="shared" ca="1" si="97"/>
        <v>40.842266666666667</v>
      </c>
      <c r="G1123" s="4">
        <f t="shared" ca="1" si="97"/>
        <v>39.482016666666667</v>
      </c>
      <c r="H1123" s="4">
        <f t="shared" ca="1" si="97"/>
        <v>40.393774999999998</v>
      </c>
      <c r="I1123" s="4">
        <f t="shared" ca="1" si="97"/>
        <v>38.920916666666663</v>
      </c>
      <c r="J1123" s="4">
        <f t="shared" ca="1" si="97"/>
        <v>38.807750000000006</v>
      </c>
      <c r="K1123" s="4"/>
      <c r="L1123" s="5">
        <f t="shared" ca="1" si="98"/>
        <v>356.48229999999995</v>
      </c>
      <c r="M1123" s="5">
        <f t="shared" ca="1" si="98"/>
        <v>142.42920000000001</v>
      </c>
      <c r="N1123" s="5">
        <f t="shared" ca="1" si="98"/>
        <v>58.377000000000002</v>
      </c>
      <c r="O1123" s="5">
        <f t="shared" ca="1" si="98"/>
        <v>4.4165999999999999</v>
      </c>
      <c r="P1123" s="5">
        <f t="shared" ca="1" si="98"/>
        <v>14.7493</v>
      </c>
      <c r="Q1123" s="5">
        <f t="shared" ca="1" si="98"/>
        <v>232.44659999999996</v>
      </c>
      <c r="R1123" s="4"/>
      <c r="S1123" s="4"/>
    </row>
    <row r="1124" spans="1:19" ht="15" customHeight="1">
      <c r="A1124" s="3">
        <f t="shared" si="94"/>
        <v>2089</v>
      </c>
      <c r="B1124" s="4">
        <f t="shared" ca="1" si="97"/>
        <v>41.488566666666671</v>
      </c>
      <c r="C1124" s="4">
        <f t="shared" ca="1" si="97"/>
        <v>41.494850000000007</v>
      </c>
      <c r="D1124" s="4">
        <f t="shared" ca="1" si="97"/>
        <v>41.487450000000003</v>
      </c>
      <c r="E1124" s="4">
        <f t="shared" ca="1" si="97"/>
        <v>41.489375000000003</v>
      </c>
      <c r="F1124" s="4">
        <f t="shared" ca="1" si="97"/>
        <v>42.155091666666671</v>
      </c>
      <c r="G1124" s="4">
        <f t="shared" ca="1" si="97"/>
        <v>40.773083333333339</v>
      </c>
      <c r="H1124" s="4">
        <f t="shared" ca="1" si="97"/>
        <v>41.684850000000004</v>
      </c>
      <c r="I1124" s="4">
        <f t="shared" ca="1" si="97"/>
        <v>40.190658333333332</v>
      </c>
      <c r="J1124" s="4">
        <f t="shared" ca="1" si="97"/>
        <v>40.076858333333334</v>
      </c>
      <c r="K1124" s="4"/>
      <c r="L1124" s="5">
        <f t="shared" ca="1" si="98"/>
        <v>355.53689999999995</v>
      </c>
      <c r="M1124" s="5">
        <f t="shared" ca="1" si="98"/>
        <v>142.0401</v>
      </c>
      <c r="N1124" s="5">
        <f t="shared" ca="1" si="98"/>
        <v>58.217499999999994</v>
      </c>
      <c r="O1124" s="5">
        <f t="shared" ca="1" si="98"/>
        <v>4.4046000000000003</v>
      </c>
      <c r="P1124" s="5">
        <f t="shared" ca="1" si="98"/>
        <v>14.707600000000001</v>
      </c>
      <c r="Q1124" s="5">
        <f t="shared" ca="1" si="98"/>
        <v>231.81149999999997</v>
      </c>
      <c r="R1124" s="4"/>
      <c r="S1124" s="4"/>
    </row>
    <row r="1125" spans="1:19" ht="15" customHeight="1">
      <c r="A1125" s="3">
        <f t="shared" si="94"/>
        <v>2090</v>
      </c>
      <c r="B1125" s="4">
        <f t="shared" ca="1" si="97"/>
        <v>42.844341666666672</v>
      </c>
      <c r="C1125" s="4">
        <f t="shared" ca="1" si="97"/>
        <v>42.850633333333327</v>
      </c>
      <c r="D1125" s="4">
        <f t="shared" ca="1" si="97"/>
        <v>42.843233333333337</v>
      </c>
      <c r="E1125" s="4">
        <f t="shared" ca="1" si="97"/>
        <v>42.845166666666671</v>
      </c>
      <c r="F1125" s="4">
        <f t="shared" ca="1" si="97"/>
        <v>43.510858333333324</v>
      </c>
      <c r="G1125" s="4">
        <f t="shared" ca="1" si="97"/>
        <v>42.106358333333333</v>
      </c>
      <c r="H1125" s="4">
        <f t="shared" ca="1" si="97"/>
        <v>43.018116666666664</v>
      </c>
      <c r="I1125" s="4">
        <f t="shared" ca="1" si="97"/>
        <v>41.501950000000001</v>
      </c>
      <c r="J1125" s="4">
        <f t="shared" ca="1" si="97"/>
        <v>41.387466666666676</v>
      </c>
      <c r="K1125" s="4"/>
      <c r="L1125" s="5">
        <f t="shared" ca="1" si="98"/>
        <v>355.53689999999995</v>
      </c>
      <c r="M1125" s="5">
        <f t="shared" ca="1" si="98"/>
        <v>142.0401</v>
      </c>
      <c r="N1125" s="5">
        <f t="shared" ca="1" si="98"/>
        <v>58.217499999999994</v>
      </c>
      <c r="O1125" s="5">
        <f t="shared" ca="1" si="98"/>
        <v>4.4046000000000003</v>
      </c>
      <c r="P1125" s="5">
        <f t="shared" ca="1" si="98"/>
        <v>14.707600000000001</v>
      </c>
      <c r="Q1125" s="5">
        <f t="shared" ca="1" si="98"/>
        <v>231.81149999999997</v>
      </c>
      <c r="R1125" s="4"/>
      <c r="S1125" s="4"/>
    </row>
    <row r="1126" spans="1:19" ht="15" customHeight="1">
      <c r="A1126" s="3">
        <f t="shared" si="94"/>
        <v>2091</v>
      </c>
      <c r="B1126" s="4">
        <f t="shared" ca="1" si="97"/>
        <v>44.24444166666666</v>
      </c>
      <c r="C1126" s="4">
        <f t="shared" ca="1" si="97"/>
        <v>44.250733333333329</v>
      </c>
      <c r="D1126" s="4">
        <f t="shared" ca="1" si="97"/>
        <v>44.243333333333332</v>
      </c>
      <c r="E1126" s="4">
        <f t="shared" ca="1" si="97"/>
        <v>44.245266666666673</v>
      </c>
      <c r="F1126" s="4">
        <f t="shared" ca="1" si="97"/>
        <v>44.910958333333333</v>
      </c>
      <c r="G1126" s="4">
        <f t="shared" ca="1" si="97"/>
        <v>43.483233333333324</v>
      </c>
      <c r="H1126" s="4">
        <f t="shared" ca="1" si="97"/>
        <v>44.395016666666663</v>
      </c>
      <c r="I1126" s="4">
        <f t="shared" ca="1" si="97"/>
        <v>42.856108333333331</v>
      </c>
      <c r="J1126" s="4">
        <f t="shared" ca="1" si="97"/>
        <v>42.740974999999999</v>
      </c>
      <c r="K1126" s="4"/>
      <c r="L1126" s="5">
        <f t="shared" ca="1" si="98"/>
        <v>355.53689999999995</v>
      </c>
      <c r="M1126" s="5">
        <f t="shared" ca="1" si="98"/>
        <v>142.0401</v>
      </c>
      <c r="N1126" s="5">
        <f t="shared" ca="1" si="98"/>
        <v>58.217499999999994</v>
      </c>
      <c r="O1126" s="5">
        <f t="shared" ca="1" si="98"/>
        <v>4.4046000000000003</v>
      </c>
      <c r="P1126" s="5">
        <f t="shared" ca="1" si="98"/>
        <v>14.707600000000001</v>
      </c>
      <c r="Q1126" s="5">
        <f t="shared" ca="1" si="98"/>
        <v>231.81149999999997</v>
      </c>
      <c r="R1126" s="4"/>
      <c r="S1126" s="4"/>
    </row>
    <row r="1127" spans="1:19" ht="15" customHeight="1">
      <c r="A1127" s="3">
        <f t="shared" si="94"/>
        <v>2092</v>
      </c>
      <c r="B1127" s="4">
        <f t="shared" ref="B1127:J1135" ca="1" si="99">AVERAGE(OFFSET(B$581,($A1127-$A$1097)*12,0,12,1))</f>
        <v>45.690316666666668</v>
      </c>
      <c r="C1127" s="4">
        <f t="shared" ca="1" si="99"/>
        <v>45.696616666666671</v>
      </c>
      <c r="D1127" s="4">
        <f t="shared" ca="1" si="99"/>
        <v>45.689225</v>
      </c>
      <c r="E1127" s="4">
        <f t="shared" ca="1" si="99"/>
        <v>45.691149999999993</v>
      </c>
      <c r="F1127" s="4">
        <f t="shared" ca="1" si="99"/>
        <v>46.356841666666668</v>
      </c>
      <c r="G1127" s="4">
        <f t="shared" ca="1" si="99"/>
        <v>44.905158333333333</v>
      </c>
      <c r="H1127" s="4">
        <f t="shared" ca="1" si="99"/>
        <v>45.816925000000005</v>
      </c>
      <c r="I1127" s="4">
        <f t="shared" ca="1" si="99"/>
        <v>44.254550000000002</v>
      </c>
      <c r="J1127" s="4">
        <f t="shared" ca="1" si="99"/>
        <v>44.138708333333334</v>
      </c>
      <c r="K1127" s="4"/>
      <c r="L1127" s="5">
        <f t="shared" ref="L1127:Q1135" ca="1" si="100">SUM(OFFSET(L$581,($A1127-$A$1097)*12,0,12,1))</f>
        <v>356.48229999999995</v>
      </c>
      <c r="M1127" s="5">
        <f t="shared" ca="1" si="100"/>
        <v>142.42920000000001</v>
      </c>
      <c r="N1127" s="5">
        <f t="shared" ca="1" si="100"/>
        <v>58.377000000000002</v>
      </c>
      <c r="O1127" s="5">
        <f t="shared" ca="1" si="100"/>
        <v>4.4165999999999999</v>
      </c>
      <c r="P1127" s="5">
        <f t="shared" ca="1" si="100"/>
        <v>14.7493</v>
      </c>
      <c r="Q1127" s="5">
        <f t="shared" ca="1" si="100"/>
        <v>232.44659999999996</v>
      </c>
      <c r="R1127" s="4"/>
      <c r="S1127" s="4"/>
    </row>
    <row r="1128" spans="1:19" ht="15" customHeight="1">
      <c r="A1128" s="3">
        <f t="shared" si="94"/>
        <v>2093</v>
      </c>
      <c r="B1128" s="4">
        <f t="shared" ca="1" si="99"/>
        <v>47.183483333333328</v>
      </c>
      <c r="C1128" s="4">
        <f t="shared" ca="1" si="99"/>
        <v>47.189800000000012</v>
      </c>
      <c r="D1128" s="4">
        <f t="shared" ca="1" si="99"/>
        <v>47.182416666666661</v>
      </c>
      <c r="E1128" s="4">
        <f t="shared" ca="1" si="99"/>
        <v>47.184341666666676</v>
      </c>
      <c r="F1128" s="4">
        <f t="shared" ca="1" si="99"/>
        <v>47.850024999999995</v>
      </c>
      <c r="G1128" s="4">
        <f t="shared" ca="1" si="99"/>
        <v>46.373583333333329</v>
      </c>
      <c r="H1128" s="4">
        <f t="shared" ca="1" si="99"/>
        <v>47.285349999999994</v>
      </c>
      <c r="I1128" s="4">
        <f t="shared" ca="1" si="99"/>
        <v>45.698724999999996</v>
      </c>
      <c r="J1128" s="4">
        <f t="shared" ca="1" si="99"/>
        <v>45.582158333333332</v>
      </c>
      <c r="K1128" s="4"/>
      <c r="L1128" s="5">
        <f t="shared" ca="1" si="100"/>
        <v>355.53689999999995</v>
      </c>
      <c r="M1128" s="5">
        <f t="shared" ca="1" si="100"/>
        <v>142.0401</v>
      </c>
      <c r="N1128" s="5">
        <f t="shared" ca="1" si="100"/>
        <v>58.217499999999994</v>
      </c>
      <c r="O1128" s="5">
        <f t="shared" ca="1" si="100"/>
        <v>4.4046000000000003</v>
      </c>
      <c r="P1128" s="5">
        <f t="shared" ca="1" si="100"/>
        <v>14.707600000000001</v>
      </c>
      <c r="Q1128" s="5">
        <f t="shared" ca="1" si="100"/>
        <v>231.81149999999997</v>
      </c>
      <c r="R1128" s="4"/>
      <c r="S1128" s="4"/>
    </row>
    <row r="1129" spans="1:19" ht="15" customHeight="1">
      <c r="A1129" s="3">
        <f t="shared" si="94"/>
        <v>2094</v>
      </c>
      <c r="B1129" s="4">
        <f t="shared" ca="1" si="99"/>
        <v>48.725516666666664</v>
      </c>
      <c r="C1129" s="4">
        <f t="shared" ca="1" si="99"/>
        <v>48.731816666666674</v>
      </c>
      <c r="D1129" s="4">
        <f t="shared" ca="1" si="99"/>
        <v>48.724424999999997</v>
      </c>
      <c r="E1129" s="4">
        <f t="shared" ca="1" si="99"/>
        <v>48.726349999999996</v>
      </c>
      <c r="F1129" s="4">
        <f t="shared" ca="1" si="99"/>
        <v>49.392041666666664</v>
      </c>
      <c r="G1129" s="4">
        <f t="shared" ca="1" si="99"/>
        <v>47.890025000000001</v>
      </c>
      <c r="H1129" s="4">
        <f t="shared" ca="1" si="99"/>
        <v>48.801808333333334</v>
      </c>
      <c r="I1129" s="4">
        <f t="shared" ca="1" si="99"/>
        <v>47.190141666666655</v>
      </c>
      <c r="J1129" s="4">
        <f t="shared" ca="1" si="99"/>
        <v>47.072841666666655</v>
      </c>
      <c r="K1129" s="4"/>
      <c r="L1129" s="5">
        <f t="shared" ca="1" si="100"/>
        <v>355.53689999999995</v>
      </c>
      <c r="M1129" s="5">
        <f t="shared" ca="1" si="100"/>
        <v>142.0401</v>
      </c>
      <c r="N1129" s="5">
        <f t="shared" ca="1" si="100"/>
        <v>58.217499999999994</v>
      </c>
      <c r="O1129" s="5">
        <f t="shared" ca="1" si="100"/>
        <v>4.4046000000000003</v>
      </c>
      <c r="P1129" s="5">
        <f t="shared" ca="1" si="100"/>
        <v>14.707600000000001</v>
      </c>
      <c r="Q1129" s="5">
        <f t="shared" ca="1" si="100"/>
        <v>231.81149999999997</v>
      </c>
      <c r="R1129" s="4"/>
      <c r="S1129" s="4"/>
    </row>
    <row r="1130" spans="1:19" ht="15" customHeight="1">
      <c r="A1130" s="3">
        <f t="shared" si="94"/>
        <v>2095</v>
      </c>
      <c r="B1130" s="4">
        <f t="shared" ca="1" si="99"/>
        <v>50.317974999999997</v>
      </c>
      <c r="C1130" s="4">
        <f t="shared" ca="1" si="99"/>
        <v>50.324266666666666</v>
      </c>
      <c r="D1130" s="4">
        <f t="shared" ca="1" si="99"/>
        <v>50.31687500000001</v>
      </c>
      <c r="E1130" s="4">
        <f t="shared" ca="1" si="99"/>
        <v>50.31880833333333</v>
      </c>
      <c r="F1130" s="4">
        <f t="shared" ca="1" si="99"/>
        <v>50.984491666666663</v>
      </c>
      <c r="G1130" s="4">
        <f t="shared" ca="1" si="99"/>
        <v>49.456058333333345</v>
      </c>
      <c r="H1130" s="4">
        <f t="shared" ca="1" si="99"/>
        <v>50.367849999999997</v>
      </c>
      <c r="I1130" s="4">
        <f t="shared" ca="1" si="99"/>
        <v>48.730324999999993</v>
      </c>
      <c r="J1130" s="4">
        <f t="shared" ca="1" si="99"/>
        <v>48.61225833333333</v>
      </c>
      <c r="K1130" s="4"/>
      <c r="L1130" s="5">
        <f t="shared" ca="1" si="100"/>
        <v>355.53689999999995</v>
      </c>
      <c r="M1130" s="5">
        <f t="shared" ca="1" si="100"/>
        <v>142.0401</v>
      </c>
      <c r="N1130" s="5">
        <f t="shared" ca="1" si="100"/>
        <v>58.217499999999994</v>
      </c>
      <c r="O1130" s="5">
        <f t="shared" ca="1" si="100"/>
        <v>4.4046000000000003</v>
      </c>
      <c r="P1130" s="5">
        <f t="shared" ca="1" si="100"/>
        <v>14.707600000000001</v>
      </c>
      <c r="Q1130" s="5">
        <f t="shared" ca="1" si="100"/>
        <v>231.81149999999997</v>
      </c>
      <c r="R1130" s="4"/>
      <c r="S1130" s="4"/>
    </row>
    <row r="1131" spans="1:19" ht="15" customHeight="1">
      <c r="A1131" s="3">
        <f t="shared" si="94"/>
        <v>2096</v>
      </c>
      <c r="B1131" s="4">
        <f t="shared" ca="1" si="99"/>
        <v>51.962474999999991</v>
      </c>
      <c r="C1131" s="4">
        <f t="shared" ca="1" si="99"/>
        <v>51.968774999999994</v>
      </c>
      <c r="D1131" s="4">
        <f t="shared" ca="1" si="99"/>
        <v>51.961399999999998</v>
      </c>
      <c r="E1131" s="4">
        <f t="shared" ca="1" si="99"/>
        <v>51.963325000000005</v>
      </c>
      <c r="F1131" s="4">
        <f t="shared" ca="1" si="99"/>
        <v>52.629025000000006</v>
      </c>
      <c r="G1131" s="4">
        <f t="shared" ca="1" si="99"/>
        <v>51.07330833333333</v>
      </c>
      <c r="H1131" s="4">
        <f t="shared" ca="1" si="99"/>
        <v>51.985075000000002</v>
      </c>
      <c r="I1131" s="4">
        <f t="shared" ca="1" si="99"/>
        <v>50.320883333333335</v>
      </c>
      <c r="J1131" s="4">
        <f t="shared" ca="1" si="99"/>
        <v>50.202008333333339</v>
      </c>
      <c r="K1131" s="4"/>
      <c r="L1131" s="5">
        <f t="shared" ca="1" si="100"/>
        <v>356.48229999999995</v>
      </c>
      <c r="M1131" s="5">
        <f t="shared" ca="1" si="100"/>
        <v>142.42920000000001</v>
      </c>
      <c r="N1131" s="5">
        <f t="shared" ca="1" si="100"/>
        <v>58.377000000000002</v>
      </c>
      <c r="O1131" s="5">
        <f t="shared" ca="1" si="100"/>
        <v>4.4165999999999999</v>
      </c>
      <c r="P1131" s="5">
        <f t="shared" ca="1" si="100"/>
        <v>14.7493</v>
      </c>
      <c r="Q1131" s="5">
        <f t="shared" ca="1" si="100"/>
        <v>232.44659999999996</v>
      </c>
      <c r="R1131" s="4"/>
      <c r="S1131" s="4"/>
    </row>
    <row r="1132" spans="1:19" ht="15" customHeight="1">
      <c r="A1132" s="3">
        <f t="shared" si="94"/>
        <v>2097</v>
      </c>
      <c r="B1132" s="4">
        <f t="shared" ca="1" si="99"/>
        <v>53.660791666666661</v>
      </c>
      <c r="C1132" s="4">
        <f t="shared" ca="1" si="99"/>
        <v>53.667083333333345</v>
      </c>
      <c r="D1132" s="4">
        <f t="shared" ca="1" si="99"/>
        <v>53.659699999999994</v>
      </c>
      <c r="E1132" s="4">
        <f t="shared" ca="1" si="99"/>
        <v>53.661616666666667</v>
      </c>
      <c r="F1132" s="4">
        <f t="shared" ca="1" si="99"/>
        <v>54.327316666666654</v>
      </c>
      <c r="G1132" s="4">
        <f t="shared" ca="1" si="99"/>
        <v>52.743449999999996</v>
      </c>
      <c r="H1132" s="4">
        <f t="shared" ca="1" si="99"/>
        <v>53.655225000000002</v>
      </c>
      <c r="I1132" s="4">
        <f t="shared" ca="1" si="99"/>
        <v>51.963466666666655</v>
      </c>
      <c r="J1132" s="4">
        <f t="shared" ca="1" si="99"/>
        <v>51.84375</v>
      </c>
      <c r="K1132" s="4"/>
      <c r="L1132" s="5">
        <f t="shared" ca="1" si="100"/>
        <v>355.53689999999995</v>
      </c>
      <c r="M1132" s="5">
        <f t="shared" ca="1" si="100"/>
        <v>142.0401</v>
      </c>
      <c r="N1132" s="5">
        <f t="shared" ca="1" si="100"/>
        <v>58.217499999999994</v>
      </c>
      <c r="O1132" s="5">
        <f t="shared" ca="1" si="100"/>
        <v>4.4046000000000003</v>
      </c>
      <c r="P1132" s="5">
        <f t="shared" ca="1" si="100"/>
        <v>14.707600000000001</v>
      </c>
      <c r="Q1132" s="5">
        <f t="shared" ca="1" si="100"/>
        <v>231.81149999999997</v>
      </c>
      <c r="R1132" s="4"/>
      <c r="S1132" s="4"/>
    </row>
    <row r="1133" spans="1:19" ht="15" customHeight="1">
      <c r="A1133" s="3">
        <f t="shared" si="94"/>
        <v>2098</v>
      </c>
      <c r="B1133" s="4">
        <f t="shared" ca="1" si="99"/>
        <v>55.414633333333335</v>
      </c>
      <c r="C1133" s="4">
        <f t="shared" ca="1" si="99"/>
        <v>55.420916666666663</v>
      </c>
      <c r="D1133" s="4">
        <f t="shared" ca="1" si="99"/>
        <v>55.413533333333334</v>
      </c>
      <c r="E1133" s="4">
        <f t="shared" ca="1" si="99"/>
        <v>55.415458333333341</v>
      </c>
      <c r="F1133" s="4">
        <f t="shared" ca="1" si="99"/>
        <v>56.081150000000001</v>
      </c>
      <c r="G1133" s="4">
        <f t="shared" ca="1" si="99"/>
        <v>54.46823333333333</v>
      </c>
      <c r="H1133" s="4">
        <f t="shared" ca="1" si="99"/>
        <v>55.380008333333329</v>
      </c>
      <c r="I1133" s="4">
        <f t="shared" ca="1" si="99"/>
        <v>53.659741666666662</v>
      </c>
      <c r="J1133" s="4">
        <f t="shared" ca="1" si="99"/>
        <v>53.539200000000001</v>
      </c>
      <c r="K1133" s="4"/>
      <c r="L1133" s="5">
        <f t="shared" ca="1" si="100"/>
        <v>355.53689999999995</v>
      </c>
      <c r="M1133" s="5">
        <f t="shared" ca="1" si="100"/>
        <v>142.0401</v>
      </c>
      <c r="N1133" s="5">
        <f t="shared" ca="1" si="100"/>
        <v>58.217499999999994</v>
      </c>
      <c r="O1133" s="5">
        <f t="shared" ca="1" si="100"/>
        <v>4.4046000000000003</v>
      </c>
      <c r="P1133" s="5">
        <f t="shared" ca="1" si="100"/>
        <v>14.707600000000001</v>
      </c>
      <c r="Q1133" s="5">
        <f t="shared" ca="1" si="100"/>
        <v>231.81149999999997</v>
      </c>
      <c r="R1133" s="4"/>
      <c r="S1133" s="4"/>
    </row>
    <row r="1134" spans="1:19" ht="15" customHeight="1">
      <c r="A1134" s="3">
        <f t="shared" si="94"/>
        <v>2099</v>
      </c>
      <c r="B1134" s="4">
        <f t="shared" ca="1" si="99"/>
        <v>57.225825000000007</v>
      </c>
      <c r="C1134" s="4">
        <f t="shared" ca="1" si="99"/>
        <v>57.232133333333337</v>
      </c>
      <c r="D1134" s="4">
        <f t="shared" ca="1" si="99"/>
        <v>57.224724999999985</v>
      </c>
      <c r="E1134" s="4">
        <f t="shared" ca="1" si="99"/>
        <v>57.226666666666659</v>
      </c>
      <c r="F1134" s="4">
        <f t="shared" ca="1" si="99"/>
        <v>57.892358333333334</v>
      </c>
      <c r="G1134" s="4">
        <f t="shared" ca="1" si="99"/>
        <v>56.249383333333334</v>
      </c>
      <c r="H1134" s="4">
        <f t="shared" ca="1" si="99"/>
        <v>57.161158333333333</v>
      </c>
      <c r="I1134" s="4">
        <f t="shared" ca="1" si="99"/>
        <v>55.411516666666671</v>
      </c>
      <c r="J1134" s="4">
        <f t="shared" ca="1" si="99"/>
        <v>55.290075000000002</v>
      </c>
      <c r="K1134" s="4"/>
      <c r="L1134" s="5">
        <f t="shared" ca="1" si="100"/>
        <v>355.53689999999995</v>
      </c>
      <c r="M1134" s="5">
        <f t="shared" ca="1" si="100"/>
        <v>142.0401</v>
      </c>
      <c r="N1134" s="5">
        <f t="shared" ca="1" si="100"/>
        <v>58.217499999999994</v>
      </c>
      <c r="O1134" s="5">
        <f t="shared" ca="1" si="100"/>
        <v>4.4046000000000003</v>
      </c>
      <c r="P1134" s="5">
        <f t="shared" ca="1" si="100"/>
        <v>14.707600000000001</v>
      </c>
      <c r="Q1134" s="5">
        <f t="shared" ca="1" si="100"/>
        <v>231.81149999999997</v>
      </c>
      <c r="R1134" s="4"/>
      <c r="S1134" s="4"/>
    </row>
    <row r="1135" spans="1:19" ht="15" customHeight="1">
      <c r="A1135" s="3">
        <f t="shared" si="94"/>
        <v>2100</v>
      </c>
      <c r="B1135" s="4">
        <f t="shared" ca="1" si="99"/>
        <v>59.096266666666672</v>
      </c>
      <c r="C1135" s="4">
        <f t="shared" ca="1" si="99"/>
        <v>59.102566666666661</v>
      </c>
      <c r="D1135" s="4">
        <f t="shared" ca="1" si="99"/>
        <v>59.095158333333337</v>
      </c>
      <c r="E1135" s="4">
        <f t="shared" ca="1" si="99"/>
        <v>59.09708333333333</v>
      </c>
      <c r="F1135" s="4">
        <f t="shared" ca="1" si="99"/>
        <v>59.762791666666665</v>
      </c>
      <c r="G1135" s="4">
        <f t="shared" ca="1" si="99"/>
        <v>58.088800000000013</v>
      </c>
      <c r="H1135" s="4">
        <f t="shared" ca="1" si="99"/>
        <v>59.000591666666672</v>
      </c>
      <c r="I1135" s="4">
        <f t="shared" ca="1" si="99"/>
        <v>57.220566666666663</v>
      </c>
      <c r="J1135" s="4">
        <f t="shared" ca="1" si="99"/>
        <v>57.098241666666667</v>
      </c>
      <c r="K1135" s="4"/>
      <c r="L1135" s="5">
        <f t="shared" ca="1" si="100"/>
        <v>355.53689999999995</v>
      </c>
      <c r="M1135" s="5">
        <f t="shared" ca="1" si="100"/>
        <v>142.0401</v>
      </c>
      <c r="N1135" s="5">
        <f t="shared" ca="1" si="100"/>
        <v>58.217499999999994</v>
      </c>
      <c r="O1135" s="5">
        <f t="shared" ca="1" si="100"/>
        <v>4.4046000000000003</v>
      </c>
      <c r="P1135" s="5">
        <f t="shared" ca="1" si="100"/>
        <v>14.707600000000001</v>
      </c>
      <c r="Q1135" s="5">
        <f t="shared" ca="1" si="100"/>
        <v>231.81149999999997</v>
      </c>
      <c r="R1135" s="4"/>
      <c r="S1135" s="4"/>
    </row>
    <row r="1136" spans="1:19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</sheetData>
  <mergeCells count="2">
    <mergeCell ref="L13:S13"/>
    <mergeCell ref="L14:S14"/>
  </mergeCells>
  <pageMargins left="0.25" right="0.25" top="0.5" bottom="0.5" header="0.25" footer="0.25"/>
  <pageSetup paperSize="119" scale="90" orientation="landscape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142875</xdr:rowOff>
                  </from>
                  <to>
                    <xdr:col>4</xdr:col>
                    <xdr:colOff>533400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142875</xdr:rowOff>
                  </from>
                  <to>
                    <xdr:col>6</xdr:col>
                    <xdr:colOff>257175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55"/>
  <sheetViews>
    <sheetView zoomScale="70" zoomScaleNormal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7.88671875" style="33" customWidth="1"/>
    <col min="3" max="7" width="11.33203125" style="32" customWidth="1"/>
    <col min="8" max="8" width="12.77734375" style="32" bestFit="1" customWidth="1"/>
    <col min="9" max="9" width="13.21875" style="32" customWidth="1"/>
    <col min="10" max="10" width="12.77734375" style="32" customWidth="1"/>
    <col min="11" max="11" width="7.77734375" style="32" customWidth="1"/>
    <col min="12" max="16384" width="7.109375" style="32"/>
  </cols>
  <sheetData>
    <row r="1" spans="1:10" ht="15.75">
      <c r="A1" s="84" t="s">
        <v>64</v>
      </c>
    </row>
    <row r="2" spans="1:10" ht="15.75">
      <c r="A2" s="84" t="s">
        <v>65</v>
      </c>
    </row>
    <row r="3" spans="1:10" ht="15.75">
      <c r="A3" s="84" t="s">
        <v>66</v>
      </c>
    </row>
    <row r="4" spans="1:10" ht="15.75">
      <c r="A4" s="84" t="s">
        <v>67</v>
      </c>
    </row>
    <row r="5" spans="1:10" ht="15.75">
      <c r="A5" s="84" t="s">
        <v>69</v>
      </c>
    </row>
    <row r="6" spans="1:10" ht="15.75">
      <c r="A6" s="84" t="s">
        <v>70</v>
      </c>
    </row>
    <row r="8" spans="1:10" ht="20.25">
      <c r="A8" s="31" t="s">
        <v>35</v>
      </c>
    </row>
    <row r="9" spans="1:10" ht="15.75">
      <c r="A9" s="30" t="s">
        <v>25</v>
      </c>
    </row>
    <row r="11" spans="1:10">
      <c r="A11" s="32"/>
    </row>
    <row r="12" spans="1:10" ht="15.75">
      <c r="A12" s="32"/>
      <c r="B12" s="30"/>
      <c r="C12" s="53"/>
      <c r="I12" s="24"/>
    </row>
    <row r="13" spans="1:10" ht="15.75">
      <c r="A13" s="30"/>
      <c r="B13" s="30"/>
      <c r="C13" s="53"/>
      <c r="I13" s="24"/>
    </row>
    <row r="14" spans="1:10" ht="15.75">
      <c r="A14" s="30"/>
      <c r="C14" s="86" t="s">
        <v>34</v>
      </c>
      <c r="D14" s="86"/>
      <c r="E14" s="86"/>
      <c r="F14" s="52"/>
      <c r="G14" s="51"/>
      <c r="H14" s="50"/>
      <c r="I14" s="49"/>
    </row>
    <row r="15" spans="1:10" ht="97.9" customHeight="1">
      <c r="A15" s="18"/>
      <c r="B15" s="18"/>
      <c r="C15" s="21" t="s">
        <v>20</v>
      </c>
      <c r="D15" s="48" t="s">
        <v>19</v>
      </c>
      <c r="E15" s="21" t="s">
        <v>33</v>
      </c>
      <c r="F15" s="21" t="s">
        <v>32</v>
      </c>
      <c r="G15" s="21" t="s">
        <v>16</v>
      </c>
      <c r="H15" s="47" t="s">
        <v>31</v>
      </c>
      <c r="I15" s="21" t="s">
        <v>30</v>
      </c>
      <c r="J15" s="21" t="s">
        <v>29</v>
      </c>
    </row>
    <row r="16" spans="1:10" ht="15.75">
      <c r="A16" s="20" t="s">
        <v>2</v>
      </c>
      <c r="B16" s="20" t="s">
        <v>28</v>
      </c>
      <c r="C16" s="20" t="s">
        <v>27</v>
      </c>
      <c r="D16" s="20" t="s">
        <v>27</v>
      </c>
      <c r="E16" s="20" t="s">
        <v>27</v>
      </c>
      <c r="F16" s="20" t="s">
        <v>27</v>
      </c>
      <c r="G16" s="20" t="s">
        <v>27</v>
      </c>
      <c r="H16" s="46" t="s">
        <v>27</v>
      </c>
      <c r="I16" s="20" t="s">
        <v>27</v>
      </c>
      <c r="J16" s="20" t="s">
        <v>27</v>
      </c>
    </row>
    <row r="17" spans="1:20" ht="15.75">
      <c r="A17" s="13">
        <v>42005</v>
      </c>
      <c r="B17" s="44">
        <v>31</v>
      </c>
      <c r="C17" s="35">
        <v>122.58</v>
      </c>
      <c r="D17" s="35">
        <v>297.94099999999997</v>
      </c>
      <c r="E17" s="41">
        <v>729.47900000000004</v>
      </c>
      <c r="F17" s="35">
        <v>1150</v>
      </c>
      <c r="G17" s="35">
        <v>100</v>
      </c>
      <c r="H17" s="43"/>
      <c r="I17" s="35">
        <v>695</v>
      </c>
      <c r="J17" s="35">
        <v>50</v>
      </c>
      <c r="K17" s="36"/>
      <c r="L17" s="45"/>
      <c r="M17" s="36"/>
      <c r="N17" s="36"/>
      <c r="O17" s="36"/>
      <c r="P17" s="36"/>
      <c r="Q17" s="36"/>
      <c r="R17" s="36"/>
      <c r="S17" s="36"/>
      <c r="T17" s="36"/>
    </row>
    <row r="18" spans="1:20" ht="15.75">
      <c r="A18" s="13">
        <v>42036</v>
      </c>
      <c r="B18" s="44">
        <v>28</v>
      </c>
      <c r="C18" s="35">
        <v>122.58</v>
      </c>
      <c r="D18" s="35">
        <v>297.94099999999997</v>
      </c>
      <c r="E18" s="41">
        <v>729.47900000000004</v>
      </c>
      <c r="F18" s="35">
        <v>1150</v>
      </c>
      <c r="G18" s="35">
        <v>100</v>
      </c>
      <c r="H18" s="43"/>
      <c r="I18" s="35">
        <v>695</v>
      </c>
      <c r="J18" s="35">
        <v>50</v>
      </c>
      <c r="K18" s="36"/>
      <c r="L18" s="45"/>
      <c r="M18" s="36"/>
      <c r="N18" s="36"/>
      <c r="O18" s="36"/>
      <c r="P18" s="36"/>
      <c r="Q18" s="36"/>
      <c r="R18" s="36"/>
      <c r="S18" s="36"/>
      <c r="T18" s="36"/>
    </row>
    <row r="19" spans="1:20" ht="15.75">
      <c r="A19" s="13">
        <v>42064</v>
      </c>
      <c r="B19" s="44">
        <v>31</v>
      </c>
      <c r="C19" s="35">
        <v>122.58</v>
      </c>
      <c r="D19" s="35">
        <v>297.94099999999997</v>
      </c>
      <c r="E19" s="41">
        <v>729.47900000000004</v>
      </c>
      <c r="F19" s="35">
        <v>1150</v>
      </c>
      <c r="G19" s="35">
        <v>100</v>
      </c>
      <c r="H19" s="43"/>
      <c r="I19" s="35">
        <v>695</v>
      </c>
      <c r="J19" s="35">
        <v>50</v>
      </c>
      <c r="K19" s="36"/>
      <c r="L19" s="45"/>
      <c r="M19" s="36"/>
      <c r="N19" s="36"/>
      <c r="O19" s="36"/>
      <c r="P19" s="36"/>
      <c r="Q19" s="36"/>
      <c r="R19" s="36"/>
      <c r="S19" s="36"/>
      <c r="T19" s="36"/>
    </row>
    <row r="20" spans="1:20" ht="15.75">
      <c r="A20" s="13">
        <v>42095</v>
      </c>
      <c r="B20" s="44">
        <v>30</v>
      </c>
      <c r="C20" s="35">
        <v>141.29300000000001</v>
      </c>
      <c r="D20" s="35">
        <v>267.99299999999999</v>
      </c>
      <c r="E20" s="41">
        <v>829.71400000000006</v>
      </c>
      <c r="F20" s="35">
        <v>1239</v>
      </c>
      <c r="G20" s="35">
        <v>100</v>
      </c>
      <c r="H20" s="43"/>
      <c r="I20" s="35">
        <v>695</v>
      </c>
      <c r="J20" s="35">
        <v>50</v>
      </c>
      <c r="K20" s="36"/>
      <c r="L20" s="45"/>
      <c r="M20" s="36"/>
      <c r="N20" s="36"/>
      <c r="O20" s="36"/>
      <c r="P20" s="36"/>
      <c r="Q20" s="36"/>
      <c r="R20" s="36"/>
      <c r="S20" s="36"/>
      <c r="T20" s="36"/>
    </row>
    <row r="21" spans="1:20" ht="15.75">
      <c r="A21" s="13">
        <v>42125</v>
      </c>
      <c r="B21" s="44">
        <v>31</v>
      </c>
      <c r="C21" s="35">
        <v>194.20500000000001</v>
      </c>
      <c r="D21" s="35">
        <v>267.46600000000001</v>
      </c>
      <c r="E21" s="41">
        <v>912.32899999999995</v>
      </c>
      <c r="F21" s="35">
        <v>1374</v>
      </c>
      <c r="G21" s="35">
        <v>75</v>
      </c>
      <c r="H21" s="43"/>
      <c r="I21" s="35">
        <v>695</v>
      </c>
      <c r="J21" s="35">
        <v>50</v>
      </c>
      <c r="K21" s="36"/>
      <c r="L21" s="45"/>
      <c r="M21" s="36"/>
      <c r="N21" s="36"/>
      <c r="O21" s="36"/>
      <c r="P21" s="36"/>
      <c r="Q21" s="36"/>
      <c r="R21" s="36"/>
      <c r="S21" s="36"/>
      <c r="T21" s="36"/>
    </row>
    <row r="22" spans="1:20" ht="15.75">
      <c r="A22" s="13">
        <v>42156</v>
      </c>
      <c r="B22" s="44">
        <v>30</v>
      </c>
      <c r="C22" s="35">
        <v>194.20500000000001</v>
      </c>
      <c r="D22" s="35">
        <v>267.46600000000001</v>
      </c>
      <c r="E22" s="41">
        <v>912.32899999999995</v>
      </c>
      <c r="F22" s="35">
        <v>1374</v>
      </c>
      <c r="G22" s="35">
        <v>50</v>
      </c>
      <c r="H22" s="43"/>
      <c r="I22" s="35">
        <v>695</v>
      </c>
      <c r="J22" s="35">
        <v>50</v>
      </c>
      <c r="K22" s="36"/>
      <c r="L22" s="45"/>
      <c r="M22" s="36"/>
      <c r="N22" s="36"/>
      <c r="O22" s="36"/>
      <c r="P22" s="36"/>
      <c r="Q22" s="36"/>
      <c r="R22" s="36"/>
      <c r="S22" s="36"/>
      <c r="T22" s="36"/>
    </row>
    <row r="23" spans="1:20" ht="15.75">
      <c r="A23" s="13">
        <v>42186</v>
      </c>
      <c r="B23" s="44">
        <v>31</v>
      </c>
      <c r="C23" s="35">
        <v>194.20500000000001</v>
      </c>
      <c r="D23" s="35">
        <v>267.46600000000001</v>
      </c>
      <c r="E23" s="41">
        <v>912.32899999999995</v>
      </c>
      <c r="F23" s="35">
        <v>1374</v>
      </c>
      <c r="G23" s="35">
        <v>50</v>
      </c>
      <c r="H23" s="43"/>
      <c r="I23" s="35">
        <v>695</v>
      </c>
      <c r="J23" s="35">
        <v>0</v>
      </c>
      <c r="K23" s="36"/>
      <c r="L23" s="45"/>
      <c r="M23" s="36"/>
      <c r="N23" s="36"/>
      <c r="O23" s="36"/>
      <c r="P23" s="36"/>
      <c r="Q23" s="36"/>
      <c r="R23" s="36"/>
      <c r="S23" s="36"/>
      <c r="T23" s="36"/>
    </row>
    <row r="24" spans="1:20" ht="15.75">
      <c r="A24" s="13">
        <v>42217</v>
      </c>
      <c r="B24" s="44">
        <v>31</v>
      </c>
      <c r="C24" s="35">
        <v>194.20500000000001</v>
      </c>
      <c r="D24" s="35">
        <v>267.46600000000001</v>
      </c>
      <c r="E24" s="41">
        <v>912.32899999999995</v>
      </c>
      <c r="F24" s="35">
        <v>1374</v>
      </c>
      <c r="G24" s="35">
        <v>50</v>
      </c>
      <c r="H24" s="43"/>
      <c r="I24" s="35">
        <v>695</v>
      </c>
      <c r="J24" s="35">
        <v>0</v>
      </c>
      <c r="K24" s="36"/>
      <c r="L24" s="45"/>
      <c r="M24" s="36"/>
      <c r="N24" s="36"/>
      <c r="O24" s="36"/>
      <c r="P24" s="36"/>
      <c r="Q24" s="36"/>
      <c r="R24" s="36"/>
      <c r="S24" s="36"/>
      <c r="T24" s="36"/>
    </row>
    <row r="25" spans="1:20" ht="15.75">
      <c r="A25" s="13">
        <v>42248</v>
      </c>
      <c r="B25" s="44">
        <v>30</v>
      </c>
      <c r="C25" s="35">
        <v>194.20500000000001</v>
      </c>
      <c r="D25" s="35">
        <v>267.46600000000001</v>
      </c>
      <c r="E25" s="41">
        <v>912.32899999999995</v>
      </c>
      <c r="F25" s="35">
        <v>1374</v>
      </c>
      <c r="G25" s="35">
        <v>50</v>
      </c>
      <c r="H25" s="43"/>
      <c r="I25" s="35">
        <v>695</v>
      </c>
      <c r="J25" s="35">
        <v>0</v>
      </c>
      <c r="K25" s="36"/>
      <c r="L25" s="45"/>
      <c r="M25" s="36"/>
      <c r="N25" s="36"/>
      <c r="O25" s="36"/>
      <c r="P25" s="36"/>
      <c r="Q25" s="36"/>
      <c r="R25" s="36"/>
      <c r="S25" s="36"/>
      <c r="T25" s="36"/>
    </row>
    <row r="26" spans="1:20" ht="15.75">
      <c r="A26" s="13">
        <v>42278</v>
      </c>
      <c r="B26" s="44">
        <v>31</v>
      </c>
      <c r="C26" s="35">
        <v>131.881</v>
      </c>
      <c r="D26" s="35">
        <v>277.16699999999997</v>
      </c>
      <c r="E26" s="41">
        <v>829.952</v>
      </c>
      <c r="F26" s="35">
        <v>1239</v>
      </c>
      <c r="G26" s="35">
        <v>75</v>
      </c>
      <c r="H26" s="43"/>
      <c r="I26" s="35">
        <v>695</v>
      </c>
      <c r="J26" s="35">
        <v>0</v>
      </c>
      <c r="K26" s="36"/>
      <c r="L26" s="45"/>
      <c r="M26" s="36"/>
      <c r="N26" s="36"/>
      <c r="O26" s="36"/>
      <c r="P26" s="36"/>
      <c r="Q26" s="36"/>
      <c r="R26" s="36"/>
      <c r="S26" s="36"/>
      <c r="T26" s="36"/>
    </row>
    <row r="27" spans="1:20" ht="15.75">
      <c r="A27" s="13">
        <v>42309</v>
      </c>
      <c r="B27" s="44">
        <v>30</v>
      </c>
      <c r="C27" s="35">
        <v>122.58</v>
      </c>
      <c r="D27" s="35">
        <v>297.94099999999997</v>
      </c>
      <c r="E27" s="41">
        <v>729.47900000000004</v>
      </c>
      <c r="F27" s="35">
        <v>1150</v>
      </c>
      <c r="G27" s="35">
        <v>100</v>
      </c>
      <c r="H27" s="43"/>
      <c r="I27" s="35">
        <v>695</v>
      </c>
      <c r="J27" s="35">
        <v>50</v>
      </c>
      <c r="K27" s="36"/>
      <c r="L27" s="45"/>
      <c r="M27" s="36"/>
      <c r="N27" s="36"/>
      <c r="O27" s="36"/>
      <c r="P27" s="36"/>
      <c r="Q27" s="36"/>
      <c r="R27" s="36"/>
      <c r="S27" s="36"/>
      <c r="T27" s="36"/>
    </row>
    <row r="28" spans="1:20" ht="15.75">
      <c r="A28" s="13">
        <v>42339</v>
      </c>
      <c r="B28" s="44">
        <v>31</v>
      </c>
      <c r="C28" s="35">
        <v>122.58</v>
      </c>
      <c r="D28" s="35">
        <v>297.94099999999997</v>
      </c>
      <c r="E28" s="41">
        <v>729.47900000000004</v>
      </c>
      <c r="F28" s="35">
        <v>1150</v>
      </c>
      <c r="G28" s="35">
        <v>100</v>
      </c>
      <c r="H28" s="43"/>
      <c r="I28" s="35">
        <v>695</v>
      </c>
      <c r="J28" s="35">
        <v>50</v>
      </c>
      <c r="K28" s="36"/>
      <c r="L28" s="45"/>
      <c r="M28" s="36"/>
      <c r="N28" s="36"/>
      <c r="O28" s="36"/>
      <c r="P28" s="36"/>
      <c r="Q28" s="36"/>
      <c r="R28" s="36"/>
      <c r="S28" s="36"/>
      <c r="T28" s="36"/>
    </row>
    <row r="29" spans="1:20" ht="15.75">
      <c r="A29" s="13">
        <v>42370</v>
      </c>
      <c r="B29" s="44">
        <v>31</v>
      </c>
      <c r="C29" s="35">
        <v>122.58</v>
      </c>
      <c r="D29" s="35">
        <v>297.94099999999997</v>
      </c>
      <c r="E29" s="41">
        <v>729.47900000000004</v>
      </c>
      <c r="F29" s="35">
        <v>1150</v>
      </c>
      <c r="G29" s="35">
        <v>100</v>
      </c>
      <c r="H29" s="43"/>
      <c r="I29" s="35">
        <v>695</v>
      </c>
      <c r="J29" s="35">
        <v>50</v>
      </c>
      <c r="K29" s="36"/>
      <c r="L29" s="45"/>
      <c r="M29" s="36"/>
      <c r="N29" s="36"/>
      <c r="O29" s="36"/>
      <c r="P29" s="36"/>
      <c r="Q29" s="36"/>
      <c r="R29" s="36"/>
      <c r="S29" s="36"/>
      <c r="T29" s="36"/>
    </row>
    <row r="30" spans="1:20" ht="15.75">
      <c r="A30" s="13">
        <v>42401</v>
      </c>
      <c r="B30" s="44">
        <v>29</v>
      </c>
      <c r="C30" s="35">
        <v>122.58</v>
      </c>
      <c r="D30" s="35">
        <v>297.94099999999997</v>
      </c>
      <c r="E30" s="41">
        <v>729.47900000000004</v>
      </c>
      <c r="F30" s="35">
        <v>1150</v>
      </c>
      <c r="G30" s="35">
        <v>100</v>
      </c>
      <c r="H30" s="43"/>
      <c r="I30" s="35">
        <v>695</v>
      </c>
      <c r="J30" s="35">
        <v>50</v>
      </c>
      <c r="K30" s="36"/>
      <c r="L30" s="45"/>
      <c r="M30" s="36"/>
      <c r="N30" s="36"/>
      <c r="O30" s="36"/>
      <c r="P30" s="36"/>
      <c r="Q30" s="36"/>
      <c r="R30" s="36"/>
      <c r="S30" s="36"/>
      <c r="T30" s="36"/>
    </row>
    <row r="31" spans="1:20" ht="15.75">
      <c r="A31" s="13">
        <v>42430</v>
      </c>
      <c r="B31" s="44">
        <v>31</v>
      </c>
      <c r="C31" s="35">
        <v>122.58</v>
      </c>
      <c r="D31" s="35">
        <v>297.94099999999997</v>
      </c>
      <c r="E31" s="41">
        <v>729.47900000000004</v>
      </c>
      <c r="F31" s="35">
        <v>1150</v>
      </c>
      <c r="G31" s="35">
        <v>100</v>
      </c>
      <c r="H31" s="43"/>
      <c r="I31" s="35">
        <v>695</v>
      </c>
      <c r="J31" s="35">
        <v>50</v>
      </c>
      <c r="K31" s="36"/>
      <c r="L31" s="45"/>
      <c r="M31" s="36"/>
      <c r="N31" s="36"/>
      <c r="O31" s="36"/>
      <c r="P31" s="36"/>
      <c r="Q31" s="36"/>
      <c r="R31" s="36"/>
      <c r="S31" s="36"/>
      <c r="T31" s="36"/>
    </row>
    <row r="32" spans="1:20" ht="15.75">
      <c r="A32" s="13">
        <v>42461</v>
      </c>
      <c r="B32" s="44">
        <v>30</v>
      </c>
      <c r="C32" s="35">
        <v>141.29300000000001</v>
      </c>
      <c r="D32" s="35">
        <v>267.99299999999999</v>
      </c>
      <c r="E32" s="41">
        <v>829.71400000000006</v>
      </c>
      <c r="F32" s="35">
        <v>1239</v>
      </c>
      <c r="G32" s="35">
        <v>100</v>
      </c>
      <c r="H32" s="43"/>
      <c r="I32" s="35">
        <v>695</v>
      </c>
      <c r="J32" s="35">
        <v>50</v>
      </c>
      <c r="K32" s="36"/>
      <c r="L32" s="45"/>
      <c r="M32" s="36"/>
      <c r="N32" s="36"/>
      <c r="O32" s="36"/>
      <c r="P32" s="36"/>
      <c r="Q32" s="36"/>
      <c r="R32" s="36"/>
      <c r="S32" s="36"/>
      <c r="T32" s="36"/>
    </row>
    <row r="33" spans="1:20" ht="15.75">
      <c r="A33" s="13">
        <v>42491</v>
      </c>
      <c r="B33" s="44">
        <v>31</v>
      </c>
      <c r="C33" s="35">
        <v>194.20500000000001</v>
      </c>
      <c r="D33" s="35">
        <v>267.46600000000001</v>
      </c>
      <c r="E33" s="41">
        <v>912.32899999999995</v>
      </c>
      <c r="F33" s="35">
        <v>1374</v>
      </c>
      <c r="G33" s="35">
        <v>75</v>
      </c>
      <c r="H33" s="43"/>
      <c r="I33" s="35">
        <v>695</v>
      </c>
      <c r="J33" s="35">
        <v>50</v>
      </c>
      <c r="K33" s="36"/>
      <c r="L33" s="45"/>
      <c r="M33" s="36"/>
      <c r="N33" s="36"/>
      <c r="O33" s="36"/>
      <c r="P33" s="36"/>
      <c r="Q33" s="36"/>
      <c r="R33" s="36"/>
      <c r="S33" s="36"/>
      <c r="T33" s="36"/>
    </row>
    <row r="34" spans="1:20" ht="15.75">
      <c r="A34" s="13">
        <v>42522</v>
      </c>
      <c r="B34" s="44">
        <v>30</v>
      </c>
      <c r="C34" s="35">
        <v>194.20500000000001</v>
      </c>
      <c r="D34" s="35">
        <v>267.46600000000001</v>
      </c>
      <c r="E34" s="41">
        <v>912.32899999999995</v>
      </c>
      <c r="F34" s="35">
        <v>1374</v>
      </c>
      <c r="G34" s="35">
        <v>50</v>
      </c>
      <c r="H34" s="43"/>
      <c r="I34" s="35">
        <v>695</v>
      </c>
      <c r="J34" s="35">
        <v>50</v>
      </c>
      <c r="K34" s="36"/>
      <c r="L34" s="45"/>
      <c r="M34" s="36"/>
      <c r="N34" s="36"/>
      <c r="O34" s="36"/>
      <c r="P34" s="36"/>
      <c r="Q34" s="36"/>
      <c r="R34" s="36"/>
      <c r="S34" s="36"/>
      <c r="T34" s="36"/>
    </row>
    <row r="35" spans="1:20" ht="15.75">
      <c r="A35" s="13">
        <v>42552</v>
      </c>
      <c r="B35" s="44">
        <v>31</v>
      </c>
      <c r="C35" s="35">
        <v>194.20500000000001</v>
      </c>
      <c r="D35" s="35">
        <v>267.46600000000001</v>
      </c>
      <c r="E35" s="41">
        <v>912.32899999999995</v>
      </c>
      <c r="F35" s="35">
        <v>1374</v>
      </c>
      <c r="G35" s="35">
        <v>50</v>
      </c>
      <c r="H35" s="43"/>
      <c r="I35" s="35">
        <v>695</v>
      </c>
      <c r="J35" s="35">
        <v>0</v>
      </c>
      <c r="K35" s="36"/>
      <c r="L35" s="45"/>
      <c r="M35" s="36"/>
      <c r="N35" s="36"/>
      <c r="O35" s="36"/>
      <c r="P35" s="36"/>
      <c r="Q35" s="36"/>
      <c r="R35" s="36"/>
      <c r="S35" s="36"/>
      <c r="T35" s="36"/>
    </row>
    <row r="36" spans="1:20" ht="15.75">
      <c r="A36" s="13">
        <v>42583</v>
      </c>
      <c r="B36" s="44">
        <v>31</v>
      </c>
      <c r="C36" s="35">
        <v>194.20500000000001</v>
      </c>
      <c r="D36" s="35">
        <v>267.46600000000001</v>
      </c>
      <c r="E36" s="41">
        <v>912.32899999999995</v>
      </c>
      <c r="F36" s="35">
        <v>1374</v>
      </c>
      <c r="G36" s="35">
        <v>50</v>
      </c>
      <c r="H36" s="43"/>
      <c r="I36" s="35">
        <v>695</v>
      </c>
      <c r="J36" s="35">
        <v>0</v>
      </c>
      <c r="K36" s="36"/>
      <c r="L36" s="45"/>
      <c r="M36" s="36"/>
      <c r="N36" s="36"/>
      <c r="O36" s="36"/>
      <c r="P36" s="36"/>
      <c r="Q36" s="36"/>
      <c r="R36" s="36"/>
      <c r="S36" s="36"/>
      <c r="T36" s="36"/>
    </row>
    <row r="37" spans="1:20" ht="15.75">
      <c r="A37" s="13">
        <v>42614</v>
      </c>
      <c r="B37" s="44">
        <v>30</v>
      </c>
      <c r="C37" s="35">
        <v>194.20500000000001</v>
      </c>
      <c r="D37" s="35">
        <v>267.46600000000001</v>
      </c>
      <c r="E37" s="41">
        <v>912.32899999999995</v>
      </c>
      <c r="F37" s="35">
        <v>1374</v>
      </c>
      <c r="G37" s="35">
        <v>50</v>
      </c>
      <c r="H37" s="43"/>
      <c r="I37" s="35">
        <v>695</v>
      </c>
      <c r="J37" s="35">
        <v>0</v>
      </c>
      <c r="K37" s="36"/>
      <c r="L37" s="45"/>
      <c r="M37" s="36"/>
      <c r="N37" s="36"/>
      <c r="O37" s="36"/>
      <c r="P37" s="36"/>
      <c r="Q37" s="36"/>
      <c r="R37" s="36"/>
      <c r="S37" s="36"/>
      <c r="T37" s="36"/>
    </row>
    <row r="38" spans="1:20" ht="15.75">
      <c r="A38" s="13">
        <v>42644</v>
      </c>
      <c r="B38" s="44">
        <v>31</v>
      </c>
      <c r="C38" s="35">
        <v>131.881</v>
      </c>
      <c r="D38" s="35">
        <v>277.16699999999997</v>
      </c>
      <c r="E38" s="41">
        <v>829.952</v>
      </c>
      <c r="F38" s="35">
        <v>1239</v>
      </c>
      <c r="G38" s="35">
        <v>75</v>
      </c>
      <c r="H38" s="43"/>
      <c r="I38" s="35">
        <v>695</v>
      </c>
      <c r="J38" s="35">
        <v>0</v>
      </c>
      <c r="K38" s="36"/>
      <c r="L38" s="45"/>
      <c r="M38" s="36"/>
      <c r="N38" s="36"/>
      <c r="O38" s="36"/>
      <c r="P38" s="36"/>
      <c r="Q38" s="36"/>
      <c r="R38" s="36"/>
      <c r="S38" s="36"/>
      <c r="T38" s="36"/>
    </row>
    <row r="39" spans="1:20" ht="15.75">
      <c r="A39" s="13">
        <v>42675</v>
      </c>
      <c r="B39" s="44">
        <v>30</v>
      </c>
      <c r="C39" s="35">
        <v>122.58</v>
      </c>
      <c r="D39" s="35">
        <v>297.94099999999997</v>
      </c>
      <c r="E39" s="41">
        <v>729.47900000000004</v>
      </c>
      <c r="F39" s="35">
        <v>1150</v>
      </c>
      <c r="G39" s="35">
        <v>100</v>
      </c>
      <c r="H39" s="43"/>
      <c r="I39" s="35">
        <v>695</v>
      </c>
      <c r="J39" s="35">
        <v>50</v>
      </c>
      <c r="K39" s="36"/>
      <c r="L39" s="45"/>
      <c r="M39" s="36"/>
      <c r="N39" s="36"/>
      <c r="O39" s="36"/>
      <c r="P39" s="36"/>
      <c r="Q39" s="36"/>
      <c r="R39" s="36"/>
      <c r="S39" s="36"/>
      <c r="T39" s="36"/>
    </row>
    <row r="40" spans="1:20" ht="15.75">
      <c r="A40" s="13">
        <v>42705</v>
      </c>
      <c r="B40" s="44">
        <v>31</v>
      </c>
      <c r="C40" s="35">
        <v>122.58</v>
      </c>
      <c r="D40" s="35">
        <v>297.94099999999997</v>
      </c>
      <c r="E40" s="41">
        <v>729.47900000000004</v>
      </c>
      <c r="F40" s="35">
        <v>1150</v>
      </c>
      <c r="G40" s="35">
        <v>100</v>
      </c>
      <c r="H40" s="43"/>
      <c r="I40" s="35">
        <v>695</v>
      </c>
      <c r="J40" s="35">
        <v>50</v>
      </c>
      <c r="K40" s="36"/>
      <c r="L40" s="45"/>
      <c r="M40" s="36"/>
      <c r="N40" s="36"/>
      <c r="O40" s="36"/>
      <c r="P40" s="36"/>
      <c r="Q40" s="36"/>
      <c r="R40" s="36"/>
      <c r="S40" s="36"/>
      <c r="T40" s="36"/>
    </row>
    <row r="41" spans="1:20" ht="15.75">
      <c r="A41" s="13">
        <v>42736</v>
      </c>
      <c r="B41" s="44">
        <v>31</v>
      </c>
      <c r="C41" s="35">
        <v>122.58</v>
      </c>
      <c r="D41" s="35">
        <v>297.94099999999997</v>
      </c>
      <c r="E41" s="41">
        <v>729.47900000000004</v>
      </c>
      <c r="F41" s="35">
        <v>1150</v>
      </c>
      <c r="G41" s="35">
        <v>100</v>
      </c>
      <c r="H41" s="43"/>
      <c r="I41" s="35">
        <v>695</v>
      </c>
      <c r="J41" s="35">
        <v>50</v>
      </c>
      <c r="K41" s="36"/>
      <c r="L41" s="45"/>
      <c r="M41" s="36"/>
      <c r="N41" s="36"/>
      <c r="O41" s="36"/>
      <c r="P41" s="36"/>
      <c r="Q41" s="36"/>
      <c r="R41" s="36"/>
      <c r="S41" s="36"/>
      <c r="T41" s="36"/>
    </row>
    <row r="42" spans="1:20" ht="15.75">
      <c r="A42" s="13">
        <v>42767</v>
      </c>
      <c r="B42" s="44">
        <v>28</v>
      </c>
      <c r="C42" s="35">
        <v>122.58</v>
      </c>
      <c r="D42" s="35">
        <v>297.94099999999997</v>
      </c>
      <c r="E42" s="41">
        <v>729.47900000000004</v>
      </c>
      <c r="F42" s="35">
        <v>1150</v>
      </c>
      <c r="G42" s="35">
        <v>100</v>
      </c>
      <c r="H42" s="43"/>
      <c r="I42" s="35">
        <v>695</v>
      </c>
      <c r="J42" s="35">
        <v>50</v>
      </c>
      <c r="K42" s="36"/>
      <c r="L42" s="45"/>
      <c r="M42" s="36"/>
      <c r="N42" s="36"/>
      <c r="O42" s="36"/>
      <c r="P42" s="36"/>
      <c r="Q42" s="36"/>
      <c r="R42" s="36"/>
      <c r="S42" s="36"/>
      <c r="T42" s="36"/>
    </row>
    <row r="43" spans="1:20" ht="15.75">
      <c r="A43" s="13">
        <v>42795</v>
      </c>
      <c r="B43" s="44">
        <v>31</v>
      </c>
      <c r="C43" s="35">
        <v>122.58</v>
      </c>
      <c r="D43" s="35">
        <v>297.94099999999997</v>
      </c>
      <c r="E43" s="41">
        <v>729.47900000000004</v>
      </c>
      <c r="F43" s="35">
        <v>1150</v>
      </c>
      <c r="G43" s="35">
        <v>100</v>
      </c>
      <c r="H43" s="43"/>
      <c r="I43" s="35">
        <v>695</v>
      </c>
      <c r="J43" s="35">
        <v>50</v>
      </c>
      <c r="K43" s="36"/>
      <c r="L43" s="45"/>
      <c r="M43" s="36"/>
      <c r="N43" s="36"/>
      <c r="O43" s="36"/>
      <c r="P43" s="36"/>
      <c r="Q43" s="36"/>
      <c r="R43" s="36"/>
      <c r="S43" s="36"/>
      <c r="T43" s="36"/>
    </row>
    <row r="44" spans="1:20" ht="15.75">
      <c r="A44" s="13">
        <v>42826</v>
      </c>
      <c r="B44" s="44">
        <v>30</v>
      </c>
      <c r="C44" s="35">
        <v>141.29300000000001</v>
      </c>
      <c r="D44" s="35">
        <v>267.99299999999999</v>
      </c>
      <c r="E44" s="41">
        <v>829.71400000000006</v>
      </c>
      <c r="F44" s="35">
        <v>1239</v>
      </c>
      <c r="G44" s="35">
        <v>100</v>
      </c>
      <c r="H44" s="43"/>
      <c r="I44" s="35">
        <v>695</v>
      </c>
      <c r="J44" s="35">
        <v>50</v>
      </c>
      <c r="K44" s="36"/>
      <c r="L44" s="45"/>
      <c r="M44" s="36"/>
      <c r="N44" s="36"/>
      <c r="O44" s="36"/>
      <c r="P44" s="36"/>
      <c r="Q44" s="36"/>
      <c r="R44" s="36"/>
      <c r="S44" s="36"/>
      <c r="T44" s="36"/>
    </row>
    <row r="45" spans="1:20" ht="15.75">
      <c r="A45" s="13">
        <v>42856</v>
      </c>
      <c r="B45" s="44">
        <v>31</v>
      </c>
      <c r="C45" s="35">
        <v>194.20500000000001</v>
      </c>
      <c r="D45" s="35">
        <v>267.46600000000001</v>
      </c>
      <c r="E45" s="41">
        <v>812.32899999999995</v>
      </c>
      <c r="F45" s="35">
        <v>1274</v>
      </c>
      <c r="G45" s="35">
        <v>75</v>
      </c>
      <c r="H45" s="43">
        <v>400</v>
      </c>
      <c r="I45" s="35">
        <v>695</v>
      </c>
      <c r="J45" s="35">
        <v>50</v>
      </c>
      <c r="K45" s="36"/>
      <c r="L45" s="45"/>
      <c r="M45" s="36"/>
      <c r="N45" s="36"/>
      <c r="O45" s="36"/>
      <c r="P45" s="36"/>
      <c r="Q45" s="36"/>
      <c r="R45" s="36"/>
      <c r="S45" s="36"/>
      <c r="T45" s="36"/>
    </row>
    <row r="46" spans="1:20" ht="15.75">
      <c r="A46" s="13">
        <v>42887</v>
      </c>
      <c r="B46" s="44">
        <v>30</v>
      </c>
      <c r="C46" s="35">
        <v>194.20500000000001</v>
      </c>
      <c r="D46" s="35">
        <v>267.46600000000001</v>
      </c>
      <c r="E46" s="41">
        <v>812.32899999999995</v>
      </c>
      <c r="F46" s="35">
        <v>1274</v>
      </c>
      <c r="G46" s="35">
        <v>50</v>
      </c>
      <c r="H46" s="43">
        <v>400</v>
      </c>
      <c r="I46" s="35">
        <v>695</v>
      </c>
      <c r="J46" s="35">
        <v>50</v>
      </c>
      <c r="K46" s="36"/>
      <c r="L46" s="45"/>
      <c r="M46" s="36"/>
      <c r="N46" s="36"/>
      <c r="O46" s="36"/>
      <c r="P46" s="36"/>
      <c r="Q46" s="36"/>
      <c r="R46" s="36"/>
      <c r="S46" s="36"/>
      <c r="T46" s="36"/>
    </row>
    <row r="47" spans="1:20" ht="15.75">
      <c r="A47" s="13">
        <v>42917</v>
      </c>
      <c r="B47" s="44">
        <v>31</v>
      </c>
      <c r="C47" s="35">
        <v>194.20500000000001</v>
      </c>
      <c r="D47" s="35">
        <v>267.46600000000001</v>
      </c>
      <c r="E47" s="41">
        <v>812.32899999999995</v>
      </c>
      <c r="F47" s="35">
        <v>1274</v>
      </c>
      <c r="G47" s="35">
        <v>50</v>
      </c>
      <c r="H47" s="43">
        <v>400</v>
      </c>
      <c r="I47" s="35">
        <v>695</v>
      </c>
      <c r="J47" s="35">
        <v>0</v>
      </c>
      <c r="K47" s="36"/>
      <c r="L47" s="45"/>
      <c r="M47" s="36"/>
      <c r="N47" s="36"/>
      <c r="O47" s="36"/>
      <c r="P47" s="36"/>
      <c r="Q47" s="36"/>
      <c r="R47" s="36"/>
      <c r="S47" s="36"/>
      <c r="T47" s="36"/>
    </row>
    <row r="48" spans="1:20" ht="15.75">
      <c r="A48" s="13">
        <v>42948</v>
      </c>
      <c r="B48" s="44">
        <v>31</v>
      </c>
      <c r="C48" s="35">
        <v>194.20500000000001</v>
      </c>
      <c r="D48" s="35">
        <v>267.46600000000001</v>
      </c>
      <c r="E48" s="41">
        <v>812.32899999999995</v>
      </c>
      <c r="F48" s="35">
        <v>1274</v>
      </c>
      <c r="G48" s="35">
        <v>50</v>
      </c>
      <c r="H48" s="43">
        <v>400</v>
      </c>
      <c r="I48" s="35">
        <v>695</v>
      </c>
      <c r="J48" s="35">
        <v>0</v>
      </c>
      <c r="K48" s="36"/>
      <c r="L48" s="45"/>
      <c r="M48" s="36"/>
      <c r="N48" s="36"/>
      <c r="O48" s="36"/>
      <c r="P48" s="36"/>
      <c r="Q48" s="36"/>
      <c r="R48" s="36"/>
      <c r="S48" s="36"/>
      <c r="T48" s="36"/>
    </row>
    <row r="49" spans="1:20" ht="15.75">
      <c r="A49" s="13">
        <v>42979</v>
      </c>
      <c r="B49" s="44">
        <v>30</v>
      </c>
      <c r="C49" s="35">
        <v>194.20500000000001</v>
      </c>
      <c r="D49" s="35">
        <v>267.46600000000001</v>
      </c>
      <c r="E49" s="41">
        <v>812.32899999999995</v>
      </c>
      <c r="F49" s="35">
        <v>1274</v>
      </c>
      <c r="G49" s="35">
        <v>50</v>
      </c>
      <c r="H49" s="43">
        <v>400</v>
      </c>
      <c r="I49" s="35">
        <v>695</v>
      </c>
      <c r="J49" s="35">
        <v>0</v>
      </c>
      <c r="K49" s="36"/>
      <c r="L49" s="45"/>
      <c r="M49" s="36"/>
      <c r="N49" s="36"/>
      <c r="O49" s="36"/>
      <c r="P49" s="36"/>
      <c r="Q49" s="36"/>
      <c r="R49" s="36"/>
      <c r="S49" s="36"/>
      <c r="T49" s="36"/>
    </row>
    <row r="50" spans="1:20" ht="15.75">
      <c r="A50" s="13">
        <v>43009</v>
      </c>
      <c r="B50" s="44">
        <v>31</v>
      </c>
      <c r="C50" s="35">
        <v>131.881</v>
      </c>
      <c r="D50" s="35">
        <v>277.16699999999997</v>
      </c>
      <c r="E50" s="41">
        <v>829.952</v>
      </c>
      <c r="F50" s="35">
        <v>1239</v>
      </c>
      <c r="G50" s="35">
        <v>75</v>
      </c>
      <c r="H50" s="43">
        <v>400</v>
      </c>
      <c r="I50" s="35">
        <v>695</v>
      </c>
      <c r="J50" s="35">
        <v>0</v>
      </c>
      <c r="K50" s="36"/>
      <c r="L50" s="45"/>
      <c r="M50" s="36"/>
      <c r="N50" s="36"/>
      <c r="O50" s="36"/>
      <c r="P50" s="36"/>
      <c r="Q50" s="36"/>
      <c r="R50" s="36"/>
      <c r="S50" s="36"/>
      <c r="T50" s="36"/>
    </row>
    <row r="51" spans="1:20" ht="15.75">
      <c r="A51" s="13">
        <v>43040</v>
      </c>
      <c r="B51" s="44">
        <v>30</v>
      </c>
      <c r="C51" s="35">
        <v>122.58</v>
      </c>
      <c r="D51" s="35">
        <v>297.94099999999997</v>
      </c>
      <c r="E51" s="41">
        <v>729.47900000000004</v>
      </c>
      <c r="F51" s="35">
        <v>1150</v>
      </c>
      <c r="G51" s="35">
        <v>100</v>
      </c>
      <c r="H51" s="43">
        <v>400</v>
      </c>
      <c r="I51" s="35">
        <v>695</v>
      </c>
      <c r="J51" s="35">
        <v>50</v>
      </c>
      <c r="K51" s="36"/>
      <c r="L51" s="45"/>
      <c r="M51" s="36"/>
      <c r="N51" s="36"/>
      <c r="O51" s="36"/>
      <c r="P51" s="36"/>
      <c r="Q51" s="36"/>
      <c r="R51" s="36"/>
      <c r="S51" s="36"/>
      <c r="T51" s="36"/>
    </row>
    <row r="52" spans="1:20" ht="15.75">
      <c r="A52" s="13">
        <v>43070</v>
      </c>
      <c r="B52" s="44">
        <v>31</v>
      </c>
      <c r="C52" s="35">
        <v>122.58</v>
      </c>
      <c r="D52" s="35">
        <v>297.94099999999997</v>
      </c>
      <c r="E52" s="41">
        <v>729.47900000000004</v>
      </c>
      <c r="F52" s="35">
        <v>1150</v>
      </c>
      <c r="G52" s="35">
        <v>100</v>
      </c>
      <c r="H52" s="43">
        <v>400</v>
      </c>
      <c r="I52" s="35">
        <v>695</v>
      </c>
      <c r="J52" s="35">
        <v>50</v>
      </c>
      <c r="K52" s="36"/>
      <c r="L52" s="45"/>
      <c r="M52" s="36"/>
      <c r="N52" s="36"/>
      <c r="O52" s="36"/>
      <c r="P52" s="36"/>
      <c r="Q52" s="36"/>
      <c r="R52" s="36"/>
      <c r="S52" s="36"/>
      <c r="T52" s="36"/>
    </row>
    <row r="53" spans="1:20" ht="15.75">
      <c r="A53" s="13">
        <v>43101</v>
      </c>
      <c r="B53" s="44">
        <v>31</v>
      </c>
      <c r="C53" s="35">
        <v>122.58</v>
      </c>
      <c r="D53" s="35">
        <v>297.94099999999997</v>
      </c>
      <c r="E53" s="41">
        <v>729.47900000000004</v>
      </c>
      <c r="F53" s="35">
        <v>1150</v>
      </c>
      <c r="G53" s="35">
        <v>100</v>
      </c>
      <c r="H53" s="43">
        <v>400</v>
      </c>
      <c r="I53" s="35">
        <v>695</v>
      </c>
      <c r="J53" s="35">
        <v>50</v>
      </c>
      <c r="K53" s="36"/>
      <c r="L53" s="45"/>
      <c r="M53" s="36"/>
      <c r="N53" s="36"/>
      <c r="O53" s="36"/>
      <c r="P53" s="36"/>
      <c r="Q53" s="36"/>
      <c r="R53" s="36"/>
      <c r="S53" s="36"/>
      <c r="T53" s="36"/>
    </row>
    <row r="54" spans="1:20" ht="15.75">
      <c r="A54" s="13">
        <v>43132</v>
      </c>
      <c r="B54" s="44">
        <v>28</v>
      </c>
      <c r="C54" s="35">
        <v>122.58</v>
      </c>
      <c r="D54" s="35">
        <v>297.94099999999997</v>
      </c>
      <c r="E54" s="41">
        <v>729.47900000000004</v>
      </c>
      <c r="F54" s="35">
        <v>1150</v>
      </c>
      <c r="G54" s="35">
        <v>100</v>
      </c>
      <c r="H54" s="43">
        <v>400</v>
      </c>
      <c r="I54" s="35">
        <v>695</v>
      </c>
      <c r="J54" s="35">
        <v>50</v>
      </c>
      <c r="K54" s="36"/>
      <c r="L54" s="45"/>
      <c r="M54" s="36"/>
      <c r="N54" s="36"/>
      <c r="O54" s="36"/>
      <c r="P54" s="36"/>
      <c r="Q54" s="36"/>
      <c r="R54" s="36"/>
      <c r="S54" s="36"/>
      <c r="T54" s="36"/>
    </row>
    <row r="55" spans="1:20" ht="15.75">
      <c r="A55" s="13">
        <v>43160</v>
      </c>
      <c r="B55" s="44">
        <v>31</v>
      </c>
      <c r="C55" s="35">
        <v>122.58</v>
      </c>
      <c r="D55" s="35">
        <v>297.94099999999997</v>
      </c>
      <c r="E55" s="41">
        <v>729.47900000000004</v>
      </c>
      <c r="F55" s="35">
        <v>1150</v>
      </c>
      <c r="G55" s="35">
        <v>100</v>
      </c>
      <c r="H55" s="43">
        <v>400</v>
      </c>
      <c r="I55" s="35">
        <v>695</v>
      </c>
      <c r="J55" s="35">
        <v>50</v>
      </c>
      <c r="K55" s="36"/>
      <c r="L55" s="45"/>
      <c r="M55" s="36"/>
      <c r="N55" s="36"/>
      <c r="O55" s="36"/>
      <c r="P55" s="36"/>
      <c r="Q55" s="36"/>
      <c r="R55" s="36"/>
      <c r="S55" s="36"/>
      <c r="T55" s="36"/>
    </row>
    <row r="56" spans="1:20" ht="15.75">
      <c r="A56" s="13">
        <v>43191</v>
      </c>
      <c r="B56" s="44">
        <v>30</v>
      </c>
      <c r="C56" s="35">
        <v>141.29300000000001</v>
      </c>
      <c r="D56" s="35">
        <v>267.99299999999999</v>
      </c>
      <c r="E56" s="41">
        <v>829.71400000000006</v>
      </c>
      <c r="F56" s="35">
        <v>1239</v>
      </c>
      <c r="G56" s="35">
        <v>100</v>
      </c>
      <c r="H56" s="43">
        <v>400</v>
      </c>
      <c r="I56" s="35">
        <v>695</v>
      </c>
      <c r="J56" s="35">
        <v>50</v>
      </c>
      <c r="K56" s="36"/>
      <c r="L56" s="45"/>
      <c r="M56" s="36"/>
      <c r="N56" s="36"/>
      <c r="O56" s="36"/>
      <c r="P56" s="36"/>
      <c r="Q56" s="36"/>
      <c r="R56" s="36"/>
      <c r="S56" s="36"/>
      <c r="T56" s="36"/>
    </row>
    <row r="57" spans="1:20" ht="15.75">
      <c r="A57" s="13">
        <v>43221</v>
      </c>
      <c r="B57" s="44">
        <v>31</v>
      </c>
      <c r="C57" s="35">
        <v>194.20500000000001</v>
      </c>
      <c r="D57" s="35">
        <v>267.46600000000001</v>
      </c>
      <c r="E57" s="41">
        <v>812.32899999999995</v>
      </c>
      <c r="F57" s="35">
        <v>1274</v>
      </c>
      <c r="G57" s="35">
        <v>75</v>
      </c>
      <c r="H57" s="43">
        <v>400</v>
      </c>
      <c r="I57" s="35">
        <v>695</v>
      </c>
      <c r="J57" s="35">
        <v>50</v>
      </c>
      <c r="K57" s="36"/>
      <c r="L57" s="45"/>
      <c r="M57" s="36"/>
      <c r="N57" s="36"/>
      <c r="O57" s="36"/>
      <c r="P57" s="36"/>
      <c r="Q57" s="36"/>
      <c r="R57" s="36"/>
      <c r="S57" s="36"/>
      <c r="T57" s="36"/>
    </row>
    <row r="58" spans="1:20" ht="15.75">
      <c r="A58" s="13">
        <v>43252</v>
      </c>
      <c r="B58" s="44">
        <v>30</v>
      </c>
      <c r="C58" s="35">
        <v>194.20500000000001</v>
      </c>
      <c r="D58" s="35">
        <v>267.46600000000001</v>
      </c>
      <c r="E58" s="41">
        <v>812.32899999999995</v>
      </c>
      <c r="F58" s="35">
        <v>1274</v>
      </c>
      <c r="G58" s="35">
        <v>50</v>
      </c>
      <c r="H58" s="43">
        <v>400</v>
      </c>
      <c r="I58" s="35">
        <v>695</v>
      </c>
      <c r="J58" s="35">
        <v>50</v>
      </c>
      <c r="K58" s="36"/>
      <c r="L58" s="45"/>
      <c r="M58" s="36"/>
      <c r="N58" s="36"/>
      <c r="O58" s="36"/>
      <c r="P58" s="36"/>
      <c r="Q58" s="36"/>
      <c r="R58" s="36"/>
      <c r="S58" s="36"/>
      <c r="T58" s="36"/>
    </row>
    <row r="59" spans="1:20" ht="15.75">
      <c r="A59" s="13">
        <v>43282</v>
      </c>
      <c r="B59" s="44">
        <v>31</v>
      </c>
      <c r="C59" s="35">
        <v>194.20500000000001</v>
      </c>
      <c r="D59" s="35">
        <v>267.46600000000001</v>
      </c>
      <c r="E59" s="41">
        <v>812.32899999999995</v>
      </c>
      <c r="F59" s="35">
        <v>1274</v>
      </c>
      <c r="G59" s="35">
        <v>50</v>
      </c>
      <c r="H59" s="43">
        <v>400</v>
      </c>
      <c r="I59" s="35">
        <v>695</v>
      </c>
      <c r="J59" s="35">
        <v>0</v>
      </c>
      <c r="K59" s="36"/>
      <c r="L59" s="45"/>
      <c r="M59" s="36"/>
      <c r="N59" s="36"/>
      <c r="O59" s="36"/>
      <c r="P59" s="36"/>
      <c r="Q59" s="36"/>
      <c r="R59" s="36"/>
      <c r="S59" s="36"/>
      <c r="T59" s="36"/>
    </row>
    <row r="60" spans="1:20" ht="15.75">
      <c r="A60" s="13">
        <v>43313</v>
      </c>
      <c r="B60" s="44">
        <v>31</v>
      </c>
      <c r="C60" s="35">
        <v>194.20500000000001</v>
      </c>
      <c r="D60" s="35">
        <v>267.46600000000001</v>
      </c>
      <c r="E60" s="41">
        <v>812.32899999999995</v>
      </c>
      <c r="F60" s="35">
        <v>1274</v>
      </c>
      <c r="G60" s="35">
        <v>50</v>
      </c>
      <c r="H60" s="43">
        <v>400</v>
      </c>
      <c r="I60" s="35">
        <v>695</v>
      </c>
      <c r="J60" s="35">
        <v>0</v>
      </c>
      <c r="K60" s="36"/>
      <c r="L60" s="45"/>
      <c r="M60" s="36"/>
      <c r="N60" s="36"/>
      <c r="O60" s="36"/>
      <c r="P60" s="36"/>
      <c r="Q60" s="36"/>
      <c r="R60" s="36"/>
      <c r="S60" s="36"/>
      <c r="T60" s="36"/>
    </row>
    <row r="61" spans="1:20" ht="15.75">
      <c r="A61" s="13">
        <v>43344</v>
      </c>
      <c r="B61" s="44">
        <v>30</v>
      </c>
      <c r="C61" s="35">
        <v>194.20500000000001</v>
      </c>
      <c r="D61" s="35">
        <v>267.46600000000001</v>
      </c>
      <c r="E61" s="41">
        <v>812.32899999999995</v>
      </c>
      <c r="F61" s="35">
        <v>1274</v>
      </c>
      <c r="G61" s="35">
        <v>50</v>
      </c>
      <c r="H61" s="43">
        <v>400</v>
      </c>
      <c r="I61" s="35">
        <v>695</v>
      </c>
      <c r="J61" s="35">
        <v>0</v>
      </c>
      <c r="K61" s="36"/>
      <c r="L61" s="45"/>
      <c r="M61" s="36"/>
      <c r="N61" s="36"/>
      <c r="O61" s="36"/>
      <c r="P61" s="36"/>
      <c r="Q61" s="36"/>
      <c r="R61" s="36"/>
      <c r="S61" s="36"/>
      <c r="T61" s="36"/>
    </row>
    <row r="62" spans="1:20" ht="15.75">
      <c r="A62" s="13">
        <v>43374</v>
      </c>
      <c r="B62" s="44">
        <v>31</v>
      </c>
      <c r="C62" s="35">
        <v>131.881</v>
      </c>
      <c r="D62" s="35">
        <v>277.16699999999997</v>
      </c>
      <c r="E62" s="41">
        <v>829.952</v>
      </c>
      <c r="F62" s="35">
        <v>1239</v>
      </c>
      <c r="G62" s="35">
        <v>75</v>
      </c>
      <c r="H62" s="43">
        <v>400</v>
      </c>
      <c r="I62" s="35">
        <v>695</v>
      </c>
      <c r="J62" s="35">
        <v>0</v>
      </c>
      <c r="K62" s="36"/>
      <c r="L62" s="45"/>
      <c r="M62" s="36"/>
      <c r="N62" s="36"/>
      <c r="O62" s="36"/>
      <c r="P62" s="36"/>
      <c r="Q62" s="36"/>
      <c r="R62" s="36"/>
      <c r="S62" s="36"/>
      <c r="T62" s="36"/>
    </row>
    <row r="63" spans="1:20" ht="15.75">
      <c r="A63" s="13">
        <v>43405</v>
      </c>
      <c r="B63" s="44">
        <v>30</v>
      </c>
      <c r="C63" s="35">
        <v>122.58</v>
      </c>
      <c r="D63" s="35">
        <v>297.94099999999997</v>
      </c>
      <c r="E63" s="41">
        <v>729.47900000000004</v>
      </c>
      <c r="F63" s="35">
        <v>1150</v>
      </c>
      <c r="G63" s="35">
        <v>100</v>
      </c>
      <c r="H63" s="43">
        <v>400</v>
      </c>
      <c r="I63" s="35">
        <v>695</v>
      </c>
      <c r="J63" s="35">
        <v>50</v>
      </c>
      <c r="K63" s="36"/>
      <c r="L63" s="45"/>
      <c r="M63" s="36"/>
      <c r="N63" s="36"/>
      <c r="O63" s="36"/>
      <c r="P63" s="36"/>
      <c r="Q63" s="36"/>
      <c r="R63" s="36"/>
      <c r="S63" s="36"/>
      <c r="T63" s="36"/>
    </row>
    <row r="64" spans="1:20" ht="15.75">
      <c r="A64" s="13">
        <v>43435</v>
      </c>
      <c r="B64" s="44">
        <v>31</v>
      </c>
      <c r="C64" s="35">
        <v>122.58</v>
      </c>
      <c r="D64" s="35">
        <v>297.94099999999997</v>
      </c>
      <c r="E64" s="41">
        <v>729.47900000000004</v>
      </c>
      <c r="F64" s="35">
        <v>1150</v>
      </c>
      <c r="G64" s="35">
        <v>100</v>
      </c>
      <c r="H64" s="43">
        <v>400</v>
      </c>
      <c r="I64" s="35">
        <v>695</v>
      </c>
      <c r="J64" s="35">
        <v>50</v>
      </c>
      <c r="K64" s="36"/>
      <c r="L64" s="45"/>
      <c r="M64" s="36"/>
      <c r="N64" s="36"/>
      <c r="O64" s="36"/>
      <c r="P64" s="36"/>
      <c r="Q64" s="36"/>
      <c r="R64" s="36"/>
      <c r="S64" s="36"/>
      <c r="T64" s="36"/>
    </row>
    <row r="65" spans="1:20" ht="15.75">
      <c r="A65" s="13">
        <v>43466</v>
      </c>
      <c r="B65" s="44">
        <v>31</v>
      </c>
      <c r="C65" s="35">
        <v>122.58</v>
      </c>
      <c r="D65" s="35">
        <v>297.94099999999997</v>
      </c>
      <c r="E65" s="41">
        <v>729.47900000000004</v>
      </c>
      <c r="F65" s="35">
        <v>1150</v>
      </c>
      <c r="G65" s="35">
        <v>100</v>
      </c>
      <c r="H65" s="43">
        <v>400</v>
      </c>
      <c r="I65" s="35">
        <v>695</v>
      </c>
      <c r="J65" s="35">
        <v>50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15.75">
      <c r="A66" s="13">
        <v>43497</v>
      </c>
      <c r="B66" s="44">
        <v>28</v>
      </c>
      <c r="C66" s="35">
        <v>122.58</v>
      </c>
      <c r="D66" s="35">
        <v>297.94099999999997</v>
      </c>
      <c r="E66" s="41">
        <v>729.47900000000004</v>
      </c>
      <c r="F66" s="35">
        <v>1150</v>
      </c>
      <c r="G66" s="35">
        <v>100</v>
      </c>
      <c r="H66" s="43">
        <v>400</v>
      </c>
      <c r="I66" s="35">
        <v>695</v>
      </c>
      <c r="J66" s="35">
        <v>50</v>
      </c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15.75">
      <c r="A67" s="13">
        <v>43525</v>
      </c>
      <c r="B67" s="44">
        <v>31</v>
      </c>
      <c r="C67" s="35">
        <v>122.58</v>
      </c>
      <c r="D67" s="35">
        <v>297.94099999999997</v>
      </c>
      <c r="E67" s="41">
        <v>729.47900000000004</v>
      </c>
      <c r="F67" s="35">
        <v>1150</v>
      </c>
      <c r="G67" s="35">
        <v>100</v>
      </c>
      <c r="H67" s="43">
        <v>400</v>
      </c>
      <c r="I67" s="35">
        <v>695</v>
      </c>
      <c r="J67" s="35">
        <v>50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>
      <c r="A68" s="13">
        <v>43556</v>
      </c>
      <c r="B68" s="44">
        <v>30</v>
      </c>
      <c r="C68" s="35">
        <v>141.29300000000001</v>
      </c>
      <c r="D68" s="35">
        <v>267.99299999999999</v>
      </c>
      <c r="E68" s="41">
        <v>829.71400000000006</v>
      </c>
      <c r="F68" s="35">
        <v>1239</v>
      </c>
      <c r="G68" s="35">
        <v>100</v>
      </c>
      <c r="H68" s="43">
        <v>400</v>
      </c>
      <c r="I68" s="35">
        <v>695</v>
      </c>
      <c r="J68" s="35">
        <v>50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1:20" ht="15.75">
      <c r="A69" s="13">
        <v>43586</v>
      </c>
      <c r="B69" s="44">
        <v>31</v>
      </c>
      <c r="C69" s="35">
        <v>194.20500000000001</v>
      </c>
      <c r="D69" s="35">
        <v>267.46600000000001</v>
      </c>
      <c r="E69" s="41">
        <v>812.32899999999995</v>
      </c>
      <c r="F69" s="35">
        <v>1274</v>
      </c>
      <c r="G69" s="35">
        <v>75</v>
      </c>
      <c r="H69" s="43">
        <v>400</v>
      </c>
      <c r="I69" s="35">
        <v>695</v>
      </c>
      <c r="J69" s="35">
        <v>50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>
      <c r="A70" s="13">
        <v>43617</v>
      </c>
      <c r="B70" s="44">
        <v>30</v>
      </c>
      <c r="C70" s="35">
        <v>194.20500000000001</v>
      </c>
      <c r="D70" s="35">
        <v>267.46600000000001</v>
      </c>
      <c r="E70" s="41">
        <v>812.32899999999995</v>
      </c>
      <c r="F70" s="35">
        <v>1274</v>
      </c>
      <c r="G70" s="35">
        <v>50</v>
      </c>
      <c r="H70" s="43">
        <v>400</v>
      </c>
      <c r="I70" s="35">
        <v>695</v>
      </c>
      <c r="J70" s="35">
        <v>50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</row>
    <row r="71" spans="1:20" ht="15.75">
      <c r="A71" s="13">
        <v>43647</v>
      </c>
      <c r="B71" s="44">
        <v>31</v>
      </c>
      <c r="C71" s="35">
        <v>194.20500000000001</v>
      </c>
      <c r="D71" s="35">
        <v>267.46600000000001</v>
      </c>
      <c r="E71" s="41">
        <v>812.32899999999995</v>
      </c>
      <c r="F71" s="35">
        <v>1274</v>
      </c>
      <c r="G71" s="35">
        <v>50</v>
      </c>
      <c r="H71" s="43">
        <v>400</v>
      </c>
      <c r="I71" s="35">
        <v>695</v>
      </c>
      <c r="J71" s="35">
        <v>0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pans="1:20" ht="15.75">
      <c r="A72" s="13">
        <v>43678</v>
      </c>
      <c r="B72" s="44">
        <v>31</v>
      </c>
      <c r="C72" s="35">
        <v>194.20500000000001</v>
      </c>
      <c r="D72" s="35">
        <v>267.46600000000001</v>
      </c>
      <c r="E72" s="41">
        <v>812.32899999999995</v>
      </c>
      <c r="F72" s="35">
        <v>1274</v>
      </c>
      <c r="G72" s="35">
        <v>50</v>
      </c>
      <c r="H72" s="43">
        <v>400</v>
      </c>
      <c r="I72" s="35">
        <v>695</v>
      </c>
      <c r="J72" s="35">
        <v>0</v>
      </c>
      <c r="K72" s="36"/>
      <c r="L72" s="36"/>
      <c r="M72" s="36"/>
      <c r="N72" s="36"/>
      <c r="O72" s="36"/>
      <c r="P72" s="36"/>
      <c r="Q72" s="36"/>
      <c r="R72" s="36"/>
      <c r="S72" s="36"/>
      <c r="T72" s="36"/>
    </row>
    <row r="73" spans="1:20" ht="15.75">
      <c r="A73" s="13">
        <v>43709</v>
      </c>
      <c r="B73" s="44">
        <v>30</v>
      </c>
      <c r="C73" s="35">
        <v>194.20500000000001</v>
      </c>
      <c r="D73" s="35">
        <v>267.46600000000001</v>
      </c>
      <c r="E73" s="41">
        <v>812.32899999999995</v>
      </c>
      <c r="F73" s="35">
        <v>1274</v>
      </c>
      <c r="G73" s="35">
        <v>50</v>
      </c>
      <c r="H73" s="43">
        <v>400</v>
      </c>
      <c r="I73" s="35">
        <v>695</v>
      </c>
      <c r="J73" s="35">
        <v>0</v>
      </c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>
      <c r="A74" s="13">
        <v>43739</v>
      </c>
      <c r="B74" s="44">
        <v>31</v>
      </c>
      <c r="C74" s="35">
        <v>131.881</v>
      </c>
      <c r="D74" s="35">
        <v>277.16699999999997</v>
      </c>
      <c r="E74" s="41">
        <v>829.952</v>
      </c>
      <c r="F74" s="35">
        <v>1239</v>
      </c>
      <c r="G74" s="35">
        <v>75</v>
      </c>
      <c r="H74" s="43">
        <v>400</v>
      </c>
      <c r="I74" s="35">
        <v>695</v>
      </c>
      <c r="J74" s="35">
        <v>0</v>
      </c>
      <c r="K74" s="36"/>
      <c r="L74" s="36"/>
      <c r="M74" s="36"/>
      <c r="N74" s="36"/>
      <c r="O74" s="36"/>
      <c r="P74" s="36"/>
      <c r="Q74" s="36"/>
      <c r="R74" s="36"/>
      <c r="S74" s="36"/>
      <c r="T74" s="36"/>
    </row>
    <row r="75" spans="1:20" ht="15.75">
      <c r="A75" s="13">
        <v>43770</v>
      </c>
      <c r="B75" s="44">
        <v>30</v>
      </c>
      <c r="C75" s="35">
        <v>122.58</v>
      </c>
      <c r="D75" s="35">
        <v>297.94099999999997</v>
      </c>
      <c r="E75" s="41">
        <v>729.47900000000004</v>
      </c>
      <c r="F75" s="35">
        <v>1150</v>
      </c>
      <c r="G75" s="35">
        <v>100</v>
      </c>
      <c r="H75" s="43">
        <v>400</v>
      </c>
      <c r="I75" s="35">
        <v>695</v>
      </c>
      <c r="J75" s="35">
        <v>50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ht="15.75">
      <c r="A76" s="13">
        <v>43800</v>
      </c>
      <c r="B76" s="44">
        <v>31</v>
      </c>
      <c r="C76" s="35">
        <v>122.58</v>
      </c>
      <c r="D76" s="35">
        <v>297.94099999999997</v>
      </c>
      <c r="E76" s="41">
        <v>729.47900000000004</v>
      </c>
      <c r="F76" s="35">
        <v>1150</v>
      </c>
      <c r="G76" s="35">
        <v>100</v>
      </c>
      <c r="H76" s="43">
        <v>400</v>
      </c>
      <c r="I76" s="35">
        <v>695</v>
      </c>
      <c r="J76" s="35">
        <v>50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</row>
    <row r="77" spans="1:20" ht="15.75">
      <c r="A77" s="13">
        <v>43831</v>
      </c>
      <c r="B77" s="44">
        <v>31</v>
      </c>
      <c r="C77" s="35">
        <v>122.58</v>
      </c>
      <c r="D77" s="35">
        <v>297.94099999999997</v>
      </c>
      <c r="E77" s="41">
        <v>729.47900000000004</v>
      </c>
      <c r="F77" s="35">
        <v>1150</v>
      </c>
      <c r="G77" s="35">
        <v>100</v>
      </c>
      <c r="H77" s="43">
        <v>400</v>
      </c>
      <c r="I77" s="35">
        <v>695</v>
      </c>
      <c r="J77" s="35">
        <v>50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pans="1:20" ht="15.75">
      <c r="A78" s="13">
        <v>43862</v>
      </c>
      <c r="B78" s="44">
        <v>29</v>
      </c>
      <c r="C78" s="35">
        <v>122.58</v>
      </c>
      <c r="D78" s="35">
        <v>297.94099999999997</v>
      </c>
      <c r="E78" s="41">
        <v>729.47900000000004</v>
      </c>
      <c r="F78" s="35">
        <v>1150</v>
      </c>
      <c r="G78" s="35">
        <v>100</v>
      </c>
      <c r="H78" s="43">
        <v>400</v>
      </c>
      <c r="I78" s="35">
        <v>695</v>
      </c>
      <c r="J78" s="35">
        <v>50</v>
      </c>
      <c r="K78" s="36"/>
      <c r="L78" s="36"/>
      <c r="M78" s="36"/>
      <c r="N78" s="36"/>
      <c r="O78" s="36"/>
      <c r="P78" s="36"/>
      <c r="Q78" s="36"/>
      <c r="R78" s="36"/>
      <c r="S78" s="36"/>
      <c r="T78" s="36"/>
    </row>
    <row r="79" spans="1:20" ht="15.75">
      <c r="A79" s="13">
        <v>43891</v>
      </c>
      <c r="B79" s="44">
        <v>31</v>
      </c>
      <c r="C79" s="35">
        <v>122.58</v>
      </c>
      <c r="D79" s="35">
        <v>297.94099999999997</v>
      </c>
      <c r="E79" s="41">
        <v>729.47900000000004</v>
      </c>
      <c r="F79" s="35">
        <v>1150</v>
      </c>
      <c r="G79" s="35">
        <v>100</v>
      </c>
      <c r="H79" s="43">
        <v>400</v>
      </c>
      <c r="I79" s="35">
        <v>695</v>
      </c>
      <c r="J79" s="35">
        <v>50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1:20" ht="15.75">
      <c r="A80" s="13">
        <v>43922</v>
      </c>
      <c r="B80" s="44">
        <v>30</v>
      </c>
      <c r="C80" s="35">
        <v>141.29300000000001</v>
      </c>
      <c r="D80" s="35">
        <v>267.99299999999999</v>
      </c>
      <c r="E80" s="41">
        <v>829.71400000000006</v>
      </c>
      <c r="F80" s="35">
        <v>1239</v>
      </c>
      <c r="G80" s="35">
        <v>100</v>
      </c>
      <c r="H80" s="43">
        <v>400</v>
      </c>
      <c r="I80" s="35">
        <v>695</v>
      </c>
      <c r="J80" s="35">
        <v>50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0" ht="15.75">
      <c r="A81" s="13">
        <v>43952</v>
      </c>
      <c r="B81" s="44">
        <v>31</v>
      </c>
      <c r="C81" s="35">
        <v>194.20500000000001</v>
      </c>
      <c r="D81" s="35">
        <v>267.46600000000001</v>
      </c>
      <c r="E81" s="41">
        <v>812.32899999999995</v>
      </c>
      <c r="F81" s="35">
        <v>1274</v>
      </c>
      <c r="G81" s="35">
        <v>75</v>
      </c>
      <c r="H81" s="43">
        <v>600</v>
      </c>
      <c r="I81" s="35">
        <v>695</v>
      </c>
      <c r="J81" s="35">
        <v>50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1:20" ht="15.75">
      <c r="A82" s="13">
        <v>43983</v>
      </c>
      <c r="B82" s="44">
        <v>30</v>
      </c>
      <c r="C82" s="35">
        <v>194.20500000000001</v>
      </c>
      <c r="D82" s="35">
        <v>267.46600000000001</v>
      </c>
      <c r="E82" s="41">
        <v>812.32899999999995</v>
      </c>
      <c r="F82" s="35">
        <v>1274</v>
      </c>
      <c r="G82" s="35">
        <v>50</v>
      </c>
      <c r="H82" s="43">
        <v>600</v>
      </c>
      <c r="I82" s="35">
        <v>695</v>
      </c>
      <c r="J82" s="35">
        <v>50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1:20" ht="15.75">
      <c r="A83" s="13">
        <v>44013</v>
      </c>
      <c r="B83" s="44">
        <v>31</v>
      </c>
      <c r="C83" s="35">
        <v>194.20500000000001</v>
      </c>
      <c r="D83" s="35">
        <v>267.46600000000001</v>
      </c>
      <c r="E83" s="41">
        <v>812.32899999999995</v>
      </c>
      <c r="F83" s="35">
        <v>1274</v>
      </c>
      <c r="G83" s="35">
        <v>50</v>
      </c>
      <c r="H83" s="43">
        <v>600</v>
      </c>
      <c r="I83" s="35">
        <v>695</v>
      </c>
      <c r="J83" s="35">
        <v>0</v>
      </c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>
      <c r="A84" s="13">
        <v>44044</v>
      </c>
      <c r="B84" s="44">
        <v>31</v>
      </c>
      <c r="C84" s="35">
        <v>194.20500000000001</v>
      </c>
      <c r="D84" s="35">
        <v>267.46600000000001</v>
      </c>
      <c r="E84" s="41">
        <v>812.32899999999995</v>
      </c>
      <c r="F84" s="35">
        <v>1274</v>
      </c>
      <c r="G84" s="35">
        <v>50</v>
      </c>
      <c r="H84" s="43">
        <v>600</v>
      </c>
      <c r="I84" s="35">
        <v>695</v>
      </c>
      <c r="J84" s="35">
        <v>0</v>
      </c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>
      <c r="A85" s="13">
        <v>44075</v>
      </c>
      <c r="B85" s="44">
        <v>30</v>
      </c>
      <c r="C85" s="35">
        <v>194.20500000000001</v>
      </c>
      <c r="D85" s="35">
        <v>267.46600000000001</v>
      </c>
      <c r="E85" s="41">
        <v>812.32899999999995</v>
      </c>
      <c r="F85" s="35">
        <v>1274</v>
      </c>
      <c r="G85" s="35">
        <v>50</v>
      </c>
      <c r="H85" s="43">
        <v>600</v>
      </c>
      <c r="I85" s="35">
        <v>695</v>
      </c>
      <c r="J85" s="35">
        <v>0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pans="1:20" ht="15.75">
      <c r="A86" s="13">
        <v>44105</v>
      </c>
      <c r="B86" s="44">
        <v>31</v>
      </c>
      <c r="C86" s="35">
        <v>131.881</v>
      </c>
      <c r="D86" s="35">
        <v>277.16699999999997</v>
      </c>
      <c r="E86" s="41">
        <v>829.952</v>
      </c>
      <c r="F86" s="35">
        <v>1239</v>
      </c>
      <c r="G86" s="35">
        <v>75</v>
      </c>
      <c r="H86" s="43">
        <v>600</v>
      </c>
      <c r="I86" s="35">
        <v>695</v>
      </c>
      <c r="J86" s="35">
        <v>0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ht="15.75">
      <c r="A87" s="13">
        <v>44136</v>
      </c>
      <c r="B87" s="44">
        <v>30</v>
      </c>
      <c r="C87" s="35">
        <v>122.58</v>
      </c>
      <c r="D87" s="35">
        <v>297.94099999999997</v>
      </c>
      <c r="E87" s="41">
        <v>729.47900000000004</v>
      </c>
      <c r="F87" s="35">
        <v>1150</v>
      </c>
      <c r="G87" s="35">
        <v>100</v>
      </c>
      <c r="H87" s="43">
        <v>600</v>
      </c>
      <c r="I87" s="35">
        <v>695</v>
      </c>
      <c r="J87" s="35">
        <v>50</v>
      </c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pans="1:20" ht="15.75">
      <c r="A88" s="13">
        <v>44166</v>
      </c>
      <c r="B88" s="44">
        <v>31</v>
      </c>
      <c r="C88" s="35">
        <v>122.58</v>
      </c>
      <c r="D88" s="35">
        <v>297.94099999999997</v>
      </c>
      <c r="E88" s="41">
        <v>729.47900000000004</v>
      </c>
      <c r="F88" s="35">
        <v>1150</v>
      </c>
      <c r="G88" s="35">
        <v>100</v>
      </c>
      <c r="H88" s="43">
        <v>600</v>
      </c>
      <c r="I88" s="35">
        <v>695</v>
      </c>
      <c r="J88" s="35">
        <v>50</v>
      </c>
      <c r="K88" s="36"/>
      <c r="L88" s="36"/>
      <c r="M88" s="36"/>
      <c r="N88" s="36"/>
      <c r="O88" s="36"/>
      <c r="P88" s="36"/>
      <c r="Q88" s="36"/>
      <c r="R88" s="36"/>
      <c r="S88" s="36"/>
      <c r="T88" s="36"/>
    </row>
    <row r="89" spans="1:20" ht="15.75">
      <c r="A89" s="13">
        <v>44197</v>
      </c>
      <c r="B89" s="44">
        <v>31</v>
      </c>
      <c r="C89" s="35">
        <v>122.58</v>
      </c>
      <c r="D89" s="35">
        <v>297.94099999999997</v>
      </c>
      <c r="E89" s="41">
        <v>729.47900000000004</v>
      </c>
      <c r="F89" s="35">
        <v>1150</v>
      </c>
      <c r="G89" s="35">
        <v>100</v>
      </c>
      <c r="H89" s="43">
        <v>600</v>
      </c>
      <c r="I89" s="35">
        <v>695</v>
      </c>
      <c r="J89" s="35">
        <v>50</v>
      </c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pans="1:20" ht="15.75">
      <c r="A90" s="13">
        <v>44228</v>
      </c>
      <c r="B90" s="44">
        <v>28</v>
      </c>
      <c r="C90" s="35">
        <v>122.58</v>
      </c>
      <c r="D90" s="35">
        <v>297.94099999999997</v>
      </c>
      <c r="E90" s="41">
        <v>729.47900000000004</v>
      </c>
      <c r="F90" s="35">
        <v>1150</v>
      </c>
      <c r="G90" s="35">
        <v>100</v>
      </c>
      <c r="H90" s="43">
        <v>600</v>
      </c>
      <c r="I90" s="35">
        <v>695</v>
      </c>
      <c r="J90" s="35">
        <v>50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</row>
    <row r="91" spans="1:20" ht="15.75">
      <c r="A91" s="13">
        <v>44256</v>
      </c>
      <c r="B91" s="44">
        <v>31</v>
      </c>
      <c r="C91" s="35">
        <v>122.58</v>
      </c>
      <c r="D91" s="35">
        <v>297.94099999999997</v>
      </c>
      <c r="E91" s="41">
        <v>729.47900000000004</v>
      </c>
      <c r="F91" s="35">
        <v>1150</v>
      </c>
      <c r="G91" s="35">
        <v>100</v>
      </c>
      <c r="H91" s="43">
        <v>600</v>
      </c>
      <c r="I91" s="35">
        <v>695</v>
      </c>
      <c r="J91" s="35">
        <v>50</v>
      </c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1:20" ht="15.75">
      <c r="A92" s="13">
        <v>44287</v>
      </c>
      <c r="B92" s="44">
        <v>30</v>
      </c>
      <c r="C92" s="35">
        <v>141.29300000000001</v>
      </c>
      <c r="D92" s="35">
        <v>267.99299999999999</v>
      </c>
      <c r="E92" s="41">
        <v>829.71400000000006</v>
      </c>
      <c r="F92" s="35">
        <v>1239</v>
      </c>
      <c r="G92" s="35">
        <v>100</v>
      </c>
      <c r="H92" s="43">
        <v>600</v>
      </c>
      <c r="I92" s="35">
        <v>695</v>
      </c>
      <c r="J92" s="35">
        <v>50</v>
      </c>
      <c r="K92" s="36"/>
      <c r="L92" s="36"/>
      <c r="M92" s="36"/>
      <c r="N92" s="36"/>
      <c r="O92" s="36"/>
      <c r="P92" s="36"/>
      <c r="Q92" s="36"/>
      <c r="R92" s="36"/>
      <c r="S92" s="36"/>
      <c r="T92" s="36"/>
    </row>
    <row r="93" spans="1:20" ht="15.75">
      <c r="A93" s="13">
        <v>44317</v>
      </c>
      <c r="B93" s="44">
        <v>31</v>
      </c>
      <c r="C93" s="35">
        <v>194.20500000000001</v>
      </c>
      <c r="D93" s="35">
        <v>267.46600000000001</v>
      </c>
      <c r="E93" s="41">
        <v>812.32899999999995</v>
      </c>
      <c r="F93" s="35">
        <v>1274</v>
      </c>
      <c r="G93" s="35">
        <v>75</v>
      </c>
      <c r="H93" s="43">
        <v>600</v>
      </c>
      <c r="I93" s="35">
        <v>695</v>
      </c>
      <c r="J93" s="35">
        <v>50</v>
      </c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0" ht="15.75">
      <c r="A94" s="13">
        <v>44348</v>
      </c>
      <c r="B94" s="44">
        <v>30</v>
      </c>
      <c r="C94" s="35">
        <v>194.20500000000001</v>
      </c>
      <c r="D94" s="35">
        <v>267.46600000000001</v>
      </c>
      <c r="E94" s="41">
        <v>812.32899999999995</v>
      </c>
      <c r="F94" s="35">
        <v>1274</v>
      </c>
      <c r="G94" s="35">
        <v>50</v>
      </c>
      <c r="H94" s="43">
        <v>600</v>
      </c>
      <c r="I94" s="35">
        <v>695</v>
      </c>
      <c r="J94" s="35">
        <v>50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</row>
    <row r="95" spans="1:20" ht="15.75">
      <c r="A95" s="13">
        <v>44378</v>
      </c>
      <c r="B95" s="44">
        <v>31</v>
      </c>
      <c r="C95" s="35">
        <v>194.20500000000001</v>
      </c>
      <c r="D95" s="35">
        <v>267.46600000000001</v>
      </c>
      <c r="E95" s="41">
        <v>812.32899999999995</v>
      </c>
      <c r="F95" s="35">
        <v>1274</v>
      </c>
      <c r="G95" s="35">
        <v>50</v>
      </c>
      <c r="H95" s="43">
        <v>600</v>
      </c>
      <c r="I95" s="35">
        <v>695</v>
      </c>
      <c r="J95" s="35">
        <v>0</v>
      </c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ht="15.75">
      <c r="A96" s="13">
        <v>44409</v>
      </c>
      <c r="B96" s="44">
        <v>31</v>
      </c>
      <c r="C96" s="35">
        <v>194.20500000000001</v>
      </c>
      <c r="D96" s="35">
        <v>267.46600000000001</v>
      </c>
      <c r="E96" s="41">
        <v>812.32899999999995</v>
      </c>
      <c r="F96" s="35">
        <v>1274</v>
      </c>
      <c r="G96" s="35">
        <v>50</v>
      </c>
      <c r="H96" s="43">
        <v>600</v>
      </c>
      <c r="I96" s="35">
        <v>695</v>
      </c>
      <c r="J96" s="35">
        <v>0</v>
      </c>
      <c r="K96" s="36"/>
      <c r="L96" s="36"/>
      <c r="M96" s="36"/>
      <c r="N96" s="36"/>
      <c r="O96" s="36"/>
      <c r="P96" s="36"/>
      <c r="Q96" s="36"/>
      <c r="R96" s="36"/>
      <c r="S96" s="36"/>
      <c r="T96" s="36"/>
    </row>
    <row r="97" spans="1:20" ht="15.75">
      <c r="A97" s="13">
        <v>44440</v>
      </c>
      <c r="B97" s="44">
        <v>30</v>
      </c>
      <c r="C97" s="35">
        <v>194.20500000000001</v>
      </c>
      <c r="D97" s="35">
        <v>267.46600000000001</v>
      </c>
      <c r="E97" s="41">
        <v>812.32899999999995</v>
      </c>
      <c r="F97" s="35">
        <v>1274</v>
      </c>
      <c r="G97" s="35">
        <v>50</v>
      </c>
      <c r="H97" s="43">
        <v>600</v>
      </c>
      <c r="I97" s="35">
        <v>695</v>
      </c>
      <c r="J97" s="35">
        <v>0</v>
      </c>
      <c r="K97" s="36"/>
      <c r="L97" s="36"/>
      <c r="M97" s="36"/>
      <c r="N97" s="36"/>
      <c r="O97" s="36"/>
      <c r="P97" s="36"/>
      <c r="Q97" s="36"/>
      <c r="R97" s="36"/>
      <c r="S97" s="36"/>
      <c r="T97" s="36"/>
    </row>
    <row r="98" spans="1:20" ht="15.75">
      <c r="A98" s="13">
        <v>44470</v>
      </c>
      <c r="B98" s="44">
        <v>31</v>
      </c>
      <c r="C98" s="35">
        <v>131.881</v>
      </c>
      <c r="D98" s="35">
        <v>277.16699999999997</v>
      </c>
      <c r="E98" s="41">
        <v>829.952</v>
      </c>
      <c r="F98" s="35">
        <v>1239</v>
      </c>
      <c r="G98" s="35">
        <v>75</v>
      </c>
      <c r="H98" s="43">
        <v>600</v>
      </c>
      <c r="I98" s="35">
        <v>695</v>
      </c>
      <c r="J98" s="35">
        <v>0</v>
      </c>
      <c r="K98" s="36"/>
      <c r="L98" s="36"/>
      <c r="M98" s="36"/>
      <c r="N98" s="36"/>
      <c r="O98" s="36"/>
      <c r="P98" s="36"/>
      <c r="Q98" s="36"/>
      <c r="R98" s="36"/>
      <c r="S98" s="36"/>
      <c r="T98" s="36"/>
    </row>
    <row r="99" spans="1:20" ht="15.75">
      <c r="A99" s="13">
        <v>44501</v>
      </c>
      <c r="B99" s="44">
        <v>30</v>
      </c>
      <c r="C99" s="35">
        <v>122.58</v>
      </c>
      <c r="D99" s="35">
        <v>297.94099999999997</v>
      </c>
      <c r="E99" s="41">
        <v>729.47900000000004</v>
      </c>
      <c r="F99" s="35">
        <v>1150</v>
      </c>
      <c r="G99" s="35">
        <v>100</v>
      </c>
      <c r="H99" s="43">
        <v>600</v>
      </c>
      <c r="I99" s="35">
        <v>695</v>
      </c>
      <c r="J99" s="35">
        <v>50</v>
      </c>
      <c r="K99" s="36"/>
      <c r="L99" s="36"/>
      <c r="M99" s="36"/>
      <c r="N99" s="36"/>
      <c r="O99" s="36"/>
      <c r="P99" s="36"/>
      <c r="Q99" s="36"/>
      <c r="R99" s="36"/>
      <c r="S99" s="36"/>
      <c r="T99" s="36"/>
    </row>
    <row r="100" spans="1:20" ht="15.75">
      <c r="A100" s="13">
        <v>44531</v>
      </c>
      <c r="B100" s="44">
        <v>31</v>
      </c>
      <c r="C100" s="35">
        <v>122.58</v>
      </c>
      <c r="D100" s="35">
        <v>297.94099999999997</v>
      </c>
      <c r="E100" s="41">
        <v>729.47900000000004</v>
      </c>
      <c r="F100" s="35">
        <v>1150</v>
      </c>
      <c r="G100" s="35">
        <v>100</v>
      </c>
      <c r="H100" s="43">
        <v>600</v>
      </c>
      <c r="I100" s="35">
        <v>695</v>
      </c>
      <c r="J100" s="35">
        <v>50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20" ht="15.75">
      <c r="A101" s="13">
        <v>44562</v>
      </c>
      <c r="B101" s="44">
        <v>31</v>
      </c>
      <c r="C101" s="35">
        <v>122.58</v>
      </c>
      <c r="D101" s="35">
        <v>297.94099999999997</v>
      </c>
      <c r="E101" s="41">
        <v>729.47900000000004</v>
      </c>
      <c r="F101" s="35">
        <v>1150</v>
      </c>
      <c r="G101" s="35">
        <v>100</v>
      </c>
      <c r="H101" s="43">
        <v>600</v>
      </c>
      <c r="I101" s="35">
        <v>695</v>
      </c>
      <c r="J101" s="35">
        <v>50</v>
      </c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pans="1:20" ht="15.75">
      <c r="A102" s="13">
        <v>44593</v>
      </c>
      <c r="B102" s="44">
        <v>28</v>
      </c>
      <c r="C102" s="35">
        <v>122.58</v>
      </c>
      <c r="D102" s="35">
        <v>297.94099999999997</v>
      </c>
      <c r="E102" s="41">
        <v>729.47900000000004</v>
      </c>
      <c r="F102" s="35">
        <v>1150</v>
      </c>
      <c r="G102" s="35">
        <v>100</v>
      </c>
      <c r="H102" s="43">
        <v>600</v>
      </c>
      <c r="I102" s="35">
        <v>695</v>
      </c>
      <c r="J102" s="35">
        <v>50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pans="1:20" ht="15.75">
      <c r="A103" s="13">
        <v>44621</v>
      </c>
      <c r="B103" s="44">
        <v>31</v>
      </c>
      <c r="C103" s="35">
        <v>122.58</v>
      </c>
      <c r="D103" s="35">
        <v>297.94099999999997</v>
      </c>
      <c r="E103" s="41">
        <v>729.47900000000004</v>
      </c>
      <c r="F103" s="35">
        <v>1150</v>
      </c>
      <c r="G103" s="35">
        <v>100</v>
      </c>
      <c r="H103" s="43">
        <v>600</v>
      </c>
      <c r="I103" s="35">
        <v>695</v>
      </c>
      <c r="J103" s="35">
        <v>50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</row>
    <row r="104" spans="1:20" ht="15.75">
      <c r="A104" s="13">
        <v>44652</v>
      </c>
      <c r="B104" s="44">
        <v>30</v>
      </c>
      <c r="C104" s="35">
        <v>141.29300000000001</v>
      </c>
      <c r="D104" s="35">
        <v>267.99299999999999</v>
      </c>
      <c r="E104" s="41">
        <v>829.71400000000006</v>
      </c>
      <c r="F104" s="35">
        <v>1239</v>
      </c>
      <c r="G104" s="35">
        <v>100</v>
      </c>
      <c r="H104" s="43">
        <v>600</v>
      </c>
      <c r="I104" s="35">
        <v>695</v>
      </c>
      <c r="J104" s="35">
        <v>50</v>
      </c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pans="1:20" ht="15.75">
      <c r="A105" s="13">
        <v>44682</v>
      </c>
      <c r="B105" s="44">
        <v>31</v>
      </c>
      <c r="C105" s="35">
        <v>194.20500000000001</v>
      </c>
      <c r="D105" s="35">
        <v>267.46600000000001</v>
      </c>
      <c r="E105" s="41">
        <v>812.32899999999995</v>
      </c>
      <c r="F105" s="35">
        <v>1274</v>
      </c>
      <c r="G105" s="35">
        <v>75</v>
      </c>
      <c r="H105" s="43">
        <v>600</v>
      </c>
      <c r="I105" s="35">
        <v>695</v>
      </c>
      <c r="J105" s="35">
        <v>50</v>
      </c>
      <c r="K105" s="36"/>
      <c r="L105" s="36"/>
      <c r="M105" s="36"/>
      <c r="N105" s="36"/>
      <c r="O105" s="36"/>
      <c r="P105" s="36"/>
      <c r="Q105" s="36"/>
      <c r="R105" s="36"/>
      <c r="S105" s="36"/>
      <c r="T105" s="36"/>
    </row>
    <row r="106" spans="1:20" ht="15.75">
      <c r="A106" s="13">
        <v>44713</v>
      </c>
      <c r="B106" s="44">
        <v>30</v>
      </c>
      <c r="C106" s="35">
        <v>194.20500000000001</v>
      </c>
      <c r="D106" s="35">
        <v>267.46600000000001</v>
      </c>
      <c r="E106" s="41">
        <v>812.32899999999995</v>
      </c>
      <c r="F106" s="35">
        <v>1274</v>
      </c>
      <c r="G106" s="35">
        <v>50</v>
      </c>
      <c r="H106" s="43">
        <v>600</v>
      </c>
      <c r="I106" s="35">
        <v>695</v>
      </c>
      <c r="J106" s="35">
        <v>50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pans="1:20" ht="15.75">
      <c r="A107" s="13">
        <v>44743</v>
      </c>
      <c r="B107" s="44">
        <v>31</v>
      </c>
      <c r="C107" s="35">
        <v>194.20500000000001</v>
      </c>
      <c r="D107" s="35">
        <v>267.46600000000001</v>
      </c>
      <c r="E107" s="41">
        <v>812.32899999999995</v>
      </c>
      <c r="F107" s="35">
        <v>1274</v>
      </c>
      <c r="G107" s="35">
        <v>50</v>
      </c>
      <c r="H107" s="43">
        <v>600</v>
      </c>
      <c r="I107" s="35">
        <v>695</v>
      </c>
      <c r="J107" s="35">
        <v>0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ht="15.75">
      <c r="A108" s="13">
        <v>44774</v>
      </c>
      <c r="B108" s="44">
        <v>31</v>
      </c>
      <c r="C108" s="35">
        <v>194.20500000000001</v>
      </c>
      <c r="D108" s="35">
        <v>267.46600000000001</v>
      </c>
      <c r="E108" s="41">
        <v>812.32899999999995</v>
      </c>
      <c r="F108" s="35">
        <v>1274</v>
      </c>
      <c r="G108" s="35">
        <v>50</v>
      </c>
      <c r="H108" s="43">
        <v>600</v>
      </c>
      <c r="I108" s="35">
        <v>695</v>
      </c>
      <c r="J108" s="35">
        <v>0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pans="1:20" ht="15.75">
      <c r="A109" s="13">
        <v>44805</v>
      </c>
      <c r="B109" s="44">
        <v>30</v>
      </c>
      <c r="C109" s="35">
        <v>194.20500000000001</v>
      </c>
      <c r="D109" s="35">
        <v>267.46600000000001</v>
      </c>
      <c r="E109" s="41">
        <v>812.32899999999995</v>
      </c>
      <c r="F109" s="35">
        <v>1274</v>
      </c>
      <c r="G109" s="35">
        <v>50</v>
      </c>
      <c r="H109" s="43">
        <v>600</v>
      </c>
      <c r="I109" s="35">
        <v>695</v>
      </c>
      <c r="J109" s="35">
        <v>0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</row>
    <row r="110" spans="1:20" ht="15.75">
      <c r="A110" s="13">
        <v>44835</v>
      </c>
      <c r="B110" s="44">
        <v>31</v>
      </c>
      <c r="C110" s="35">
        <v>131.881</v>
      </c>
      <c r="D110" s="35">
        <v>277.16699999999997</v>
      </c>
      <c r="E110" s="41">
        <v>829.952</v>
      </c>
      <c r="F110" s="35">
        <v>1239</v>
      </c>
      <c r="G110" s="35">
        <v>75</v>
      </c>
      <c r="H110" s="43">
        <v>600</v>
      </c>
      <c r="I110" s="35">
        <v>695</v>
      </c>
      <c r="J110" s="35">
        <v>0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.75">
      <c r="A111" s="13">
        <v>44866</v>
      </c>
      <c r="B111" s="44">
        <v>30</v>
      </c>
      <c r="C111" s="35">
        <v>122.58</v>
      </c>
      <c r="D111" s="35">
        <v>297.94099999999997</v>
      </c>
      <c r="E111" s="41">
        <v>729.47900000000004</v>
      </c>
      <c r="F111" s="35">
        <v>1150</v>
      </c>
      <c r="G111" s="35">
        <v>100</v>
      </c>
      <c r="H111" s="43">
        <v>600</v>
      </c>
      <c r="I111" s="35">
        <v>695</v>
      </c>
      <c r="J111" s="35">
        <v>50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15.75">
      <c r="A112" s="13">
        <v>44896</v>
      </c>
      <c r="B112" s="44">
        <v>31</v>
      </c>
      <c r="C112" s="35">
        <v>122.58</v>
      </c>
      <c r="D112" s="35">
        <v>297.94099999999997</v>
      </c>
      <c r="E112" s="41">
        <v>729.47900000000004</v>
      </c>
      <c r="F112" s="35">
        <v>1150</v>
      </c>
      <c r="G112" s="35">
        <v>100</v>
      </c>
      <c r="H112" s="43">
        <v>600</v>
      </c>
      <c r="I112" s="35">
        <v>695</v>
      </c>
      <c r="J112" s="35">
        <v>50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15.75">
      <c r="A113" s="13">
        <v>44927</v>
      </c>
      <c r="B113" s="44">
        <v>31</v>
      </c>
      <c r="C113" s="35">
        <v>122.58</v>
      </c>
      <c r="D113" s="35">
        <v>297.94099999999997</v>
      </c>
      <c r="E113" s="41">
        <v>729.47900000000004</v>
      </c>
      <c r="F113" s="35">
        <v>1150</v>
      </c>
      <c r="G113" s="35">
        <v>100</v>
      </c>
      <c r="H113" s="43">
        <v>600</v>
      </c>
      <c r="I113" s="35">
        <v>695</v>
      </c>
      <c r="J113" s="35">
        <v>50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</row>
    <row r="114" spans="1:20" ht="15.75">
      <c r="A114" s="13">
        <v>44958</v>
      </c>
      <c r="B114" s="44">
        <v>28</v>
      </c>
      <c r="C114" s="35">
        <v>122.58</v>
      </c>
      <c r="D114" s="35">
        <v>297.94099999999997</v>
      </c>
      <c r="E114" s="41">
        <v>729.47900000000004</v>
      </c>
      <c r="F114" s="35">
        <v>1150</v>
      </c>
      <c r="G114" s="35">
        <v>100</v>
      </c>
      <c r="H114" s="43">
        <v>600</v>
      </c>
      <c r="I114" s="35">
        <v>695</v>
      </c>
      <c r="J114" s="35">
        <v>50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pans="1:20" ht="15.75">
      <c r="A115" s="13">
        <v>44986</v>
      </c>
      <c r="B115" s="44">
        <v>31</v>
      </c>
      <c r="C115" s="35">
        <v>122.58</v>
      </c>
      <c r="D115" s="35">
        <v>297.94099999999997</v>
      </c>
      <c r="E115" s="41">
        <v>729.47900000000004</v>
      </c>
      <c r="F115" s="35">
        <v>1150</v>
      </c>
      <c r="G115" s="35">
        <v>100</v>
      </c>
      <c r="H115" s="43">
        <v>600</v>
      </c>
      <c r="I115" s="35">
        <v>695</v>
      </c>
      <c r="J115" s="35">
        <v>50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</row>
    <row r="116" spans="1:20" ht="15.75">
      <c r="A116" s="13">
        <v>45017</v>
      </c>
      <c r="B116" s="44">
        <v>30</v>
      </c>
      <c r="C116" s="35">
        <v>141.29300000000001</v>
      </c>
      <c r="D116" s="35">
        <v>267.99299999999999</v>
      </c>
      <c r="E116" s="41">
        <v>829.71400000000006</v>
      </c>
      <c r="F116" s="35">
        <v>1239</v>
      </c>
      <c r="G116" s="35">
        <v>100</v>
      </c>
      <c r="H116" s="43">
        <v>600</v>
      </c>
      <c r="I116" s="35">
        <v>695</v>
      </c>
      <c r="J116" s="35">
        <v>50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1:20" ht="15.75">
      <c r="A117" s="13">
        <v>45047</v>
      </c>
      <c r="B117" s="44">
        <v>31</v>
      </c>
      <c r="C117" s="35">
        <v>194.20500000000001</v>
      </c>
      <c r="D117" s="35">
        <v>267.46600000000001</v>
      </c>
      <c r="E117" s="41">
        <v>812.32899999999995</v>
      </c>
      <c r="F117" s="35">
        <v>1274</v>
      </c>
      <c r="G117" s="35">
        <v>75</v>
      </c>
      <c r="H117" s="43">
        <v>600</v>
      </c>
      <c r="I117" s="35">
        <v>695</v>
      </c>
      <c r="J117" s="35">
        <v>50</v>
      </c>
      <c r="K117" s="36"/>
      <c r="L117" s="36"/>
      <c r="M117" s="36"/>
      <c r="N117" s="36"/>
      <c r="O117" s="36"/>
      <c r="P117" s="36"/>
      <c r="Q117" s="36"/>
      <c r="R117" s="36"/>
      <c r="S117" s="36"/>
      <c r="T117" s="36"/>
    </row>
    <row r="118" spans="1:20" ht="15.75">
      <c r="A118" s="13">
        <v>45078</v>
      </c>
      <c r="B118" s="44">
        <v>30</v>
      </c>
      <c r="C118" s="35">
        <v>194.20500000000001</v>
      </c>
      <c r="D118" s="35">
        <v>267.46600000000001</v>
      </c>
      <c r="E118" s="41">
        <v>812.32899999999995</v>
      </c>
      <c r="F118" s="35">
        <v>1274</v>
      </c>
      <c r="G118" s="35">
        <v>50</v>
      </c>
      <c r="H118" s="43">
        <v>600</v>
      </c>
      <c r="I118" s="35">
        <v>695</v>
      </c>
      <c r="J118" s="35">
        <v>50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pans="1:20" ht="15.75">
      <c r="A119" s="13">
        <v>45108</v>
      </c>
      <c r="B119" s="44">
        <v>31</v>
      </c>
      <c r="C119" s="35">
        <v>194.20500000000001</v>
      </c>
      <c r="D119" s="35">
        <v>267.46600000000001</v>
      </c>
      <c r="E119" s="41">
        <v>812.32899999999995</v>
      </c>
      <c r="F119" s="35">
        <v>1274</v>
      </c>
      <c r="G119" s="35">
        <v>50</v>
      </c>
      <c r="H119" s="43">
        <v>600</v>
      </c>
      <c r="I119" s="35">
        <v>695</v>
      </c>
      <c r="J119" s="35">
        <v>0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</row>
    <row r="120" spans="1:20" ht="15.75">
      <c r="A120" s="13">
        <v>45139</v>
      </c>
      <c r="B120" s="44">
        <v>31</v>
      </c>
      <c r="C120" s="35">
        <v>194.20500000000001</v>
      </c>
      <c r="D120" s="35">
        <v>267.46600000000001</v>
      </c>
      <c r="E120" s="41">
        <v>812.32899999999995</v>
      </c>
      <c r="F120" s="35">
        <v>1274</v>
      </c>
      <c r="G120" s="35">
        <v>50</v>
      </c>
      <c r="H120" s="43">
        <v>600</v>
      </c>
      <c r="I120" s="35">
        <v>695</v>
      </c>
      <c r="J120" s="35">
        <v>0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pans="1:20" ht="15.75">
      <c r="A121" s="13">
        <v>45170</v>
      </c>
      <c r="B121" s="44">
        <v>30</v>
      </c>
      <c r="C121" s="35">
        <v>194.20500000000001</v>
      </c>
      <c r="D121" s="35">
        <v>267.46600000000001</v>
      </c>
      <c r="E121" s="41">
        <v>812.32899999999995</v>
      </c>
      <c r="F121" s="35">
        <v>1274</v>
      </c>
      <c r="G121" s="35">
        <v>50</v>
      </c>
      <c r="H121" s="43">
        <v>600</v>
      </c>
      <c r="I121" s="35">
        <v>695</v>
      </c>
      <c r="J121" s="35">
        <v>0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0" ht="15.75">
      <c r="A122" s="13">
        <v>45200</v>
      </c>
      <c r="B122" s="44">
        <v>31</v>
      </c>
      <c r="C122" s="35">
        <v>131.881</v>
      </c>
      <c r="D122" s="35">
        <v>277.16699999999997</v>
      </c>
      <c r="E122" s="41">
        <v>829.952</v>
      </c>
      <c r="F122" s="35">
        <v>1239</v>
      </c>
      <c r="G122" s="35">
        <v>75</v>
      </c>
      <c r="H122" s="43">
        <v>600</v>
      </c>
      <c r="I122" s="35">
        <v>695</v>
      </c>
      <c r="J122" s="35">
        <v>0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0" ht="15.75">
      <c r="A123" s="13">
        <v>45231</v>
      </c>
      <c r="B123" s="44">
        <v>30</v>
      </c>
      <c r="C123" s="35">
        <v>122.58</v>
      </c>
      <c r="D123" s="35">
        <v>297.94099999999997</v>
      </c>
      <c r="E123" s="41">
        <v>729.47900000000004</v>
      </c>
      <c r="F123" s="35">
        <v>1150</v>
      </c>
      <c r="G123" s="35">
        <v>100</v>
      </c>
      <c r="H123" s="43">
        <v>600</v>
      </c>
      <c r="I123" s="35">
        <v>695</v>
      </c>
      <c r="J123" s="35">
        <v>50</v>
      </c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0" ht="15.75">
      <c r="A124" s="13">
        <v>45261</v>
      </c>
      <c r="B124" s="44">
        <v>31</v>
      </c>
      <c r="C124" s="35">
        <v>122.58</v>
      </c>
      <c r="D124" s="35">
        <v>297.94099999999997</v>
      </c>
      <c r="E124" s="41">
        <v>729.47900000000004</v>
      </c>
      <c r="F124" s="35">
        <v>1150</v>
      </c>
      <c r="G124" s="35">
        <v>100</v>
      </c>
      <c r="H124" s="43">
        <v>600</v>
      </c>
      <c r="I124" s="35">
        <v>695</v>
      </c>
      <c r="J124" s="35">
        <v>50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0" ht="15.75">
      <c r="A125" s="13">
        <v>45292</v>
      </c>
      <c r="B125" s="44">
        <v>31</v>
      </c>
      <c r="C125" s="35">
        <v>122.58</v>
      </c>
      <c r="D125" s="35">
        <v>297.94099999999997</v>
      </c>
      <c r="E125" s="41">
        <v>729.47900000000004</v>
      </c>
      <c r="F125" s="35">
        <v>1150</v>
      </c>
      <c r="G125" s="35">
        <v>100</v>
      </c>
      <c r="H125" s="43">
        <v>600</v>
      </c>
      <c r="I125" s="35">
        <v>695</v>
      </c>
      <c r="J125" s="35">
        <v>50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0" ht="15.75">
      <c r="A126" s="13">
        <v>45323</v>
      </c>
      <c r="B126" s="44">
        <v>29</v>
      </c>
      <c r="C126" s="35">
        <v>122.58</v>
      </c>
      <c r="D126" s="35">
        <v>297.94099999999997</v>
      </c>
      <c r="E126" s="41">
        <v>729.47900000000004</v>
      </c>
      <c r="F126" s="35">
        <v>1150</v>
      </c>
      <c r="G126" s="35">
        <v>100</v>
      </c>
      <c r="H126" s="43">
        <v>600</v>
      </c>
      <c r="I126" s="35">
        <v>695</v>
      </c>
      <c r="J126" s="35">
        <v>50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0" ht="15.75">
      <c r="A127" s="13">
        <v>45352</v>
      </c>
      <c r="B127" s="44">
        <v>31</v>
      </c>
      <c r="C127" s="35">
        <v>122.58</v>
      </c>
      <c r="D127" s="35">
        <v>297.94099999999997</v>
      </c>
      <c r="E127" s="41">
        <v>729.47900000000004</v>
      </c>
      <c r="F127" s="35">
        <v>1150</v>
      </c>
      <c r="G127" s="35">
        <v>100</v>
      </c>
      <c r="H127" s="43">
        <v>600</v>
      </c>
      <c r="I127" s="35">
        <v>695</v>
      </c>
      <c r="J127" s="35">
        <v>50</v>
      </c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0" ht="15.75">
      <c r="A128" s="13">
        <v>45383</v>
      </c>
      <c r="B128" s="44">
        <v>30</v>
      </c>
      <c r="C128" s="35">
        <v>141.29300000000001</v>
      </c>
      <c r="D128" s="35">
        <v>267.99299999999999</v>
      </c>
      <c r="E128" s="41">
        <v>829.71400000000006</v>
      </c>
      <c r="F128" s="35">
        <v>1239</v>
      </c>
      <c r="G128" s="35">
        <v>100</v>
      </c>
      <c r="H128" s="43">
        <v>600</v>
      </c>
      <c r="I128" s="35">
        <v>695</v>
      </c>
      <c r="J128" s="35">
        <v>50</v>
      </c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ht="15.75">
      <c r="A129" s="13">
        <v>45413</v>
      </c>
      <c r="B129" s="44">
        <v>31</v>
      </c>
      <c r="C129" s="35">
        <v>194.20500000000001</v>
      </c>
      <c r="D129" s="35">
        <v>267.46600000000001</v>
      </c>
      <c r="E129" s="41">
        <v>812.32899999999995</v>
      </c>
      <c r="F129" s="35">
        <v>1274</v>
      </c>
      <c r="G129" s="35">
        <v>75</v>
      </c>
      <c r="H129" s="43">
        <v>600</v>
      </c>
      <c r="I129" s="35">
        <v>695</v>
      </c>
      <c r="J129" s="35">
        <v>50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ht="15.75">
      <c r="A130" s="13">
        <v>45444</v>
      </c>
      <c r="B130" s="44">
        <v>30</v>
      </c>
      <c r="C130" s="35">
        <v>194.20500000000001</v>
      </c>
      <c r="D130" s="35">
        <v>267.46600000000001</v>
      </c>
      <c r="E130" s="41">
        <v>812.32899999999995</v>
      </c>
      <c r="F130" s="35">
        <v>1274</v>
      </c>
      <c r="G130" s="35">
        <v>50</v>
      </c>
      <c r="H130" s="43">
        <v>600</v>
      </c>
      <c r="I130" s="35">
        <v>695</v>
      </c>
      <c r="J130" s="35">
        <v>50</v>
      </c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ht="15.75">
      <c r="A131" s="13">
        <v>45474</v>
      </c>
      <c r="B131" s="44">
        <v>31</v>
      </c>
      <c r="C131" s="35">
        <v>194.20500000000001</v>
      </c>
      <c r="D131" s="35">
        <v>267.46600000000001</v>
      </c>
      <c r="E131" s="41">
        <v>812.32899999999995</v>
      </c>
      <c r="F131" s="35">
        <v>1274</v>
      </c>
      <c r="G131" s="35">
        <v>50</v>
      </c>
      <c r="H131" s="43">
        <v>600</v>
      </c>
      <c r="I131" s="35">
        <v>695</v>
      </c>
      <c r="J131" s="35">
        <v>0</v>
      </c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ht="15.75">
      <c r="A132" s="13">
        <v>45505</v>
      </c>
      <c r="B132" s="44">
        <v>31</v>
      </c>
      <c r="C132" s="35">
        <v>194.20500000000001</v>
      </c>
      <c r="D132" s="35">
        <v>267.46600000000001</v>
      </c>
      <c r="E132" s="41">
        <v>812.32899999999995</v>
      </c>
      <c r="F132" s="35">
        <v>1274</v>
      </c>
      <c r="G132" s="35">
        <v>50</v>
      </c>
      <c r="H132" s="43">
        <v>600</v>
      </c>
      <c r="I132" s="35">
        <v>695</v>
      </c>
      <c r="J132" s="35">
        <v>0</v>
      </c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ht="15.75">
      <c r="A133" s="13">
        <v>45536</v>
      </c>
      <c r="B133" s="44">
        <v>30</v>
      </c>
      <c r="C133" s="35">
        <v>194.20500000000001</v>
      </c>
      <c r="D133" s="35">
        <v>267.46600000000001</v>
      </c>
      <c r="E133" s="41">
        <v>812.32899999999995</v>
      </c>
      <c r="F133" s="35">
        <v>1274</v>
      </c>
      <c r="G133" s="35">
        <v>50</v>
      </c>
      <c r="H133" s="43">
        <v>600</v>
      </c>
      <c r="I133" s="35">
        <v>695</v>
      </c>
      <c r="J133" s="35">
        <v>0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ht="15.75">
      <c r="A134" s="13">
        <v>45566</v>
      </c>
      <c r="B134" s="44">
        <v>31</v>
      </c>
      <c r="C134" s="35">
        <v>131.881</v>
      </c>
      <c r="D134" s="35">
        <v>277.16699999999997</v>
      </c>
      <c r="E134" s="41">
        <v>829.952</v>
      </c>
      <c r="F134" s="35">
        <v>1239</v>
      </c>
      <c r="G134" s="35">
        <v>75</v>
      </c>
      <c r="H134" s="43">
        <v>600</v>
      </c>
      <c r="I134" s="35">
        <v>695</v>
      </c>
      <c r="J134" s="35">
        <v>0</v>
      </c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ht="15.75">
      <c r="A135" s="13">
        <v>45597</v>
      </c>
      <c r="B135" s="44">
        <v>30</v>
      </c>
      <c r="C135" s="35">
        <v>122.58</v>
      </c>
      <c r="D135" s="35">
        <v>297.94099999999997</v>
      </c>
      <c r="E135" s="41">
        <v>729.47900000000004</v>
      </c>
      <c r="F135" s="35">
        <v>1150</v>
      </c>
      <c r="G135" s="35">
        <v>100</v>
      </c>
      <c r="H135" s="43">
        <v>600</v>
      </c>
      <c r="I135" s="35">
        <v>695</v>
      </c>
      <c r="J135" s="35">
        <v>50</v>
      </c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ht="15.75">
      <c r="A136" s="13">
        <v>45627</v>
      </c>
      <c r="B136" s="44">
        <v>31</v>
      </c>
      <c r="C136" s="35">
        <v>122.58</v>
      </c>
      <c r="D136" s="35">
        <v>297.94099999999997</v>
      </c>
      <c r="E136" s="41">
        <v>729.47900000000004</v>
      </c>
      <c r="F136" s="35">
        <v>1150</v>
      </c>
      <c r="G136" s="35">
        <v>100</v>
      </c>
      <c r="H136" s="43">
        <v>600</v>
      </c>
      <c r="I136" s="35">
        <v>695</v>
      </c>
      <c r="J136" s="35">
        <v>50</v>
      </c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ht="15.75">
      <c r="A137" s="13">
        <v>45658</v>
      </c>
      <c r="B137" s="44">
        <v>31</v>
      </c>
      <c r="C137" s="35">
        <v>122.58</v>
      </c>
      <c r="D137" s="35">
        <v>297.94099999999997</v>
      </c>
      <c r="E137" s="41">
        <v>729.47900000000004</v>
      </c>
      <c r="F137" s="35">
        <v>1150</v>
      </c>
      <c r="G137" s="35">
        <v>100</v>
      </c>
      <c r="H137" s="43">
        <v>600</v>
      </c>
      <c r="I137" s="35">
        <v>695</v>
      </c>
      <c r="J137" s="35">
        <v>50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ht="15.75">
      <c r="A138" s="13">
        <v>45689</v>
      </c>
      <c r="B138" s="44">
        <v>28</v>
      </c>
      <c r="C138" s="35">
        <v>122.58</v>
      </c>
      <c r="D138" s="35">
        <v>297.94099999999997</v>
      </c>
      <c r="E138" s="41">
        <v>729.47900000000004</v>
      </c>
      <c r="F138" s="35">
        <v>1150</v>
      </c>
      <c r="G138" s="35">
        <v>100</v>
      </c>
      <c r="H138" s="43">
        <v>600</v>
      </c>
      <c r="I138" s="35">
        <v>695</v>
      </c>
      <c r="J138" s="35">
        <v>50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.75">
      <c r="A139" s="13">
        <v>45717</v>
      </c>
      <c r="B139" s="44">
        <v>31</v>
      </c>
      <c r="C139" s="35">
        <v>122.58</v>
      </c>
      <c r="D139" s="35">
        <v>297.94099999999997</v>
      </c>
      <c r="E139" s="41">
        <v>729.47900000000004</v>
      </c>
      <c r="F139" s="35">
        <v>1150</v>
      </c>
      <c r="G139" s="35">
        <v>100</v>
      </c>
      <c r="H139" s="43">
        <v>600</v>
      </c>
      <c r="I139" s="35">
        <v>695</v>
      </c>
      <c r="J139" s="35">
        <v>50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ht="15.75">
      <c r="A140" s="13">
        <v>45748</v>
      </c>
      <c r="B140" s="44">
        <v>30</v>
      </c>
      <c r="C140" s="35">
        <v>141.29300000000001</v>
      </c>
      <c r="D140" s="35">
        <v>267.99299999999999</v>
      </c>
      <c r="E140" s="41">
        <v>829.71400000000006</v>
      </c>
      <c r="F140" s="35">
        <v>1239</v>
      </c>
      <c r="G140" s="35">
        <v>100</v>
      </c>
      <c r="H140" s="43">
        <v>600</v>
      </c>
      <c r="I140" s="35">
        <v>695</v>
      </c>
      <c r="J140" s="35">
        <v>50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ht="15.75">
      <c r="A141" s="13">
        <v>45778</v>
      </c>
      <c r="B141" s="44">
        <v>31</v>
      </c>
      <c r="C141" s="35">
        <v>194.20500000000001</v>
      </c>
      <c r="D141" s="35">
        <v>267.46600000000001</v>
      </c>
      <c r="E141" s="41">
        <v>812.32899999999995</v>
      </c>
      <c r="F141" s="35">
        <v>1274</v>
      </c>
      <c r="G141" s="35">
        <v>75</v>
      </c>
      <c r="H141" s="43">
        <v>600</v>
      </c>
      <c r="I141" s="35">
        <v>695</v>
      </c>
      <c r="J141" s="35">
        <v>50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ht="15.75">
      <c r="A142" s="13">
        <v>45809</v>
      </c>
      <c r="B142" s="44">
        <v>30</v>
      </c>
      <c r="C142" s="35">
        <v>194.20500000000001</v>
      </c>
      <c r="D142" s="35">
        <v>267.46600000000001</v>
      </c>
      <c r="E142" s="41">
        <v>812.32899999999995</v>
      </c>
      <c r="F142" s="35">
        <v>1274</v>
      </c>
      <c r="G142" s="35">
        <v>50</v>
      </c>
      <c r="H142" s="43">
        <v>600</v>
      </c>
      <c r="I142" s="35">
        <v>695</v>
      </c>
      <c r="J142" s="35">
        <v>50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ht="15.75">
      <c r="A143" s="13">
        <v>45839</v>
      </c>
      <c r="B143" s="44">
        <v>31</v>
      </c>
      <c r="C143" s="35">
        <v>194.20500000000001</v>
      </c>
      <c r="D143" s="35">
        <v>267.46600000000001</v>
      </c>
      <c r="E143" s="41">
        <v>812.32899999999995</v>
      </c>
      <c r="F143" s="35">
        <v>1274</v>
      </c>
      <c r="G143" s="35">
        <v>50</v>
      </c>
      <c r="H143" s="43">
        <v>600</v>
      </c>
      <c r="I143" s="35">
        <v>695</v>
      </c>
      <c r="J143" s="35">
        <v>0</v>
      </c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ht="15.75">
      <c r="A144" s="13">
        <v>45870</v>
      </c>
      <c r="B144" s="44">
        <v>31</v>
      </c>
      <c r="C144" s="35">
        <v>194.20500000000001</v>
      </c>
      <c r="D144" s="35">
        <v>267.46600000000001</v>
      </c>
      <c r="E144" s="41">
        <v>812.32899999999995</v>
      </c>
      <c r="F144" s="35">
        <v>1274</v>
      </c>
      <c r="G144" s="35">
        <v>50</v>
      </c>
      <c r="H144" s="43">
        <v>600</v>
      </c>
      <c r="I144" s="35">
        <v>695</v>
      </c>
      <c r="J144" s="35">
        <v>0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ht="15.75">
      <c r="A145" s="13">
        <v>45901</v>
      </c>
      <c r="B145" s="44">
        <v>30</v>
      </c>
      <c r="C145" s="35">
        <v>194.20500000000001</v>
      </c>
      <c r="D145" s="35">
        <v>267.46600000000001</v>
      </c>
      <c r="E145" s="41">
        <v>812.32899999999995</v>
      </c>
      <c r="F145" s="35">
        <v>1274</v>
      </c>
      <c r="G145" s="35">
        <v>50</v>
      </c>
      <c r="H145" s="43">
        <v>600</v>
      </c>
      <c r="I145" s="35">
        <v>695</v>
      </c>
      <c r="J145" s="35">
        <v>0</v>
      </c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ht="15.75">
      <c r="A146" s="13">
        <v>45931</v>
      </c>
      <c r="B146" s="44">
        <v>31</v>
      </c>
      <c r="C146" s="35">
        <v>131.881</v>
      </c>
      <c r="D146" s="35">
        <v>277.16699999999997</v>
      </c>
      <c r="E146" s="41">
        <v>829.952</v>
      </c>
      <c r="F146" s="35">
        <v>1239</v>
      </c>
      <c r="G146" s="35">
        <v>75</v>
      </c>
      <c r="H146" s="43">
        <v>600</v>
      </c>
      <c r="I146" s="35">
        <v>695</v>
      </c>
      <c r="J146" s="35">
        <v>0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ht="15.75">
      <c r="A147" s="13">
        <v>45962</v>
      </c>
      <c r="B147" s="44">
        <v>30</v>
      </c>
      <c r="C147" s="35">
        <v>122.58</v>
      </c>
      <c r="D147" s="35">
        <v>297.94099999999997</v>
      </c>
      <c r="E147" s="41">
        <v>729.47900000000004</v>
      </c>
      <c r="F147" s="35">
        <v>1150</v>
      </c>
      <c r="G147" s="35">
        <v>100</v>
      </c>
      <c r="H147" s="43">
        <v>600</v>
      </c>
      <c r="I147" s="35">
        <v>695</v>
      </c>
      <c r="J147" s="35">
        <v>50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ht="15.75">
      <c r="A148" s="13">
        <v>45992</v>
      </c>
      <c r="B148" s="44">
        <v>31</v>
      </c>
      <c r="C148" s="35">
        <v>122.58</v>
      </c>
      <c r="D148" s="35">
        <v>297.94099999999997</v>
      </c>
      <c r="E148" s="41">
        <v>729.47900000000004</v>
      </c>
      <c r="F148" s="35">
        <v>1150</v>
      </c>
      <c r="G148" s="35">
        <v>100</v>
      </c>
      <c r="H148" s="43">
        <v>600</v>
      </c>
      <c r="I148" s="35">
        <v>695</v>
      </c>
      <c r="J148" s="35">
        <v>50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ht="15.75">
      <c r="A149" s="13">
        <v>46023</v>
      </c>
      <c r="B149" s="44">
        <v>31</v>
      </c>
      <c r="C149" s="35">
        <v>122.58</v>
      </c>
      <c r="D149" s="35">
        <v>297.94099999999997</v>
      </c>
      <c r="E149" s="41">
        <v>729.47900000000004</v>
      </c>
      <c r="F149" s="35">
        <v>1150</v>
      </c>
      <c r="G149" s="35">
        <v>100</v>
      </c>
      <c r="H149" s="43">
        <v>600</v>
      </c>
      <c r="I149" s="35">
        <v>695</v>
      </c>
      <c r="J149" s="35">
        <v>50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ht="15.75">
      <c r="A150" s="13">
        <v>46054</v>
      </c>
      <c r="B150" s="44">
        <v>28</v>
      </c>
      <c r="C150" s="35">
        <v>122.58</v>
      </c>
      <c r="D150" s="35">
        <v>297.94099999999997</v>
      </c>
      <c r="E150" s="41">
        <v>729.47900000000004</v>
      </c>
      <c r="F150" s="35">
        <v>1150</v>
      </c>
      <c r="G150" s="35">
        <v>100</v>
      </c>
      <c r="H150" s="43">
        <v>600</v>
      </c>
      <c r="I150" s="35">
        <v>695</v>
      </c>
      <c r="J150" s="35">
        <v>50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ht="15.75">
      <c r="A151" s="13">
        <v>46082</v>
      </c>
      <c r="B151" s="44">
        <v>31</v>
      </c>
      <c r="C151" s="35">
        <v>122.58</v>
      </c>
      <c r="D151" s="35">
        <v>297.94099999999997</v>
      </c>
      <c r="E151" s="41">
        <v>729.47900000000004</v>
      </c>
      <c r="F151" s="35">
        <v>1150</v>
      </c>
      <c r="G151" s="35">
        <v>100</v>
      </c>
      <c r="H151" s="43">
        <v>600</v>
      </c>
      <c r="I151" s="35">
        <v>695</v>
      </c>
      <c r="J151" s="35">
        <v>50</v>
      </c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ht="15.75">
      <c r="A152" s="13">
        <v>46113</v>
      </c>
      <c r="B152" s="44">
        <v>30</v>
      </c>
      <c r="C152" s="35">
        <v>141.29300000000001</v>
      </c>
      <c r="D152" s="35">
        <v>267.99299999999999</v>
      </c>
      <c r="E152" s="41">
        <v>829.71400000000006</v>
      </c>
      <c r="F152" s="35">
        <v>1239</v>
      </c>
      <c r="G152" s="35">
        <v>100</v>
      </c>
      <c r="H152" s="43">
        <v>600</v>
      </c>
      <c r="I152" s="35">
        <v>695</v>
      </c>
      <c r="J152" s="35">
        <v>50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ht="15.75">
      <c r="A153" s="13">
        <v>46143</v>
      </c>
      <c r="B153" s="44">
        <v>31</v>
      </c>
      <c r="C153" s="35">
        <v>194.20500000000001</v>
      </c>
      <c r="D153" s="35">
        <v>267.46600000000001</v>
      </c>
      <c r="E153" s="41">
        <v>812.32899999999995</v>
      </c>
      <c r="F153" s="35">
        <v>1274</v>
      </c>
      <c r="G153" s="35">
        <v>75</v>
      </c>
      <c r="H153" s="43">
        <v>600</v>
      </c>
      <c r="I153" s="35">
        <v>695</v>
      </c>
      <c r="J153" s="35">
        <v>50</v>
      </c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ht="15.75">
      <c r="A154" s="13">
        <v>46174</v>
      </c>
      <c r="B154" s="44">
        <v>30</v>
      </c>
      <c r="C154" s="35">
        <v>194.20500000000001</v>
      </c>
      <c r="D154" s="35">
        <v>267.46600000000001</v>
      </c>
      <c r="E154" s="41">
        <v>812.32899999999995</v>
      </c>
      <c r="F154" s="35">
        <v>1274</v>
      </c>
      <c r="G154" s="35">
        <v>50</v>
      </c>
      <c r="H154" s="43">
        <v>600</v>
      </c>
      <c r="I154" s="35">
        <v>695</v>
      </c>
      <c r="J154" s="35">
        <v>50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ht="15.75">
      <c r="A155" s="13">
        <v>46204</v>
      </c>
      <c r="B155" s="44">
        <v>31</v>
      </c>
      <c r="C155" s="35">
        <v>194.20500000000001</v>
      </c>
      <c r="D155" s="35">
        <v>267.46600000000001</v>
      </c>
      <c r="E155" s="41">
        <v>812.32899999999995</v>
      </c>
      <c r="F155" s="35">
        <v>1274</v>
      </c>
      <c r="G155" s="35">
        <v>50</v>
      </c>
      <c r="H155" s="43">
        <v>600</v>
      </c>
      <c r="I155" s="35">
        <v>695</v>
      </c>
      <c r="J155" s="35">
        <v>0</v>
      </c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ht="15.75">
      <c r="A156" s="13">
        <v>46235</v>
      </c>
      <c r="B156" s="44">
        <v>31</v>
      </c>
      <c r="C156" s="35">
        <v>194.20500000000001</v>
      </c>
      <c r="D156" s="35">
        <v>267.46600000000001</v>
      </c>
      <c r="E156" s="41">
        <v>812.32899999999995</v>
      </c>
      <c r="F156" s="35">
        <v>1274</v>
      </c>
      <c r="G156" s="35">
        <v>50</v>
      </c>
      <c r="H156" s="43">
        <v>600</v>
      </c>
      <c r="I156" s="35">
        <v>695</v>
      </c>
      <c r="J156" s="35">
        <v>0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ht="15.75">
      <c r="A157" s="13">
        <v>46266</v>
      </c>
      <c r="B157" s="44">
        <v>30</v>
      </c>
      <c r="C157" s="35">
        <v>194.20500000000001</v>
      </c>
      <c r="D157" s="35">
        <v>267.46600000000001</v>
      </c>
      <c r="E157" s="41">
        <v>812.32899999999995</v>
      </c>
      <c r="F157" s="35">
        <v>1274</v>
      </c>
      <c r="G157" s="35">
        <v>50</v>
      </c>
      <c r="H157" s="43">
        <v>600</v>
      </c>
      <c r="I157" s="35">
        <v>695</v>
      </c>
      <c r="J157" s="35">
        <v>0</v>
      </c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ht="15.75">
      <c r="A158" s="13">
        <v>46296</v>
      </c>
      <c r="B158" s="44">
        <v>31</v>
      </c>
      <c r="C158" s="35">
        <v>131.881</v>
      </c>
      <c r="D158" s="35">
        <v>277.16699999999997</v>
      </c>
      <c r="E158" s="41">
        <v>829.952</v>
      </c>
      <c r="F158" s="35">
        <v>1239</v>
      </c>
      <c r="G158" s="35">
        <v>75</v>
      </c>
      <c r="H158" s="43">
        <v>600</v>
      </c>
      <c r="I158" s="35">
        <v>695</v>
      </c>
      <c r="J158" s="35">
        <v>0</v>
      </c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ht="15.75">
      <c r="A159" s="13">
        <v>46327</v>
      </c>
      <c r="B159" s="44">
        <v>30</v>
      </c>
      <c r="C159" s="35">
        <v>122.58</v>
      </c>
      <c r="D159" s="35">
        <v>297.94099999999997</v>
      </c>
      <c r="E159" s="41">
        <v>729.47900000000004</v>
      </c>
      <c r="F159" s="35">
        <v>1150</v>
      </c>
      <c r="G159" s="35">
        <v>100</v>
      </c>
      <c r="H159" s="43">
        <v>600</v>
      </c>
      <c r="I159" s="35">
        <v>695</v>
      </c>
      <c r="J159" s="35">
        <v>50</v>
      </c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ht="15.75">
      <c r="A160" s="13">
        <v>46357</v>
      </c>
      <c r="B160" s="44">
        <v>31</v>
      </c>
      <c r="C160" s="35">
        <v>122.58</v>
      </c>
      <c r="D160" s="35">
        <v>297.94099999999997</v>
      </c>
      <c r="E160" s="41">
        <v>729.47900000000004</v>
      </c>
      <c r="F160" s="35">
        <v>1150</v>
      </c>
      <c r="G160" s="35">
        <v>100</v>
      </c>
      <c r="H160" s="43">
        <v>600</v>
      </c>
      <c r="I160" s="35">
        <v>695</v>
      </c>
      <c r="J160" s="35">
        <v>50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ht="15.75">
      <c r="A161" s="13">
        <v>46388</v>
      </c>
      <c r="B161" s="44">
        <v>31</v>
      </c>
      <c r="C161" s="35">
        <v>122.58</v>
      </c>
      <c r="D161" s="35">
        <v>297.94099999999997</v>
      </c>
      <c r="E161" s="41">
        <v>729.47900000000004</v>
      </c>
      <c r="F161" s="35">
        <v>1150</v>
      </c>
      <c r="G161" s="35">
        <v>100</v>
      </c>
      <c r="H161" s="43">
        <v>600</v>
      </c>
      <c r="I161" s="35">
        <v>695</v>
      </c>
      <c r="J161" s="35">
        <v>50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ht="15.75">
      <c r="A162" s="13">
        <v>46419</v>
      </c>
      <c r="B162" s="44">
        <v>28</v>
      </c>
      <c r="C162" s="35">
        <v>122.58</v>
      </c>
      <c r="D162" s="35">
        <v>297.94099999999997</v>
      </c>
      <c r="E162" s="41">
        <v>729.47900000000004</v>
      </c>
      <c r="F162" s="35">
        <v>1150</v>
      </c>
      <c r="G162" s="35">
        <v>100</v>
      </c>
      <c r="H162" s="43">
        <v>600</v>
      </c>
      <c r="I162" s="35">
        <v>695</v>
      </c>
      <c r="J162" s="35">
        <v>50</v>
      </c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ht="15.75">
      <c r="A163" s="13">
        <v>46447</v>
      </c>
      <c r="B163" s="44">
        <v>31</v>
      </c>
      <c r="C163" s="35">
        <v>122.58</v>
      </c>
      <c r="D163" s="35">
        <v>297.94099999999997</v>
      </c>
      <c r="E163" s="41">
        <v>729.47900000000004</v>
      </c>
      <c r="F163" s="35">
        <v>1150</v>
      </c>
      <c r="G163" s="35">
        <v>100</v>
      </c>
      <c r="H163" s="43">
        <v>600</v>
      </c>
      <c r="I163" s="35">
        <v>695</v>
      </c>
      <c r="J163" s="35">
        <v>50</v>
      </c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ht="15.75">
      <c r="A164" s="13">
        <v>46478</v>
      </c>
      <c r="B164" s="44">
        <v>30</v>
      </c>
      <c r="C164" s="35">
        <v>141.29300000000001</v>
      </c>
      <c r="D164" s="35">
        <v>267.99299999999999</v>
      </c>
      <c r="E164" s="41">
        <v>829.71400000000006</v>
      </c>
      <c r="F164" s="35">
        <v>1239</v>
      </c>
      <c r="G164" s="35">
        <v>100</v>
      </c>
      <c r="H164" s="43">
        <v>600</v>
      </c>
      <c r="I164" s="35">
        <v>695</v>
      </c>
      <c r="J164" s="35">
        <v>50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ht="15.75">
      <c r="A165" s="13">
        <v>46508</v>
      </c>
      <c r="B165" s="44">
        <v>31</v>
      </c>
      <c r="C165" s="35">
        <v>194.20500000000001</v>
      </c>
      <c r="D165" s="35">
        <v>267.46600000000001</v>
      </c>
      <c r="E165" s="41">
        <v>812.32899999999995</v>
      </c>
      <c r="F165" s="35">
        <v>1274</v>
      </c>
      <c r="G165" s="35">
        <v>75</v>
      </c>
      <c r="H165" s="43">
        <v>600</v>
      </c>
      <c r="I165" s="35">
        <v>695</v>
      </c>
      <c r="J165" s="35">
        <v>50</v>
      </c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ht="15.75">
      <c r="A166" s="13">
        <v>46539</v>
      </c>
      <c r="B166" s="44">
        <v>30</v>
      </c>
      <c r="C166" s="35">
        <v>194.20500000000001</v>
      </c>
      <c r="D166" s="35">
        <v>267.46600000000001</v>
      </c>
      <c r="E166" s="41">
        <v>812.32899999999995</v>
      </c>
      <c r="F166" s="35">
        <v>1274</v>
      </c>
      <c r="G166" s="35">
        <v>50</v>
      </c>
      <c r="H166" s="43">
        <v>600</v>
      </c>
      <c r="I166" s="35">
        <v>695</v>
      </c>
      <c r="J166" s="35">
        <v>50</v>
      </c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ht="15.75">
      <c r="A167" s="13">
        <v>46569</v>
      </c>
      <c r="B167" s="44">
        <v>31</v>
      </c>
      <c r="C167" s="35">
        <v>194.20500000000001</v>
      </c>
      <c r="D167" s="35">
        <v>267.46600000000001</v>
      </c>
      <c r="E167" s="41">
        <v>812.32899999999995</v>
      </c>
      <c r="F167" s="35">
        <v>1274</v>
      </c>
      <c r="G167" s="35">
        <v>50</v>
      </c>
      <c r="H167" s="43">
        <v>600</v>
      </c>
      <c r="I167" s="35">
        <v>695</v>
      </c>
      <c r="J167" s="35">
        <v>0</v>
      </c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ht="15.75">
      <c r="A168" s="13">
        <v>46600</v>
      </c>
      <c r="B168" s="44">
        <v>31</v>
      </c>
      <c r="C168" s="35">
        <v>194.20500000000001</v>
      </c>
      <c r="D168" s="35">
        <v>267.46600000000001</v>
      </c>
      <c r="E168" s="41">
        <v>812.32899999999995</v>
      </c>
      <c r="F168" s="35">
        <v>1274</v>
      </c>
      <c r="G168" s="35">
        <v>50</v>
      </c>
      <c r="H168" s="43">
        <v>600</v>
      </c>
      <c r="I168" s="35">
        <v>695</v>
      </c>
      <c r="J168" s="35">
        <v>0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ht="15.75">
      <c r="A169" s="13">
        <v>46631</v>
      </c>
      <c r="B169" s="44">
        <v>30</v>
      </c>
      <c r="C169" s="35">
        <v>194.20500000000001</v>
      </c>
      <c r="D169" s="35">
        <v>267.46600000000001</v>
      </c>
      <c r="E169" s="41">
        <v>812.32899999999995</v>
      </c>
      <c r="F169" s="35">
        <v>1274</v>
      </c>
      <c r="G169" s="35">
        <v>50</v>
      </c>
      <c r="H169" s="43">
        <v>600</v>
      </c>
      <c r="I169" s="35">
        <v>695</v>
      </c>
      <c r="J169" s="35">
        <v>0</v>
      </c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ht="15.75">
      <c r="A170" s="13">
        <v>46661</v>
      </c>
      <c r="B170" s="44">
        <v>31</v>
      </c>
      <c r="C170" s="35">
        <v>131.881</v>
      </c>
      <c r="D170" s="35">
        <v>277.16699999999997</v>
      </c>
      <c r="E170" s="41">
        <v>829.952</v>
      </c>
      <c r="F170" s="35">
        <v>1239</v>
      </c>
      <c r="G170" s="35">
        <v>75</v>
      </c>
      <c r="H170" s="43">
        <v>600</v>
      </c>
      <c r="I170" s="35">
        <v>695</v>
      </c>
      <c r="J170" s="35">
        <v>0</v>
      </c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ht="15.75">
      <c r="A171" s="13">
        <v>46692</v>
      </c>
      <c r="B171" s="44">
        <v>30</v>
      </c>
      <c r="C171" s="35">
        <v>122.58</v>
      </c>
      <c r="D171" s="35">
        <v>297.94099999999997</v>
      </c>
      <c r="E171" s="41">
        <v>729.47900000000004</v>
      </c>
      <c r="F171" s="35">
        <v>1150</v>
      </c>
      <c r="G171" s="35">
        <v>100</v>
      </c>
      <c r="H171" s="43">
        <v>600</v>
      </c>
      <c r="I171" s="35">
        <v>695</v>
      </c>
      <c r="J171" s="35">
        <v>50</v>
      </c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ht="15.75">
      <c r="A172" s="13">
        <v>46722</v>
      </c>
      <c r="B172" s="44">
        <v>31</v>
      </c>
      <c r="C172" s="35">
        <v>122.58</v>
      </c>
      <c r="D172" s="35">
        <v>297.94099999999997</v>
      </c>
      <c r="E172" s="41">
        <v>729.47900000000004</v>
      </c>
      <c r="F172" s="35">
        <v>1150</v>
      </c>
      <c r="G172" s="35">
        <v>100</v>
      </c>
      <c r="H172" s="43">
        <v>600</v>
      </c>
      <c r="I172" s="35">
        <v>695</v>
      </c>
      <c r="J172" s="35">
        <v>50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ht="15.75">
      <c r="A173" s="13">
        <v>46753</v>
      </c>
      <c r="B173" s="44">
        <v>31</v>
      </c>
      <c r="C173" s="35">
        <v>122.58</v>
      </c>
      <c r="D173" s="35">
        <v>297.94099999999997</v>
      </c>
      <c r="E173" s="41">
        <v>729.47900000000004</v>
      </c>
      <c r="F173" s="35">
        <v>1150</v>
      </c>
      <c r="G173" s="35">
        <v>100</v>
      </c>
      <c r="H173" s="43">
        <v>600</v>
      </c>
      <c r="I173" s="35">
        <v>695</v>
      </c>
      <c r="J173" s="35">
        <v>50</v>
      </c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ht="15.75">
      <c r="A174" s="13">
        <v>46784</v>
      </c>
      <c r="B174" s="44">
        <v>29</v>
      </c>
      <c r="C174" s="35">
        <v>122.58</v>
      </c>
      <c r="D174" s="35">
        <v>297.94099999999997</v>
      </c>
      <c r="E174" s="41">
        <v>729.47900000000004</v>
      </c>
      <c r="F174" s="35">
        <v>1150</v>
      </c>
      <c r="G174" s="35">
        <v>100</v>
      </c>
      <c r="H174" s="43">
        <v>600</v>
      </c>
      <c r="I174" s="35">
        <v>695</v>
      </c>
      <c r="J174" s="35">
        <v>50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ht="15.75">
      <c r="A175" s="13">
        <v>46813</v>
      </c>
      <c r="B175" s="44">
        <v>31</v>
      </c>
      <c r="C175" s="35">
        <v>122.58</v>
      </c>
      <c r="D175" s="35">
        <v>297.94099999999997</v>
      </c>
      <c r="E175" s="41">
        <v>729.47900000000004</v>
      </c>
      <c r="F175" s="35">
        <v>1150</v>
      </c>
      <c r="G175" s="35">
        <v>100</v>
      </c>
      <c r="H175" s="43">
        <v>600</v>
      </c>
      <c r="I175" s="35">
        <v>695</v>
      </c>
      <c r="J175" s="35">
        <v>50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ht="15.75">
      <c r="A176" s="13">
        <v>46844</v>
      </c>
      <c r="B176" s="44">
        <v>30</v>
      </c>
      <c r="C176" s="35">
        <v>141.29300000000001</v>
      </c>
      <c r="D176" s="35">
        <v>267.99299999999999</v>
      </c>
      <c r="E176" s="41">
        <v>829.71400000000006</v>
      </c>
      <c r="F176" s="35">
        <v>1239</v>
      </c>
      <c r="G176" s="35">
        <v>100</v>
      </c>
      <c r="H176" s="43">
        <v>600</v>
      </c>
      <c r="I176" s="35">
        <v>695</v>
      </c>
      <c r="J176" s="35">
        <v>50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ht="15.75">
      <c r="A177" s="13">
        <v>46874</v>
      </c>
      <c r="B177" s="44">
        <v>31</v>
      </c>
      <c r="C177" s="35">
        <v>194.20500000000001</v>
      </c>
      <c r="D177" s="35">
        <v>267.46600000000001</v>
      </c>
      <c r="E177" s="41">
        <v>812.32899999999995</v>
      </c>
      <c r="F177" s="35">
        <v>1274</v>
      </c>
      <c r="G177" s="35">
        <v>75</v>
      </c>
      <c r="H177" s="43">
        <v>600</v>
      </c>
      <c r="I177" s="35">
        <v>695</v>
      </c>
      <c r="J177" s="35">
        <v>50</v>
      </c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ht="15.75">
      <c r="A178" s="13">
        <v>46905</v>
      </c>
      <c r="B178" s="44">
        <v>30</v>
      </c>
      <c r="C178" s="35">
        <v>194.20500000000001</v>
      </c>
      <c r="D178" s="35">
        <v>267.46600000000001</v>
      </c>
      <c r="E178" s="41">
        <v>812.32899999999995</v>
      </c>
      <c r="F178" s="35">
        <v>1274</v>
      </c>
      <c r="G178" s="35">
        <v>50</v>
      </c>
      <c r="H178" s="43">
        <v>600</v>
      </c>
      <c r="I178" s="35">
        <v>695</v>
      </c>
      <c r="J178" s="35">
        <v>50</v>
      </c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ht="15.75">
      <c r="A179" s="13">
        <v>46935</v>
      </c>
      <c r="B179" s="44">
        <v>31</v>
      </c>
      <c r="C179" s="35">
        <v>194.20500000000001</v>
      </c>
      <c r="D179" s="35">
        <v>267.46600000000001</v>
      </c>
      <c r="E179" s="41">
        <v>812.32899999999995</v>
      </c>
      <c r="F179" s="35">
        <v>1274</v>
      </c>
      <c r="G179" s="35">
        <v>50</v>
      </c>
      <c r="H179" s="43">
        <v>600</v>
      </c>
      <c r="I179" s="35">
        <v>695</v>
      </c>
      <c r="J179" s="35">
        <v>0</v>
      </c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ht="15.75">
      <c r="A180" s="13">
        <v>46966</v>
      </c>
      <c r="B180" s="44">
        <v>31</v>
      </c>
      <c r="C180" s="35">
        <v>194.20500000000001</v>
      </c>
      <c r="D180" s="35">
        <v>267.46600000000001</v>
      </c>
      <c r="E180" s="41">
        <v>812.32899999999995</v>
      </c>
      <c r="F180" s="35">
        <v>1274</v>
      </c>
      <c r="G180" s="35">
        <v>50</v>
      </c>
      <c r="H180" s="43">
        <v>600</v>
      </c>
      <c r="I180" s="35">
        <v>695</v>
      </c>
      <c r="J180" s="35">
        <v>0</v>
      </c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ht="15.75">
      <c r="A181" s="13">
        <v>46997</v>
      </c>
      <c r="B181" s="44">
        <v>30</v>
      </c>
      <c r="C181" s="35">
        <v>194.20500000000001</v>
      </c>
      <c r="D181" s="35">
        <v>267.46600000000001</v>
      </c>
      <c r="E181" s="41">
        <v>812.32899999999995</v>
      </c>
      <c r="F181" s="35">
        <v>1274</v>
      </c>
      <c r="G181" s="35">
        <v>50</v>
      </c>
      <c r="H181" s="43">
        <v>600</v>
      </c>
      <c r="I181" s="35">
        <v>695</v>
      </c>
      <c r="J181" s="35">
        <v>0</v>
      </c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ht="15.75">
      <c r="A182" s="13">
        <v>47027</v>
      </c>
      <c r="B182" s="44">
        <v>31</v>
      </c>
      <c r="C182" s="35">
        <v>131.881</v>
      </c>
      <c r="D182" s="35">
        <v>277.16699999999997</v>
      </c>
      <c r="E182" s="41">
        <v>829.952</v>
      </c>
      <c r="F182" s="35">
        <v>1239</v>
      </c>
      <c r="G182" s="35">
        <v>75</v>
      </c>
      <c r="H182" s="43">
        <v>600</v>
      </c>
      <c r="I182" s="35">
        <v>695</v>
      </c>
      <c r="J182" s="35">
        <v>0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ht="15.75">
      <c r="A183" s="13">
        <v>47058</v>
      </c>
      <c r="B183" s="44">
        <v>30</v>
      </c>
      <c r="C183" s="35">
        <v>122.58</v>
      </c>
      <c r="D183" s="35">
        <v>297.94099999999997</v>
      </c>
      <c r="E183" s="41">
        <v>729.47900000000004</v>
      </c>
      <c r="F183" s="35">
        <v>1150</v>
      </c>
      <c r="G183" s="35">
        <v>100</v>
      </c>
      <c r="H183" s="43">
        <v>600</v>
      </c>
      <c r="I183" s="35">
        <v>695</v>
      </c>
      <c r="J183" s="35">
        <v>50</v>
      </c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ht="15.75">
      <c r="A184" s="13">
        <v>47088</v>
      </c>
      <c r="B184" s="44">
        <v>31</v>
      </c>
      <c r="C184" s="35">
        <v>122.58</v>
      </c>
      <c r="D184" s="35">
        <v>297.94099999999997</v>
      </c>
      <c r="E184" s="41">
        <v>729.47900000000004</v>
      </c>
      <c r="F184" s="35">
        <v>1150</v>
      </c>
      <c r="G184" s="35">
        <v>100</v>
      </c>
      <c r="H184" s="43">
        <v>600</v>
      </c>
      <c r="I184" s="35">
        <v>695</v>
      </c>
      <c r="J184" s="35">
        <v>50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ht="15.75">
      <c r="A185" s="13">
        <v>47119</v>
      </c>
      <c r="B185" s="44">
        <v>31</v>
      </c>
      <c r="C185" s="35">
        <v>122.58</v>
      </c>
      <c r="D185" s="35">
        <v>297.94099999999997</v>
      </c>
      <c r="E185" s="41">
        <v>729.47900000000004</v>
      </c>
      <c r="F185" s="35">
        <v>1150</v>
      </c>
      <c r="G185" s="35">
        <v>100</v>
      </c>
      <c r="H185" s="43">
        <v>600</v>
      </c>
      <c r="I185" s="35">
        <v>695</v>
      </c>
      <c r="J185" s="35">
        <v>50</v>
      </c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ht="15.75">
      <c r="A186" s="13">
        <v>47150</v>
      </c>
      <c r="B186" s="44">
        <v>28</v>
      </c>
      <c r="C186" s="35">
        <v>122.58</v>
      </c>
      <c r="D186" s="35">
        <v>297.94099999999997</v>
      </c>
      <c r="E186" s="41">
        <v>729.47900000000004</v>
      </c>
      <c r="F186" s="35">
        <v>1150</v>
      </c>
      <c r="G186" s="35">
        <v>100</v>
      </c>
      <c r="H186" s="43">
        <v>600</v>
      </c>
      <c r="I186" s="35">
        <v>695</v>
      </c>
      <c r="J186" s="35">
        <v>50</v>
      </c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ht="15.75">
      <c r="A187" s="13">
        <v>47178</v>
      </c>
      <c r="B187" s="44">
        <v>31</v>
      </c>
      <c r="C187" s="35">
        <v>122.58</v>
      </c>
      <c r="D187" s="35">
        <v>297.94099999999997</v>
      </c>
      <c r="E187" s="41">
        <v>729.47900000000004</v>
      </c>
      <c r="F187" s="35">
        <v>1150</v>
      </c>
      <c r="G187" s="35">
        <v>100</v>
      </c>
      <c r="H187" s="43">
        <v>600</v>
      </c>
      <c r="I187" s="35">
        <v>695</v>
      </c>
      <c r="J187" s="35">
        <v>50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ht="15.75">
      <c r="A188" s="13">
        <v>47209</v>
      </c>
      <c r="B188" s="44">
        <v>30</v>
      </c>
      <c r="C188" s="35">
        <v>141.29300000000001</v>
      </c>
      <c r="D188" s="35">
        <v>267.99299999999999</v>
      </c>
      <c r="E188" s="41">
        <v>829.71400000000006</v>
      </c>
      <c r="F188" s="35">
        <v>1239</v>
      </c>
      <c r="G188" s="35">
        <v>100</v>
      </c>
      <c r="H188" s="43">
        <v>600</v>
      </c>
      <c r="I188" s="35">
        <v>695</v>
      </c>
      <c r="J188" s="35">
        <v>50</v>
      </c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ht="15.75">
      <c r="A189" s="13">
        <v>47239</v>
      </c>
      <c r="B189" s="44">
        <v>31</v>
      </c>
      <c r="C189" s="35">
        <v>194.20500000000001</v>
      </c>
      <c r="D189" s="35">
        <v>267.46600000000001</v>
      </c>
      <c r="E189" s="41">
        <v>812.32899999999995</v>
      </c>
      <c r="F189" s="35">
        <v>1274</v>
      </c>
      <c r="G189" s="35">
        <v>75</v>
      </c>
      <c r="H189" s="43">
        <v>600</v>
      </c>
      <c r="I189" s="35">
        <v>695</v>
      </c>
      <c r="J189" s="35">
        <v>50</v>
      </c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ht="15.75">
      <c r="A190" s="13">
        <v>47270</v>
      </c>
      <c r="B190" s="44">
        <v>30</v>
      </c>
      <c r="C190" s="35">
        <v>194.20500000000001</v>
      </c>
      <c r="D190" s="35">
        <v>267.46600000000001</v>
      </c>
      <c r="E190" s="41">
        <v>812.32899999999995</v>
      </c>
      <c r="F190" s="35">
        <v>1274</v>
      </c>
      <c r="G190" s="35">
        <v>50</v>
      </c>
      <c r="H190" s="43">
        <v>600</v>
      </c>
      <c r="I190" s="35">
        <v>695</v>
      </c>
      <c r="J190" s="35">
        <v>50</v>
      </c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ht="15.75">
      <c r="A191" s="13">
        <v>47300</v>
      </c>
      <c r="B191" s="44">
        <v>31</v>
      </c>
      <c r="C191" s="35">
        <v>194.20500000000001</v>
      </c>
      <c r="D191" s="35">
        <v>267.46600000000001</v>
      </c>
      <c r="E191" s="41">
        <v>812.32899999999995</v>
      </c>
      <c r="F191" s="35">
        <v>1274</v>
      </c>
      <c r="G191" s="35">
        <v>50</v>
      </c>
      <c r="H191" s="43">
        <v>600</v>
      </c>
      <c r="I191" s="35">
        <v>695</v>
      </c>
      <c r="J191" s="35">
        <v>0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ht="15.75">
      <c r="A192" s="13">
        <v>47331</v>
      </c>
      <c r="B192" s="44">
        <v>31</v>
      </c>
      <c r="C192" s="35">
        <v>194.20500000000001</v>
      </c>
      <c r="D192" s="35">
        <v>267.46600000000001</v>
      </c>
      <c r="E192" s="41">
        <v>812.32899999999995</v>
      </c>
      <c r="F192" s="35">
        <v>1274</v>
      </c>
      <c r="G192" s="35">
        <v>50</v>
      </c>
      <c r="H192" s="43">
        <v>600</v>
      </c>
      <c r="I192" s="35">
        <v>695</v>
      </c>
      <c r="J192" s="35">
        <v>0</v>
      </c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ht="15.75">
      <c r="A193" s="13">
        <v>47362</v>
      </c>
      <c r="B193" s="44">
        <v>30</v>
      </c>
      <c r="C193" s="35">
        <v>194.20500000000001</v>
      </c>
      <c r="D193" s="35">
        <v>267.46600000000001</v>
      </c>
      <c r="E193" s="41">
        <v>812.32899999999995</v>
      </c>
      <c r="F193" s="35">
        <v>1274</v>
      </c>
      <c r="G193" s="35">
        <v>50</v>
      </c>
      <c r="H193" s="43">
        <v>600</v>
      </c>
      <c r="I193" s="35">
        <v>695</v>
      </c>
      <c r="J193" s="35">
        <v>0</v>
      </c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ht="15.75">
      <c r="A194" s="13">
        <v>47392</v>
      </c>
      <c r="B194" s="44">
        <v>31</v>
      </c>
      <c r="C194" s="35">
        <v>131.881</v>
      </c>
      <c r="D194" s="35">
        <v>277.16699999999997</v>
      </c>
      <c r="E194" s="41">
        <v>829.952</v>
      </c>
      <c r="F194" s="35">
        <v>1239</v>
      </c>
      <c r="G194" s="35">
        <v>75</v>
      </c>
      <c r="H194" s="43">
        <v>600</v>
      </c>
      <c r="I194" s="35">
        <v>695</v>
      </c>
      <c r="J194" s="35">
        <v>0</v>
      </c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ht="15.75">
      <c r="A195" s="13">
        <v>47423</v>
      </c>
      <c r="B195" s="44">
        <v>30</v>
      </c>
      <c r="C195" s="35">
        <v>122.58</v>
      </c>
      <c r="D195" s="35">
        <v>297.94099999999997</v>
      </c>
      <c r="E195" s="41">
        <v>729.47900000000004</v>
      </c>
      <c r="F195" s="35">
        <v>1150</v>
      </c>
      <c r="G195" s="35">
        <v>100</v>
      </c>
      <c r="H195" s="43">
        <v>600</v>
      </c>
      <c r="I195" s="35">
        <v>695</v>
      </c>
      <c r="J195" s="35">
        <v>50</v>
      </c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ht="15.75">
      <c r="A196" s="13">
        <v>47453</v>
      </c>
      <c r="B196" s="44">
        <v>31</v>
      </c>
      <c r="C196" s="35">
        <v>122.58</v>
      </c>
      <c r="D196" s="35">
        <v>297.94099999999997</v>
      </c>
      <c r="E196" s="41">
        <v>729.47900000000004</v>
      </c>
      <c r="F196" s="35">
        <v>1150</v>
      </c>
      <c r="G196" s="35">
        <v>100</v>
      </c>
      <c r="H196" s="43">
        <v>600</v>
      </c>
      <c r="I196" s="35">
        <v>695</v>
      </c>
      <c r="J196" s="35">
        <v>50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ht="15.75">
      <c r="A197" s="13">
        <v>47484</v>
      </c>
      <c r="B197" s="44">
        <v>31</v>
      </c>
      <c r="C197" s="35">
        <v>122.58</v>
      </c>
      <c r="D197" s="35">
        <v>297.94099999999997</v>
      </c>
      <c r="E197" s="41">
        <v>729.47900000000004</v>
      </c>
      <c r="F197" s="35">
        <v>1150</v>
      </c>
      <c r="G197" s="35">
        <v>100</v>
      </c>
      <c r="H197" s="43">
        <v>600</v>
      </c>
      <c r="I197" s="35">
        <v>695</v>
      </c>
      <c r="J197" s="35">
        <v>50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ht="15.75">
      <c r="A198" s="13">
        <v>47515</v>
      </c>
      <c r="B198" s="44">
        <v>28</v>
      </c>
      <c r="C198" s="35">
        <v>122.58</v>
      </c>
      <c r="D198" s="35">
        <v>297.94099999999997</v>
      </c>
      <c r="E198" s="41">
        <v>729.47900000000004</v>
      </c>
      <c r="F198" s="35">
        <v>1150</v>
      </c>
      <c r="G198" s="35">
        <v>100</v>
      </c>
      <c r="H198" s="43">
        <v>600</v>
      </c>
      <c r="I198" s="35">
        <v>695</v>
      </c>
      <c r="J198" s="35">
        <v>50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ht="15.75">
      <c r="A199" s="13">
        <v>47543</v>
      </c>
      <c r="B199" s="44">
        <v>31</v>
      </c>
      <c r="C199" s="35">
        <v>122.58</v>
      </c>
      <c r="D199" s="35">
        <v>297.94099999999997</v>
      </c>
      <c r="E199" s="41">
        <v>729.47900000000004</v>
      </c>
      <c r="F199" s="35">
        <v>1150</v>
      </c>
      <c r="G199" s="35">
        <v>100</v>
      </c>
      <c r="H199" s="43">
        <v>600</v>
      </c>
      <c r="I199" s="35">
        <v>695</v>
      </c>
      <c r="J199" s="35">
        <v>50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ht="15.75">
      <c r="A200" s="13">
        <v>47574</v>
      </c>
      <c r="B200" s="44">
        <v>30</v>
      </c>
      <c r="C200" s="35">
        <v>141.29300000000001</v>
      </c>
      <c r="D200" s="35">
        <v>267.99299999999999</v>
      </c>
      <c r="E200" s="41">
        <v>829.71400000000006</v>
      </c>
      <c r="F200" s="35">
        <v>1239</v>
      </c>
      <c r="G200" s="35">
        <v>100</v>
      </c>
      <c r="H200" s="43">
        <v>600</v>
      </c>
      <c r="I200" s="35">
        <v>695</v>
      </c>
      <c r="J200" s="35">
        <v>50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ht="15.75">
      <c r="A201" s="13">
        <v>47604</v>
      </c>
      <c r="B201" s="44">
        <v>31</v>
      </c>
      <c r="C201" s="35">
        <v>194.20500000000001</v>
      </c>
      <c r="D201" s="35">
        <v>267.46600000000001</v>
      </c>
      <c r="E201" s="41">
        <v>812.32899999999995</v>
      </c>
      <c r="F201" s="35">
        <v>1274</v>
      </c>
      <c r="G201" s="35">
        <v>75</v>
      </c>
      <c r="H201" s="43">
        <v>600</v>
      </c>
      <c r="I201" s="35">
        <v>695</v>
      </c>
      <c r="J201" s="35">
        <v>50</v>
      </c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ht="15.75">
      <c r="A202" s="13">
        <v>47635</v>
      </c>
      <c r="B202" s="44">
        <v>30</v>
      </c>
      <c r="C202" s="35">
        <v>194.20500000000001</v>
      </c>
      <c r="D202" s="35">
        <v>267.46600000000001</v>
      </c>
      <c r="E202" s="41">
        <v>812.32899999999995</v>
      </c>
      <c r="F202" s="35">
        <v>1274</v>
      </c>
      <c r="G202" s="35">
        <v>50</v>
      </c>
      <c r="H202" s="43">
        <v>600</v>
      </c>
      <c r="I202" s="35">
        <v>695</v>
      </c>
      <c r="J202" s="35">
        <v>50</v>
      </c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ht="15.75">
      <c r="A203" s="13">
        <v>47665</v>
      </c>
      <c r="B203" s="44">
        <v>31</v>
      </c>
      <c r="C203" s="35">
        <v>194.20500000000001</v>
      </c>
      <c r="D203" s="35">
        <v>267.46600000000001</v>
      </c>
      <c r="E203" s="41">
        <v>812.32899999999995</v>
      </c>
      <c r="F203" s="35">
        <v>1274</v>
      </c>
      <c r="G203" s="35">
        <v>50</v>
      </c>
      <c r="H203" s="43">
        <v>600</v>
      </c>
      <c r="I203" s="35">
        <v>695</v>
      </c>
      <c r="J203" s="35">
        <v>0</v>
      </c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ht="15.75">
      <c r="A204" s="13">
        <v>47696</v>
      </c>
      <c r="B204" s="44">
        <v>31</v>
      </c>
      <c r="C204" s="35">
        <v>194.20500000000001</v>
      </c>
      <c r="D204" s="35">
        <v>267.46600000000001</v>
      </c>
      <c r="E204" s="41">
        <v>812.32899999999995</v>
      </c>
      <c r="F204" s="35">
        <v>1274</v>
      </c>
      <c r="G204" s="35">
        <v>50</v>
      </c>
      <c r="H204" s="43">
        <v>600</v>
      </c>
      <c r="I204" s="35">
        <v>695</v>
      </c>
      <c r="J204" s="35">
        <v>0</v>
      </c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5.75">
      <c r="A205" s="13">
        <v>47727</v>
      </c>
      <c r="B205" s="44">
        <v>30</v>
      </c>
      <c r="C205" s="35">
        <v>194.20500000000001</v>
      </c>
      <c r="D205" s="35">
        <v>267.46600000000001</v>
      </c>
      <c r="E205" s="41">
        <v>812.32899999999995</v>
      </c>
      <c r="F205" s="35">
        <v>1274</v>
      </c>
      <c r="G205" s="35">
        <v>50</v>
      </c>
      <c r="H205" s="43">
        <v>600</v>
      </c>
      <c r="I205" s="35">
        <v>695</v>
      </c>
      <c r="J205" s="35">
        <v>0</v>
      </c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ht="15.75">
      <c r="A206" s="13">
        <v>47757</v>
      </c>
      <c r="B206" s="44">
        <v>31</v>
      </c>
      <c r="C206" s="35">
        <v>131.881</v>
      </c>
      <c r="D206" s="35">
        <v>277.16699999999997</v>
      </c>
      <c r="E206" s="41">
        <v>829.952</v>
      </c>
      <c r="F206" s="35">
        <v>1239</v>
      </c>
      <c r="G206" s="35">
        <v>75</v>
      </c>
      <c r="H206" s="43">
        <v>600</v>
      </c>
      <c r="I206" s="35">
        <v>695</v>
      </c>
      <c r="J206" s="35">
        <v>0</v>
      </c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ht="15.75">
      <c r="A207" s="13">
        <v>47788</v>
      </c>
      <c r="B207" s="44">
        <v>30</v>
      </c>
      <c r="C207" s="35">
        <v>122.58</v>
      </c>
      <c r="D207" s="35">
        <v>297.94099999999997</v>
      </c>
      <c r="E207" s="41">
        <v>729.47900000000004</v>
      </c>
      <c r="F207" s="35">
        <v>1150</v>
      </c>
      <c r="G207" s="35">
        <v>100</v>
      </c>
      <c r="H207" s="43">
        <v>600</v>
      </c>
      <c r="I207" s="35">
        <v>695</v>
      </c>
      <c r="J207" s="35">
        <v>50</v>
      </c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ht="15.75">
      <c r="A208" s="13">
        <v>47818</v>
      </c>
      <c r="B208" s="44">
        <v>31</v>
      </c>
      <c r="C208" s="35">
        <v>122.58</v>
      </c>
      <c r="D208" s="35">
        <v>297.94099999999997</v>
      </c>
      <c r="E208" s="41">
        <v>729.47900000000004</v>
      </c>
      <c r="F208" s="35">
        <v>1150</v>
      </c>
      <c r="G208" s="35">
        <v>100</v>
      </c>
      <c r="H208" s="43">
        <v>600</v>
      </c>
      <c r="I208" s="35">
        <v>695</v>
      </c>
      <c r="J208" s="35">
        <v>50</v>
      </c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ht="15.75">
      <c r="A209" s="13">
        <v>47849</v>
      </c>
      <c r="B209" s="44">
        <v>31</v>
      </c>
      <c r="C209" s="35">
        <v>122.58</v>
      </c>
      <c r="D209" s="35">
        <v>297.94099999999997</v>
      </c>
      <c r="E209" s="41">
        <v>729.47900000000004</v>
      </c>
      <c r="F209" s="35">
        <v>1150</v>
      </c>
      <c r="G209" s="35">
        <v>100</v>
      </c>
      <c r="H209" s="43">
        <v>600</v>
      </c>
      <c r="I209" s="35">
        <v>695</v>
      </c>
      <c r="J209" s="35">
        <v>50</v>
      </c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ht="15.75">
      <c r="A210" s="13">
        <v>47880</v>
      </c>
      <c r="B210" s="44">
        <v>28</v>
      </c>
      <c r="C210" s="35">
        <v>122.58</v>
      </c>
      <c r="D210" s="35">
        <v>297.94099999999997</v>
      </c>
      <c r="E210" s="41">
        <v>729.47900000000004</v>
      </c>
      <c r="F210" s="35">
        <v>1150</v>
      </c>
      <c r="G210" s="35">
        <v>100</v>
      </c>
      <c r="H210" s="43">
        <v>600</v>
      </c>
      <c r="I210" s="35">
        <v>695</v>
      </c>
      <c r="J210" s="35">
        <v>50</v>
      </c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ht="15.75">
      <c r="A211" s="13">
        <v>47908</v>
      </c>
      <c r="B211" s="44">
        <v>31</v>
      </c>
      <c r="C211" s="35">
        <v>122.58</v>
      </c>
      <c r="D211" s="35">
        <v>297.94099999999997</v>
      </c>
      <c r="E211" s="41">
        <v>729.47900000000004</v>
      </c>
      <c r="F211" s="35">
        <v>1150</v>
      </c>
      <c r="G211" s="35">
        <v>100</v>
      </c>
      <c r="H211" s="43">
        <v>600</v>
      </c>
      <c r="I211" s="35">
        <v>695</v>
      </c>
      <c r="J211" s="35">
        <v>50</v>
      </c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ht="15.75">
      <c r="A212" s="13">
        <v>47939</v>
      </c>
      <c r="B212" s="44">
        <v>30</v>
      </c>
      <c r="C212" s="35">
        <v>141.29300000000001</v>
      </c>
      <c r="D212" s="35">
        <v>267.99299999999999</v>
      </c>
      <c r="E212" s="41">
        <v>829.71400000000006</v>
      </c>
      <c r="F212" s="35">
        <v>1239</v>
      </c>
      <c r="G212" s="35">
        <v>100</v>
      </c>
      <c r="H212" s="43">
        <v>600</v>
      </c>
      <c r="I212" s="35">
        <v>695</v>
      </c>
      <c r="J212" s="35">
        <v>50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ht="15.75">
      <c r="A213" s="13">
        <v>47969</v>
      </c>
      <c r="B213" s="44">
        <v>31</v>
      </c>
      <c r="C213" s="35">
        <v>194.20500000000001</v>
      </c>
      <c r="D213" s="35">
        <v>267.46600000000001</v>
      </c>
      <c r="E213" s="41">
        <v>812.32899999999995</v>
      </c>
      <c r="F213" s="35">
        <v>1274</v>
      </c>
      <c r="G213" s="35">
        <v>75</v>
      </c>
      <c r="H213" s="43">
        <v>600</v>
      </c>
      <c r="I213" s="35">
        <v>695</v>
      </c>
      <c r="J213" s="35">
        <v>50</v>
      </c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ht="15.75">
      <c r="A214" s="13">
        <v>48000</v>
      </c>
      <c r="B214" s="44">
        <v>30</v>
      </c>
      <c r="C214" s="35">
        <v>194.20500000000001</v>
      </c>
      <c r="D214" s="35">
        <v>267.46600000000001</v>
      </c>
      <c r="E214" s="41">
        <v>812.32899999999995</v>
      </c>
      <c r="F214" s="35">
        <v>1274</v>
      </c>
      <c r="G214" s="35">
        <v>50</v>
      </c>
      <c r="H214" s="43">
        <v>600</v>
      </c>
      <c r="I214" s="35">
        <v>695</v>
      </c>
      <c r="J214" s="35">
        <v>50</v>
      </c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ht="15.75">
      <c r="A215" s="13">
        <v>48030</v>
      </c>
      <c r="B215" s="44">
        <v>31</v>
      </c>
      <c r="C215" s="35">
        <v>194.20500000000001</v>
      </c>
      <c r="D215" s="35">
        <v>267.46600000000001</v>
      </c>
      <c r="E215" s="41">
        <v>812.32899999999995</v>
      </c>
      <c r="F215" s="35">
        <v>1274</v>
      </c>
      <c r="G215" s="35">
        <v>50</v>
      </c>
      <c r="H215" s="43">
        <v>600</v>
      </c>
      <c r="I215" s="35">
        <v>695</v>
      </c>
      <c r="J215" s="35">
        <v>0</v>
      </c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ht="15.75">
      <c r="A216" s="13">
        <v>48061</v>
      </c>
      <c r="B216" s="44">
        <v>31</v>
      </c>
      <c r="C216" s="35">
        <v>194.20500000000001</v>
      </c>
      <c r="D216" s="35">
        <v>267.46600000000001</v>
      </c>
      <c r="E216" s="41">
        <v>812.32899999999995</v>
      </c>
      <c r="F216" s="35">
        <v>1274</v>
      </c>
      <c r="G216" s="35">
        <v>50</v>
      </c>
      <c r="H216" s="43">
        <v>600</v>
      </c>
      <c r="I216" s="35">
        <v>695</v>
      </c>
      <c r="J216" s="35">
        <v>0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ht="15.75">
      <c r="A217" s="13">
        <v>48092</v>
      </c>
      <c r="B217" s="44">
        <v>30</v>
      </c>
      <c r="C217" s="35">
        <v>194.20500000000001</v>
      </c>
      <c r="D217" s="35">
        <v>267.46600000000001</v>
      </c>
      <c r="E217" s="41">
        <v>812.32899999999995</v>
      </c>
      <c r="F217" s="35">
        <v>1274</v>
      </c>
      <c r="G217" s="35">
        <v>50</v>
      </c>
      <c r="H217" s="43">
        <v>600</v>
      </c>
      <c r="I217" s="35">
        <v>695</v>
      </c>
      <c r="J217" s="35">
        <v>0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ht="15.75">
      <c r="A218" s="13">
        <v>48122</v>
      </c>
      <c r="B218" s="44">
        <v>31</v>
      </c>
      <c r="C218" s="35">
        <v>131.881</v>
      </c>
      <c r="D218" s="35">
        <v>277.16699999999997</v>
      </c>
      <c r="E218" s="41">
        <v>829.952</v>
      </c>
      <c r="F218" s="35">
        <v>1239</v>
      </c>
      <c r="G218" s="35">
        <v>75</v>
      </c>
      <c r="H218" s="43">
        <v>600</v>
      </c>
      <c r="I218" s="35">
        <v>695</v>
      </c>
      <c r="J218" s="35">
        <v>0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ht="15.75">
      <c r="A219" s="13">
        <v>48153</v>
      </c>
      <c r="B219" s="44">
        <v>30</v>
      </c>
      <c r="C219" s="35">
        <v>122.58</v>
      </c>
      <c r="D219" s="35">
        <v>297.94099999999997</v>
      </c>
      <c r="E219" s="41">
        <v>729.47900000000004</v>
      </c>
      <c r="F219" s="35">
        <v>1150</v>
      </c>
      <c r="G219" s="35">
        <v>100</v>
      </c>
      <c r="H219" s="43">
        <v>600</v>
      </c>
      <c r="I219" s="35">
        <v>695</v>
      </c>
      <c r="J219" s="35">
        <v>50</v>
      </c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5.75">
      <c r="A220" s="13">
        <v>48183</v>
      </c>
      <c r="B220" s="44">
        <v>31</v>
      </c>
      <c r="C220" s="35">
        <v>122.58</v>
      </c>
      <c r="D220" s="35">
        <v>297.94099999999997</v>
      </c>
      <c r="E220" s="41">
        <v>729.47900000000004</v>
      </c>
      <c r="F220" s="35">
        <v>1150</v>
      </c>
      <c r="G220" s="35">
        <v>100</v>
      </c>
      <c r="H220" s="43">
        <v>600</v>
      </c>
      <c r="I220" s="35">
        <v>695</v>
      </c>
      <c r="J220" s="35">
        <v>50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5.75">
      <c r="A221" s="13">
        <v>48214</v>
      </c>
      <c r="B221" s="44">
        <v>31</v>
      </c>
      <c r="C221" s="35">
        <v>122.58</v>
      </c>
      <c r="D221" s="35">
        <v>297.94099999999997</v>
      </c>
      <c r="E221" s="41">
        <v>729.47900000000004</v>
      </c>
      <c r="F221" s="35">
        <v>1150</v>
      </c>
      <c r="G221" s="35">
        <v>100</v>
      </c>
      <c r="H221" s="43">
        <v>600</v>
      </c>
      <c r="I221" s="35">
        <v>695</v>
      </c>
      <c r="J221" s="35">
        <v>50</v>
      </c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ht="15.75">
      <c r="A222" s="13">
        <v>48245</v>
      </c>
      <c r="B222" s="44">
        <v>29</v>
      </c>
      <c r="C222" s="35">
        <v>122.58</v>
      </c>
      <c r="D222" s="35">
        <v>297.94099999999997</v>
      </c>
      <c r="E222" s="41">
        <v>729.47900000000004</v>
      </c>
      <c r="F222" s="35">
        <v>1150</v>
      </c>
      <c r="G222" s="35">
        <v>100</v>
      </c>
      <c r="H222" s="43">
        <v>600</v>
      </c>
      <c r="I222" s="35">
        <v>695</v>
      </c>
      <c r="J222" s="35">
        <v>50</v>
      </c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ht="15.75">
      <c r="A223" s="13">
        <v>48274</v>
      </c>
      <c r="B223" s="44">
        <v>31</v>
      </c>
      <c r="C223" s="35">
        <v>122.58</v>
      </c>
      <c r="D223" s="35">
        <v>297.94099999999997</v>
      </c>
      <c r="E223" s="41">
        <v>729.47900000000004</v>
      </c>
      <c r="F223" s="35">
        <v>1150</v>
      </c>
      <c r="G223" s="35">
        <v>100</v>
      </c>
      <c r="H223" s="43">
        <v>600</v>
      </c>
      <c r="I223" s="35">
        <v>695</v>
      </c>
      <c r="J223" s="35">
        <v>50</v>
      </c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ht="15.75">
      <c r="A224" s="13">
        <v>48305</v>
      </c>
      <c r="B224" s="44">
        <v>30</v>
      </c>
      <c r="C224" s="35">
        <v>141.29300000000001</v>
      </c>
      <c r="D224" s="35">
        <v>267.99299999999999</v>
      </c>
      <c r="E224" s="41">
        <v>829.71400000000006</v>
      </c>
      <c r="F224" s="35">
        <v>1239</v>
      </c>
      <c r="G224" s="35">
        <v>100</v>
      </c>
      <c r="H224" s="43">
        <v>600</v>
      </c>
      <c r="I224" s="35">
        <v>695</v>
      </c>
      <c r="J224" s="35">
        <v>50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ht="15.75">
      <c r="A225" s="13">
        <v>48335</v>
      </c>
      <c r="B225" s="44">
        <v>31</v>
      </c>
      <c r="C225" s="35">
        <v>194.20500000000001</v>
      </c>
      <c r="D225" s="35">
        <v>267.46600000000001</v>
      </c>
      <c r="E225" s="41">
        <v>812.32899999999995</v>
      </c>
      <c r="F225" s="35">
        <v>1274</v>
      </c>
      <c r="G225" s="35">
        <v>75</v>
      </c>
      <c r="H225" s="43">
        <v>600</v>
      </c>
      <c r="I225" s="35">
        <v>695</v>
      </c>
      <c r="J225" s="35">
        <v>50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ht="15.75">
      <c r="A226" s="13">
        <v>48366</v>
      </c>
      <c r="B226" s="44">
        <v>30</v>
      </c>
      <c r="C226" s="35">
        <v>194.20500000000001</v>
      </c>
      <c r="D226" s="35">
        <v>267.46600000000001</v>
      </c>
      <c r="E226" s="41">
        <v>812.32899999999995</v>
      </c>
      <c r="F226" s="35">
        <v>1274</v>
      </c>
      <c r="G226" s="35">
        <v>50</v>
      </c>
      <c r="H226" s="43">
        <v>600</v>
      </c>
      <c r="I226" s="35">
        <v>695</v>
      </c>
      <c r="J226" s="35">
        <v>50</v>
      </c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ht="15.75">
      <c r="A227" s="13">
        <v>48396</v>
      </c>
      <c r="B227" s="44">
        <v>31</v>
      </c>
      <c r="C227" s="35">
        <v>194.20500000000001</v>
      </c>
      <c r="D227" s="35">
        <v>267.46600000000001</v>
      </c>
      <c r="E227" s="41">
        <v>812.32899999999995</v>
      </c>
      <c r="F227" s="35">
        <v>1274</v>
      </c>
      <c r="G227" s="35">
        <v>50</v>
      </c>
      <c r="H227" s="43">
        <v>600</v>
      </c>
      <c r="I227" s="35">
        <v>695</v>
      </c>
      <c r="J227" s="35">
        <v>0</v>
      </c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ht="15.75">
      <c r="A228" s="13">
        <v>48427</v>
      </c>
      <c r="B228" s="44">
        <v>31</v>
      </c>
      <c r="C228" s="35">
        <v>194.20500000000001</v>
      </c>
      <c r="D228" s="35">
        <v>267.46600000000001</v>
      </c>
      <c r="E228" s="41">
        <v>812.32899999999995</v>
      </c>
      <c r="F228" s="35">
        <v>1274</v>
      </c>
      <c r="G228" s="35">
        <v>50</v>
      </c>
      <c r="H228" s="43">
        <v>600</v>
      </c>
      <c r="I228" s="35">
        <v>695</v>
      </c>
      <c r="J228" s="35">
        <v>0</v>
      </c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ht="15.75">
      <c r="A229" s="13">
        <v>48458</v>
      </c>
      <c r="B229" s="44">
        <v>30</v>
      </c>
      <c r="C229" s="35">
        <v>194.20500000000001</v>
      </c>
      <c r="D229" s="35">
        <v>267.46600000000001</v>
      </c>
      <c r="E229" s="41">
        <v>812.32899999999995</v>
      </c>
      <c r="F229" s="35">
        <v>1274</v>
      </c>
      <c r="G229" s="35">
        <v>50</v>
      </c>
      <c r="H229" s="43">
        <v>600</v>
      </c>
      <c r="I229" s="35">
        <v>695</v>
      </c>
      <c r="J229" s="35">
        <v>0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ht="15.75">
      <c r="A230" s="13">
        <v>48488</v>
      </c>
      <c r="B230" s="44">
        <v>31</v>
      </c>
      <c r="C230" s="35">
        <v>131.881</v>
      </c>
      <c r="D230" s="35">
        <v>277.16699999999997</v>
      </c>
      <c r="E230" s="41">
        <v>829.952</v>
      </c>
      <c r="F230" s="35">
        <v>1239</v>
      </c>
      <c r="G230" s="35">
        <v>75</v>
      </c>
      <c r="H230" s="43">
        <v>600</v>
      </c>
      <c r="I230" s="35">
        <v>695</v>
      </c>
      <c r="J230" s="35">
        <v>0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ht="15.75">
      <c r="A231" s="13">
        <v>48519</v>
      </c>
      <c r="B231" s="44">
        <v>30</v>
      </c>
      <c r="C231" s="35">
        <v>122.58</v>
      </c>
      <c r="D231" s="35">
        <v>297.94099999999997</v>
      </c>
      <c r="E231" s="41">
        <v>729.47900000000004</v>
      </c>
      <c r="F231" s="35">
        <v>1150</v>
      </c>
      <c r="G231" s="35">
        <v>100</v>
      </c>
      <c r="H231" s="43">
        <v>600</v>
      </c>
      <c r="I231" s="35">
        <v>695</v>
      </c>
      <c r="J231" s="35">
        <v>50</v>
      </c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5.75">
      <c r="A232" s="13">
        <v>48549</v>
      </c>
      <c r="B232" s="44">
        <v>31</v>
      </c>
      <c r="C232" s="35">
        <v>122.58</v>
      </c>
      <c r="D232" s="35">
        <v>297.94099999999997</v>
      </c>
      <c r="E232" s="41">
        <v>729.47900000000004</v>
      </c>
      <c r="F232" s="35">
        <v>1150</v>
      </c>
      <c r="G232" s="35">
        <v>100</v>
      </c>
      <c r="H232" s="43">
        <v>600</v>
      </c>
      <c r="I232" s="35">
        <v>695</v>
      </c>
      <c r="J232" s="35">
        <v>50</v>
      </c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5.75">
      <c r="A233" s="13">
        <v>48580</v>
      </c>
      <c r="B233" s="44">
        <v>31</v>
      </c>
      <c r="C233" s="35">
        <v>122.58</v>
      </c>
      <c r="D233" s="35">
        <v>297.94099999999997</v>
      </c>
      <c r="E233" s="41">
        <v>729.47900000000004</v>
      </c>
      <c r="F233" s="35">
        <v>1150</v>
      </c>
      <c r="G233" s="35">
        <v>100</v>
      </c>
      <c r="H233" s="43">
        <v>600</v>
      </c>
      <c r="I233" s="35">
        <v>695</v>
      </c>
      <c r="J233" s="35">
        <v>50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.75">
      <c r="A234" s="13">
        <v>48611</v>
      </c>
      <c r="B234" s="44">
        <v>28</v>
      </c>
      <c r="C234" s="35">
        <v>122.58</v>
      </c>
      <c r="D234" s="35">
        <v>297.94099999999997</v>
      </c>
      <c r="E234" s="41">
        <v>729.47900000000004</v>
      </c>
      <c r="F234" s="35">
        <v>1150</v>
      </c>
      <c r="G234" s="35">
        <v>100</v>
      </c>
      <c r="H234" s="43">
        <v>600</v>
      </c>
      <c r="I234" s="35">
        <v>695</v>
      </c>
      <c r="J234" s="35">
        <v>50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ht="15.75">
      <c r="A235" s="13">
        <v>48639</v>
      </c>
      <c r="B235" s="44">
        <v>31</v>
      </c>
      <c r="C235" s="35">
        <v>122.58</v>
      </c>
      <c r="D235" s="35">
        <v>297.94099999999997</v>
      </c>
      <c r="E235" s="41">
        <v>729.47900000000004</v>
      </c>
      <c r="F235" s="35">
        <v>1150</v>
      </c>
      <c r="G235" s="35">
        <v>100</v>
      </c>
      <c r="H235" s="43">
        <v>600</v>
      </c>
      <c r="I235" s="35">
        <v>695</v>
      </c>
      <c r="J235" s="35">
        <v>50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ht="15.75">
      <c r="A236" s="13">
        <v>48670</v>
      </c>
      <c r="B236" s="44">
        <v>30</v>
      </c>
      <c r="C236" s="35">
        <v>141.29300000000001</v>
      </c>
      <c r="D236" s="35">
        <v>267.99299999999999</v>
      </c>
      <c r="E236" s="41">
        <v>829.71400000000006</v>
      </c>
      <c r="F236" s="35">
        <v>1239</v>
      </c>
      <c r="G236" s="35">
        <v>100</v>
      </c>
      <c r="H236" s="43">
        <v>600</v>
      </c>
      <c r="I236" s="35">
        <v>695</v>
      </c>
      <c r="J236" s="35">
        <v>50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ht="15.75">
      <c r="A237" s="13">
        <v>48700</v>
      </c>
      <c r="B237" s="44">
        <v>31</v>
      </c>
      <c r="C237" s="35">
        <v>194.20500000000001</v>
      </c>
      <c r="D237" s="35">
        <v>267.46600000000001</v>
      </c>
      <c r="E237" s="41">
        <v>812.32899999999995</v>
      </c>
      <c r="F237" s="35">
        <v>1274</v>
      </c>
      <c r="G237" s="35">
        <v>75</v>
      </c>
      <c r="H237" s="43">
        <v>600</v>
      </c>
      <c r="I237" s="35">
        <v>695</v>
      </c>
      <c r="J237" s="35">
        <v>50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ht="15.75">
      <c r="A238" s="13">
        <v>48731</v>
      </c>
      <c r="B238" s="44">
        <v>30</v>
      </c>
      <c r="C238" s="35">
        <v>194.20500000000001</v>
      </c>
      <c r="D238" s="35">
        <v>267.46600000000001</v>
      </c>
      <c r="E238" s="41">
        <v>812.32899999999995</v>
      </c>
      <c r="F238" s="35">
        <v>1274</v>
      </c>
      <c r="G238" s="35">
        <v>50</v>
      </c>
      <c r="H238" s="43">
        <v>600</v>
      </c>
      <c r="I238" s="35">
        <v>695</v>
      </c>
      <c r="J238" s="35">
        <v>50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ht="15.75">
      <c r="A239" s="13">
        <v>48761</v>
      </c>
      <c r="B239" s="44">
        <v>31</v>
      </c>
      <c r="C239" s="35">
        <v>194.20500000000001</v>
      </c>
      <c r="D239" s="35">
        <v>267.46600000000001</v>
      </c>
      <c r="E239" s="41">
        <v>812.32899999999995</v>
      </c>
      <c r="F239" s="35">
        <v>1274</v>
      </c>
      <c r="G239" s="35">
        <v>50</v>
      </c>
      <c r="H239" s="43">
        <v>600</v>
      </c>
      <c r="I239" s="35">
        <v>695</v>
      </c>
      <c r="J239" s="35">
        <v>0</v>
      </c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ht="15.75">
      <c r="A240" s="13">
        <v>48792</v>
      </c>
      <c r="B240" s="44">
        <v>31</v>
      </c>
      <c r="C240" s="35">
        <v>194.20500000000001</v>
      </c>
      <c r="D240" s="35">
        <v>267.46600000000001</v>
      </c>
      <c r="E240" s="41">
        <v>812.32899999999995</v>
      </c>
      <c r="F240" s="35">
        <v>1274</v>
      </c>
      <c r="G240" s="35">
        <v>50</v>
      </c>
      <c r="H240" s="43">
        <v>600</v>
      </c>
      <c r="I240" s="35">
        <v>695</v>
      </c>
      <c r="J240" s="35">
        <v>0</v>
      </c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ht="15.75">
      <c r="A241" s="13">
        <v>48823</v>
      </c>
      <c r="B241" s="44">
        <v>30</v>
      </c>
      <c r="C241" s="35">
        <v>194.20500000000001</v>
      </c>
      <c r="D241" s="35">
        <v>267.46600000000001</v>
      </c>
      <c r="E241" s="41">
        <v>812.32899999999995</v>
      </c>
      <c r="F241" s="35">
        <v>1274</v>
      </c>
      <c r="G241" s="35">
        <v>50</v>
      </c>
      <c r="H241" s="43">
        <v>600</v>
      </c>
      <c r="I241" s="35">
        <v>695</v>
      </c>
      <c r="J241" s="35">
        <v>0</v>
      </c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ht="15.75">
      <c r="A242" s="13">
        <v>48853</v>
      </c>
      <c r="B242" s="44">
        <v>31</v>
      </c>
      <c r="C242" s="35">
        <v>131.881</v>
      </c>
      <c r="D242" s="35">
        <v>277.16699999999997</v>
      </c>
      <c r="E242" s="41">
        <v>829.952</v>
      </c>
      <c r="F242" s="35">
        <v>1239</v>
      </c>
      <c r="G242" s="35">
        <v>75</v>
      </c>
      <c r="H242" s="43">
        <v>600</v>
      </c>
      <c r="I242" s="35">
        <v>695</v>
      </c>
      <c r="J242" s="35">
        <v>0</v>
      </c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ht="15.75">
      <c r="A243" s="13">
        <v>48884</v>
      </c>
      <c r="B243" s="44">
        <v>30</v>
      </c>
      <c r="C243" s="35">
        <v>122.58</v>
      </c>
      <c r="D243" s="35">
        <v>297.94099999999997</v>
      </c>
      <c r="E243" s="41">
        <v>729.47900000000004</v>
      </c>
      <c r="F243" s="35">
        <v>1150</v>
      </c>
      <c r="G243" s="35">
        <v>100</v>
      </c>
      <c r="H243" s="43">
        <v>600</v>
      </c>
      <c r="I243" s="35">
        <v>695</v>
      </c>
      <c r="J243" s="35">
        <v>50</v>
      </c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ht="15.75">
      <c r="A244" s="13">
        <v>48914</v>
      </c>
      <c r="B244" s="44">
        <v>31</v>
      </c>
      <c r="C244" s="35">
        <v>122.58</v>
      </c>
      <c r="D244" s="35">
        <v>297.94099999999997</v>
      </c>
      <c r="E244" s="41">
        <v>729.47900000000004</v>
      </c>
      <c r="F244" s="35">
        <v>1150</v>
      </c>
      <c r="G244" s="35">
        <v>100</v>
      </c>
      <c r="H244" s="43">
        <v>600</v>
      </c>
      <c r="I244" s="35">
        <v>695</v>
      </c>
      <c r="J244" s="35">
        <v>50</v>
      </c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ht="15.75">
      <c r="A245" s="13">
        <v>48945</v>
      </c>
      <c r="B245" s="44">
        <v>31</v>
      </c>
      <c r="C245" s="35">
        <v>122.58</v>
      </c>
      <c r="D245" s="35">
        <v>297.94099999999997</v>
      </c>
      <c r="E245" s="41">
        <v>729.47900000000004</v>
      </c>
      <c r="F245" s="35">
        <v>1150</v>
      </c>
      <c r="G245" s="35">
        <v>100</v>
      </c>
      <c r="H245" s="43">
        <v>600</v>
      </c>
      <c r="I245" s="35">
        <v>695</v>
      </c>
      <c r="J245" s="35">
        <v>50</v>
      </c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ht="15.75">
      <c r="A246" s="13">
        <v>48976</v>
      </c>
      <c r="B246" s="44">
        <v>28</v>
      </c>
      <c r="C246" s="35">
        <v>122.58</v>
      </c>
      <c r="D246" s="35">
        <v>297.94099999999997</v>
      </c>
      <c r="E246" s="41">
        <v>729.47900000000004</v>
      </c>
      <c r="F246" s="35">
        <v>1150</v>
      </c>
      <c r="G246" s="35">
        <v>100</v>
      </c>
      <c r="H246" s="43">
        <v>600</v>
      </c>
      <c r="I246" s="35">
        <v>695</v>
      </c>
      <c r="J246" s="35">
        <v>50</v>
      </c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ht="15.75">
      <c r="A247" s="13">
        <v>49004</v>
      </c>
      <c r="B247" s="44">
        <v>31</v>
      </c>
      <c r="C247" s="35">
        <v>122.58</v>
      </c>
      <c r="D247" s="35">
        <v>297.94099999999997</v>
      </c>
      <c r="E247" s="41">
        <v>729.47900000000004</v>
      </c>
      <c r="F247" s="35">
        <v>1150</v>
      </c>
      <c r="G247" s="35">
        <v>100</v>
      </c>
      <c r="H247" s="43">
        <v>600</v>
      </c>
      <c r="I247" s="35">
        <v>695</v>
      </c>
      <c r="J247" s="35">
        <v>50</v>
      </c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ht="15.75">
      <c r="A248" s="13">
        <v>49035</v>
      </c>
      <c r="B248" s="44">
        <v>30</v>
      </c>
      <c r="C248" s="35">
        <v>141.29300000000001</v>
      </c>
      <c r="D248" s="35">
        <v>267.99299999999999</v>
      </c>
      <c r="E248" s="41">
        <v>829.71400000000006</v>
      </c>
      <c r="F248" s="35">
        <v>1239</v>
      </c>
      <c r="G248" s="35">
        <v>100</v>
      </c>
      <c r="H248" s="43">
        <v>600</v>
      </c>
      <c r="I248" s="35">
        <v>695</v>
      </c>
      <c r="J248" s="35">
        <v>50</v>
      </c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ht="15.75">
      <c r="A249" s="13">
        <v>49065</v>
      </c>
      <c r="B249" s="44">
        <v>31</v>
      </c>
      <c r="C249" s="35">
        <v>194.20500000000001</v>
      </c>
      <c r="D249" s="35">
        <v>267.46600000000001</v>
      </c>
      <c r="E249" s="41">
        <v>812.32899999999995</v>
      </c>
      <c r="F249" s="35">
        <v>1274</v>
      </c>
      <c r="G249" s="35">
        <v>75</v>
      </c>
      <c r="H249" s="43">
        <v>600</v>
      </c>
      <c r="I249" s="35">
        <v>695</v>
      </c>
      <c r="J249" s="35">
        <v>50</v>
      </c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ht="15.75">
      <c r="A250" s="13">
        <v>49096</v>
      </c>
      <c r="B250" s="44">
        <v>30</v>
      </c>
      <c r="C250" s="35">
        <v>194.20500000000001</v>
      </c>
      <c r="D250" s="35">
        <v>267.46600000000001</v>
      </c>
      <c r="E250" s="41">
        <v>812.32899999999995</v>
      </c>
      <c r="F250" s="35">
        <v>1274</v>
      </c>
      <c r="G250" s="35">
        <v>50</v>
      </c>
      <c r="H250" s="43">
        <v>600</v>
      </c>
      <c r="I250" s="35">
        <v>695</v>
      </c>
      <c r="J250" s="35">
        <v>50</v>
      </c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ht="15.75">
      <c r="A251" s="13">
        <v>49126</v>
      </c>
      <c r="B251" s="44">
        <v>31</v>
      </c>
      <c r="C251" s="35">
        <v>194.20500000000001</v>
      </c>
      <c r="D251" s="35">
        <v>267.46600000000001</v>
      </c>
      <c r="E251" s="41">
        <v>812.32899999999995</v>
      </c>
      <c r="F251" s="35">
        <v>1274</v>
      </c>
      <c r="G251" s="35">
        <v>50</v>
      </c>
      <c r="H251" s="43">
        <v>600</v>
      </c>
      <c r="I251" s="35">
        <v>695</v>
      </c>
      <c r="J251" s="35">
        <v>0</v>
      </c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ht="15.75">
      <c r="A252" s="13">
        <v>49157</v>
      </c>
      <c r="B252" s="44">
        <v>31</v>
      </c>
      <c r="C252" s="35">
        <v>194.20500000000001</v>
      </c>
      <c r="D252" s="35">
        <v>267.46600000000001</v>
      </c>
      <c r="E252" s="41">
        <v>812.32899999999995</v>
      </c>
      <c r="F252" s="35">
        <v>1274</v>
      </c>
      <c r="G252" s="35">
        <v>50</v>
      </c>
      <c r="H252" s="43">
        <v>600</v>
      </c>
      <c r="I252" s="35">
        <v>695</v>
      </c>
      <c r="J252" s="35">
        <v>0</v>
      </c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ht="15.75">
      <c r="A253" s="13">
        <v>49188</v>
      </c>
      <c r="B253" s="44">
        <v>30</v>
      </c>
      <c r="C253" s="35">
        <v>194.20500000000001</v>
      </c>
      <c r="D253" s="35">
        <v>267.46600000000001</v>
      </c>
      <c r="E253" s="41">
        <v>812.32899999999995</v>
      </c>
      <c r="F253" s="35">
        <v>1274</v>
      </c>
      <c r="G253" s="35">
        <v>50</v>
      </c>
      <c r="H253" s="43">
        <v>600</v>
      </c>
      <c r="I253" s="35">
        <v>695</v>
      </c>
      <c r="J253" s="35">
        <v>0</v>
      </c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ht="15.75">
      <c r="A254" s="13">
        <v>49218</v>
      </c>
      <c r="B254" s="44">
        <v>31</v>
      </c>
      <c r="C254" s="35">
        <v>131.881</v>
      </c>
      <c r="D254" s="35">
        <v>277.16699999999997</v>
      </c>
      <c r="E254" s="41">
        <v>829.952</v>
      </c>
      <c r="F254" s="35">
        <v>1239</v>
      </c>
      <c r="G254" s="35">
        <v>75</v>
      </c>
      <c r="H254" s="43">
        <v>600</v>
      </c>
      <c r="I254" s="35">
        <v>695</v>
      </c>
      <c r="J254" s="35">
        <v>0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>
      <c r="A255" s="13">
        <v>49249</v>
      </c>
      <c r="B255" s="44">
        <v>30</v>
      </c>
      <c r="C255" s="35">
        <v>122.58</v>
      </c>
      <c r="D255" s="35">
        <v>297.94099999999997</v>
      </c>
      <c r="E255" s="41">
        <v>729.47900000000004</v>
      </c>
      <c r="F255" s="35">
        <v>1150</v>
      </c>
      <c r="G255" s="35">
        <v>100</v>
      </c>
      <c r="H255" s="43">
        <v>600</v>
      </c>
      <c r="I255" s="35">
        <v>695</v>
      </c>
      <c r="J255" s="35">
        <v>50</v>
      </c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>
      <c r="A256" s="13">
        <v>49279</v>
      </c>
      <c r="B256" s="44">
        <v>31</v>
      </c>
      <c r="C256" s="35">
        <v>122.58</v>
      </c>
      <c r="D256" s="35">
        <v>297.94099999999997</v>
      </c>
      <c r="E256" s="41">
        <v>729.47900000000004</v>
      </c>
      <c r="F256" s="35">
        <v>1150</v>
      </c>
      <c r="G256" s="35">
        <v>100</v>
      </c>
      <c r="H256" s="43">
        <v>600</v>
      </c>
      <c r="I256" s="35">
        <v>695</v>
      </c>
      <c r="J256" s="35">
        <v>50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ht="15.75">
      <c r="A257" s="13">
        <v>49310</v>
      </c>
      <c r="B257" s="44">
        <v>31</v>
      </c>
      <c r="C257" s="35">
        <v>122.58</v>
      </c>
      <c r="D257" s="35">
        <v>297.94099999999997</v>
      </c>
      <c r="E257" s="41">
        <v>729.47900000000004</v>
      </c>
      <c r="F257" s="35">
        <v>1150</v>
      </c>
      <c r="G257" s="35">
        <v>100</v>
      </c>
      <c r="H257" s="43">
        <v>600</v>
      </c>
      <c r="I257" s="35">
        <v>695</v>
      </c>
      <c r="J257" s="35">
        <v>50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ht="15.75">
      <c r="A258" s="13">
        <v>49341</v>
      </c>
      <c r="B258" s="44">
        <v>28</v>
      </c>
      <c r="C258" s="35">
        <v>122.58</v>
      </c>
      <c r="D258" s="35">
        <v>297.94099999999997</v>
      </c>
      <c r="E258" s="41">
        <v>729.47900000000004</v>
      </c>
      <c r="F258" s="35">
        <v>1150</v>
      </c>
      <c r="G258" s="35">
        <v>100</v>
      </c>
      <c r="H258" s="43">
        <v>600</v>
      </c>
      <c r="I258" s="35">
        <v>695</v>
      </c>
      <c r="J258" s="35">
        <v>50</v>
      </c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ht="15.75">
      <c r="A259" s="13">
        <v>49369</v>
      </c>
      <c r="B259" s="44">
        <v>31</v>
      </c>
      <c r="C259" s="35">
        <v>122.58</v>
      </c>
      <c r="D259" s="35">
        <v>297.94099999999997</v>
      </c>
      <c r="E259" s="41">
        <v>729.47900000000004</v>
      </c>
      <c r="F259" s="35">
        <v>1150</v>
      </c>
      <c r="G259" s="35">
        <v>100</v>
      </c>
      <c r="H259" s="43">
        <v>600</v>
      </c>
      <c r="I259" s="35">
        <v>695</v>
      </c>
      <c r="J259" s="35">
        <v>50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ht="15.75">
      <c r="A260" s="13">
        <v>49400</v>
      </c>
      <c r="B260" s="44">
        <v>30</v>
      </c>
      <c r="C260" s="35">
        <v>141.29300000000001</v>
      </c>
      <c r="D260" s="35">
        <v>267.99299999999999</v>
      </c>
      <c r="E260" s="41">
        <v>829.71400000000006</v>
      </c>
      <c r="F260" s="35">
        <v>1239</v>
      </c>
      <c r="G260" s="35">
        <v>100</v>
      </c>
      <c r="H260" s="43">
        <v>600</v>
      </c>
      <c r="I260" s="35">
        <v>695</v>
      </c>
      <c r="J260" s="35">
        <v>50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pans="1:20" ht="15.75">
      <c r="A261" s="13">
        <v>49430</v>
      </c>
      <c r="B261" s="44">
        <v>31</v>
      </c>
      <c r="C261" s="35">
        <v>194.20500000000001</v>
      </c>
      <c r="D261" s="35">
        <v>267.46600000000001</v>
      </c>
      <c r="E261" s="41">
        <v>812.32899999999995</v>
      </c>
      <c r="F261" s="35">
        <v>1274</v>
      </c>
      <c r="G261" s="35">
        <v>75</v>
      </c>
      <c r="H261" s="43">
        <v>600</v>
      </c>
      <c r="I261" s="35">
        <v>695</v>
      </c>
      <c r="J261" s="35">
        <v>50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ht="15.75">
      <c r="A262" s="14">
        <v>49461</v>
      </c>
      <c r="B262" s="44">
        <v>30</v>
      </c>
      <c r="C262" s="35">
        <v>194.20500000000001</v>
      </c>
      <c r="D262" s="35">
        <v>267.46600000000001</v>
      </c>
      <c r="E262" s="41">
        <v>812.32899999999995</v>
      </c>
      <c r="F262" s="35">
        <v>1274</v>
      </c>
      <c r="G262" s="35">
        <v>50</v>
      </c>
      <c r="H262" s="43">
        <v>600</v>
      </c>
      <c r="I262" s="35">
        <v>695</v>
      </c>
      <c r="J262" s="35">
        <v>50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ht="15.75">
      <c r="A263" s="14">
        <v>49491</v>
      </c>
      <c r="B263" s="44">
        <v>31</v>
      </c>
      <c r="C263" s="35">
        <v>194.20500000000001</v>
      </c>
      <c r="D263" s="35">
        <v>267.46600000000001</v>
      </c>
      <c r="E263" s="41">
        <v>812.32899999999995</v>
      </c>
      <c r="F263" s="35">
        <v>1274</v>
      </c>
      <c r="G263" s="35">
        <v>50</v>
      </c>
      <c r="H263" s="43">
        <v>600</v>
      </c>
      <c r="I263" s="35">
        <v>695</v>
      </c>
      <c r="J263" s="35">
        <v>0</v>
      </c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ht="15.75">
      <c r="A264" s="14">
        <v>49522</v>
      </c>
      <c r="B264" s="44">
        <v>31</v>
      </c>
      <c r="C264" s="35">
        <v>194.20500000000001</v>
      </c>
      <c r="D264" s="35">
        <v>267.46600000000001</v>
      </c>
      <c r="E264" s="41">
        <v>812.32899999999995</v>
      </c>
      <c r="F264" s="35">
        <v>1274</v>
      </c>
      <c r="G264" s="35">
        <v>50</v>
      </c>
      <c r="H264" s="43">
        <v>600</v>
      </c>
      <c r="I264" s="35">
        <v>695</v>
      </c>
      <c r="J264" s="35">
        <v>0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pans="1:20" ht="15.75">
      <c r="A265" s="14">
        <v>49553</v>
      </c>
      <c r="B265" s="44">
        <v>30</v>
      </c>
      <c r="C265" s="35">
        <v>194.20500000000001</v>
      </c>
      <c r="D265" s="35">
        <v>267.46600000000001</v>
      </c>
      <c r="E265" s="41">
        <v>812.32899999999995</v>
      </c>
      <c r="F265" s="35">
        <v>1274</v>
      </c>
      <c r="G265" s="35">
        <v>50</v>
      </c>
      <c r="H265" s="43">
        <v>600</v>
      </c>
      <c r="I265" s="35">
        <v>695</v>
      </c>
      <c r="J265" s="35">
        <v>0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</row>
    <row r="266" spans="1:20" ht="15.75">
      <c r="A266" s="14">
        <v>49583</v>
      </c>
      <c r="B266" s="44">
        <v>31</v>
      </c>
      <c r="C266" s="35">
        <v>131.881</v>
      </c>
      <c r="D266" s="35">
        <v>277.16699999999997</v>
      </c>
      <c r="E266" s="41">
        <v>829.952</v>
      </c>
      <c r="F266" s="35">
        <v>1239</v>
      </c>
      <c r="G266" s="35">
        <v>75</v>
      </c>
      <c r="H266" s="43">
        <v>600</v>
      </c>
      <c r="I266" s="35">
        <v>695</v>
      </c>
      <c r="J266" s="35">
        <v>0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pans="1:20" ht="15.75">
      <c r="A267" s="14">
        <v>49614</v>
      </c>
      <c r="B267" s="44">
        <v>30</v>
      </c>
      <c r="C267" s="35">
        <v>122.58</v>
      </c>
      <c r="D267" s="35">
        <v>297.94099999999997</v>
      </c>
      <c r="E267" s="41">
        <v>729.47900000000004</v>
      </c>
      <c r="F267" s="35">
        <v>1150</v>
      </c>
      <c r="G267" s="35">
        <v>100</v>
      </c>
      <c r="H267" s="43">
        <v>600</v>
      </c>
      <c r="I267" s="35">
        <v>695</v>
      </c>
      <c r="J267" s="35">
        <v>50</v>
      </c>
      <c r="K267" s="36"/>
      <c r="L267" s="36"/>
      <c r="M267" s="36"/>
      <c r="N267" s="36"/>
      <c r="O267" s="36"/>
      <c r="P267" s="36"/>
      <c r="Q267" s="36"/>
      <c r="R267" s="36"/>
      <c r="S267" s="36"/>
      <c r="T267" s="36"/>
    </row>
    <row r="268" spans="1:20" ht="15.75">
      <c r="A268" s="14">
        <v>49644</v>
      </c>
      <c r="B268" s="44">
        <v>31</v>
      </c>
      <c r="C268" s="35">
        <v>122.58</v>
      </c>
      <c r="D268" s="35">
        <v>297.94099999999997</v>
      </c>
      <c r="E268" s="41">
        <v>729.47900000000004</v>
      </c>
      <c r="F268" s="35">
        <v>1150</v>
      </c>
      <c r="G268" s="35">
        <v>100</v>
      </c>
      <c r="H268" s="43">
        <v>600</v>
      </c>
      <c r="I268" s="35">
        <v>695</v>
      </c>
      <c r="J268" s="35">
        <v>50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pans="1:20" ht="15.75">
      <c r="A269" s="14">
        <v>49675</v>
      </c>
      <c r="B269" s="44">
        <v>31</v>
      </c>
      <c r="C269" s="35">
        <v>122.58</v>
      </c>
      <c r="D269" s="35">
        <v>297.94099999999997</v>
      </c>
      <c r="E269" s="41">
        <v>729.47900000000004</v>
      </c>
      <c r="F269" s="35">
        <v>1150</v>
      </c>
      <c r="G269" s="35">
        <v>100</v>
      </c>
      <c r="H269" s="43">
        <v>600</v>
      </c>
      <c r="I269" s="35">
        <v>695</v>
      </c>
      <c r="J269" s="35">
        <v>50</v>
      </c>
      <c r="K269" s="36"/>
      <c r="L269" s="36"/>
      <c r="M269" s="36"/>
      <c r="N269" s="36"/>
      <c r="O269" s="36"/>
      <c r="P269" s="36"/>
      <c r="Q269" s="36"/>
      <c r="R269" s="36"/>
      <c r="S269" s="36"/>
      <c r="T269" s="36"/>
    </row>
    <row r="270" spans="1:20" ht="15.75">
      <c r="A270" s="14">
        <v>49706</v>
      </c>
      <c r="B270" s="44">
        <v>29</v>
      </c>
      <c r="C270" s="35">
        <v>122.58</v>
      </c>
      <c r="D270" s="35">
        <v>297.94099999999997</v>
      </c>
      <c r="E270" s="41">
        <v>729.47900000000004</v>
      </c>
      <c r="F270" s="35">
        <v>1150</v>
      </c>
      <c r="G270" s="35">
        <v>100</v>
      </c>
      <c r="H270" s="43">
        <v>600</v>
      </c>
      <c r="I270" s="35">
        <v>695</v>
      </c>
      <c r="J270" s="35">
        <v>50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pans="1:20" ht="15.75">
      <c r="A271" s="14">
        <v>49735</v>
      </c>
      <c r="B271" s="44">
        <v>31</v>
      </c>
      <c r="C271" s="35">
        <v>122.58</v>
      </c>
      <c r="D271" s="35">
        <v>297.94099999999997</v>
      </c>
      <c r="E271" s="41">
        <v>729.47900000000004</v>
      </c>
      <c r="F271" s="35">
        <v>1150</v>
      </c>
      <c r="G271" s="35">
        <v>100</v>
      </c>
      <c r="H271" s="43">
        <v>600</v>
      </c>
      <c r="I271" s="35">
        <v>695</v>
      </c>
      <c r="J271" s="35">
        <v>50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</row>
    <row r="272" spans="1:20" ht="15.75">
      <c r="A272" s="14">
        <v>49766</v>
      </c>
      <c r="B272" s="44">
        <v>30</v>
      </c>
      <c r="C272" s="35">
        <v>141.29300000000001</v>
      </c>
      <c r="D272" s="35">
        <v>267.99299999999999</v>
      </c>
      <c r="E272" s="41">
        <v>829.71400000000006</v>
      </c>
      <c r="F272" s="35">
        <v>1239</v>
      </c>
      <c r="G272" s="35">
        <v>100</v>
      </c>
      <c r="H272" s="43">
        <v>600</v>
      </c>
      <c r="I272" s="35">
        <v>695</v>
      </c>
      <c r="J272" s="35">
        <v>50</v>
      </c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pans="1:20" ht="15.75">
      <c r="A273" s="14">
        <v>49796</v>
      </c>
      <c r="B273" s="44">
        <v>31</v>
      </c>
      <c r="C273" s="35">
        <v>194.20500000000001</v>
      </c>
      <c r="D273" s="35">
        <v>267.46600000000001</v>
      </c>
      <c r="E273" s="41">
        <v>812.32899999999995</v>
      </c>
      <c r="F273" s="35">
        <v>1274</v>
      </c>
      <c r="G273" s="35">
        <v>75</v>
      </c>
      <c r="H273" s="43">
        <v>600</v>
      </c>
      <c r="I273" s="35">
        <v>695</v>
      </c>
      <c r="J273" s="35">
        <v>50</v>
      </c>
      <c r="K273" s="36"/>
      <c r="L273" s="36"/>
      <c r="M273" s="36"/>
      <c r="N273" s="36"/>
      <c r="O273" s="36"/>
      <c r="P273" s="36"/>
      <c r="Q273" s="36"/>
      <c r="R273" s="36"/>
      <c r="S273" s="36"/>
      <c r="T273" s="36"/>
    </row>
    <row r="274" spans="1:20" ht="15.75">
      <c r="A274" s="14">
        <v>49827</v>
      </c>
      <c r="B274" s="44">
        <v>30</v>
      </c>
      <c r="C274" s="35">
        <v>194.20500000000001</v>
      </c>
      <c r="D274" s="35">
        <v>267.46600000000001</v>
      </c>
      <c r="E274" s="41">
        <v>812.32899999999995</v>
      </c>
      <c r="F274" s="35">
        <v>1274</v>
      </c>
      <c r="G274" s="35">
        <v>50</v>
      </c>
      <c r="H274" s="43">
        <v>600</v>
      </c>
      <c r="I274" s="35">
        <v>695</v>
      </c>
      <c r="J274" s="35">
        <v>50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pans="1:20" ht="15.75">
      <c r="A275" s="14">
        <v>49857</v>
      </c>
      <c r="B275" s="44">
        <v>31</v>
      </c>
      <c r="C275" s="35">
        <v>194.20500000000001</v>
      </c>
      <c r="D275" s="35">
        <v>267.46600000000001</v>
      </c>
      <c r="E275" s="41">
        <v>812.32899999999995</v>
      </c>
      <c r="F275" s="35">
        <v>1274</v>
      </c>
      <c r="G275" s="35">
        <v>50</v>
      </c>
      <c r="H275" s="43">
        <v>600</v>
      </c>
      <c r="I275" s="35">
        <v>695</v>
      </c>
      <c r="J275" s="35">
        <v>0</v>
      </c>
      <c r="K275" s="36"/>
      <c r="L275" s="36"/>
      <c r="M275" s="36"/>
      <c r="N275" s="36"/>
      <c r="O275" s="36"/>
      <c r="P275" s="36"/>
      <c r="Q275" s="36"/>
      <c r="R275" s="36"/>
      <c r="S275" s="36"/>
      <c r="T275" s="36"/>
    </row>
    <row r="276" spans="1:20" ht="15.75">
      <c r="A276" s="14">
        <v>49888</v>
      </c>
      <c r="B276" s="44">
        <v>31</v>
      </c>
      <c r="C276" s="35">
        <v>194.20500000000001</v>
      </c>
      <c r="D276" s="35">
        <v>267.46600000000001</v>
      </c>
      <c r="E276" s="41">
        <v>812.32899999999995</v>
      </c>
      <c r="F276" s="35">
        <v>1274</v>
      </c>
      <c r="G276" s="35">
        <v>50</v>
      </c>
      <c r="H276" s="43">
        <v>600</v>
      </c>
      <c r="I276" s="35">
        <v>695</v>
      </c>
      <c r="J276" s="35">
        <v>0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pans="1:20" ht="15.75">
      <c r="A277" s="14">
        <v>49919</v>
      </c>
      <c r="B277" s="44">
        <v>30</v>
      </c>
      <c r="C277" s="35">
        <v>194.20500000000001</v>
      </c>
      <c r="D277" s="35">
        <v>267.46600000000001</v>
      </c>
      <c r="E277" s="41">
        <v>812.32899999999995</v>
      </c>
      <c r="F277" s="35">
        <v>1274</v>
      </c>
      <c r="G277" s="35">
        <v>50</v>
      </c>
      <c r="H277" s="43">
        <v>600</v>
      </c>
      <c r="I277" s="35">
        <v>695</v>
      </c>
      <c r="J277" s="35">
        <v>0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</row>
    <row r="278" spans="1:20" ht="15.75">
      <c r="A278" s="14">
        <v>49949</v>
      </c>
      <c r="B278" s="44">
        <v>31</v>
      </c>
      <c r="C278" s="35">
        <v>131.881</v>
      </c>
      <c r="D278" s="35">
        <v>277.16699999999997</v>
      </c>
      <c r="E278" s="41">
        <v>829.952</v>
      </c>
      <c r="F278" s="35">
        <v>1239</v>
      </c>
      <c r="G278" s="35">
        <v>75</v>
      </c>
      <c r="H278" s="43">
        <v>600</v>
      </c>
      <c r="I278" s="35">
        <v>695</v>
      </c>
      <c r="J278" s="35">
        <v>0</v>
      </c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pans="1:20" ht="15.75">
      <c r="A279" s="14">
        <v>49980</v>
      </c>
      <c r="B279" s="44">
        <v>30</v>
      </c>
      <c r="C279" s="35">
        <v>122.58</v>
      </c>
      <c r="D279" s="35">
        <v>297.94099999999997</v>
      </c>
      <c r="E279" s="41">
        <v>729.47900000000004</v>
      </c>
      <c r="F279" s="35">
        <v>1150</v>
      </c>
      <c r="G279" s="35">
        <v>100</v>
      </c>
      <c r="H279" s="43">
        <v>600</v>
      </c>
      <c r="I279" s="35">
        <v>695</v>
      </c>
      <c r="J279" s="35">
        <v>50</v>
      </c>
      <c r="K279" s="36"/>
      <c r="L279" s="36"/>
      <c r="M279" s="36"/>
      <c r="N279" s="36"/>
      <c r="O279" s="36"/>
      <c r="P279" s="36"/>
      <c r="Q279" s="36"/>
      <c r="R279" s="36"/>
      <c r="S279" s="36"/>
      <c r="T279" s="36"/>
    </row>
    <row r="280" spans="1:20" ht="15.75">
      <c r="A280" s="14">
        <v>50010</v>
      </c>
      <c r="B280" s="44">
        <v>31</v>
      </c>
      <c r="C280" s="35">
        <v>122.58</v>
      </c>
      <c r="D280" s="35">
        <v>297.94099999999997</v>
      </c>
      <c r="E280" s="41">
        <v>729.47900000000004</v>
      </c>
      <c r="F280" s="35">
        <v>1150</v>
      </c>
      <c r="G280" s="35">
        <v>100</v>
      </c>
      <c r="H280" s="43">
        <v>600</v>
      </c>
      <c r="I280" s="35">
        <v>695</v>
      </c>
      <c r="J280" s="35">
        <v>50</v>
      </c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pans="1:20" ht="15.75">
      <c r="A281" s="14">
        <v>50041</v>
      </c>
      <c r="B281" s="44">
        <v>31</v>
      </c>
      <c r="C281" s="35">
        <v>122.58</v>
      </c>
      <c r="D281" s="35">
        <v>297.94099999999997</v>
      </c>
      <c r="E281" s="41">
        <v>729.47900000000004</v>
      </c>
      <c r="F281" s="35">
        <v>1150</v>
      </c>
      <c r="G281" s="35">
        <v>100</v>
      </c>
      <c r="H281" s="43">
        <v>600</v>
      </c>
      <c r="I281" s="35">
        <v>695</v>
      </c>
      <c r="J281" s="35">
        <v>50</v>
      </c>
      <c r="K281" s="36"/>
      <c r="L281" s="36"/>
      <c r="M281" s="36"/>
      <c r="N281" s="36"/>
      <c r="O281" s="36"/>
      <c r="P281" s="36"/>
      <c r="Q281" s="36"/>
      <c r="R281" s="36"/>
      <c r="S281" s="36"/>
      <c r="T281" s="36"/>
    </row>
    <row r="282" spans="1:20" ht="15.75">
      <c r="A282" s="14">
        <v>50072</v>
      </c>
      <c r="B282" s="44">
        <v>28</v>
      </c>
      <c r="C282" s="35">
        <v>122.58</v>
      </c>
      <c r="D282" s="35">
        <v>297.94099999999997</v>
      </c>
      <c r="E282" s="41">
        <v>729.47900000000004</v>
      </c>
      <c r="F282" s="35">
        <v>1150</v>
      </c>
      <c r="G282" s="35">
        <v>100</v>
      </c>
      <c r="H282" s="43">
        <v>600</v>
      </c>
      <c r="I282" s="35">
        <v>695</v>
      </c>
      <c r="J282" s="35">
        <v>50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pans="1:20" ht="15.75">
      <c r="A283" s="14">
        <v>50100</v>
      </c>
      <c r="B283" s="44">
        <v>31</v>
      </c>
      <c r="C283" s="35">
        <v>122.58</v>
      </c>
      <c r="D283" s="35">
        <v>297.94099999999997</v>
      </c>
      <c r="E283" s="41">
        <v>729.47900000000004</v>
      </c>
      <c r="F283" s="35">
        <v>1150</v>
      </c>
      <c r="G283" s="35">
        <v>100</v>
      </c>
      <c r="H283" s="43">
        <v>600</v>
      </c>
      <c r="I283" s="35">
        <v>695</v>
      </c>
      <c r="J283" s="35">
        <v>50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ht="15.75">
      <c r="A284" s="14">
        <v>50131</v>
      </c>
      <c r="B284" s="44">
        <v>30</v>
      </c>
      <c r="C284" s="35">
        <v>141.29300000000001</v>
      </c>
      <c r="D284" s="35">
        <v>267.99299999999999</v>
      </c>
      <c r="E284" s="41">
        <v>829.71400000000006</v>
      </c>
      <c r="F284" s="35">
        <v>1239</v>
      </c>
      <c r="G284" s="35">
        <v>100</v>
      </c>
      <c r="H284" s="43">
        <v>600</v>
      </c>
      <c r="I284" s="35">
        <v>695</v>
      </c>
      <c r="J284" s="35">
        <v>50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ht="15.75">
      <c r="A285" s="14">
        <v>50161</v>
      </c>
      <c r="B285" s="44">
        <v>31</v>
      </c>
      <c r="C285" s="35">
        <v>194.20500000000001</v>
      </c>
      <c r="D285" s="35">
        <v>267.46600000000001</v>
      </c>
      <c r="E285" s="41">
        <v>812.32899999999995</v>
      </c>
      <c r="F285" s="35">
        <v>1274</v>
      </c>
      <c r="G285" s="35">
        <v>75</v>
      </c>
      <c r="H285" s="43">
        <v>600</v>
      </c>
      <c r="I285" s="35">
        <v>695</v>
      </c>
      <c r="J285" s="35">
        <v>50</v>
      </c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ht="15.75">
      <c r="A286" s="14">
        <v>50192</v>
      </c>
      <c r="B286" s="44">
        <v>30</v>
      </c>
      <c r="C286" s="35">
        <v>194.20500000000001</v>
      </c>
      <c r="D286" s="35">
        <v>267.46600000000001</v>
      </c>
      <c r="E286" s="41">
        <v>812.32899999999995</v>
      </c>
      <c r="F286" s="35">
        <v>1274</v>
      </c>
      <c r="G286" s="35">
        <v>50</v>
      </c>
      <c r="H286" s="43">
        <v>600</v>
      </c>
      <c r="I286" s="35">
        <v>695</v>
      </c>
      <c r="J286" s="35">
        <v>50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pans="1:20" ht="15.75">
      <c r="A287" s="14">
        <v>50222</v>
      </c>
      <c r="B287" s="44">
        <v>31</v>
      </c>
      <c r="C287" s="35">
        <v>194.20500000000001</v>
      </c>
      <c r="D287" s="35">
        <v>267.46600000000001</v>
      </c>
      <c r="E287" s="41">
        <v>812.32899999999995</v>
      </c>
      <c r="F287" s="35">
        <v>1274</v>
      </c>
      <c r="G287" s="35">
        <v>50</v>
      </c>
      <c r="H287" s="43">
        <v>600</v>
      </c>
      <c r="I287" s="35">
        <v>695</v>
      </c>
      <c r="J287" s="35">
        <v>0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</row>
    <row r="288" spans="1:20" ht="15.75">
      <c r="A288" s="14">
        <v>50253</v>
      </c>
      <c r="B288" s="44">
        <v>31</v>
      </c>
      <c r="C288" s="35">
        <v>194.20500000000001</v>
      </c>
      <c r="D288" s="35">
        <v>267.46600000000001</v>
      </c>
      <c r="E288" s="41">
        <v>812.32899999999995</v>
      </c>
      <c r="F288" s="35">
        <v>1274</v>
      </c>
      <c r="G288" s="35">
        <v>50</v>
      </c>
      <c r="H288" s="43">
        <v>600</v>
      </c>
      <c r="I288" s="35">
        <v>695</v>
      </c>
      <c r="J288" s="35">
        <v>0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pans="1:20" ht="15.75">
      <c r="A289" s="14">
        <v>50284</v>
      </c>
      <c r="B289" s="44">
        <v>30</v>
      </c>
      <c r="C289" s="35">
        <v>194.20500000000001</v>
      </c>
      <c r="D289" s="35">
        <v>267.46600000000001</v>
      </c>
      <c r="E289" s="41">
        <v>812.32899999999995</v>
      </c>
      <c r="F289" s="35">
        <v>1274</v>
      </c>
      <c r="G289" s="35">
        <v>50</v>
      </c>
      <c r="H289" s="43">
        <v>600</v>
      </c>
      <c r="I289" s="35">
        <v>695</v>
      </c>
      <c r="J289" s="35">
        <v>0</v>
      </c>
      <c r="K289" s="36"/>
      <c r="L289" s="36"/>
      <c r="M289" s="36"/>
      <c r="N289" s="36"/>
      <c r="O289" s="36"/>
      <c r="P289" s="36"/>
      <c r="Q289" s="36"/>
      <c r="R289" s="36"/>
      <c r="S289" s="36"/>
      <c r="T289" s="36"/>
    </row>
    <row r="290" spans="1:20" ht="15.75">
      <c r="A290" s="14">
        <v>50314</v>
      </c>
      <c r="B290" s="44">
        <v>31</v>
      </c>
      <c r="C290" s="35">
        <v>131.881</v>
      </c>
      <c r="D290" s="35">
        <v>277.16699999999997</v>
      </c>
      <c r="E290" s="41">
        <v>829.952</v>
      </c>
      <c r="F290" s="35">
        <v>1239</v>
      </c>
      <c r="G290" s="35">
        <v>75</v>
      </c>
      <c r="H290" s="43">
        <v>600</v>
      </c>
      <c r="I290" s="35">
        <v>695</v>
      </c>
      <c r="J290" s="35">
        <v>0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pans="1:20" ht="15.75">
      <c r="A291" s="14">
        <v>50345</v>
      </c>
      <c r="B291" s="44">
        <v>30</v>
      </c>
      <c r="C291" s="35">
        <v>122.58</v>
      </c>
      <c r="D291" s="35">
        <v>297.94099999999997</v>
      </c>
      <c r="E291" s="41">
        <v>729.47900000000004</v>
      </c>
      <c r="F291" s="35">
        <v>1150</v>
      </c>
      <c r="G291" s="35">
        <v>100</v>
      </c>
      <c r="H291" s="43">
        <v>600</v>
      </c>
      <c r="I291" s="35">
        <v>695</v>
      </c>
      <c r="J291" s="35">
        <v>50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</row>
    <row r="292" spans="1:20" ht="15.75">
      <c r="A292" s="14">
        <v>50375</v>
      </c>
      <c r="B292" s="44">
        <v>31</v>
      </c>
      <c r="C292" s="35">
        <v>122.58</v>
      </c>
      <c r="D292" s="35">
        <v>297.94099999999997</v>
      </c>
      <c r="E292" s="41">
        <v>729.47900000000004</v>
      </c>
      <c r="F292" s="35">
        <v>1150</v>
      </c>
      <c r="G292" s="35">
        <v>100</v>
      </c>
      <c r="H292" s="43">
        <v>600</v>
      </c>
      <c r="I292" s="35">
        <v>695</v>
      </c>
      <c r="J292" s="35">
        <v>50</v>
      </c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pans="1:20" ht="15.75">
      <c r="A293" s="13">
        <v>50436</v>
      </c>
      <c r="B293" s="44">
        <v>31</v>
      </c>
      <c r="C293" s="35">
        <v>122.58</v>
      </c>
      <c r="D293" s="35">
        <v>297.94099999999997</v>
      </c>
      <c r="E293" s="41">
        <v>729.47900000000004</v>
      </c>
      <c r="F293" s="35">
        <v>1150</v>
      </c>
      <c r="G293" s="35">
        <v>100</v>
      </c>
      <c r="H293" s="43">
        <v>600</v>
      </c>
      <c r="I293" s="35">
        <v>695</v>
      </c>
      <c r="J293" s="35">
        <v>50</v>
      </c>
      <c r="K293" s="36"/>
      <c r="L293" s="36"/>
      <c r="M293" s="36"/>
      <c r="N293" s="36"/>
      <c r="O293" s="36"/>
      <c r="P293" s="36"/>
      <c r="Q293" s="36"/>
      <c r="R293" s="36"/>
      <c r="S293" s="36"/>
      <c r="T293" s="36"/>
    </row>
    <row r="294" spans="1:20" ht="15.75">
      <c r="A294" s="13">
        <v>50464</v>
      </c>
      <c r="B294" s="44">
        <v>28</v>
      </c>
      <c r="C294" s="35">
        <v>122.58</v>
      </c>
      <c r="D294" s="35">
        <v>297.94099999999997</v>
      </c>
      <c r="E294" s="41">
        <v>729.47900000000004</v>
      </c>
      <c r="F294" s="35">
        <v>1150</v>
      </c>
      <c r="G294" s="35">
        <v>100</v>
      </c>
      <c r="H294" s="43">
        <v>600</v>
      </c>
      <c r="I294" s="35">
        <v>695</v>
      </c>
      <c r="J294" s="35">
        <v>50</v>
      </c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pans="1:20" ht="15.75">
      <c r="A295" s="13">
        <v>50495</v>
      </c>
      <c r="B295" s="44">
        <v>31</v>
      </c>
      <c r="C295" s="35">
        <v>122.58</v>
      </c>
      <c r="D295" s="35">
        <v>297.94099999999997</v>
      </c>
      <c r="E295" s="41">
        <v>729.47900000000004</v>
      </c>
      <c r="F295" s="35">
        <v>1150</v>
      </c>
      <c r="G295" s="35">
        <v>100</v>
      </c>
      <c r="H295" s="43">
        <v>600</v>
      </c>
      <c r="I295" s="35">
        <v>695</v>
      </c>
      <c r="J295" s="35">
        <v>50</v>
      </c>
      <c r="K295" s="36"/>
      <c r="L295" s="36"/>
      <c r="M295" s="36"/>
      <c r="N295" s="36"/>
      <c r="O295" s="36"/>
      <c r="P295" s="36"/>
      <c r="Q295" s="36"/>
      <c r="R295" s="36"/>
      <c r="S295" s="36"/>
      <c r="T295" s="36"/>
    </row>
    <row r="296" spans="1:20" ht="15.75">
      <c r="A296" s="13">
        <v>50525</v>
      </c>
      <c r="B296" s="44">
        <v>30</v>
      </c>
      <c r="C296" s="35">
        <v>141.29300000000001</v>
      </c>
      <c r="D296" s="35">
        <v>267.99299999999999</v>
      </c>
      <c r="E296" s="41">
        <v>829.71400000000006</v>
      </c>
      <c r="F296" s="35">
        <v>1239</v>
      </c>
      <c r="G296" s="35">
        <v>100</v>
      </c>
      <c r="H296" s="43">
        <v>600</v>
      </c>
      <c r="I296" s="35">
        <v>695</v>
      </c>
      <c r="J296" s="35">
        <v>50</v>
      </c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pans="1:20" ht="15.75">
      <c r="A297" s="13">
        <v>50556</v>
      </c>
      <c r="B297" s="44">
        <v>31</v>
      </c>
      <c r="C297" s="35">
        <v>194.20500000000001</v>
      </c>
      <c r="D297" s="35">
        <v>267.46600000000001</v>
      </c>
      <c r="E297" s="41">
        <v>812.32899999999995</v>
      </c>
      <c r="F297" s="35">
        <v>1274</v>
      </c>
      <c r="G297" s="35">
        <v>75</v>
      </c>
      <c r="H297" s="43">
        <v>600</v>
      </c>
      <c r="I297" s="35">
        <v>695</v>
      </c>
      <c r="J297" s="35">
        <v>50</v>
      </c>
      <c r="K297" s="36"/>
      <c r="L297" s="36"/>
      <c r="M297" s="36"/>
      <c r="N297" s="36"/>
      <c r="O297" s="36"/>
      <c r="P297" s="36"/>
      <c r="Q297" s="36"/>
      <c r="R297" s="36"/>
      <c r="S297" s="36"/>
      <c r="T297" s="36"/>
    </row>
    <row r="298" spans="1:20" ht="15.75">
      <c r="A298" s="13">
        <v>50586</v>
      </c>
      <c r="B298" s="44">
        <v>30</v>
      </c>
      <c r="C298" s="35">
        <v>194.20500000000001</v>
      </c>
      <c r="D298" s="35">
        <v>267.46600000000001</v>
      </c>
      <c r="E298" s="41">
        <v>812.32899999999995</v>
      </c>
      <c r="F298" s="35">
        <v>1274</v>
      </c>
      <c r="G298" s="35">
        <v>50</v>
      </c>
      <c r="H298" s="43">
        <v>600</v>
      </c>
      <c r="I298" s="35">
        <v>695</v>
      </c>
      <c r="J298" s="35">
        <v>50</v>
      </c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pans="1:20" ht="15.75">
      <c r="A299" s="13">
        <v>50617</v>
      </c>
      <c r="B299" s="44">
        <v>31</v>
      </c>
      <c r="C299" s="35">
        <v>194.20500000000001</v>
      </c>
      <c r="D299" s="35">
        <v>267.46600000000001</v>
      </c>
      <c r="E299" s="41">
        <v>812.32899999999995</v>
      </c>
      <c r="F299" s="35">
        <v>1274</v>
      </c>
      <c r="G299" s="35">
        <v>50</v>
      </c>
      <c r="H299" s="43">
        <v>600</v>
      </c>
      <c r="I299" s="35">
        <v>695</v>
      </c>
      <c r="J299" s="35">
        <v>0</v>
      </c>
      <c r="K299" s="36"/>
      <c r="L299" s="36"/>
      <c r="M299" s="36"/>
      <c r="N299" s="36"/>
      <c r="O299" s="36"/>
      <c r="P299" s="36"/>
      <c r="Q299" s="36"/>
      <c r="R299" s="36"/>
      <c r="S299" s="36"/>
      <c r="T299" s="36"/>
    </row>
    <row r="300" spans="1:20" ht="15.75">
      <c r="A300" s="13">
        <v>50648</v>
      </c>
      <c r="B300" s="44">
        <v>31</v>
      </c>
      <c r="C300" s="35">
        <v>194.20500000000001</v>
      </c>
      <c r="D300" s="35">
        <v>267.46600000000001</v>
      </c>
      <c r="E300" s="41">
        <v>812.32899999999995</v>
      </c>
      <c r="F300" s="35">
        <v>1274</v>
      </c>
      <c r="G300" s="35">
        <v>50</v>
      </c>
      <c r="H300" s="43">
        <v>600</v>
      </c>
      <c r="I300" s="35">
        <v>695</v>
      </c>
      <c r="J300" s="35">
        <v>0</v>
      </c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pans="1:20" ht="15.75">
      <c r="A301" s="13">
        <v>50678</v>
      </c>
      <c r="B301" s="44">
        <v>30</v>
      </c>
      <c r="C301" s="35">
        <v>194.20500000000001</v>
      </c>
      <c r="D301" s="35">
        <v>267.46600000000001</v>
      </c>
      <c r="E301" s="41">
        <v>812.32899999999995</v>
      </c>
      <c r="F301" s="35">
        <v>1274</v>
      </c>
      <c r="G301" s="35">
        <v>50</v>
      </c>
      <c r="H301" s="43">
        <v>600</v>
      </c>
      <c r="I301" s="35">
        <v>695</v>
      </c>
      <c r="J301" s="35">
        <v>0</v>
      </c>
      <c r="K301" s="36"/>
      <c r="L301" s="36"/>
      <c r="M301" s="36"/>
      <c r="N301" s="36"/>
      <c r="O301" s="36"/>
      <c r="P301" s="36"/>
      <c r="Q301" s="36"/>
      <c r="R301" s="36"/>
      <c r="S301" s="36"/>
      <c r="T301" s="36"/>
    </row>
    <row r="302" spans="1:20" ht="15.75">
      <c r="A302" s="13">
        <v>50709</v>
      </c>
      <c r="B302" s="44">
        <v>31</v>
      </c>
      <c r="C302" s="35">
        <v>131.881</v>
      </c>
      <c r="D302" s="35">
        <v>277.16699999999997</v>
      </c>
      <c r="E302" s="41">
        <v>829.952</v>
      </c>
      <c r="F302" s="35">
        <v>1239</v>
      </c>
      <c r="G302" s="35">
        <v>75</v>
      </c>
      <c r="H302" s="43">
        <v>600</v>
      </c>
      <c r="I302" s="35">
        <v>695</v>
      </c>
      <c r="J302" s="35">
        <v>0</v>
      </c>
      <c r="K302" s="36"/>
      <c r="L302" s="36"/>
      <c r="M302" s="36"/>
      <c r="N302" s="36"/>
      <c r="O302" s="36"/>
      <c r="P302" s="36"/>
      <c r="Q302" s="36"/>
      <c r="R302" s="36"/>
      <c r="S302" s="36"/>
      <c r="T302" s="36"/>
    </row>
    <row r="303" spans="1:20" ht="15.75">
      <c r="A303" s="13">
        <v>50739</v>
      </c>
      <c r="B303" s="44">
        <v>30</v>
      </c>
      <c r="C303" s="35">
        <v>122.58</v>
      </c>
      <c r="D303" s="35">
        <v>297.94099999999997</v>
      </c>
      <c r="E303" s="41">
        <v>729.47900000000004</v>
      </c>
      <c r="F303" s="35">
        <v>1150</v>
      </c>
      <c r="G303" s="35">
        <v>100</v>
      </c>
      <c r="H303" s="43">
        <v>600</v>
      </c>
      <c r="I303" s="35">
        <v>695</v>
      </c>
      <c r="J303" s="35">
        <v>50</v>
      </c>
      <c r="K303" s="36"/>
      <c r="L303" s="36"/>
      <c r="M303" s="36"/>
      <c r="N303" s="36"/>
      <c r="O303" s="36"/>
      <c r="P303" s="36"/>
      <c r="Q303" s="36"/>
      <c r="R303" s="36"/>
      <c r="S303" s="36"/>
      <c r="T303" s="36"/>
    </row>
    <row r="304" spans="1:20" ht="15.75">
      <c r="A304" s="13">
        <v>50770</v>
      </c>
      <c r="B304" s="44">
        <v>31</v>
      </c>
      <c r="C304" s="35">
        <v>122.58</v>
      </c>
      <c r="D304" s="35">
        <v>297.94099999999997</v>
      </c>
      <c r="E304" s="41">
        <v>729.47900000000004</v>
      </c>
      <c r="F304" s="35">
        <v>1150</v>
      </c>
      <c r="G304" s="35">
        <v>100</v>
      </c>
      <c r="H304" s="43">
        <v>600</v>
      </c>
      <c r="I304" s="35">
        <v>695</v>
      </c>
      <c r="J304" s="35">
        <v>50</v>
      </c>
      <c r="K304" s="36"/>
      <c r="L304" s="36"/>
      <c r="M304" s="36"/>
      <c r="N304" s="36"/>
      <c r="O304" s="36"/>
      <c r="P304" s="36"/>
      <c r="Q304" s="36"/>
      <c r="R304" s="36"/>
      <c r="S304" s="36"/>
      <c r="T304" s="36"/>
    </row>
    <row r="305" spans="1:20" ht="15.75">
      <c r="A305" s="13">
        <v>50801</v>
      </c>
      <c r="B305" s="44">
        <v>31</v>
      </c>
      <c r="C305" s="35">
        <v>122.58</v>
      </c>
      <c r="D305" s="35">
        <v>297.94099999999997</v>
      </c>
      <c r="E305" s="41">
        <v>729.47900000000004</v>
      </c>
      <c r="F305" s="35">
        <v>1150</v>
      </c>
      <c r="G305" s="35">
        <v>100</v>
      </c>
      <c r="H305" s="43">
        <v>600</v>
      </c>
      <c r="I305" s="35">
        <v>695</v>
      </c>
      <c r="J305" s="35">
        <v>50</v>
      </c>
      <c r="K305" s="36"/>
      <c r="L305" s="36"/>
      <c r="M305" s="36"/>
      <c r="N305" s="36"/>
      <c r="O305" s="36"/>
      <c r="P305" s="36"/>
      <c r="Q305" s="36"/>
      <c r="R305" s="36"/>
      <c r="S305" s="36"/>
      <c r="T305" s="36"/>
    </row>
    <row r="306" spans="1:20" ht="15.75">
      <c r="A306" s="13">
        <v>50829</v>
      </c>
      <c r="B306" s="44">
        <v>28</v>
      </c>
      <c r="C306" s="35">
        <v>122.58</v>
      </c>
      <c r="D306" s="35">
        <v>297.94099999999997</v>
      </c>
      <c r="E306" s="41">
        <v>729.47900000000004</v>
      </c>
      <c r="F306" s="35">
        <v>1150</v>
      </c>
      <c r="G306" s="35">
        <v>100</v>
      </c>
      <c r="H306" s="43">
        <v>600</v>
      </c>
      <c r="I306" s="35">
        <v>695</v>
      </c>
      <c r="J306" s="35">
        <v>50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</row>
    <row r="307" spans="1:20" ht="15.75">
      <c r="A307" s="13">
        <v>50860</v>
      </c>
      <c r="B307" s="44">
        <v>31</v>
      </c>
      <c r="C307" s="35">
        <v>122.58</v>
      </c>
      <c r="D307" s="35">
        <v>297.94099999999997</v>
      </c>
      <c r="E307" s="41">
        <v>729.47900000000004</v>
      </c>
      <c r="F307" s="35">
        <v>1150</v>
      </c>
      <c r="G307" s="35">
        <v>100</v>
      </c>
      <c r="H307" s="43">
        <v>600</v>
      </c>
      <c r="I307" s="35">
        <v>695</v>
      </c>
      <c r="J307" s="35">
        <v>50</v>
      </c>
      <c r="K307" s="36"/>
      <c r="L307" s="36"/>
      <c r="M307" s="36"/>
      <c r="N307" s="36"/>
      <c r="O307" s="36"/>
      <c r="P307" s="36"/>
      <c r="Q307" s="36"/>
      <c r="R307" s="36"/>
      <c r="S307" s="36"/>
      <c r="T307" s="36"/>
    </row>
    <row r="308" spans="1:20" ht="15.75">
      <c r="A308" s="13">
        <v>50890</v>
      </c>
      <c r="B308" s="44">
        <v>30</v>
      </c>
      <c r="C308" s="35">
        <v>141.29300000000001</v>
      </c>
      <c r="D308" s="35">
        <v>267.99299999999999</v>
      </c>
      <c r="E308" s="41">
        <v>829.71400000000006</v>
      </c>
      <c r="F308" s="35">
        <v>1239</v>
      </c>
      <c r="G308" s="35">
        <v>100</v>
      </c>
      <c r="H308" s="43">
        <v>600</v>
      </c>
      <c r="I308" s="35">
        <v>695</v>
      </c>
      <c r="J308" s="35">
        <v>50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</row>
    <row r="309" spans="1:20" ht="15.75">
      <c r="A309" s="13">
        <v>50921</v>
      </c>
      <c r="B309" s="44">
        <v>31</v>
      </c>
      <c r="C309" s="35">
        <v>194.20500000000001</v>
      </c>
      <c r="D309" s="35">
        <v>267.46600000000001</v>
      </c>
      <c r="E309" s="41">
        <v>812.32899999999995</v>
      </c>
      <c r="F309" s="35">
        <v>1274</v>
      </c>
      <c r="G309" s="35">
        <v>75</v>
      </c>
      <c r="H309" s="43">
        <v>600</v>
      </c>
      <c r="I309" s="35">
        <v>695</v>
      </c>
      <c r="J309" s="35">
        <v>50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</row>
    <row r="310" spans="1:20" ht="15.75">
      <c r="A310" s="13">
        <v>50951</v>
      </c>
      <c r="B310" s="44">
        <v>30</v>
      </c>
      <c r="C310" s="35">
        <v>194.20500000000001</v>
      </c>
      <c r="D310" s="35">
        <v>267.46600000000001</v>
      </c>
      <c r="E310" s="41">
        <v>812.32899999999995</v>
      </c>
      <c r="F310" s="35">
        <v>1274</v>
      </c>
      <c r="G310" s="35">
        <v>50</v>
      </c>
      <c r="H310" s="43">
        <v>600</v>
      </c>
      <c r="I310" s="35">
        <v>695</v>
      </c>
      <c r="J310" s="35">
        <v>50</v>
      </c>
      <c r="K310" s="36"/>
      <c r="L310" s="36"/>
      <c r="M310" s="36"/>
      <c r="N310" s="36"/>
      <c r="O310" s="36"/>
      <c r="P310" s="36"/>
      <c r="Q310" s="36"/>
      <c r="R310" s="36"/>
      <c r="S310" s="36"/>
      <c r="T310" s="36"/>
    </row>
    <row r="311" spans="1:20" ht="15.75">
      <c r="A311" s="13">
        <v>50982</v>
      </c>
      <c r="B311" s="44">
        <v>31</v>
      </c>
      <c r="C311" s="35">
        <v>194.20500000000001</v>
      </c>
      <c r="D311" s="35">
        <v>267.46600000000001</v>
      </c>
      <c r="E311" s="41">
        <v>812.32899999999995</v>
      </c>
      <c r="F311" s="35">
        <v>1274</v>
      </c>
      <c r="G311" s="35">
        <v>50</v>
      </c>
      <c r="H311" s="43">
        <v>600</v>
      </c>
      <c r="I311" s="35">
        <v>695</v>
      </c>
      <c r="J311" s="35">
        <v>0</v>
      </c>
      <c r="K311" s="36"/>
      <c r="L311" s="36"/>
      <c r="M311" s="36"/>
      <c r="N311" s="36"/>
      <c r="O311" s="36"/>
      <c r="P311" s="36"/>
      <c r="Q311" s="36"/>
      <c r="R311" s="36"/>
      <c r="S311" s="36"/>
      <c r="T311" s="36"/>
    </row>
    <row r="312" spans="1:20" ht="15.75">
      <c r="A312" s="13">
        <v>51013</v>
      </c>
      <c r="B312" s="44">
        <v>31</v>
      </c>
      <c r="C312" s="35">
        <v>194.20500000000001</v>
      </c>
      <c r="D312" s="35">
        <v>267.46600000000001</v>
      </c>
      <c r="E312" s="41">
        <v>812.32899999999995</v>
      </c>
      <c r="F312" s="35">
        <v>1274</v>
      </c>
      <c r="G312" s="35">
        <v>50</v>
      </c>
      <c r="H312" s="43">
        <v>600</v>
      </c>
      <c r="I312" s="35">
        <v>695</v>
      </c>
      <c r="J312" s="35">
        <v>0</v>
      </c>
      <c r="K312" s="36"/>
      <c r="L312" s="36"/>
      <c r="M312" s="36"/>
      <c r="N312" s="36"/>
      <c r="O312" s="36"/>
      <c r="P312" s="36"/>
      <c r="Q312" s="36"/>
      <c r="R312" s="36"/>
      <c r="S312" s="36"/>
      <c r="T312" s="36"/>
    </row>
    <row r="313" spans="1:20" ht="15.75">
      <c r="A313" s="13">
        <v>51043</v>
      </c>
      <c r="B313" s="44">
        <v>30</v>
      </c>
      <c r="C313" s="35">
        <v>194.20500000000001</v>
      </c>
      <c r="D313" s="35">
        <v>267.46600000000001</v>
      </c>
      <c r="E313" s="41">
        <v>812.32899999999995</v>
      </c>
      <c r="F313" s="35">
        <v>1274</v>
      </c>
      <c r="G313" s="35">
        <v>50</v>
      </c>
      <c r="H313" s="43">
        <v>600</v>
      </c>
      <c r="I313" s="35">
        <v>695</v>
      </c>
      <c r="J313" s="35">
        <v>0</v>
      </c>
      <c r="K313" s="36"/>
      <c r="L313" s="36"/>
      <c r="M313" s="36"/>
      <c r="N313" s="36"/>
      <c r="O313" s="36"/>
      <c r="P313" s="36"/>
      <c r="Q313" s="36"/>
      <c r="R313" s="36"/>
      <c r="S313" s="36"/>
      <c r="T313" s="36"/>
    </row>
    <row r="314" spans="1:20" ht="15.75">
      <c r="A314" s="13">
        <v>51074</v>
      </c>
      <c r="B314" s="44">
        <v>31</v>
      </c>
      <c r="C314" s="35">
        <v>131.881</v>
      </c>
      <c r="D314" s="35">
        <v>277.16699999999997</v>
      </c>
      <c r="E314" s="41">
        <v>829.952</v>
      </c>
      <c r="F314" s="35">
        <v>1239</v>
      </c>
      <c r="G314" s="35">
        <v>75</v>
      </c>
      <c r="H314" s="43">
        <v>600</v>
      </c>
      <c r="I314" s="35">
        <v>695</v>
      </c>
      <c r="J314" s="35">
        <v>0</v>
      </c>
      <c r="K314" s="36"/>
      <c r="L314" s="36"/>
      <c r="M314" s="36"/>
      <c r="N314" s="36"/>
      <c r="O314" s="36"/>
      <c r="P314" s="36"/>
      <c r="Q314" s="36"/>
      <c r="R314" s="36"/>
      <c r="S314" s="36"/>
      <c r="T314" s="36"/>
    </row>
    <row r="315" spans="1:20" ht="15.75">
      <c r="A315" s="13">
        <v>51104</v>
      </c>
      <c r="B315" s="44">
        <v>30</v>
      </c>
      <c r="C315" s="35">
        <v>122.58</v>
      </c>
      <c r="D315" s="35">
        <v>297.94099999999997</v>
      </c>
      <c r="E315" s="41">
        <v>729.47900000000004</v>
      </c>
      <c r="F315" s="35">
        <v>1150</v>
      </c>
      <c r="G315" s="35">
        <v>100</v>
      </c>
      <c r="H315" s="43">
        <v>600</v>
      </c>
      <c r="I315" s="35">
        <v>695</v>
      </c>
      <c r="J315" s="35">
        <v>50</v>
      </c>
      <c r="K315" s="36"/>
      <c r="L315" s="36"/>
      <c r="M315" s="36"/>
      <c r="N315" s="36"/>
      <c r="O315" s="36"/>
      <c r="P315" s="36"/>
      <c r="Q315" s="36"/>
      <c r="R315" s="36"/>
      <c r="S315" s="36"/>
      <c r="T315" s="36"/>
    </row>
    <row r="316" spans="1:20" ht="15.75">
      <c r="A316" s="13">
        <v>51135</v>
      </c>
      <c r="B316" s="44">
        <v>31</v>
      </c>
      <c r="C316" s="35">
        <v>122.58</v>
      </c>
      <c r="D316" s="35">
        <v>297.94099999999997</v>
      </c>
      <c r="E316" s="41">
        <v>729.47900000000004</v>
      </c>
      <c r="F316" s="35">
        <v>1150</v>
      </c>
      <c r="G316" s="35">
        <v>100</v>
      </c>
      <c r="H316" s="43">
        <v>600</v>
      </c>
      <c r="I316" s="35">
        <v>695</v>
      </c>
      <c r="J316" s="35">
        <v>50</v>
      </c>
      <c r="K316" s="36"/>
      <c r="L316" s="36"/>
      <c r="M316" s="36"/>
      <c r="N316" s="36"/>
      <c r="O316" s="36"/>
      <c r="P316" s="36"/>
      <c r="Q316" s="36"/>
      <c r="R316" s="36"/>
      <c r="S316" s="36"/>
      <c r="T316" s="36"/>
    </row>
    <row r="317" spans="1:20" ht="15.75">
      <c r="A317" s="13">
        <v>51166</v>
      </c>
      <c r="B317" s="44">
        <v>31</v>
      </c>
      <c r="C317" s="35">
        <v>122.58</v>
      </c>
      <c r="D317" s="35">
        <v>297.94099999999997</v>
      </c>
      <c r="E317" s="41">
        <v>729.47900000000004</v>
      </c>
      <c r="F317" s="35">
        <v>1150</v>
      </c>
      <c r="G317" s="35">
        <v>100</v>
      </c>
      <c r="H317" s="43">
        <v>600</v>
      </c>
      <c r="I317" s="35">
        <v>695</v>
      </c>
      <c r="J317" s="35">
        <v>50</v>
      </c>
      <c r="K317" s="36"/>
      <c r="L317" s="36"/>
      <c r="M317" s="36"/>
      <c r="N317" s="36"/>
      <c r="O317" s="36"/>
      <c r="P317" s="36"/>
      <c r="Q317" s="36"/>
      <c r="R317" s="36"/>
      <c r="S317" s="36"/>
      <c r="T317" s="36"/>
    </row>
    <row r="318" spans="1:20" ht="15.75">
      <c r="A318" s="13">
        <v>51194</v>
      </c>
      <c r="B318" s="44">
        <v>29</v>
      </c>
      <c r="C318" s="35">
        <v>122.58</v>
      </c>
      <c r="D318" s="35">
        <v>297.94099999999997</v>
      </c>
      <c r="E318" s="41">
        <v>729.47900000000004</v>
      </c>
      <c r="F318" s="35">
        <v>1150</v>
      </c>
      <c r="G318" s="35">
        <v>100</v>
      </c>
      <c r="H318" s="43">
        <v>600</v>
      </c>
      <c r="I318" s="35">
        <v>695</v>
      </c>
      <c r="J318" s="35">
        <v>50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</row>
    <row r="319" spans="1:20" ht="15.75">
      <c r="A319" s="13">
        <v>51226</v>
      </c>
      <c r="B319" s="44">
        <v>31</v>
      </c>
      <c r="C319" s="35">
        <v>122.58</v>
      </c>
      <c r="D319" s="35">
        <v>297.94099999999997</v>
      </c>
      <c r="E319" s="41">
        <v>729.47900000000004</v>
      </c>
      <c r="F319" s="35">
        <v>1150</v>
      </c>
      <c r="G319" s="35">
        <v>100</v>
      </c>
      <c r="H319" s="43">
        <v>600</v>
      </c>
      <c r="I319" s="35">
        <v>695</v>
      </c>
      <c r="J319" s="35">
        <v>50</v>
      </c>
      <c r="K319" s="36"/>
      <c r="L319" s="36"/>
      <c r="M319" s="36"/>
      <c r="N319" s="36"/>
      <c r="O319" s="36"/>
      <c r="P319" s="36"/>
      <c r="Q319" s="36"/>
      <c r="R319" s="36"/>
      <c r="S319" s="36"/>
      <c r="T319" s="36"/>
    </row>
    <row r="320" spans="1:20" ht="15.75">
      <c r="A320" s="13">
        <v>51256</v>
      </c>
      <c r="B320" s="44">
        <v>30</v>
      </c>
      <c r="C320" s="35">
        <v>141.29300000000001</v>
      </c>
      <c r="D320" s="35">
        <v>267.99299999999999</v>
      </c>
      <c r="E320" s="41">
        <v>829.71400000000006</v>
      </c>
      <c r="F320" s="35">
        <v>1239</v>
      </c>
      <c r="G320" s="35">
        <v>100</v>
      </c>
      <c r="H320" s="43">
        <v>600</v>
      </c>
      <c r="I320" s="35">
        <v>695</v>
      </c>
      <c r="J320" s="35">
        <v>50</v>
      </c>
      <c r="K320" s="36"/>
      <c r="L320" s="36"/>
      <c r="M320" s="36"/>
      <c r="N320" s="36"/>
      <c r="O320" s="36"/>
      <c r="P320" s="36"/>
      <c r="Q320" s="36"/>
      <c r="R320" s="36"/>
      <c r="S320" s="36"/>
      <c r="T320" s="36"/>
    </row>
    <row r="321" spans="1:20" ht="15.75">
      <c r="A321" s="13">
        <v>51287</v>
      </c>
      <c r="B321" s="44">
        <v>31</v>
      </c>
      <c r="C321" s="35">
        <v>194.20500000000001</v>
      </c>
      <c r="D321" s="35">
        <v>267.46600000000001</v>
      </c>
      <c r="E321" s="41">
        <v>812.32899999999995</v>
      </c>
      <c r="F321" s="35">
        <v>1274</v>
      </c>
      <c r="G321" s="35">
        <v>75</v>
      </c>
      <c r="H321" s="43">
        <v>600</v>
      </c>
      <c r="I321" s="35">
        <v>695</v>
      </c>
      <c r="J321" s="35">
        <v>50</v>
      </c>
      <c r="K321" s="36"/>
      <c r="L321" s="36"/>
      <c r="M321" s="36"/>
      <c r="N321" s="36"/>
      <c r="O321" s="36"/>
      <c r="P321" s="36"/>
      <c r="Q321" s="36"/>
      <c r="R321" s="36"/>
      <c r="S321" s="36"/>
      <c r="T321" s="36"/>
    </row>
    <row r="322" spans="1:20" ht="15.75">
      <c r="A322" s="13">
        <v>51317</v>
      </c>
      <c r="B322" s="44">
        <v>30</v>
      </c>
      <c r="C322" s="35">
        <v>194.20500000000001</v>
      </c>
      <c r="D322" s="35">
        <v>267.46600000000001</v>
      </c>
      <c r="E322" s="41">
        <v>812.32899999999995</v>
      </c>
      <c r="F322" s="35">
        <v>1274</v>
      </c>
      <c r="G322" s="35">
        <v>50</v>
      </c>
      <c r="H322" s="43">
        <v>600</v>
      </c>
      <c r="I322" s="35">
        <v>695</v>
      </c>
      <c r="J322" s="35">
        <v>50</v>
      </c>
      <c r="K322" s="36"/>
      <c r="L322" s="36"/>
      <c r="M322" s="36"/>
      <c r="N322" s="36"/>
      <c r="O322" s="36"/>
      <c r="P322" s="36"/>
      <c r="Q322" s="36"/>
      <c r="R322" s="36"/>
      <c r="S322" s="36"/>
      <c r="T322" s="36"/>
    </row>
    <row r="323" spans="1:20" ht="15.75">
      <c r="A323" s="13">
        <v>51348</v>
      </c>
      <c r="B323" s="44">
        <v>31</v>
      </c>
      <c r="C323" s="35">
        <v>194.20500000000001</v>
      </c>
      <c r="D323" s="35">
        <v>267.46600000000001</v>
      </c>
      <c r="E323" s="41">
        <v>812.32899999999995</v>
      </c>
      <c r="F323" s="35">
        <v>1274</v>
      </c>
      <c r="G323" s="35">
        <v>50</v>
      </c>
      <c r="H323" s="43">
        <v>600</v>
      </c>
      <c r="I323" s="35">
        <v>695</v>
      </c>
      <c r="J323" s="35">
        <v>0</v>
      </c>
      <c r="K323" s="36"/>
      <c r="L323" s="36"/>
      <c r="M323" s="36"/>
      <c r="N323" s="36"/>
      <c r="O323" s="36"/>
      <c r="P323" s="36"/>
      <c r="Q323" s="36"/>
      <c r="R323" s="36"/>
      <c r="S323" s="36"/>
      <c r="T323" s="36"/>
    </row>
    <row r="324" spans="1:20" ht="15.75">
      <c r="A324" s="13">
        <v>51379</v>
      </c>
      <c r="B324" s="44">
        <v>31</v>
      </c>
      <c r="C324" s="35">
        <v>194.20500000000001</v>
      </c>
      <c r="D324" s="35">
        <v>267.46600000000001</v>
      </c>
      <c r="E324" s="41">
        <v>812.32899999999995</v>
      </c>
      <c r="F324" s="35">
        <v>1274</v>
      </c>
      <c r="G324" s="35">
        <v>50</v>
      </c>
      <c r="H324" s="43">
        <v>600</v>
      </c>
      <c r="I324" s="35">
        <v>695</v>
      </c>
      <c r="J324" s="35">
        <v>0</v>
      </c>
      <c r="K324" s="36"/>
      <c r="L324" s="36"/>
      <c r="M324" s="36"/>
      <c r="N324" s="36"/>
      <c r="O324" s="36"/>
      <c r="P324" s="36"/>
      <c r="Q324" s="36"/>
      <c r="R324" s="36"/>
      <c r="S324" s="36"/>
      <c r="T324" s="36"/>
    </row>
    <row r="325" spans="1:20" ht="15.75">
      <c r="A325" s="13">
        <v>51409</v>
      </c>
      <c r="B325" s="44">
        <v>30</v>
      </c>
      <c r="C325" s="35">
        <v>194.20500000000001</v>
      </c>
      <c r="D325" s="35">
        <v>267.46600000000001</v>
      </c>
      <c r="E325" s="41">
        <v>812.32899999999995</v>
      </c>
      <c r="F325" s="35">
        <v>1274</v>
      </c>
      <c r="G325" s="35">
        <v>50</v>
      </c>
      <c r="H325" s="43">
        <v>600</v>
      </c>
      <c r="I325" s="35">
        <v>695</v>
      </c>
      <c r="J325" s="35">
        <v>0</v>
      </c>
      <c r="K325" s="36"/>
      <c r="L325" s="36"/>
      <c r="M325" s="36"/>
      <c r="N325" s="36"/>
      <c r="O325" s="36"/>
      <c r="P325" s="36"/>
      <c r="Q325" s="36"/>
      <c r="R325" s="36"/>
      <c r="S325" s="36"/>
      <c r="T325" s="36"/>
    </row>
    <row r="326" spans="1:20" ht="15.75">
      <c r="A326" s="13">
        <v>51440</v>
      </c>
      <c r="B326" s="44">
        <v>31</v>
      </c>
      <c r="C326" s="35">
        <v>131.881</v>
      </c>
      <c r="D326" s="35">
        <v>277.16699999999997</v>
      </c>
      <c r="E326" s="41">
        <v>829.952</v>
      </c>
      <c r="F326" s="35">
        <v>1239</v>
      </c>
      <c r="G326" s="35">
        <v>75</v>
      </c>
      <c r="H326" s="43">
        <v>600</v>
      </c>
      <c r="I326" s="35">
        <v>695</v>
      </c>
      <c r="J326" s="35">
        <v>0</v>
      </c>
      <c r="K326" s="36"/>
      <c r="L326" s="36"/>
      <c r="M326" s="36"/>
      <c r="N326" s="36"/>
      <c r="O326" s="36"/>
      <c r="P326" s="36"/>
      <c r="Q326" s="36"/>
      <c r="R326" s="36"/>
      <c r="S326" s="36"/>
      <c r="T326" s="36"/>
    </row>
    <row r="327" spans="1:20" ht="15.75">
      <c r="A327" s="13">
        <v>51470</v>
      </c>
      <c r="B327" s="44">
        <v>30</v>
      </c>
      <c r="C327" s="35">
        <v>122.58</v>
      </c>
      <c r="D327" s="35">
        <v>297.94099999999997</v>
      </c>
      <c r="E327" s="41">
        <v>729.47900000000004</v>
      </c>
      <c r="F327" s="35">
        <v>1150</v>
      </c>
      <c r="G327" s="35">
        <v>100</v>
      </c>
      <c r="H327" s="43">
        <v>600</v>
      </c>
      <c r="I327" s="35">
        <v>695</v>
      </c>
      <c r="J327" s="35">
        <v>50</v>
      </c>
      <c r="K327" s="36"/>
      <c r="L327" s="36"/>
      <c r="M327" s="36"/>
      <c r="N327" s="36"/>
      <c r="O327" s="36"/>
      <c r="P327" s="36"/>
      <c r="Q327" s="36"/>
      <c r="R327" s="36"/>
      <c r="S327" s="36"/>
      <c r="T327" s="36"/>
    </row>
    <row r="328" spans="1:20" ht="15.75">
      <c r="A328" s="13">
        <v>51501</v>
      </c>
      <c r="B328" s="44">
        <v>31</v>
      </c>
      <c r="C328" s="35">
        <v>122.58</v>
      </c>
      <c r="D328" s="35">
        <v>297.94099999999997</v>
      </c>
      <c r="E328" s="41">
        <v>729.47900000000004</v>
      </c>
      <c r="F328" s="35">
        <v>1150</v>
      </c>
      <c r="G328" s="35">
        <v>100</v>
      </c>
      <c r="H328" s="43">
        <v>600</v>
      </c>
      <c r="I328" s="35">
        <v>695</v>
      </c>
      <c r="J328" s="35">
        <v>50</v>
      </c>
      <c r="K328" s="36"/>
      <c r="L328" s="36"/>
      <c r="M328" s="36"/>
      <c r="N328" s="36"/>
      <c r="O328" s="36"/>
      <c r="P328" s="36"/>
      <c r="Q328" s="36"/>
      <c r="R328" s="36"/>
      <c r="S328" s="36"/>
      <c r="T328" s="36"/>
    </row>
    <row r="329" spans="1:20" ht="15.75">
      <c r="A329" s="13">
        <v>51532</v>
      </c>
      <c r="B329" s="44">
        <v>31</v>
      </c>
      <c r="C329" s="35">
        <v>122.58</v>
      </c>
      <c r="D329" s="35">
        <v>297.94099999999997</v>
      </c>
      <c r="E329" s="41">
        <v>729.47900000000004</v>
      </c>
      <c r="F329" s="35">
        <v>1150</v>
      </c>
      <c r="G329" s="35">
        <v>100</v>
      </c>
      <c r="H329" s="43">
        <v>600</v>
      </c>
      <c r="I329" s="35">
        <v>695</v>
      </c>
      <c r="J329" s="35">
        <v>50</v>
      </c>
      <c r="K329" s="36"/>
      <c r="L329" s="36"/>
      <c r="M329" s="36"/>
      <c r="N329" s="36"/>
      <c r="O329" s="36"/>
      <c r="P329" s="36"/>
      <c r="Q329" s="36"/>
      <c r="R329" s="36"/>
      <c r="S329" s="36"/>
      <c r="T329" s="36"/>
    </row>
    <row r="330" spans="1:20" ht="15.75">
      <c r="A330" s="13">
        <v>51560</v>
      </c>
      <c r="B330" s="44">
        <v>28</v>
      </c>
      <c r="C330" s="35">
        <v>122.58</v>
      </c>
      <c r="D330" s="35">
        <v>297.94099999999997</v>
      </c>
      <c r="E330" s="41">
        <v>729.47900000000004</v>
      </c>
      <c r="F330" s="35">
        <v>1150</v>
      </c>
      <c r="G330" s="35">
        <v>100</v>
      </c>
      <c r="H330" s="43">
        <v>600</v>
      </c>
      <c r="I330" s="35">
        <v>695</v>
      </c>
      <c r="J330" s="35">
        <v>50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</row>
    <row r="331" spans="1:20" ht="15.75">
      <c r="A331" s="13">
        <v>51591</v>
      </c>
      <c r="B331" s="44">
        <v>31</v>
      </c>
      <c r="C331" s="35">
        <v>122.58</v>
      </c>
      <c r="D331" s="35">
        <v>297.94099999999997</v>
      </c>
      <c r="E331" s="41">
        <v>729.47900000000004</v>
      </c>
      <c r="F331" s="35">
        <v>1150</v>
      </c>
      <c r="G331" s="35">
        <v>100</v>
      </c>
      <c r="H331" s="43">
        <v>600</v>
      </c>
      <c r="I331" s="35">
        <v>695</v>
      </c>
      <c r="J331" s="35">
        <v>50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</row>
    <row r="332" spans="1:20" ht="15.75">
      <c r="A332" s="13">
        <v>51621</v>
      </c>
      <c r="B332" s="44">
        <v>30</v>
      </c>
      <c r="C332" s="35">
        <v>141.29300000000001</v>
      </c>
      <c r="D332" s="35">
        <v>267.99299999999999</v>
      </c>
      <c r="E332" s="41">
        <v>829.71400000000006</v>
      </c>
      <c r="F332" s="35">
        <v>1239</v>
      </c>
      <c r="G332" s="35">
        <v>100</v>
      </c>
      <c r="H332" s="43">
        <v>600</v>
      </c>
      <c r="I332" s="35">
        <v>695</v>
      </c>
      <c r="J332" s="35">
        <v>50</v>
      </c>
      <c r="K332" s="36"/>
      <c r="L332" s="36"/>
      <c r="M332" s="36"/>
      <c r="N332" s="36"/>
      <c r="O332" s="36"/>
      <c r="P332" s="36"/>
      <c r="Q332" s="36"/>
      <c r="R332" s="36"/>
      <c r="S332" s="36"/>
      <c r="T332" s="36"/>
    </row>
    <row r="333" spans="1:20" ht="15.75">
      <c r="A333" s="13">
        <v>51652</v>
      </c>
      <c r="B333" s="44">
        <v>31</v>
      </c>
      <c r="C333" s="35">
        <v>194.20500000000001</v>
      </c>
      <c r="D333" s="35">
        <v>267.46600000000001</v>
      </c>
      <c r="E333" s="41">
        <v>812.32899999999995</v>
      </c>
      <c r="F333" s="35">
        <v>1274</v>
      </c>
      <c r="G333" s="35">
        <v>75</v>
      </c>
      <c r="H333" s="43">
        <v>600</v>
      </c>
      <c r="I333" s="35">
        <v>695</v>
      </c>
      <c r="J333" s="35">
        <v>50</v>
      </c>
      <c r="K333" s="36"/>
      <c r="L333" s="36"/>
      <c r="M333" s="36"/>
      <c r="N333" s="36"/>
      <c r="O333" s="36"/>
      <c r="P333" s="36"/>
      <c r="Q333" s="36"/>
      <c r="R333" s="36"/>
      <c r="S333" s="36"/>
      <c r="T333" s="36"/>
    </row>
    <row r="334" spans="1:20" ht="15.75">
      <c r="A334" s="13">
        <v>51682</v>
      </c>
      <c r="B334" s="44">
        <v>30</v>
      </c>
      <c r="C334" s="35">
        <v>194.20500000000001</v>
      </c>
      <c r="D334" s="35">
        <v>267.46600000000001</v>
      </c>
      <c r="E334" s="41">
        <v>812.32899999999995</v>
      </c>
      <c r="F334" s="35">
        <v>1274</v>
      </c>
      <c r="G334" s="35">
        <v>50</v>
      </c>
      <c r="H334" s="43">
        <v>600</v>
      </c>
      <c r="I334" s="35">
        <v>695</v>
      </c>
      <c r="J334" s="35">
        <v>50</v>
      </c>
      <c r="K334" s="36"/>
      <c r="L334" s="36"/>
      <c r="M334" s="36"/>
      <c r="N334" s="36"/>
      <c r="O334" s="36"/>
      <c r="P334" s="36"/>
      <c r="Q334" s="36"/>
      <c r="R334" s="36"/>
      <c r="S334" s="36"/>
      <c r="T334" s="36"/>
    </row>
    <row r="335" spans="1:20" ht="15.75">
      <c r="A335" s="13">
        <v>51713</v>
      </c>
      <c r="B335" s="44">
        <v>31</v>
      </c>
      <c r="C335" s="35">
        <v>194.20500000000001</v>
      </c>
      <c r="D335" s="35">
        <v>267.46600000000001</v>
      </c>
      <c r="E335" s="41">
        <v>812.32899999999995</v>
      </c>
      <c r="F335" s="35">
        <v>1274</v>
      </c>
      <c r="G335" s="35">
        <v>50</v>
      </c>
      <c r="H335" s="43">
        <v>600</v>
      </c>
      <c r="I335" s="35">
        <v>695</v>
      </c>
      <c r="J335" s="35">
        <v>0</v>
      </c>
      <c r="K335" s="36"/>
      <c r="L335" s="36"/>
      <c r="M335" s="36"/>
      <c r="N335" s="36"/>
      <c r="O335" s="36"/>
      <c r="P335" s="36"/>
      <c r="Q335" s="36"/>
      <c r="R335" s="36"/>
      <c r="S335" s="36"/>
      <c r="T335" s="36"/>
    </row>
    <row r="336" spans="1:20" ht="15.75">
      <c r="A336" s="13">
        <v>51744</v>
      </c>
      <c r="B336" s="44">
        <v>31</v>
      </c>
      <c r="C336" s="35">
        <v>194.20500000000001</v>
      </c>
      <c r="D336" s="35">
        <v>267.46600000000001</v>
      </c>
      <c r="E336" s="41">
        <v>812.32899999999995</v>
      </c>
      <c r="F336" s="35">
        <v>1274</v>
      </c>
      <c r="G336" s="35">
        <v>50</v>
      </c>
      <c r="H336" s="43">
        <v>600</v>
      </c>
      <c r="I336" s="35">
        <v>695</v>
      </c>
      <c r="J336" s="35">
        <v>0</v>
      </c>
      <c r="K336" s="36"/>
      <c r="L336" s="36"/>
      <c r="M336" s="36"/>
      <c r="N336" s="36"/>
      <c r="O336" s="36"/>
      <c r="P336" s="36"/>
      <c r="Q336" s="36"/>
      <c r="R336" s="36"/>
      <c r="S336" s="36"/>
      <c r="T336" s="36"/>
    </row>
    <row r="337" spans="1:20" ht="15.75">
      <c r="A337" s="13">
        <v>51774</v>
      </c>
      <c r="B337" s="44">
        <v>30</v>
      </c>
      <c r="C337" s="35">
        <v>194.20500000000001</v>
      </c>
      <c r="D337" s="35">
        <v>267.46600000000001</v>
      </c>
      <c r="E337" s="41">
        <v>812.32899999999995</v>
      </c>
      <c r="F337" s="35">
        <v>1274</v>
      </c>
      <c r="G337" s="35">
        <v>50</v>
      </c>
      <c r="H337" s="43">
        <v>600</v>
      </c>
      <c r="I337" s="35">
        <v>695</v>
      </c>
      <c r="J337" s="35">
        <v>0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</row>
    <row r="338" spans="1:20" ht="15.75">
      <c r="A338" s="13">
        <v>51805</v>
      </c>
      <c r="B338" s="44">
        <v>31</v>
      </c>
      <c r="C338" s="35">
        <v>131.881</v>
      </c>
      <c r="D338" s="35">
        <v>277.16699999999997</v>
      </c>
      <c r="E338" s="41">
        <v>829.952</v>
      </c>
      <c r="F338" s="35">
        <v>1239</v>
      </c>
      <c r="G338" s="35">
        <v>75</v>
      </c>
      <c r="H338" s="43">
        <v>600</v>
      </c>
      <c r="I338" s="35">
        <v>695</v>
      </c>
      <c r="J338" s="35">
        <v>0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</row>
    <row r="339" spans="1:20" ht="15.75">
      <c r="A339" s="13">
        <v>51835</v>
      </c>
      <c r="B339" s="44">
        <v>30</v>
      </c>
      <c r="C339" s="35">
        <v>122.58</v>
      </c>
      <c r="D339" s="35">
        <v>297.94099999999997</v>
      </c>
      <c r="E339" s="41">
        <v>729.47900000000004</v>
      </c>
      <c r="F339" s="35">
        <v>1150</v>
      </c>
      <c r="G339" s="35">
        <v>100</v>
      </c>
      <c r="H339" s="43">
        <v>600</v>
      </c>
      <c r="I339" s="35">
        <v>695</v>
      </c>
      <c r="J339" s="35">
        <v>50</v>
      </c>
      <c r="K339" s="36"/>
      <c r="L339" s="36"/>
      <c r="M339" s="36"/>
      <c r="N339" s="36"/>
      <c r="O339" s="36"/>
      <c r="P339" s="36"/>
      <c r="Q339" s="36"/>
      <c r="R339" s="36"/>
      <c r="S339" s="36"/>
      <c r="T339" s="36"/>
    </row>
    <row r="340" spans="1:20" ht="15.75">
      <c r="A340" s="13">
        <v>51866</v>
      </c>
      <c r="B340" s="44">
        <v>31</v>
      </c>
      <c r="C340" s="35">
        <v>122.58</v>
      </c>
      <c r="D340" s="35">
        <v>297.94099999999997</v>
      </c>
      <c r="E340" s="41">
        <v>729.47900000000004</v>
      </c>
      <c r="F340" s="35">
        <v>1150</v>
      </c>
      <c r="G340" s="35">
        <v>100</v>
      </c>
      <c r="H340" s="43">
        <v>600</v>
      </c>
      <c r="I340" s="35">
        <v>695</v>
      </c>
      <c r="J340" s="35">
        <v>50</v>
      </c>
      <c r="K340" s="36"/>
      <c r="L340" s="36"/>
      <c r="M340" s="36"/>
      <c r="N340" s="36"/>
      <c r="O340" s="36"/>
      <c r="P340" s="36"/>
      <c r="Q340" s="36"/>
      <c r="R340" s="36"/>
      <c r="S340" s="36"/>
      <c r="T340" s="36"/>
    </row>
    <row r="341" spans="1:20" ht="15.75">
      <c r="A341" s="13">
        <v>51897</v>
      </c>
      <c r="B341" s="44">
        <v>31</v>
      </c>
      <c r="C341" s="35">
        <v>122.58</v>
      </c>
      <c r="D341" s="35">
        <v>297.94099999999997</v>
      </c>
      <c r="E341" s="41">
        <v>729.47900000000004</v>
      </c>
      <c r="F341" s="35">
        <v>1150</v>
      </c>
      <c r="G341" s="35">
        <v>100</v>
      </c>
      <c r="H341" s="43">
        <v>600</v>
      </c>
      <c r="I341" s="35">
        <v>695</v>
      </c>
      <c r="J341" s="35">
        <v>50</v>
      </c>
      <c r="K341" s="36"/>
      <c r="L341" s="36"/>
      <c r="M341" s="36"/>
      <c r="N341" s="36"/>
      <c r="O341" s="36"/>
      <c r="P341" s="36"/>
      <c r="Q341" s="36"/>
      <c r="R341" s="36"/>
      <c r="S341" s="36"/>
      <c r="T341" s="36"/>
    </row>
    <row r="342" spans="1:20" ht="15.75">
      <c r="A342" s="13">
        <v>51925</v>
      </c>
      <c r="B342" s="44">
        <v>28</v>
      </c>
      <c r="C342" s="35">
        <v>122.58</v>
      </c>
      <c r="D342" s="35">
        <v>297.94099999999997</v>
      </c>
      <c r="E342" s="41">
        <v>729.47900000000004</v>
      </c>
      <c r="F342" s="35">
        <v>1150</v>
      </c>
      <c r="G342" s="35">
        <v>100</v>
      </c>
      <c r="H342" s="43">
        <v>600</v>
      </c>
      <c r="I342" s="35">
        <v>695</v>
      </c>
      <c r="J342" s="35">
        <v>50</v>
      </c>
      <c r="K342" s="36"/>
      <c r="L342" s="36"/>
      <c r="M342" s="36"/>
      <c r="N342" s="36"/>
      <c r="O342" s="36"/>
      <c r="P342" s="36"/>
      <c r="Q342" s="36"/>
      <c r="R342" s="36"/>
      <c r="S342" s="36"/>
      <c r="T342" s="36"/>
    </row>
    <row r="343" spans="1:20" ht="15.75">
      <c r="A343" s="13">
        <v>51956</v>
      </c>
      <c r="B343" s="44">
        <v>31</v>
      </c>
      <c r="C343" s="35">
        <v>122.58</v>
      </c>
      <c r="D343" s="35">
        <v>297.94099999999997</v>
      </c>
      <c r="E343" s="41">
        <v>729.47900000000004</v>
      </c>
      <c r="F343" s="35">
        <v>1150</v>
      </c>
      <c r="G343" s="35">
        <v>100</v>
      </c>
      <c r="H343" s="43">
        <v>600</v>
      </c>
      <c r="I343" s="35">
        <v>695</v>
      </c>
      <c r="J343" s="35">
        <v>50</v>
      </c>
      <c r="K343" s="36"/>
      <c r="L343" s="36"/>
      <c r="M343" s="36"/>
      <c r="N343" s="36"/>
      <c r="O343" s="36"/>
      <c r="P343" s="36"/>
      <c r="Q343" s="36"/>
      <c r="R343" s="36"/>
      <c r="S343" s="36"/>
      <c r="T343" s="36"/>
    </row>
    <row r="344" spans="1:20" ht="15.75">
      <c r="A344" s="13">
        <v>51986</v>
      </c>
      <c r="B344" s="44">
        <v>30</v>
      </c>
      <c r="C344" s="35">
        <v>141.29300000000001</v>
      </c>
      <c r="D344" s="35">
        <v>267.99299999999999</v>
      </c>
      <c r="E344" s="41">
        <v>829.71400000000006</v>
      </c>
      <c r="F344" s="35">
        <v>1239</v>
      </c>
      <c r="G344" s="35">
        <v>100</v>
      </c>
      <c r="H344" s="43">
        <v>600</v>
      </c>
      <c r="I344" s="35">
        <v>695</v>
      </c>
      <c r="J344" s="35">
        <v>50</v>
      </c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45" spans="1:20" ht="15.75">
      <c r="A345" s="13">
        <v>52017</v>
      </c>
      <c r="B345" s="44">
        <v>31</v>
      </c>
      <c r="C345" s="35">
        <v>194.20500000000001</v>
      </c>
      <c r="D345" s="35">
        <v>267.46600000000001</v>
      </c>
      <c r="E345" s="41">
        <v>812.32899999999995</v>
      </c>
      <c r="F345" s="35">
        <v>1274</v>
      </c>
      <c r="G345" s="35">
        <v>75</v>
      </c>
      <c r="H345" s="43">
        <v>600</v>
      </c>
      <c r="I345" s="35">
        <v>695</v>
      </c>
      <c r="J345" s="35">
        <v>50</v>
      </c>
      <c r="K345" s="36"/>
      <c r="L345" s="36"/>
      <c r="M345" s="36"/>
      <c r="N345" s="36"/>
      <c r="O345" s="36"/>
      <c r="P345" s="36"/>
      <c r="Q345" s="36"/>
      <c r="R345" s="36"/>
      <c r="S345" s="36"/>
      <c r="T345" s="36"/>
    </row>
    <row r="346" spans="1:20" ht="15.75">
      <c r="A346" s="13">
        <v>52047</v>
      </c>
      <c r="B346" s="44">
        <v>30</v>
      </c>
      <c r="C346" s="35">
        <v>194.20500000000001</v>
      </c>
      <c r="D346" s="35">
        <v>267.46600000000001</v>
      </c>
      <c r="E346" s="41">
        <v>812.32899999999995</v>
      </c>
      <c r="F346" s="35">
        <v>1274</v>
      </c>
      <c r="G346" s="35">
        <v>50</v>
      </c>
      <c r="H346" s="43">
        <v>600</v>
      </c>
      <c r="I346" s="35">
        <v>695</v>
      </c>
      <c r="J346" s="35">
        <v>50</v>
      </c>
      <c r="K346" s="36"/>
      <c r="L346" s="36"/>
      <c r="M346" s="36"/>
      <c r="N346" s="36"/>
      <c r="O346" s="36"/>
      <c r="P346" s="36"/>
      <c r="Q346" s="36"/>
      <c r="R346" s="36"/>
      <c r="S346" s="36"/>
      <c r="T346" s="36"/>
    </row>
    <row r="347" spans="1:20" ht="15.75">
      <c r="A347" s="13">
        <v>52078</v>
      </c>
      <c r="B347" s="44">
        <v>31</v>
      </c>
      <c r="C347" s="35">
        <v>194.20500000000001</v>
      </c>
      <c r="D347" s="35">
        <v>267.46600000000001</v>
      </c>
      <c r="E347" s="41">
        <v>812.32899999999995</v>
      </c>
      <c r="F347" s="35">
        <v>1274</v>
      </c>
      <c r="G347" s="35">
        <v>50</v>
      </c>
      <c r="H347" s="43">
        <v>600</v>
      </c>
      <c r="I347" s="35">
        <v>695</v>
      </c>
      <c r="J347" s="35">
        <v>0</v>
      </c>
      <c r="K347" s="36"/>
      <c r="L347" s="36"/>
      <c r="M347" s="36"/>
      <c r="N347" s="36"/>
      <c r="O347" s="36"/>
      <c r="P347" s="36"/>
      <c r="Q347" s="36"/>
      <c r="R347" s="36"/>
      <c r="S347" s="36"/>
      <c r="T347" s="36"/>
    </row>
    <row r="348" spans="1:20" ht="15.75">
      <c r="A348" s="13">
        <v>52109</v>
      </c>
      <c r="B348" s="44">
        <v>31</v>
      </c>
      <c r="C348" s="35">
        <v>194.20500000000001</v>
      </c>
      <c r="D348" s="35">
        <v>267.46600000000001</v>
      </c>
      <c r="E348" s="41">
        <v>812.32899999999995</v>
      </c>
      <c r="F348" s="35">
        <v>1274</v>
      </c>
      <c r="G348" s="35">
        <v>50</v>
      </c>
      <c r="H348" s="43">
        <v>600</v>
      </c>
      <c r="I348" s="35">
        <v>695</v>
      </c>
      <c r="J348" s="35">
        <v>0</v>
      </c>
      <c r="K348" s="36"/>
      <c r="L348" s="36"/>
      <c r="M348" s="36"/>
      <c r="N348" s="36"/>
      <c r="O348" s="36"/>
      <c r="P348" s="36"/>
      <c r="Q348" s="36"/>
      <c r="R348" s="36"/>
      <c r="S348" s="36"/>
      <c r="T348" s="36"/>
    </row>
    <row r="349" spans="1:20" ht="15.75">
      <c r="A349" s="13">
        <v>52139</v>
      </c>
      <c r="B349" s="44">
        <v>30</v>
      </c>
      <c r="C349" s="35">
        <v>194.20500000000001</v>
      </c>
      <c r="D349" s="35">
        <v>267.46600000000001</v>
      </c>
      <c r="E349" s="41">
        <v>812.32899999999995</v>
      </c>
      <c r="F349" s="35">
        <v>1274</v>
      </c>
      <c r="G349" s="35">
        <v>50</v>
      </c>
      <c r="H349" s="43">
        <v>600</v>
      </c>
      <c r="I349" s="35">
        <v>695</v>
      </c>
      <c r="J349" s="35">
        <v>0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</row>
    <row r="350" spans="1:20" ht="15.75">
      <c r="A350" s="13">
        <v>52170</v>
      </c>
      <c r="B350" s="44">
        <v>31</v>
      </c>
      <c r="C350" s="35">
        <v>131.881</v>
      </c>
      <c r="D350" s="35">
        <v>277.16699999999997</v>
      </c>
      <c r="E350" s="41">
        <v>829.952</v>
      </c>
      <c r="F350" s="35">
        <v>1239</v>
      </c>
      <c r="G350" s="35">
        <v>75</v>
      </c>
      <c r="H350" s="43">
        <v>600</v>
      </c>
      <c r="I350" s="35">
        <v>695</v>
      </c>
      <c r="J350" s="35">
        <v>0</v>
      </c>
      <c r="K350" s="36"/>
      <c r="L350" s="36"/>
      <c r="M350" s="36"/>
      <c r="N350" s="36"/>
      <c r="O350" s="36"/>
      <c r="P350" s="36"/>
      <c r="Q350" s="36"/>
      <c r="R350" s="36"/>
      <c r="S350" s="36"/>
      <c r="T350" s="36"/>
    </row>
    <row r="351" spans="1:20" ht="15.75">
      <c r="A351" s="13">
        <v>52200</v>
      </c>
      <c r="B351" s="44">
        <v>30</v>
      </c>
      <c r="C351" s="35">
        <v>122.58</v>
      </c>
      <c r="D351" s="35">
        <v>297.94099999999997</v>
      </c>
      <c r="E351" s="41">
        <v>729.47900000000004</v>
      </c>
      <c r="F351" s="35">
        <v>1150</v>
      </c>
      <c r="G351" s="35">
        <v>100</v>
      </c>
      <c r="H351" s="43">
        <v>600</v>
      </c>
      <c r="I351" s="35">
        <v>695</v>
      </c>
      <c r="J351" s="35">
        <v>50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</row>
    <row r="352" spans="1:20" ht="15.75">
      <c r="A352" s="13">
        <v>52231</v>
      </c>
      <c r="B352" s="44">
        <v>31</v>
      </c>
      <c r="C352" s="35">
        <v>122.58</v>
      </c>
      <c r="D352" s="35">
        <v>297.94099999999997</v>
      </c>
      <c r="E352" s="41">
        <v>729.47900000000004</v>
      </c>
      <c r="F352" s="35">
        <v>1150</v>
      </c>
      <c r="G352" s="35">
        <v>100</v>
      </c>
      <c r="H352" s="43">
        <v>600</v>
      </c>
      <c r="I352" s="35">
        <v>695</v>
      </c>
      <c r="J352" s="35">
        <v>50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</row>
    <row r="353" spans="1:20" ht="15.75">
      <c r="A353" s="13">
        <v>52262</v>
      </c>
      <c r="B353" s="44">
        <v>31</v>
      </c>
      <c r="C353" s="35">
        <v>122.58</v>
      </c>
      <c r="D353" s="35">
        <v>297.94099999999997</v>
      </c>
      <c r="E353" s="41">
        <v>729.47900000000004</v>
      </c>
      <c r="F353" s="35">
        <v>1150</v>
      </c>
      <c r="G353" s="35">
        <v>100</v>
      </c>
      <c r="H353" s="43">
        <v>600</v>
      </c>
      <c r="I353" s="35">
        <v>695</v>
      </c>
      <c r="J353" s="35">
        <v>50</v>
      </c>
      <c r="K353" s="36"/>
      <c r="L353" s="36"/>
      <c r="M353" s="36"/>
      <c r="N353" s="36"/>
      <c r="O353" s="36"/>
      <c r="P353" s="36"/>
      <c r="Q353" s="36"/>
      <c r="R353" s="36"/>
      <c r="S353" s="36"/>
      <c r="T353" s="36"/>
    </row>
    <row r="354" spans="1:20" ht="15.75">
      <c r="A354" s="13">
        <v>52290</v>
      </c>
      <c r="B354" s="44">
        <v>28</v>
      </c>
      <c r="C354" s="35">
        <v>122.58</v>
      </c>
      <c r="D354" s="35">
        <v>297.94099999999997</v>
      </c>
      <c r="E354" s="41">
        <v>729.47900000000004</v>
      </c>
      <c r="F354" s="35">
        <v>1150</v>
      </c>
      <c r="G354" s="35">
        <v>100</v>
      </c>
      <c r="H354" s="43">
        <v>600</v>
      </c>
      <c r="I354" s="35">
        <v>695</v>
      </c>
      <c r="J354" s="35">
        <v>50</v>
      </c>
      <c r="K354" s="36"/>
      <c r="L354" s="36"/>
      <c r="M354" s="36"/>
      <c r="N354" s="36"/>
      <c r="O354" s="36"/>
      <c r="P354" s="36"/>
      <c r="Q354" s="36"/>
      <c r="R354" s="36"/>
      <c r="S354" s="36"/>
      <c r="T354" s="36"/>
    </row>
    <row r="355" spans="1:20" ht="15.75">
      <c r="A355" s="13">
        <v>52321</v>
      </c>
      <c r="B355" s="44">
        <v>31</v>
      </c>
      <c r="C355" s="35">
        <v>122.58</v>
      </c>
      <c r="D355" s="35">
        <v>297.94099999999997</v>
      </c>
      <c r="E355" s="41">
        <v>729.47900000000004</v>
      </c>
      <c r="F355" s="35">
        <v>1150</v>
      </c>
      <c r="G355" s="35">
        <v>100</v>
      </c>
      <c r="H355" s="43">
        <v>600</v>
      </c>
      <c r="I355" s="35">
        <v>695</v>
      </c>
      <c r="J355" s="35">
        <v>50</v>
      </c>
      <c r="K355" s="36"/>
      <c r="L355" s="36"/>
      <c r="M355" s="36"/>
      <c r="N355" s="36"/>
      <c r="O355" s="36"/>
      <c r="P355" s="36"/>
      <c r="Q355" s="36"/>
      <c r="R355" s="36"/>
      <c r="S355" s="36"/>
      <c r="T355" s="36"/>
    </row>
    <row r="356" spans="1:20" ht="15.75">
      <c r="A356" s="13">
        <v>52351</v>
      </c>
      <c r="B356" s="44">
        <v>30</v>
      </c>
      <c r="C356" s="35">
        <v>141.29300000000001</v>
      </c>
      <c r="D356" s="35">
        <v>267.99299999999999</v>
      </c>
      <c r="E356" s="41">
        <v>829.71400000000006</v>
      </c>
      <c r="F356" s="35">
        <v>1239</v>
      </c>
      <c r="G356" s="35">
        <v>100</v>
      </c>
      <c r="H356" s="43">
        <v>600</v>
      </c>
      <c r="I356" s="35">
        <v>695</v>
      </c>
      <c r="J356" s="35">
        <v>50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36"/>
    </row>
    <row r="357" spans="1:20" ht="15.75">
      <c r="A357" s="13">
        <v>52382</v>
      </c>
      <c r="B357" s="44">
        <v>31</v>
      </c>
      <c r="C357" s="35">
        <v>194.20500000000001</v>
      </c>
      <c r="D357" s="35">
        <v>267.46600000000001</v>
      </c>
      <c r="E357" s="41">
        <v>812.32899999999995</v>
      </c>
      <c r="F357" s="35">
        <v>1274</v>
      </c>
      <c r="G357" s="35">
        <v>75</v>
      </c>
      <c r="H357" s="43">
        <v>600</v>
      </c>
      <c r="I357" s="35">
        <v>695</v>
      </c>
      <c r="J357" s="35">
        <v>50</v>
      </c>
      <c r="K357" s="36"/>
      <c r="L357" s="36"/>
      <c r="M357" s="36"/>
      <c r="N357" s="36"/>
      <c r="O357" s="36"/>
      <c r="P357" s="36"/>
      <c r="Q357" s="36"/>
      <c r="R357" s="36"/>
      <c r="S357" s="36"/>
      <c r="T357" s="36"/>
    </row>
    <row r="358" spans="1:20" ht="15.75">
      <c r="A358" s="13">
        <v>52412</v>
      </c>
      <c r="B358" s="44">
        <v>30</v>
      </c>
      <c r="C358" s="35">
        <v>194.20500000000001</v>
      </c>
      <c r="D358" s="35">
        <v>267.46600000000001</v>
      </c>
      <c r="E358" s="41">
        <v>812.32899999999995</v>
      </c>
      <c r="F358" s="35">
        <v>1274</v>
      </c>
      <c r="G358" s="35">
        <v>50</v>
      </c>
      <c r="H358" s="43">
        <v>600</v>
      </c>
      <c r="I358" s="35">
        <v>695</v>
      </c>
      <c r="J358" s="35">
        <v>50</v>
      </c>
      <c r="K358" s="36"/>
      <c r="L358" s="36"/>
      <c r="M358" s="36"/>
      <c r="N358" s="36"/>
      <c r="O358" s="36"/>
      <c r="P358" s="36"/>
      <c r="Q358" s="36"/>
      <c r="R358" s="36"/>
      <c r="S358" s="36"/>
      <c r="T358" s="36"/>
    </row>
    <row r="359" spans="1:20" ht="15.75">
      <c r="A359" s="13">
        <v>52443</v>
      </c>
      <c r="B359" s="44">
        <v>31</v>
      </c>
      <c r="C359" s="35">
        <v>194.20500000000001</v>
      </c>
      <c r="D359" s="35">
        <v>267.46600000000001</v>
      </c>
      <c r="E359" s="41">
        <v>812.32899999999995</v>
      </c>
      <c r="F359" s="35">
        <v>1274</v>
      </c>
      <c r="G359" s="35">
        <v>50</v>
      </c>
      <c r="H359" s="43">
        <v>600</v>
      </c>
      <c r="I359" s="35">
        <v>695</v>
      </c>
      <c r="J359" s="35">
        <v>0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</row>
    <row r="360" spans="1:20" ht="15.75">
      <c r="A360" s="13">
        <v>52474</v>
      </c>
      <c r="B360" s="44">
        <v>31</v>
      </c>
      <c r="C360" s="35">
        <v>194.20500000000001</v>
      </c>
      <c r="D360" s="35">
        <v>267.46600000000001</v>
      </c>
      <c r="E360" s="41">
        <v>812.32899999999995</v>
      </c>
      <c r="F360" s="35">
        <v>1274</v>
      </c>
      <c r="G360" s="35">
        <v>50</v>
      </c>
      <c r="H360" s="43">
        <v>600</v>
      </c>
      <c r="I360" s="35">
        <v>695</v>
      </c>
      <c r="J360" s="35">
        <v>0</v>
      </c>
      <c r="K360" s="36"/>
      <c r="L360" s="36"/>
      <c r="M360" s="36"/>
      <c r="N360" s="36"/>
      <c r="O360" s="36"/>
      <c r="P360" s="36"/>
      <c r="Q360" s="36"/>
      <c r="R360" s="36"/>
      <c r="S360" s="36"/>
      <c r="T360" s="36"/>
    </row>
    <row r="361" spans="1:20" ht="15.75">
      <c r="A361" s="13">
        <v>52504</v>
      </c>
      <c r="B361" s="44">
        <v>30</v>
      </c>
      <c r="C361" s="35">
        <v>194.20500000000001</v>
      </c>
      <c r="D361" s="35">
        <v>267.46600000000001</v>
      </c>
      <c r="E361" s="41">
        <v>812.32899999999995</v>
      </c>
      <c r="F361" s="35">
        <v>1274</v>
      </c>
      <c r="G361" s="35">
        <v>50</v>
      </c>
      <c r="H361" s="43">
        <v>600</v>
      </c>
      <c r="I361" s="35">
        <v>695</v>
      </c>
      <c r="J361" s="35">
        <v>0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</row>
    <row r="362" spans="1:20" ht="15.75">
      <c r="A362" s="13">
        <v>52535</v>
      </c>
      <c r="B362" s="44">
        <v>31</v>
      </c>
      <c r="C362" s="35">
        <v>131.881</v>
      </c>
      <c r="D362" s="35">
        <v>277.16699999999997</v>
      </c>
      <c r="E362" s="41">
        <v>829.952</v>
      </c>
      <c r="F362" s="35">
        <v>1239</v>
      </c>
      <c r="G362" s="35">
        <v>75</v>
      </c>
      <c r="H362" s="43">
        <v>600</v>
      </c>
      <c r="I362" s="35">
        <v>695</v>
      </c>
      <c r="J362" s="35">
        <v>0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</row>
    <row r="363" spans="1:20" ht="15.75">
      <c r="A363" s="13">
        <v>52565</v>
      </c>
      <c r="B363" s="44">
        <v>30</v>
      </c>
      <c r="C363" s="35">
        <v>122.58</v>
      </c>
      <c r="D363" s="35">
        <v>297.94099999999997</v>
      </c>
      <c r="E363" s="41">
        <v>729.47900000000004</v>
      </c>
      <c r="F363" s="35">
        <v>1150</v>
      </c>
      <c r="G363" s="35">
        <v>100</v>
      </c>
      <c r="H363" s="43">
        <v>600</v>
      </c>
      <c r="I363" s="35">
        <v>695</v>
      </c>
      <c r="J363" s="35">
        <v>50</v>
      </c>
      <c r="K363" s="36"/>
      <c r="L363" s="36"/>
      <c r="M363" s="36"/>
      <c r="N363" s="36"/>
      <c r="O363" s="36"/>
      <c r="P363" s="36"/>
      <c r="Q363" s="36"/>
      <c r="R363" s="36"/>
      <c r="S363" s="36"/>
      <c r="T363" s="36"/>
    </row>
    <row r="364" spans="1:20" ht="15.75">
      <c r="A364" s="13">
        <v>52596</v>
      </c>
      <c r="B364" s="44">
        <v>31</v>
      </c>
      <c r="C364" s="35">
        <v>122.58</v>
      </c>
      <c r="D364" s="35">
        <v>297.94099999999997</v>
      </c>
      <c r="E364" s="41">
        <v>729.47900000000004</v>
      </c>
      <c r="F364" s="35">
        <v>1150</v>
      </c>
      <c r="G364" s="35">
        <v>100</v>
      </c>
      <c r="H364" s="43">
        <v>600</v>
      </c>
      <c r="I364" s="35">
        <v>695</v>
      </c>
      <c r="J364" s="35">
        <v>50</v>
      </c>
      <c r="K364" s="36"/>
      <c r="L364" s="36"/>
      <c r="M364" s="36"/>
      <c r="N364" s="36"/>
      <c r="O364" s="36"/>
      <c r="P364" s="36"/>
      <c r="Q364" s="36"/>
      <c r="R364" s="36"/>
      <c r="S364" s="36"/>
      <c r="T364" s="36"/>
    </row>
    <row r="365" spans="1:20" ht="15.75">
      <c r="A365" s="13">
        <v>52627</v>
      </c>
      <c r="B365" s="44">
        <v>31</v>
      </c>
      <c r="C365" s="35">
        <v>122.58</v>
      </c>
      <c r="D365" s="35">
        <v>297.94099999999997</v>
      </c>
      <c r="E365" s="41">
        <v>729.47900000000004</v>
      </c>
      <c r="F365" s="35">
        <v>1150</v>
      </c>
      <c r="G365" s="35">
        <v>100</v>
      </c>
      <c r="H365" s="43">
        <v>600</v>
      </c>
      <c r="I365" s="35">
        <v>695</v>
      </c>
      <c r="J365" s="35">
        <v>50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</row>
    <row r="366" spans="1:20" ht="15.75">
      <c r="A366" s="13">
        <v>52655</v>
      </c>
      <c r="B366" s="44">
        <v>29</v>
      </c>
      <c r="C366" s="35">
        <v>122.58</v>
      </c>
      <c r="D366" s="35">
        <v>297.94099999999997</v>
      </c>
      <c r="E366" s="41">
        <v>729.47900000000004</v>
      </c>
      <c r="F366" s="35">
        <v>1150</v>
      </c>
      <c r="G366" s="35">
        <v>100</v>
      </c>
      <c r="H366" s="43">
        <v>600</v>
      </c>
      <c r="I366" s="35">
        <v>695</v>
      </c>
      <c r="J366" s="35">
        <v>50</v>
      </c>
      <c r="K366" s="36"/>
      <c r="L366" s="36"/>
      <c r="M366" s="36"/>
      <c r="N366" s="36"/>
      <c r="O366" s="36"/>
      <c r="P366" s="36"/>
      <c r="Q366" s="36"/>
      <c r="R366" s="36"/>
      <c r="S366" s="36"/>
      <c r="T366" s="36"/>
    </row>
    <row r="367" spans="1:20" ht="15.75">
      <c r="A367" s="13">
        <v>52687</v>
      </c>
      <c r="B367" s="44">
        <v>31</v>
      </c>
      <c r="C367" s="35">
        <v>122.58</v>
      </c>
      <c r="D367" s="35">
        <v>297.94099999999997</v>
      </c>
      <c r="E367" s="41">
        <v>729.47900000000004</v>
      </c>
      <c r="F367" s="35">
        <v>1150</v>
      </c>
      <c r="G367" s="35">
        <v>100</v>
      </c>
      <c r="H367" s="43">
        <v>600</v>
      </c>
      <c r="I367" s="35">
        <v>695</v>
      </c>
      <c r="J367" s="35">
        <v>50</v>
      </c>
      <c r="K367" s="36"/>
      <c r="L367" s="36"/>
      <c r="M367" s="36"/>
      <c r="N367" s="36"/>
      <c r="O367" s="36"/>
      <c r="P367" s="36"/>
      <c r="Q367" s="36"/>
      <c r="R367" s="36"/>
      <c r="S367" s="36"/>
      <c r="T367" s="36"/>
    </row>
    <row r="368" spans="1:20" ht="15.75">
      <c r="A368" s="13">
        <v>52717</v>
      </c>
      <c r="B368" s="44">
        <v>30</v>
      </c>
      <c r="C368" s="35">
        <v>141.29300000000001</v>
      </c>
      <c r="D368" s="35">
        <v>267.99299999999999</v>
      </c>
      <c r="E368" s="41">
        <v>829.71400000000006</v>
      </c>
      <c r="F368" s="35">
        <v>1239</v>
      </c>
      <c r="G368" s="35">
        <v>100</v>
      </c>
      <c r="H368" s="43">
        <v>600</v>
      </c>
      <c r="I368" s="35">
        <v>695</v>
      </c>
      <c r="J368" s="35">
        <v>50</v>
      </c>
      <c r="K368" s="36"/>
      <c r="L368" s="36"/>
      <c r="M368" s="36"/>
      <c r="N368" s="36"/>
      <c r="O368" s="36"/>
      <c r="P368" s="36"/>
      <c r="Q368" s="36"/>
      <c r="R368" s="36"/>
      <c r="S368" s="36"/>
      <c r="T368" s="36"/>
    </row>
    <row r="369" spans="1:20" ht="15.75">
      <c r="A369" s="13">
        <v>52748</v>
      </c>
      <c r="B369" s="44">
        <v>31</v>
      </c>
      <c r="C369" s="35">
        <v>194.20500000000001</v>
      </c>
      <c r="D369" s="35">
        <v>267.46600000000001</v>
      </c>
      <c r="E369" s="41">
        <v>812.32899999999995</v>
      </c>
      <c r="F369" s="35">
        <v>1274</v>
      </c>
      <c r="G369" s="35">
        <v>75</v>
      </c>
      <c r="H369" s="43">
        <v>600</v>
      </c>
      <c r="I369" s="35">
        <v>695</v>
      </c>
      <c r="J369" s="35">
        <v>50</v>
      </c>
      <c r="K369" s="36"/>
      <c r="L369" s="36"/>
      <c r="M369" s="36"/>
      <c r="N369" s="36"/>
      <c r="O369" s="36"/>
      <c r="P369" s="36"/>
      <c r="Q369" s="36"/>
      <c r="R369" s="36"/>
      <c r="S369" s="36"/>
      <c r="T369" s="36"/>
    </row>
    <row r="370" spans="1:20" ht="15.75">
      <c r="A370" s="13">
        <v>52778</v>
      </c>
      <c r="B370" s="44">
        <v>30</v>
      </c>
      <c r="C370" s="35">
        <v>194.20500000000001</v>
      </c>
      <c r="D370" s="35">
        <v>267.46600000000001</v>
      </c>
      <c r="E370" s="41">
        <v>812.32899999999995</v>
      </c>
      <c r="F370" s="35">
        <v>1274</v>
      </c>
      <c r="G370" s="35">
        <v>50</v>
      </c>
      <c r="H370" s="43">
        <v>600</v>
      </c>
      <c r="I370" s="35">
        <v>695</v>
      </c>
      <c r="J370" s="35">
        <v>50</v>
      </c>
      <c r="K370" s="36"/>
      <c r="L370" s="36"/>
      <c r="M370" s="36"/>
      <c r="N370" s="36"/>
      <c r="O370" s="36"/>
      <c r="P370" s="36"/>
      <c r="Q370" s="36"/>
      <c r="R370" s="36"/>
      <c r="S370" s="36"/>
      <c r="T370" s="36"/>
    </row>
    <row r="371" spans="1:20" ht="15.75">
      <c r="A371" s="13">
        <v>52809</v>
      </c>
      <c r="B371" s="44">
        <v>31</v>
      </c>
      <c r="C371" s="35">
        <v>194.20500000000001</v>
      </c>
      <c r="D371" s="35">
        <v>267.46600000000001</v>
      </c>
      <c r="E371" s="41">
        <v>812.32899999999995</v>
      </c>
      <c r="F371" s="35">
        <v>1274</v>
      </c>
      <c r="G371" s="35">
        <v>50</v>
      </c>
      <c r="H371" s="43">
        <v>600</v>
      </c>
      <c r="I371" s="35">
        <v>695</v>
      </c>
      <c r="J371" s="35">
        <v>0</v>
      </c>
      <c r="K371" s="36"/>
      <c r="L371" s="36"/>
      <c r="M371" s="36"/>
      <c r="N371" s="36"/>
      <c r="O371" s="36"/>
      <c r="P371" s="36"/>
      <c r="Q371" s="36"/>
      <c r="R371" s="36"/>
      <c r="S371" s="36"/>
      <c r="T371" s="36"/>
    </row>
    <row r="372" spans="1:20" ht="15.75">
      <c r="A372" s="13">
        <v>52840</v>
      </c>
      <c r="B372" s="44">
        <v>31</v>
      </c>
      <c r="C372" s="35">
        <v>194.20500000000001</v>
      </c>
      <c r="D372" s="35">
        <v>267.46600000000001</v>
      </c>
      <c r="E372" s="41">
        <v>812.32899999999995</v>
      </c>
      <c r="F372" s="35">
        <v>1274</v>
      </c>
      <c r="G372" s="35">
        <v>50</v>
      </c>
      <c r="H372" s="43">
        <v>600</v>
      </c>
      <c r="I372" s="35">
        <v>695</v>
      </c>
      <c r="J372" s="35">
        <v>0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36"/>
    </row>
    <row r="373" spans="1:20" ht="15.75">
      <c r="A373" s="13">
        <v>52870</v>
      </c>
      <c r="B373" s="44">
        <v>30</v>
      </c>
      <c r="C373" s="35">
        <v>194.20500000000001</v>
      </c>
      <c r="D373" s="35">
        <v>267.46600000000001</v>
      </c>
      <c r="E373" s="41">
        <v>812.32899999999995</v>
      </c>
      <c r="F373" s="35">
        <v>1274</v>
      </c>
      <c r="G373" s="35">
        <v>50</v>
      </c>
      <c r="H373" s="43">
        <v>600</v>
      </c>
      <c r="I373" s="35">
        <v>695</v>
      </c>
      <c r="J373" s="35">
        <v>0</v>
      </c>
      <c r="K373" s="36"/>
      <c r="L373" s="36"/>
      <c r="M373" s="36"/>
      <c r="N373" s="36"/>
      <c r="O373" s="36"/>
      <c r="P373" s="36"/>
      <c r="Q373" s="36"/>
      <c r="R373" s="36"/>
      <c r="S373" s="36"/>
      <c r="T373" s="36"/>
    </row>
    <row r="374" spans="1:20" ht="15.75">
      <c r="A374" s="13">
        <v>52901</v>
      </c>
      <c r="B374" s="44">
        <v>31</v>
      </c>
      <c r="C374" s="35">
        <v>131.881</v>
      </c>
      <c r="D374" s="35">
        <v>277.16699999999997</v>
      </c>
      <c r="E374" s="41">
        <v>829.952</v>
      </c>
      <c r="F374" s="35">
        <v>1239</v>
      </c>
      <c r="G374" s="35">
        <v>75</v>
      </c>
      <c r="H374" s="43">
        <v>600</v>
      </c>
      <c r="I374" s="35">
        <v>695</v>
      </c>
      <c r="J374" s="35">
        <v>0</v>
      </c>
      <c r="K374" s="36"/>
      <c r="L374" s="36"/>
      <c r="M374" s="36"/>
      <c r="N374" s="36"/>
      <c r="O374" s="36"/>
      <c r="P374" s="36"/>
      <c r="Q374" s="36"/>
      <c r="R374" s="36"/>
      <c r="S374" s="36"/>
      <c r="T374" s="36"/>
    </row>
    <row r="375" spans="1:20" ht="15.75">
      <c r="A375" s="13">
        <v>52931</v>
      </c>
      <c r="B375" s="44">
        <v>30</v>
      </c>
      <c r="C375" s="35">
        <v>122.58</v>
      </c>
      <c r="D375" s="35">
        <v>297.94099999999997</v>
      </c>
      <c r="E375" s="41">
        <v>729.47900000000004</v>
      </c>
      <c r="F375" s="35">
        <v>1150</v>
      </c>
      <c r="G375" s="35">
        <v>100</v>
      </c>
      <c r="H375" s="43">
        <v>600</v>
      </c>
      <c r="I375" s="35">
        <v>695</v>
      </c>
      <c r="J375" s="35">
        <v>50</v>
      </c>
      <c r="K375" s="36"/>
      <c r="L375" s="36"/>
      <c r="M375" s="36"/>
      <c r="N375" s="36"/>
      <c r="O375" s="36"/>
      <c r="P375" s="36"/>
      <c r="Q375" s="36"/>
      <c r="R375" s="36"/>
      <c r="S375" s="36"/>
      <c r="T375" s="36"/>
    </row>
    <row r="376" spans="1:20" ht="15.75">
      <c r="A376" s="13">
        <v>52962</v>
      </c>
      <c r="B376" s="44">
        <v>31</v>
      </c>
      <c r="C376" s="35">
        <v>122.58</v>
      </c>
      <c r="D376" s="35">
        <v>297.94099999999997</v>
      </c>
      <c r="E376" s="41">
        <v>729.47900000000004</v>
      </c>
      <c r="F376" s="35">
        <v>1150</v>
      </c>
      <c r="G376" s="35">
        <v>100</v>
      </c>
      <c r="H376" s="43">
        <v>600</v>
      </c>
      <c r="I376" s="35">
        <v>695</v>
      </c>
      <c r="J376" s="35">
        <v>50</v>
      </c>
      <c r="K376" s="36"/>
      <c r="L376" s="36"/>
      <c r="M376" s="36"/>
      <c r="N376" s="36"/>
      <c r="O376" s="36"/>
      <c r="P376" s="36"/>
      <c r="Q376" s="36"/>
      <c r="R376" s="36"/>
      <c r="S376" s="36"/>
      <c r="T376" s="36"/>
    </row>
    <row r="377" spans="1:20" ht="15.75">
      <c r="A377" s="13">
        <v>52993</v>
      </c>
      <c r="B377" s="44">
        <v>31</v>
      </c>
      <c r="C377" s="35">
        <v>122.58</v>
      </c>
      <c r="D377" s="35">
        <v>297.94099999999997</v>
      </c>
      <c r="E377" s="41">
        <v>729.47900000000004</v>
      </c>
      <c r="F377" s="35">
        <v>1150</v>
      </c>
      <c r="G377" s="35">
        <v>100</v>
      </c>
      <c r="H377" s="43">
        <v>600</v>
      </c>
      <c r="I377" s="35">
        <v>695</v>
      </c>
      <c r="J377" s="35">
        <v>50</v>
      </c>
      <c r="K377" s="36"/>
      <c r="L377" s="36"/>
      <c r="M377" s="36"/>
      <c r="N377" s="36"/>
      <c r="O377" s="36"/>
      <c r="P377" s="36"/>
      <c r="Q377" s="36"/>
      <c r="R377" s="36"/>
      <c r="S377" s="36"/>
      <c r="T377" s="36"/>
    </row>
    <row r="378" spans="1:20" ht="15.75">
      <c r="A378" s="13">
        <v>53021</v>
      </c>
      <c r="B378" s="44">
        <v>28</v>
      </c>
      <c r="C378" s="35">
        <v>122.58</v>
      </c>
      <c r="D378" s="35">
        <v>297.94099999999997</v>
      </c>
      <c r="E378" s="41">
        <v>729.47900000000004</v>
      </c>
      <c r="F378" s="35">
        <v>1150</v>
      </c>
      <c r="G378" s="35">
        <v>100</v>
      </c>
      <c r="H378" s="43">
        <v>600</v>
      </c>
      <c r="I378" s="35">
        <v>695</v>
      </c>
      <c r="J378" s="35">
        <v>50</v>
      </c>
      <c r="K378" s="36"/>
      <c r="L378" s="36"/>
      <c r="M378" s="36"/>
      <c r="N378" s="36"/>
      <c r="O378" s="36"/>
      <c r="P378" s="36"/>
      <c r="Q378" s="36"/>
      <c r="R378" s="36"/>
      <c r="S378" s="36"/>
      <c r="T378" s="36"/>
    </row>
    <row r="379" spans="1:20" ht="15.75">
      <c r="A379" s="13">
        <v>53052</v>
      </c>
      <c r="B379" s="44">
        <v>31</v>
      </c>
      <c r="C379" s="35">
        <v>122.58</v>
      </c>
      <c r="D379" s="35">
        <v>297.94099999999997</v>
      </c>
      <c r="E379" s="41">
        <v>729.47900000000004</v>
      </c>
      <c r="F379" s="35">
        <v>1150</v>
      </c>
      <c r="G379" s="35">
        <v>100</v>
      </c>
      <c r="H379" s="43">
        <v>600</v>
      </c>
      <c r="I379" s="35">
        <v>695</v>
      </c>
      <c r="J379" s="35">
        <v>50</v>
      </c>
      <c r="K379" s="36"/>
      <c r="L379" s="36"/>
      <c r="M379" s="36"/>
      <c r="N379" s="36"/>
      <c r="O379" s="36"/>
      <c r="P379" s="36"/>
      <c r="Q379" s="36"/>
      <c r="R379" s="36"/>
      <c r="S379" s="36"/>
      <c r="T379" s="36"/>
    </row>
    <row r="380" spans="1:20" ht="15.75">
      <c r="A380" s="13">
        <v>53082</v>
      </c>
      <c r="B380" s="44">
        <v>30</v>
      </c>
      <c r="C380" s="35">
        <v>141.29300000000001</v>
      </c>
      <c r="D380" s="35">
        <v>267.99299999999999</v>
      </c>
      <c r="E380" s="41">
        <v>829.71400000000006</v>
      </c>
      <c r="F380" s="35">
        <v>1239</v>
      </c>
      <c r="G380" s="35">
        <v>100</v>
      </c>
      <c r="H380" s="43">
        <v>600</v>
      </c>
      <c r="I380" s="35">
        <v>695</v>
      </c>
      <c r="J380" s="35">
        <v>50</v>
      </c>
      <c r="K380" s="36"/>
      <c r="L380" s="36"/>
      <c r="M380" s="36"/>
      <c r="N380" s="36"/>
      <c r="O380" s="36"/>
      <c r="P380" s="36"/>
      <c r="Q380" s="36"/>
      <c r="R380" s="36"/>
      <c r="S380" s="36"/>
      <c r="T380" s="36"/>
    </row>
    <row r="381" spans="1:20" ht="15.75">
      <c r="A381" s="13">
        <v>53113</v>
      </c>
      <c r="B381" s="44">
        <v>31</v>
      </c>
      <c r="C381" s="35">
        <v>194.20500000000001</v>
      </c>
      <c r="D381" s="35">
        <v>267.46600000000001</v>
      </c>
      <c r="E381" s="41">
        <v>812.32899999999995</v>
      </c>
      <c r="F381" s="35">
        <v>1274</v>
      </c>
      <c r="G381" s="35">
        <v>75</v>
      </c>
      <c r="H381" s="43">
        <v>600</v>
      </c>
      <c r="I381" s="35">
        <v>695</v>
      </c>
      <c r="J381" s="35">
        <v>50</v>
      </c>
      <c r="K381" s="36"/>
      <c r="L381" s="36"/>
      <c r="M381" s="36"/>
      <c r="N381" s="36"/>
      <c r="O381" s="36"/>
      <c r="P381" s="36"/>
      <c r="Q381" s="36"/>
      <c r="R381" s="36"/>
      <c r="S381" s="36"/>
      <c r="T381" s="36"/>
    </row>
    <row r="382" spans="1:20" ht="15.75">
      <c r="A382" s="13">
        <v>53143</v>
      </c>
      <c r="B382" s="44">
        <v>30</v>
      </c>
      <c r="C382" s="35">
        <v>194.20500000000001</v>
      </c>
      <c r="D382" s="35">
        <v>267.46600000000001</v>
      </c>
      <c r="E382" s="41">
        <v>812.32899999999995</v>
      </c>
      <c r="F382" s="35">
        <v>1274</v>
      </c>
      <c r="G382" s="35">
        <v>50</v>
      </c>
      <c r="H382" s="43">
        <v>600</v>
      </c>
      <c r="I382" s="35">
        <v>695</v>
      </c>
      <c r="J382" s="35">
        <v>50</v>
      </c>
      <c r="K382" s="36"/>
      <c r="L382" s="36"/>
      <c r="M382" s="36"/>
      <c r="N382" s="36"/>
      <c r="O382" s="36"/>
      <c r="P382" s="36"/>
      <c r="Q382" s="36"/>
      <c r="R382" s="36"/>
      <c r="S382" s="36"/>
      <c r="T382" s="36"/>
    </row>
    <row r="383" spans="1:20" ht="15.75">
      <c r="A383" s="13">
        <v>53174</v>
      </c>
      <c r="B383" s="44">
        <v>31</v>
      </c>
      <c r="C383" s="35">
        <v>194.20500000000001</v>
      </c>
      <c r="D383" s="35">
        <v>267.46600000000001</v>
      </c>
      <c r="E383" s="41">
        <v>812.32899999999995</v>
      </c>
      <c r="F383" s="35">
        <v>1274</v>
      </c>
      <c r="G383" s="35">
        <v>50</v>
      </c>
      <c r="H383" s="43">
        <v>600</v>
      </c>
      <c r="I383" s="35">
        <v>695</v>
      </c>
      <c r="J383" s="35">
        <v>0</v>
      </c>
      <c r="K383" s="36"/>
      <c r="L383" s="36"/>
      <c r="M383" s="36"/>
      <c r="N383" s="36"/>
      <c r="O383" s="36"/>
      <c r="P383" s="36"/>
      <c r="Q383" s="36"/>
      <c r="R383" s="36"/>
      <c r="S383" s="36"/>
      <c r="T383" s="36"/>
    </row>
    <row r="384" spans="1:20" ht="15.75">
      <c r="A384" s="13">
        <v>53205</v>
      </c>
      <c r="B384" s="44">
        <v>31</v>
      </c>
      <c r="C384" s="35">
        <v>194.20500000000001</v>
      </c>
      <c r="D384" s="35">
        <v>267.46600000000001</v>
      </c>
      <c r="E384" s="41">
        <v>812.32899999999995</v>
      </c>
      <c r="F384" s="35">
        <v>1274</v>
      </c>
      <c r="G384" s="35">
        <v>50</v>
      </c>
      <c r="H384" s="43">
        <v>600</v>
      </c>
      <c r="I384" s="35">
        <v>695</v>
      </c>
      <c r="J384" s="35">
        <v>0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</row>
    <row r="385" spans="1:20" ht="15.75">
      <c r="A385" s="13">
        <v>53235</v>
      </c>
      <c r="B385" s="44">
        <v>30</v>
      </c>
      <c r="C385" s="35">
        <v>194.20500000000001</v>
      </c>
      <c r="D385" s="35">
        <v>267.46600000000001</v>
      </c>
      <c r="E385" s="41">
        <v>812.32899999999995</v>
      </c>
      <c r="F385" s="35">
        <v>1274</v>
      </c>
      <c r="G385" s="35">
        <v>50</v>
      </c>
      <c r="H385" s="43">
        <v>600</v>
      </c>
      <c r="I385" s="35">
        <v>695</v>
      </c>
      <c r="J385" s="35">
        <v>0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</row>
    <row r="386" spans="1:20" ht="15.75">
      <c r="A386" s="13">
        <v>53266</v>
      </c>
      <c r="B386" s="44">
        <v>31</v>
      </c>
      <c r="C386" s="35">
        <v>131.881</v>
      </c>
      <c r="D386" s="35">
        <v>277.16699999999997</v>
      </c>
      <c r="E386" s="41">
        <v>829.952</v>
      </c>
      <c r="F386" s="35">
        <v>1239</v>
      </c>
      <c r="G386" s="35">
        <v>75</v>
      </c>
      <c r="H386" s="43">
        <v>600</v>
      </c>
      <c r="I386" s="35">
        <v>695</v>
      </c>
      <c r="J386" s="35">
        <v>0</v>
      </c>
      <c r="K386" s="36"/>
      <c r="L386" s="36"/>
      <c r="M386" s="36"/>
      <c r="N386" s="36"/>
      <c r="O386" s="36"/>
      <c r="P386" s="36"/>
      <c r="Q386" s="36"/>
      <c r="R386" s="36"/>
      <c r="S386" s="36"/>
      <c r="T386" s="36"/>
    </row>
    <row r="387" spans="1:20" ht="15.75">
      <c r="A387" s="13">
        <v>53296</v>
      </c>
      <c r="B387" s="44">
        <v>30</v>
      </c>
      <c r="C387" s="35">
        <v>122.58</v>
      </c>
      <c r="D387" s="35">
        <v>297.94099999999997</v>
      </c>
      <c r="E387" s="41">
        <v>729.47900000000004</v>
      </c>
      <c r="F387" s="35">
        <v>1150</v>
      </c>
      <c r="G387" s="35">
        <v>100</v>
      </c>
      <c r="H387" s="43">
        <v>600</v>
      </c>
      <c r="I387" s="35">
        <v>695</v>
      </c>
      <c r="J387" s="35">
        <v>50</v>
      </c>
      <c r="K387" s="36"/>
      <c r="L387" s="36"/>
      <c r="M387" s="36"/>
      <c r="N387" s="36"/>
      <c r="O387" s="36"/>
      <c r="P387" s="36"/>
      <c r="Q387" s="36"/>
      <c r="R387" s="36"/>
      <c r="S387" s="36"/>
      <c r="T387" s="36"/>
    </row>
    <row r="388" spans="1:20" ht="15.75">
      <c r="A388" s="13">
        <v>53327</v>
      </c>
      <c r="B388" s="44">
        <v>31</v>
      </c>
      <c r="C388" s="35">
        <v>122.58</v>
      </c>
      <c r="D388" s="35">
        <v>297.94099999999997</v>
      </c>
      <c r="E388" s="41">
        <v>729.47900000000004</v>
      </c>
      <c r="F388" s="35">
        <v>1150</v>
      </c>
      <c r="G388" s="35">
        <v>100</v>
      </c>
      <c r="H388" s="43">
        <v>600</v>
      </c>
      <c r="I388" s="35">
        <v>695</v>
      </c>
      <c r="J388" s="35">
        <v>50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</row>
    <row r="389" spans="1:20" ht="15.75">
      <c r="A389" s="13">
        <v>53358</v>
      </c>
      <c r="B389" s="44">
        <v>31</v>
      </c>
      <c r="C389" s="35">
        <v>122.58</v>
      </c>
      <c r="D389" s="35">
        <v>297.94099999999997</v>
      </c>
      <c r="E389" s="41">
        <v>729.47900000000004</v>
      </c>
      <c r="F389" s="35">
        <v>1150</v>
      </c>
      <c r="G389" s="35">
        <v>100</v>
      </c>
      <c r="H389" s="43">
        <v>600</v>
      </c>
      <c r="I389" s="35">
        <v>695</v>
      </c>
      <c r="J389" s="35">
        <v>50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</row>
    <row r="390" spans="1:20" ht="15.75">
      <c r="A390" s="13">
        <v>53386</v>
      </c>
      <c r="B390" s="44">
        <v>28</v>
      </c>
      <c r="C390" s="35">
        <v>122.58</v>
      </c>
      <c r="D390" s="35">
        <v>297.94099999999997</v>
      </c>
      <c r="E390" s="41">
        <v>729.47900000000004</v>
      </c>
      <c r="F390" s="35">
        <v>1150</v>
      </c>
      <c r="G390" s="35">
        <v>100</v>
      </c>
      <c r="H390" s="43">
        <v>600</v>
      </c>
      <c r="I390" s="35">
        <v>695</v>
      </c>
      <c r="J390" s="35">
        <v>50</v>
      </c>
      <c r="K390" s="36"/>
      <c r="L390" s="36"/>
      <c r="M390" s="36"/>
      <c r="N390" s="36"/>
      <c r="O390" s="36"/>
      <c r="P390" s="36"/>
      <c r="Q390" s="36"/>
      <c r="R390" s="36"/>
      <c r="S390" s="36"/>
      <c r="T390" s="36"/>
    </row>
    <row r="391" spans="1:20" ht="15.75">
      <c r="A391" s="13">
        <v>53417</v>
      </c>
      <c r="B391" s="44">
        <v>31</v>
      </c>
      <c r="C391" s="35">
        <v>122.58</v>
      </c>
      <c r="D391" s="35">
        <v>297.94099999999997</v>
      </c>
      <c r="E391" s="41">
        <v>729.47900000000004</v>
      </c>
      <c r="F391" s="35">
        <v>1150</v>
      </c>
      <c r="G391" s="35">
        <v>100</v>
      </c>
      <c r="H391" s="43">
        <v>600</v>
      </c>
      <c r="I391" s="35">
        <v>695</v>
      </c>
      <c r="J391" s="35">
        <v>50</v>
      </c>
      <c r="K391" s="36"/>
      <c r="L391" s="36"/>
      <c r="M391" s="36"/>
      <c r="N391" s="36"/>
      <c r="O391" s="36"/>
      <c r="P391" s="36"/>
      <c r="Q391" s="36"/>
      <c r="R391" s="36"/>
      <c r="S391" s="36"/>
      <c r="T391" s="36"/>
    </row>
    <row r="392" spans="1:20" ht="15.75">
      <c r="A392" s="13">
        <v>53447</v>
      </c>
      <c r="B392" s="44">
        <v>30</v>
      </c>
      <c r="C392" s="35">
        <v>141.29300000000001</v>
      </c>
      <c r="D392" s="35">
        <v>267.99299999999999</v>
      </c>
      <c r="E392" s="41">
        <v>829.71400000000006</v>
      </c>
      <c r="F392" s="35">
        <v>1239</v>
      </c>
      <c r="G392" s="35">
        <v>100</v>
      </c>
      <c r="H392" s="43">
        <v>600</v>
      </c>
      <c r="I392" s="35">
        <v>695</v>
      </c>
      <c r="J392" s="35">
        <v>50</v>
      </c>
      <c r="K392" s="36"/>
      <c r="L392" s="36"/>
      <c r="M392" s="36"/>
      <c r="N392" s="36"/>
      <c r="O392" s="36"/>
      <c r="P392" s="36"/>
      <c r="Q392" s="36"/>
      <c r="R392" s="36"/>
      <c r="S392" s="36"/>
      <c r="T392" s="36"/>
    </row>
    <row r="393" spans="1:20" ht="15.75">
      <c r="A393" s="13">
        <v>53478</v>
      </c>
      <c r="B393" s="44">
        <v>31</v>
      </c>
      <c r="C393" s="35">
        <v>194.20500000000001</v>
      </c>
      <c r="D393" s="35">
        <v>267.46600000000001</v>
      </c>
      <c r="E393" s="41">
        <v>812.32899999999995</v>
      </c>
      <c r="F393" s="35">
        <v>1274</v>
      </c>
      <c r="G393" s="35">
        <v>75</v>
      </c>
      <c r="H393" s="43">
        <v>600</v>
      </c>
      <c r="I393" s="35">
        <v>695</v>
      </c>
      <c r="J393" s="35">
        <v>50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</row>
    <row r="394" spans="1:20" ht="15.75">
      <c r="A394" s="13">
        <v>53508</v>
      </c>
      <c r="B394" s="44">
        <v>30</v>
      </c>
      <c r="C394" s="35">
        <v>194.20500000000001</v>
      </c>
      <c r="D394" s="35">
        <v>267.46600000000001</v>
      </c>
      <c r="E394" s="41">
        <v>812.32899999999995</v>
      </c>
      <c r="F394" s="35">
        <v>1274</v>
      </c>
      <c r="G394" s="35">
        <v>50</v>
      </c>
      <c r="H394" s="43">
        <v>600</v>
      </c>
      <c r="I394" s="35">
        <v>695</v>
      </c>
      <c r="J394" s="35">
        <v>50</v>
      </c>
      <c r="K394" s="36"/>
      <c r="L394" s="36"/>
      <c r="M394" s="36"/>
      <c r="N394" s="36"/>
      <c r="O394" s="36"/>
      <c r="P394" s="36"/>
      <c r="Q394" s="36"/>
      <c r="R394" s="36"/>
      <c r="S394" s="36"/>
      <c r="T394" s="36"/>
    </row>
    <row r="395" spans="1:20" ht="15.75">
      <c r="A395" s="13">
        <v>53539</v>
      </c>
      <c r="B395" s="44">
        <v>31</v>
      </c>
      <c r="C395" s="35">
        <v>194.20500000000001</v>
      </c>
      <c r="D395" s="35">
        <v>267.46600000000001</v>
      </c>
      <c r="E395" s="41">
        <v>812.32899999999995</v>
      </c>
      <c r="F395" s="35">
        <v>1274</v>
      </c>
      <c r="G395" s="35">
        <v>50</v>
      </c>
      <c r="H395" s="43">
        <v>600</v>
      </c>
      <c r="I395" s="35">
        <v>695</v>
      </c>
      <c r="J395" s="35">
        <v>0</v>
      </c>
      <c r="K395" s="36"/>
      <c r="L395" s="36"/>
      <c r="M395" s="36"/>
      <c r="N395" s="36"/>
      <c r="O395" s="36"/>
      <c r="P395" s="36"/>
      <c r="Q395" s="36"/>
      <c r="R395" s="36"/>
      <c r="S395" s="36"/>
      <c r="T395" s="36"/>
    </row>
    <row r="396" spans="1:20" ht="15.75">
      <c r="A396" s="13">
        <v>53570</v>
      </c>
      <c r="B396" s="44">
        <v>31</v>
      </c>
      <c r="C396" s="35">
        <v>194.20500000000001</v>
      </c>
      <c r="D396" s="35">
        <v>267.46600000000001</v>
      </c>
      <c r="E396" s="41">
        <v>812.32899999999995</v>
      </c>
      <c r="F396" s="35">
        <v>1274</v>
      </c>
      <c r="G396" s="35">
        <v>50</v>
      </c>
      <c r="H396" s="43">
        <v>600</v>
      </c>
      <c r="I396" s="35">
        <v>695</v>
      </c>
      <c r="J396" s="35">
        <v>0</v>
      </c>
      <c r="K396" s="36"/>
      <c r="L396" s="36"/>
      <c r="M396" s="36"/>
      <c r="N396" s="36"/>
      <c r="O396" s="36"/>
      <c r="P396" s="36"/>
      <c r="Q396" s="36"/>
      <c r="R396" s="36"/>
      <c r="S396" s="36"/>
      <c r="T396" s="36"/>
    </row>
    <row r="397" spans="1:20" ht="15.75">
      <c r="A397" s="13">
        <v>53600</v>
      </c>
      <c r="B397" s="44">
        <v>30</v>
      </c>
      <c r="C397" s="35">
        <v>194.20500000000001</v>
      </c>
      <c r="D397" s="35">
        <v>267.46600000000001</v>
      </c>
      <c r="E397" s="41">
        <v>812.32899999999995</v>
      </c>
      <c r="F397" s="35">
        <v>1274</v>
      </c>
      <c r="G397" s="35">
        <v>50</v>
      </c>
      <c r="H397" s="43">
        <v>600</v>
      </c>
      <c r="I397" s="35">
        <v>695</v>
      </c>
      <c r="J397" s="35">
        <v>0</v>
      </c>
      <c r="K397" s="36"/>
      <c r="L397" s="36"/>
      <c r="M397" s="36"/>
      <c r="N397" s="36"/>
      <c r="O397" s="36"/>
      <c r="P397" s="36"/>
      <c r="Q397" s="36"/>
      <c r="R397" s="36"/>
      <c r="S397" s="36"/>
      <c r="T397" s="36"/>
    </row>
    <row r="398" spans="1:20" ht="15.75">
      <c r="A398" s="13">
        <v>53631</v>
      </c>
      <c r="B398" s="44">
        <v>31</v>
      </c>
      <c r="C398" s="35">
        <v>131.881</v>
      </c>
      <c r="D398" s="35">
        <v>277.16699999999997</v>
      </c>
      <c r="E398" s="41">
        <v>829.952</v>
      </c>
      <c r="F398" s="35">
        <v>1239</v>
      </c>
      <c r="G398" s="35">
        <v>75</v>
      </c>
      <c r="H398" s="43">
        <v>600</v>
      </c>
      <c r="I398" s="35">
        <v>695</v>
      </c>
      <c r="J398" s="35">
        <v>0</v>
      </c>
      <c r="K398" s="36"/>
      <c r="L398" s="36"/>
      <c r="M398" s="36"/>
      <c r="N398" s="36"/>
      <c r="O398" s="36"/>
      <c r="P398" s="36"/>
      <c r="Q398" s="36"/>
      <c r="R398" s="36"/>
      <c r="S398" s="36"/>
      <c r="T398" s="36"/>
    </row>
    <row r="399" spans="1:20" ht="15.75">
      <c r="A399" s="13">
        <v>53661</v>
      </c>
      <c r="B399" s="44">
        <v>30</v>
      </c>
      <c r="C399" s="35">
        <v>122.58</v>
      </c>
      <c r="D399" s="35">
        <v>297.94099999999997</v>
      </c>
      <c r="E399" s="41">
        <v>729.47900000000004</v>
      </c>
      <c r="F399" s="35">
        <v>1150</v>
      </c>
      <c r="G399" s="35">
        <v>100</v>
      </c>
      <c r="H399" s="43">
        <v>600</v>
      </c>
      <c r="I399" s="35">
        <v>695</v>
      </c>
      <c r="J399" s="35">
        <v>50</v>
      </c>
      <c r="K399" s="36"/>
      <c r="L399" s="36"/>
      <c r="M399" s="36"/>
      <c r="N399" s="36"/>
      <c r="O399" s="36"/>
      <c r="P399" s="36"/>
      <c r="Q399" s="36"/>
      <c r="R399" s="36"/>
      <c r="S399" s="36"/>
      <c r="T399" s="36"/>
    </row>
    <row r="400" spans="1:20" ht="15.75">
      <c r="A400" s="13">
        <v>53692</v>
      </c>
      <c r="B400" s="44">
        <v>31</v>
      </c>
      <c r="C400" s="35">
        <v>122.58</v>
      </c>
      <c r="D400" s="35">
        <v>297.94099999999997</v>
      </c>
      <c r="E400" s="41">
        <v>729.47900000000004</v>
      </c>
      <c r="F400" s="35">
        <v>1150</v>
      </c>
      <c r="G400" s="35">
        <v>100</v>
      </c>
      <c r="H400" s="43">
        <v>600</v>
      </c>
      <c r="I400" s="35">
        <v>695</v>
      </c>
      <c r="J400" s="35">
        <v>50</v>
      </c>
      <c r="K400" s="36"/>
      <c r="L400" s="36"/>
      <c r="M400" s="36"/>
      <c r="N400" s="36"/>
      <c r="O400" s="36"/>
      <c r="P400" s="36"/>
      <c r="Q400" s="36"/>
      <c r="R400" s="36"/>
      <c r="S400" s="36"/>
      <c r="T400" s="36"/>
    </row>
    <row r="401" spans="1:20" ht="15.75">
      <c r="A401" s="13">
        <v>53723</v>
      </c>
      <c r="B401" s="44">
        <v>31</v>
      </c>
      <c r="C401" s="35">
        <v>122.58</v>
      </c>
      <c r="D401" s="35">
        <v>297.94099999999997</v>
      </c>
      <c r="E401" s="41">
        <v>729.47900000000004</v>
      </c>
      <c r="F401" s="35">
        <v>1150</v>
      </c>
      <c r="G401" s="35">
        <v>100</v>
      </c>
      <c r="H401" s="43">
        <v>600</v>
      </c>
      <c r="I401" s="35">
        <v>695</v>
      </c>
      <c r="J401" s="35">
        <v>50</v>
      </c>
      <c r="K401" s="36"/>
      <c r="L401" s="36"/>
      <c r="M401" s="36"/>
      <c r="N401" s="36"/>
      <c r="O401" s="36"/>
      <c r="P401" s="36"/>
      <c r="Q401" s="36"/>
      <c r="R401" s="36"/>
      <c r="S401" s="36"/>
      <c r="T401" s="36"/>
    </row>
    <row r="402" spans="1:20" ht="15.75">
      <c r="A402" s="13">
        <v>53751</v>
      </c>
      <c r="B402" s="44">
        <v>28</v>
      </c>
      <c r="C402" s="35">
        <v>122.58</v>
      </c>
      <c r="D402" s="35">
        <v>297.94099999999997</v>
      </c>
      <c r="E402" s="41">
        <v>729.47900000000004</v>
      </c>
      <c r="F402" s="35">
        <v>1150</v>
      </c>
      <c r="G402" s="35">
        <v>100</v>
      </c>
      <c r="H402" s="43">
        <v>600</v>
      </c>
      <c r="I402" s="35">
        <v>695</v>
      </c>
      <c r="J402" s="35">
        <v>50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6"/>
    </row>
    <row r="403" spans="1:20" ht="15.75">
      <c r="A403" s="13">
        <v>53782</v>
      </c>
      <c r="B403" s="44">
        <v>31</v>
      </c>
      <c r="C403" s="35">
        <v>122.58</v>
      </c>
      <c r="D403" s="35">
        <v>297.94099999999997</v>
      </c>
      <c r="E403" s="41">
        <v>729.47900000000004</v>
      </c>
      <c r="F403" s="35">
        <v>1150</v>
      </c>
      <c r="G403" s="35">
        <v>100</v>
      </c>
      <c r="H403" s="43">
        <v>600</v>
      </c>
      <c r="I403" s="35">
        <v>695</v>
      </c>
      <c r="J403" s="35">
        <v>50</v>
      </c>
      <c r="K403" s="36"/>
      <c r="L403" s="36"/>
      <c r="M403" s="36"/>
      <c r="N403" s="36"/>
      <c r="O403" s="36"/>
      <c r="P403" s="36"/>
      <c r="Q403" s="36"/>
      <c r="R403" s="36"/>
      <c r="S403" s="36"/>
      <c r="T403" s="36"/>
    </row>
    <row r="404" spans="1:20" ht="15.75">
      <c r="A404" s="13">
        <v>53812</v>
      </c>
      <c r="B404" s="44">
        <v>30</v>
      </c>
      <c r="C404" s="35">
        <v>141.29300000000001</v>
      </c>
      <c r="D404" s="35">
        <v>267.99299999999999</v>
      </c>
      <c r="E404" s="41">
        <v>829.71400000000006</v>
      </c>
      <c r="F404" s="35">
        <v>1239</v>
      </c>
      <c r="G404" s="35">
        <v>100</v>
      </c>
      <c r="H404" s="43">
        <v>600</v>
      </c>
      <c r="I404" s="35">
        <v>695</v>
      </c>
      <c r="J404" s="35">
        <v>50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6"/>
    </row>
    <row r="405" spans="1:20" ht="15.75">
      <c r="A405" s="13">
        <v>53843</v>
      </c>
      <c r="B405" s="44">
        <v>31</v>
      </c>
      <c r="C405" s="35">
        <v>194.20500000000001</v>
      </c>
      <c r="D405" s="35">
        <v>267.46600000000001</v>
      </c>
      <c r="E405" s="41">
        <v>812.32899999999995</v>
      </c>
      <c r="F405" s="35">
        <v>1274</v>
      </c>
      <c r="G405" s="35">
        <v>75</v>
      </c>
      <c r="H405" s="43">
        <v>600</v>
      </c>
      <c r="I405" s="35">
        <v>695</v>
      </c>
      <c r="J405" s="35">
        <v>50</v>
      </c>
      <c r="K405" s="36"/>
      <c r="L405" s="36"/>
      <c r="M405" s="36"/>
      <c r="N405" s="36"/>
      <c r="O405" s="36"/>
      <c r="P405" s="36"/>
      <c r="Q405" s="36"/>
      <c r="R405" s="36"/>
      <c r="S405" s="36"/>
      <c r="T405" s="36"/>
    </row>
    <row r="406" spans="1:20" ht="15.75">
      <c r="A406" s="13">
        <v>53873</v>
      </c>
      <c r="B406" s="44">
        <v>30</v>
      </c>
      <c r="C406" s="35">
        <v>194.20500000000001</v>
      </c>
      <c r="D406" s="35">
        <v>267.46600000000001</v>
      </c>
      <c r="E406" s="41">
        <v>812.32899999999995</v>
      </c>
      <c r="F406" s="35">
        <v>1274</v>
      </c>
      <c r="G406" s="35">
        <v>50</v>
      </c>
      <c r="H406" s="43">
        <v>600</v>
      </c>
      <c r="I406" s="35">
        <v>695</v>
      </c>
      <c r="J406" s="35">
        <v>50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6"/>
    </row>
    <row r="407" spans="1:20" ht="15.75">
      <c r="A407" s="13">
        <v>53904</v>
      </c>
      <c r="B407" s="44">
        <v>31</v>
      </c>
      <c r="C407" s="35">
        <v>194.20500000000001</v>
      </c>
      <c r="D407" s="35">
        <v>267.46600000000001</v>
      </c>
      <c r="E407" s="41">
        <v>812.32899999999995</v>
      </c>
      <c r="F407" s="35">
        <v>1274</v>
      </c>
      <c r="G407" s="35">
        <v>50</v>
      </c>
      <c r="H407" s="43">
        <v>600</v>
      </c>
      <c r="I407" s="35">
        <v>695</v>
      </c>
      <c r="J407" s="35">
        <v>0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/>
    </row>
    <row r="408" spans="1:20" ht="15.75">
      <c r="A408" s="13">
        <v>53935</v>
      </c>
      <c r="B408" s="44">
        <v>31</v>
      </c>
      <c r="C408" s="35">
        <v>194.20500000000001</v>
      </c>
      <c r="D408" s="35">
        <v>267.46600000000001</v>
      </c>
      <c r="E408" s="41">
        <v>812.32899999999995</v>
      </c>
      <c r="F408" s="35">
        <v>1274</v>
      </c>
      <c r="G408" s="35">
        <v>50</v>
      </c>
      <c r="H408" s="43">
        <v>600</v>
      </c>
      <c r="I408" s="35">
        <v>695</v>
      </c>
      <c r="J408" s="35">
        <v>0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6"/>
    </row>
    <row r="409" spans="1:20" ht="15.75">
      <c r="A409" s="13">
        <v>53965</v>
      </c>
      <c r="B409" s="44">
        <v>30</v>
      </c>
      <c r="C409" s="35">
        <v>194.20500000000001</v>
      </c>
      <c r="D409" s="35">
        <v>267.46600000000001</v>
      </c>
      <c r="E409" s="41">
        <v>812.32899999999995</v>
      </c>
      <c r="F409" s="35">
        <v>1274</v>
      </c>
      <c r="G409" s="35">
        <v>50</v>
      </c>
      <c r="H409" s="43">
        <v>600</v>
      </c>
      <c r="I409" s="35">
        <v>695</v>
      </c>
      <c r="J409" s="35">
        <v>0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</row>
    <row r="410" spans="1:20" ht="15.75">
      <c r="A410" s="13">
        <v>53996</v>
      </c>
      <c r="B410" s="44">
        <v>31</v>
      </c>
      <c r="C410" s="35">
        <v>131.881</v>
      </c>
      <c r="D410" s="35">
        <v>277.16699999999997</v>
      </c>
      <c r="E410" s="41">
        <v>829.952</v>
      </c>
      <c r="F410" s="35">
        <v>1239</v>
      </c>
      <c r="G410" s="35">
        <v>75</v>
      </c>
      <c r="H410" s="43">
        <v>600</v>
      </c>
      <c r="I410" s="35">
        <v>695</v>
      </c>
      <c r="J410" s="35">
        <v>0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</row>
    <row r="411" spans="1:20" ht="15.75">
      <c r="A411" s="13">
        <v>54026</v>
      </c>
      <c r="B411" s="44">
        <v>30</v>
      </c>
      <c r="C411" s="35">
        <v>122.58</v>
      </c>
      <c r="D411" s="35">
        <v>297.94099999999997</v>
      </c>
      <c r="E411" s="41">
        <v>729.47900000000004</v>
      </c>
      <c r="F411" s="35">
        <v>1150</v>
      </c>
      <c r="G411" s="35">
        <v>100</v>
      </c>
      <c r="H411" s="43">
        <v>600</v>
      </c>
      <c r="I411" s="35">
        <v>695</v>
      </c>
      <c r="J411" s="35">
        <v>50</v>
      </c>
      <c r="K411" s="36"/>
      <c r="L411" s="36"/>
      <c r="M411" s="36"/>
      <c r="N411" s="36"/>
      <c r="O411" s="36"/>
      <c r="P411" s="36"/>
      <c r="Q411" s="36"/>
      <c r="R411" s="36"/>
      <c r="S411" s="36"/>
      <c r="T411" s="36"/>
    </row>
    <row r="412" spans="1:20" ht="15.75">
      <c r="A412" s="13">
        <v>54057</v>
      </c>
      <c r="B412" s="44">
        <v>31</v>
      </c>
      <c r="C412" s="35">
        <v>122.58</v>
      </c>
      <c r="D412" s="35">
        <v>297.94099999999997</v>
      </c>
      <c r="E412" s="41">
        <v>729.47900000000004</v>
      </c>
      <c r="F412" s="35">
        <v>1150</v>
      </c>
      <c r="G412" s="35">
        <v>100</v>
      </c>
      <c r="H412" s="43">
        <v>600</v>
      </c>
      <c r="I412" s="35">
        <v>695</v>
      </c>
      <c r="J412" s="35">
        <v>50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6"/>
    </row>
    <row r="413" spans="1:20" ht="15.75">
      <c r="A413" s="13">
        <v>54088</v>
      </c>
      <c r="B413" s="44">
        <v>31</v>
      </c>
      <c r="C413" s="35">
        <v>122.58</v>
      </c>
      <c r="D413" s="35">
        <v>297.94099999999997</v>
      </c>
      <c r="E413" s="41">
        <v>729.47900000000004</v>
      </c>
      <c r="F413" s="35">
        <v>1150</v>
      </c>
      <c r="G413" s="35">
        <v>100</v>
      </c>
      <c r="H413" s="43">
        <v>600</v>
      </c>
      <c r="I413" s="35">
        <v>695</v>
      </c>
      <c r="J413" s="35">
        <v>50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</row>
    <row r="414" spans="1:20" ht="15.75">
      <c r="A414" s="13">
        <v>54116</v>
      </c>
      <c r="B414" s="44">
        <v>29</v>
      </c>
      <c r="C414" s="35">
        <v>122.58</v>
      </c>
      <c r="D414" s="35">
        <v>297.94099999999997</v>
      </c>
      <c r="E414" s="41">
        <v>729.47900000000004</v>
      </c>
      <c r="F414" s="35">
        <v>1150</v>
      </c>
      <c r="G414" s="35">
        <v>100</v>
      </c>
      <c r="H414" s="43">
        <v>600</v>
      </c>
      <c r="I414" s="35">
        <v>695</v>
      </c>
      <c r="J414" s="35">
        <v>50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</row>
    <row r="415" spans="1:20" ht="15.75">
      <c r="A415" s="13">
        <v>54148</v>
      </c>
      <c r="B415" s="44">
        <v>31</v>
      </c>
      <c r="C415" s="35">
        <v>122.58</v>
      </c>
      <c r="D415" s="35">
        <v>297.94099999999997</v>
      </c>
      <c r="E415" s="41">
        <v>729.47900000000004</v>
      </c>
      <c r="F415" s="35">
        <v>1150</v>
      </c>
      <c r="G415" s="35">
        <v>100</v>
      </c>
      <c r="H415" s="43">
        <v>600</v>
      </c>
      <c r="I415" s="35">
        <v>695</v>
      </c>
      <c r="J415" s="35">
        <v>50</v>
      </c>
      <c r="K415" s="36"/>
      <c r="L415" s="36"/>
      <c r="M415" s="36"/>
      <c r="N415" s="36"/>
      <c r="O415" s="36"/>
      <c r="P415" s="36"/>
      <c r="Q415" s="36"/>
      <c r="R415" s="36"/>
      <c r="S415" s="36"/>
      <c r="T415" s="36"/>
    </row>
    <row r="416" spans="1:20" ht="15.75">
      <c r="A416" s="13">
        <v>54178</v>
      </c>
      <c r="B416" s="44">
        <v>30</v>
      </c>
      <c r="C416" s="35">
        <v>141.29300000000001</v>
      </c>
      <c r="D416" s="35">
        <v>267.99299999999999</v>
      </c>
      <c r="E416" s="41">
        <v>829.71400000000006</v>
      </c>
      <c r="F416" s="35">
        <v>1239</v>
      </c>
      <c r="G416" s="35">
        <v>100</v>
      </c>
      <c r="H416" s="43">
        <v>600</v>
      </c>
      <c r="I416" s="35">
        <v>695</v>
      </c>
      <c r="J416" s="35">
        <v>50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6"/>
    </row>
    <row r="417" spans="1:20" ht="15.75">
      <c r="A417" s="13">
        <v>54209</v>
      </c>
      <c r="B417" s="44">
        <v>31</v>
      </c>
      <c r="C417" s="35">
        <v>194.20500000000001</v>
      </c>
      <c r="D417" s="35">
        <v>267.46600000000001</v>
      </c>
      <c r="E417" s="41">
        <v>812.32899999999995</v>
      </c>
      <c r="F417" s="35">
        <v>1274</v>
      </c>
      <c r="G417" s="35">
        <v>75</v>
      </c>
      <c r="H417" s="43">
        <v>600</v>
      </c>
      <c r="I417" s="35">
        <v>695</v>
      </c>
      <c r="J417" s="35">
        <v>50</v>
      </c>
      <c r="K417" s="36"/>
      <c r="L417" s="36"/>
      <c r="M417" s="36"/>
      <c r="N417" s="36"/>
      <c r="O417" s="36"/>
      <c r="P417" s="36"/>
      <c r="Q417" s="36"/>
      <c r="R417" s="36"/>
      <c r="S417" s="36"/>
      <c r="T417" s="36"/>
    </row>
    <row r="418" spans="1:20" ht="15.75">
      <c r="A418" s="13">
        <v>54239</v>
      </c>
      <c r="B418" s="44">
        <v>30</v>
      </c>
      <c r="C418" s="35">
        <v>194.20500000000001</v>
      </c>
      <c r="D418" s="35">
        <v>267.46600000000001</v>
      </c>
      <c r="E418" s="41">
        <v>812.32899999999995</v>
      </c>
      <c r="F418" s="35">
        <v>1274</v>
      </c>
      <c r="G418" s="35">
        <v>50</v>
      </c>
      <c r="H418" s="43">
        <v>600</v>
      </c>
      <c r="I418" s="35">
        <v>695</v>
      </c>
      <c r="J418" s="35">
        <v>50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6"/>
    </row>
    <row r="419" spans="1:20" ht="15.75">
      <c r="A419" s="13">
        <v>54270</v>
      </c>
      <c r="B419" s="44">
        <v>31</v>
      </c>
      <c r="C419" s="35">
        <v>194.20500000000001</v>
      </c>
      <c r="D419" s="35">
        <v>267.46600000000001</v>
      </c>
      <c r="E419" s="41">
        <v>812.32899999999995</v>
      </c>
      <c r="F419" s="35">
        <v>1274</v>
      </c>
      <c r="G419" s="35">
        <v>50</v>
      </c>
      <c r="H419" s="43">
        <v>600</v>
      </c>
      <c r="I419" s="35">
        <v>695</v>
      </c>
      <c r="J419" s="35">
        <v>0</v>
      </c>
      <c r="K419" s="36"/>
      <c r="L419" s="36"/>
      <c r="M419" s="36"/>
      <c r="N419" s="36"/>
      <c r="O419" s="36"/>
      <c r="P419" s="36"/>
      <c r="Q419" s="36"/>
      <c r="R419" s="36"/>
      <c r="S419" s="36"/>
      <c r="T419" s="36"/>
    </row>
    <row r="420" spans="1:20" ht="15.75">
      <c r="A420" s="13">
        <v>54301</v>
      </c>
      <c r="B420" s="44">
        <v>31</v>
      </c>
      <c r="C420" s="35">
        <v>194.20500000000001</v>
      </c>
      <c r="D420" s="35">
        <v>267.46600000000001</v>
      </c>
      <c r="E420" s="41">
        <v>812.32899999999995</v>
      </c>
      <c r="F420" s="35">
        <v>1274</v>
      </c>
      <c r="G420" s="35">
        <v>50</v>
      </c>
      <c r="H420" s="43">
        <v>600</v>
      </c>
      <c r="I420" s="35">
        <v>695</v>
      </c>
      <c r="J420" s="35">
        <v>0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6"/>
    </row>
    <row r="421" spans="1:20" ht="15.75">
      <c r="A421" s="13">
        <v>54331</v>
      </c>
      <c r="B421" s="44">
        <v>30</v>
      </c>
      <c r="C421" s="35">
        <v>194.20500000000001</v>
      </c>
      <c r="D421" s="35">
        <v>267.46600000000001</v>
      </c>
      <c r="E421" s="41">
        <v>812.32899999999995</v>
      </c>
      <c r="F421" s="35">
        <v>1274</v>
      </c>
      <c r="G421" s="35">
        <v>50</v>
      </c>
      <c r="H421" s="43">
        <v>600</v>
      </c>
      <c r="I421" s="35">
        <v>695</v>
      </c>
      <c r="J421" s="35">
        <v>0</v>
      </c>
      <c r="K421" s="36"/>
      <c r="L421" s="36"/>
      <c r="M421" s="36"/>
      <c r="N421" s="36"/>
      <c r="O421" s="36"/>
      <c r="P421" s="36"/>
      <c r="Q421" s="36"/>
      <c r="R421" s="36"/>
      <c r="S421" s="36"/>
      <c r="T421" s="36"/>
    </row>
    <row r="422" spans="1:20" ht="15.75">
      <c r="A422" s="13">
        <v>54362</v>
      </c>
      <c r="B422" s="44">
        <v>31</v>
      </c>
      <c r="C422" s="35">
        <v>131.881</v>
      </c>
      <c r="D422" s="35">
        <v>277.16699999999997</v>
      </c>
      <c r="E422" s="41">
        <v>829.952</v>
      </c>
      <c r="F422" s="35">
        <v>1239</v>
      </c>
      <c r="G422" s="35">
        <v>75</v>
      </c>
      <c r="H422" s="43">
        <v>600</v>
      </c>
      <c r="I422" s="35">
        <v>695</v>
      </c>
      <c r="J422" s="35">
        <v>0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</row>
    <row r="423" spans="1:20" ht="15.75">
      <c r="A423" s="13">
        <v>54392</v>
      </c>
      <c r="B423" s="44">
        <v>30</v>
      </c>
      <c r="C423" s="35">
        <v>122.58</v>
      </c>
      <c r="D423" s="35">
        <v>297.94099999999997</v>
      </c>
      <c r="E423" s="41">
        <v>729.47900000000004</v>
      </c>
      <c r="F423" s="35">
        <v>1150</v>
      </c>
      <c r="G423" s="35">
        <v>100</v>
      </c>
      <c r="H423" s="43">
        <v>600</v>
      </c>
      <c r="I423" s="35">
        <v>695</v>
      </c>
      <c r="J423" s="35">
        <v>50</v>
      </c>
      <c r="K423" s="36"/>
      <c r="L423" s="36"/>
      <c r="M423" s="36"/>
      <c r="N423" s="36"/>
      <c r="O423" s="36"/>
      <c r="P423" s="36"/>
      <c r="Q423" s="36"/>
      <c r="R423" s="36"/>
      <c r="S423" s="36"/>
      <c r="T423" s="36"/>
    </row>
    <row r="424" spans="1:20" ht="15.75">
      <c r="A424" s="13">
        <v>54423</v>
      </c>
      <c r="B424" s="44">
        <v>31</v>
      </c>
      <c r="C424" s="35">
        <v>122.58</v>
      </c>
      <c r="D424" s="35">
        <v>297.94099999999997</v>
      </c>
      <c r="E424" s="41">
        <v>729.47900000000004</v>
      </c>
      <c r="F424" s="35">
        <v>1150</v>
      </c>
      <c r="G424" s="35">
        <v>100</v>
      </c>
      <c r="H424" s="43">
        <v>600</v>
      </c>
      <c r="I424" s="35">
        <v>695</v>
      </c>
      <c r="J424" s="35">
        <v>50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6"/>
    </row>
    <row r="425" spans="1:20" ht="15.75">
      <c r="A425" s="13">
        <v>54454</v>
      </c>
      <c r="B425" s="44">
        <v>31</v>
      </c>
      <c r="C425" s="35">
        <v>122.58</v>
      </c>
      <c r="D425" s="35">
        <v>297.94099999999997</v>
      </c>
      <c r="E425" s="41">
        <v>729.47900000000004</v>
      </c>
      <c r="F425" s="35">
        <v>1150</v>
      </c>
      <c r="G425" s="35">
        <v>100</v>
      </c>
      <c r="H425" s="43">
        <v>600</v>
      </c>
      <c r="I425" s="35">
        <v>695</v>
      </c>
      <c r="J425" s="35">
        <v>50</v>
      </c>
      <c r="K425" s="36"/>
      <c r="L425" s="36"/>
      <c r="M425" s="36"/>
      <c r="N425" s="36"/>
      <c r="O425" s="36"/>
      <c r="P425" s="36"/>
      <c r="Q425" s="36"/>
      <c r="R425" s="36"/>
      <c r="S425" s="36"/>
      <c r="T425" s="36"/>
    </row>
    <row r="426" spans="1:20" ht="15.75">
      <c r="A426" s="13">
        <v>54482</v>
      </c>
      <c r="B426" s="44">
        <v>28</v>
      </c>
      <c r="C426" s="35">
        <v>122.58</v>
      </c>
      <c r="D426" s="35">
        <v>297.94099999999997</v>
      </c>
      <c r="E426" s="41">
        <v>729.47900000000004</v>
      </c>
      <c r="F426" s="35">
        <v>1150</v>
      </c>
      <c r="G426" s="35">
        <v>100</v>
      </c>
      <c r="H426" s="43">
        <v>600</v>
      </c>
      <c r="I426" s="35">
        <v>695</v>
      </c>
      <c r="J426" s="35">
        <v>50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6"/>
    </row>
    <row r="427" spans="1:20" ht="15.75">
      <c r="A427" s="13">
        <v>54513</v>
      </c>
      <c r="B427" s="44">
        <v>31</v>
      </c>
      <c r="C427" s="35">
        <v>122.58</v>
      </c>
      <c r="D427" s="35">
        <v>297.94099999999997</v>
      </c>
      <c r="E427" s="41">
        <v>729.47900000000004</v>
      </c>
      <c r="F427" s="35">
        <v>1150</v>
      </c>
      <c r="G427" s="35">
        <v>100</v>
      </c>
      <c r="H427" s="43">
        <v>600</v>
      </c>
      <c r="I427" s="35">
        <v>695</v>
      </c>
      <c r="J427" s="35">
        <v>50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</row>
    <row r="428" spans="1:20" ht="15.75">
      <c r="A428" s="13">
        <v>54543</v>
      </c>
      <c r="B428" s="44">
        <v>30</v>
      </c>
      <c r="C428" s="35">
        <v>141.29300000000001</v>
      </c>
      <c r="D428" s="35">
        <v>267.99299999999999</v>
      </c>
      <c r="E428" s="41">
        <v>829.71400000000006</v>
      </c>
      <c r="F428" s="35">
        <v>1239</v>
      </c>
      <c r="G428" s="35">
        <v>100</v>
      </c>
      <c r="H428" s="43">
        <v>600</v>
      </c>
      <c r="I428" s="35">
        <v>695</v>
      </c>
      <c r="J428" s="35">
        <v>50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</row>
    <row r="429" spans="1:20" ht="15.75">
      <c r="A429" s="13">
        <v>54574</v>
      </c>
      <c r="B429" s="44">
        <v>31</v>
      </c>
      <c r="C429" s="35">
        <v>194.20500000000001</v>
      </c>
      <c r="D429" s="35">
        <v>267.46600000000001</v>
      </c>
      <c r="E429" s="41">
        <v>812.32899999999995</v>
      </c>
      <c r="F429" s="35">
        <v>1274</v>
      </c>
      <c r="G429" s="35">
        <v>75</v>
      </c>
      <c r="H429" s="43">
        <v>600</v>
      </c>
      <c r="I429" s="35">
        <v>695</v>
      </c>
      <c r="J429" s="35">
        <v>50</v>
      </c>
      <c r="K429" s="36"/>
      <c r="L429" s="36"/>
      <c r="M429" s="36"/>
      <c r="N429" s="36"/>
      <c r="O429" s="36"/>
      <c r="P429" s="36"/>
      <c r="Q429" s="36"/>
      <c r="R429" s="36"/>
      <c r="S429" s="36"/>
      <c r="T429" s="36"/>
    </row>
    <row r="430" spans="1:20" ht="15.75">
      <c r="A430" s="13">
        <v>54604</v>
      </c>
      <c r="B430" s="44">
        <v>30</v>
      </c>
      <c r="C430" s="35">
        <v>194.20500000000001</v>
      </c>
      <c r="D430" s="35">
        <v>267.46600000000001</v>
      </c>
      <c r="E430" s="41">
        <v>812.32899999999995</v>
      </c>
      <c r="F430" s="35">
        <v>1274</v>
      </c>
      <c r="G430" s="35">
        <v>50</v>
      </c>
      <c r="H430" s="43">
        <v>600</v>
      </c>
      <c r="I430" s="35">
        <v>695</v>
      </c>
      <c r="J430" s="35">
        <v>50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6"/>
    </row>
    <row r="431" spans="1:20" ht="15.75">
      <c r="A431" s="13">
        <v>54635</v>
      </c>
      <c r="B431" s="44">
        <v>31</v>
      </c>
      <c r="C431" s="35">
        <v>194.20500000000001</v>
      </c>
      <c r="D431" s="35">
        <v>267.46600000000001</v>
      </c>
      <c r="E431" s="41">
        <v>812.32899999999995</v>
      </c>
      <c r="F431" s="35">
        <v>1274</v>
      </c>
      <c r="G431" s="35">
        <v>50</v>
      </c>
      <c r="H431" s="43">
        <v>600</v>
      </c>
      <c r="I431" s="35">
        <v>695</v>
      </c>
      <c r="J431" s="35">
        <v>0</v>
      </c>
      <c r="K431" s="36"/>
      <c r="L431" s="36"/>
      <c r="M431" s="36"/>
      <c r="N431" s="36"/>
      <c r="O431" s="36"/>
      <c r="P431" s="36"/>
      <c r="Q431" s="36"/>
      <c r="R431" s="36"/>
      <c r="S431" s="36"/>
      <c r="T431" s="36"/>
    </row>
    <row r="432" spans="1:20" ht="15.75">
      <c r="A432" s="13">
        <v>54666</v>
      </c>
      <c r="B432" s="44">
        <v>31</v>
      </c>
      <c r="C432" s="35">
        <v>194.20500000000001</v>
      </c>
      <c r="D432" s="35">
        <v>267.46600000000001</v>
      </c>
      <c r="E432" s="41">
        <v>812.32899999999995</v>
      </c>
      <c r="F432" s="35">
        <v>1274</v>
      </c>
      <c r="G432" s="35">
        <v>50</v>
      </c>
      <c r="H432" s="43">
        <v>600</v>
      </c>
      <c r="I432" s="35">
        <v>695</v>
      </c>
      <c r="J432" s="35">
        <v>0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6"/>
    </row>
    <row r="433" spans="1:20" ht="15.75">
      <c r="A433" s="13">
        <v>54696</v>
      </c>
      <c r="B433" s="44">
        <v>30</v>
      </c>
      <c r="C433" s="35">
        <v>194.20500000000001</v>
      </c>
      <c r="D433" s="35">
        <v>267.46600000000001</v>
      </c>
      <c r="E433" s="41">
        <v>812.32899999999995</v>
      </c>
      <c r="F433" s="35">
        <v>1274</v>
      </c>
      <c r="G433" s="35">
        <v>50</v>
      </c>
      <c r="H433" s="43">
        <v>600</v>
      </c>
      <c r="I433" s="35">
        <v>695</v>
      </c>
      <c r="J433" s="35">
        <v>0</v>
      </c>
      <c r="K433" s="36"/>
      <c r="L433" s="36"/>
      <c r="M433" s="36"/>
      <c r="N433" s="36"/>
      <c r="O433" s="36"/>
      <c r="P433" s="36"/>
      <c r="Q433" s="36"/>
      <c r="R433" s="36"/>
      <c r="S433" s="36"/>
      <c r="T433" s="36"/>
    </row>
    <row r="434" spans="1:20" ht="15.75">
      <c r="A434" s="13">
        <v>54727</v>
      </c>
      <c r="B434" s="44">
        <v>31</v>
      </c>
      <c r="C434" s="35">
        <v>131.881</v>
      </c>
      <c r="D434" s="35">
        <v>277.16699999999997</v>
      </c>
      <c r="E434" s="41">
        <v>829.952</v>
      </c>
      <c r="F434" s="35">
        <v>1239</v>
      </c>
      <c r="G434" s="35">
        <v>75</v>
      </c>
      <c r="H434" s="43">
        <v>600</v>
      </c>
      <c r="I434" s="35">
        <v>695</v>
      </c>
      <c r="J434" s="35">
        <v>0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6"/>
    </row>
    <row r="435" spans="1:20" ht="15.75">
      <c r="A435" s="13">
        <v>54757</v>
      </c>
      <c r="B435" s="44">
        <v>30</v>
      </c>
      <c r="C435" s="35">
        <v>122.58</v>
      </c>
      <c r="D435" s="35">
        <v>297.94099999999997</v>
      </c>
      <c r="E435" s="41">
        <v>729.47900000000004</v>
      </c>
      <c r="F435" s="35">
        <v>1150</v>
      </c>
      <c r="G435" s="35">
        <v>100</v>
      </c>
      <c r="H435" s="43">
        <v>600</v>
      </c>
      <c r="I435" s="35">
        <v>695</v>
      </c>
      <c r="J435" s="35">
        <v>50</v>
      </c>
      <c r="K435" s="36"/>
      <c r="L435" s="36"/>
      <c r="M435" s="36"/>
      <c r="N435" s="36"/>
      <c r="O435" s="36"/>
      <c r="P435" s="36"/>
      <c r="Q435" s="36"/>
      <c r="R435" s="36"/>
      <c r="S435" s="36"/>
      <c r="T435" s="36"/>
    </row>
    <row r="436" spans="1:20" ht="15.75">
      <c r="A436" s="13">
        <v>54788</v>
      </c>
      <c r="B436" s="44">
        <v>31</v>
      </c>
      <c r="C436" s="35">
        <v>122.58</v>
      </c>
      <c r="D436" s="35">
        <v>297.94099999999997</v>
      </c>
      <c r="E436" s="41">
        <v>729.47900000000004</v>
      </c>
      <c r="F436" s="35">
        <v>1150</v>
      </c>
      <c r="G436" s="35">
        <v>100</v>
      </c>
      <c r="H436" s="43">
        <v>600</v>
      </c>
      <c r="I436" s="35">
        <v>695</v>
      </c>
      <c r="J436" s="35">
        <v>50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6"/>
    </row>
    <row r="437" spans="1:20" ht="15.75">
      <c r="A437" s="13">
        <v>54819</v>
      </c>
      <c r="B437" s="44">
        <v>31</v>
      </c>
      <c r="C437" s="35">
        <v>122.58</v>
      </c>
      <c r="D437" s="35">
        <v>297.94099999999997</v>
      </c>
      <c r="E437" s="41">
        <v>729.47900000000004</v>
      </c>
      <c r="F437" s="35">
        <v>1150</v>
      </c>
      <c r="G437" s="35">
        <v>100</v>
      </c>
      <c r="H437" s="43">
        <v>600</v>
      </c>
      <c r="I437" s="35">
        <v>695</v>
      </c>
      <c r="J437" s="35">
        <v>50</v>
      </c>
      <c r="K437" s="36"/>
      <c r="L437" s="36"/>
      <c r="M437" s="36"/>
      <c r="N437" s="36"/>
      <c r="O437" s="36"/>
      <c r="P437" s="36"/>
      <c r="Q437" s="36"/>
      <c r="R437" s="36"/>
      <c r="S437" s="36"/>
      <c r="T437" s="36"/>
    </row>
    <row r="438" spans="1:20" ht="15.75">
      <c r="A438" s="13">
        <v>54847</v>
      </c>
      <c r="B438" s="44">
        <v>28</v>
      </c>
      <c r="C438" s="35">
        <v>122.58</v>
      </c>
      <c r="D438" s="35">
        <v>297.94099999999997</v>
      </c>
      <c r="E438" s="41">
        <v>729.47900000000004</v>
      </c>
      <c r="F438" s="35">
        <v>1150</v>
      </c>
      <c r="G438" s="35">
        <v>100</v>
      </c>
      <c r="H438" s="43">
        <v>600</v>
      </c>
      <c r="I438" s="35">
        <v>695</v>
      </c>
      <c r="J438" s="35">
        <v>50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6"/>
    </row>
    <row r="439" spans="1:20" ht="15.75">
      <c r="A439" s="13">
        <v>54878</v>
      </c>
      <c r="B439" s="44">
        <v>31</v>
      </c>
      <c r="C439" s="35">
        <v>122.58</v>
      </c>
      <c r="D439" s="35">
        <v>297.94099999999997</v>
      </c>
      <c r="E439" s="41">
        <v>729.47900000000004</v>
      </c>
      <c r="F439" s="35">
        <v>1150</v>
      </c>
      <c r="G439" s="35">
        <v>100</v>
      </c>
      <c r="H439" s="43">
        <v>600</v>
      </c>
      <c r="I439" s="35">
        <v>695</v>
      </c>
      <c r="J439" s="35">
        <v>50</v>
      </c>
      <c r="K439" s="36"/>
      <c r="L439" s="36"/>
      <c r="M439" s="36"/>
      <c r="N439" s="36"/>
      <c r="O439" s="36"/>
      <c r="P439" s="36"/>
      <c r="Q439" s="36"/>
      <c r="R439" s="36"/>
      <c r="S439" s="36"/>
      <c r="T439" s="36"/>
    </row>
    <row r="440" spans="1:20" ht="15.75">
      <c r="A440" s="13">
        <v>54908</v>
      </c>
      <c r="B440" s="44">
        <v>30</v>
      </c>
      <c r="C440" s="35">
        <v>141.29300000000001</v>
      </c>
      <c r="D440" s="35">
        <v>267.99299999999999</v>
      </c>
      <c r="E440" s="41">
        <v>829.71400000000006</v>
      </c>
      <c r="F440" s="35">
        <v>1239</v>
      </c>
      <c r="G440" s="35">
        <v>100</v>
      </c>
      <c r="H440" s="43">
        <v>600</v>
      </c>
      <c r="I440" s="35">
        <v>695</v>
      </c>
      <c r="J440" s="35">
        <v>50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6"/>
    </row>
    <row r="441" spans="1:20" ht="15.75">
      <c r="A441" s="13">
        <v>54939</v>
      </c>
      <c r="B441" s="44">
        <v>31</v>
      </c>
      <c r="C441" s="35">
        <v>194.20500000000001</v>
      </c>
      <c r="D441" s="35">
        <v>267.46600000000001</v>
      </c>
      <c r="E441" s="41">
        <v>812.32899999999995</v>
      </c>
      <c r="F441" s="35">
        <v>1274</v>
      </c>
      <c r="G441" s="35">
        <v>75</v>
      </c>
      <c r="H441" s="43">
        <v>600</v>
      </c>
      <c r="I441" s="35">
        <v>695</v>
      </c>
      <c r="J441" s="35">
        <v>50</v>
      </c>
      <c r="K441" s="36"/>
      <c r="L441" s="36"/>
      <c r="M441" s="36"/>
      <c r="N441" s="36"/>
      <c r="O441" s="36"/>
      <c r="P441" s="36"/>
      <c r="Q441" s="36"/>
      <c r="R441" s="36"/>
      <c r="S441" s="36"/>
      <c r="T441" s="36"/>
    </row>
    <row r="442" spans="1:20" ht="15.75">
      <c r="A442" s="13">
        <v>54969</v>
      </c>
      <c r="B442" s="44">
        <v>30</v>
      </c>
      <c r="C442" s="35">
        <v>194.20500000000001</v>
      </c>
      <c r="D442" s="35">
        <v>267.46600000000001</v>
      </c>
      <c r="E442" s="41">
        <v>812.32899999999995</v>
      </c>
      <c r="F442" s="35">
        <v>1274</v>
      </c>
      <c r="G442" s="35">
        <v>50</v>
      </c>
      <c r="H442" s="43">
        <v>600</v>
      </c>
      <c r="I442" s="35">
        <v>695</v>
      </c>
      <c r="J442" s="35">
        <v>50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6"/>
    </row>
    <row r="443" spans="1:20" ht="15.75">
      <c r="A443" s="13">
        <v>55000</v>
      </c>
      <c r="B443" s="44">
        <v>31</v>
      </c>
      <c r="C443" s="35">
        <v>194.20500000000001</v>
      </c>
      <c r="D443" s="35">
        <v>267.46600000000001</v>
      </c>
      <c r="E443" s="41">
        <v>812.32899999999995</v>
      </c>
      <c r="F443" s="35">
        <v>1274</v>
      </c>
      <c r="G443" s="35">
        <v>50</v>
      </c>
      <c r="H443" s="43">
        <v>600</v>
      </c>
      <c r="I443" s="35">
        <v>695</v>
      </c>
      <c r="J443" s="35">
        <v>0</v>
      </c>
      <c r="K443" s="36"/>
      <c r="L443" s="36"/>
      <c r="M443" s="36"/>
      <c r="N443" s="36"/>
      <c r="O443" s="36"/>
      <c r="P443" s="36"/>
      <c r="Q443" s="36"/>
      <c r="R443" s="36"/>
      <c r="S443" s="36"/>
      <c r="T443" s="36"/>
    </row>
    <row r="444" spans="1:20" ht="15.75">
      <c r="A444" s="13">
        <v>55031</v>
      </c>
      <c r="B444" s="44">
        <v>31</v>
      </c>
      <c r="C444" s="35">
        <v>194.20500000000001</v>
      </c>
      <c r="D444" s="35">
        <v>267.46600000000001</v>
      </c>
      <c r="E444" s="41">
        <v>812.32899999999995</v>
      </c>
      <c r="F444" s="35">
        <v>1274</v>
      </c>
      <c r="G444" s="35">
        <v>50</v>
      </c>
      <c r="H444" s="43">
        <v>600</v>
      </c>
      <c r="I444" s="35">
        <v>695</v>
      </c>
      <c r="J444" s="35">
        <v>0</v>
      </c>
      <c r="K444" s="36"/>
      <c r="L444" s="36"/>
      <c r="M444" s="36"/>
      <c r="N444" s="36"/>
      <c r="O444" s="36"/>
      <c r="P444" s="36"/>
      <c r="Q444" s="36"/>
      <c r="R444" s="36"/>
      <c r="S444" s="36"/>
      <c r="T444" s="36"/>
    </row>
    <row r="445" spans="1:20" ht="15.75">
      <c r="A445" s="13">
        <v>55061</v>
      </c>
      <c r="B445" s="44">
        <v>30</v>
      </c>
      <c r="C445" s="35">
        <v>194.20500000000001</v>
      </c>
      <c r="D445" s="35">
        <v>267.46600000000001</v>
      </c>
      <c r="E445" s="41">
        <v>812.32899999999995</v>
      </c>
      <c r="F445" s="35">
        <v>1274</v>
      </c>
      <c r="G445" s="35">
        <v>50</v>
      </c>
      <c r="H445" s="43">
        <v>600</v>
      </c>
      <c r="I445" s="35">
        <v>695</v>
      </c>
      <c r="J445" s="35">
        <v>0</v>
      </c>
      <c r="K445" s="36"/>
      <c r="L445" s="36"/>
      <c r="M445" s="36"/>
      <c r="N445" s="36"/>
      <c r="O445" s="36"/>
      <c r="P445" s="36"/>
      <c r="Q445" s="36"/>
      <c r="R445" s="36"/>
      <c r="S445" s="36"/>
      <c r="T445" s="36"/>
    </row>
    <row r="446" spans="1:20" ht="15.75">
      <c r="A446" s="13">
        <v>55092</v>
      </c>
      <c r="B446" s="44">
        <v>31</v>
      </c>
      <c r="C446" s="35">
        <v>131.881</v>
      </c>
      <c r="D446" s="35">
        <v>277.16699999999997</v>
      </c>
      <c r="E446" s="41">
        <v>829.952</v>
      </c>
      <c r="F446" s="35">
        <v>1239</v>
      </c>
      <c r="G446" s="35">
        <v>75</v>
      </c>
      <c r="H446" s="43">
        <v>600</v>
      </c>
      <c r="I446" s="35">
        <v>695</v>
      </c>
      <c r="J446" s="35">
        <v>0</v>
      </c>
      <c r="K446" s="36"/>
      <c r="L446" s="36"/>
      <c r="M446" s="36"/>
      <c r="N446" s="36"/>
      <c r="O446" s="36"/>
      <c r="P446" s="36"/>
      <c r="Q446" s="36"/>
      <c r="R446" s="36"/>
      <c r="S446" s="36"/>
      <c r="T446" s="36"/>
    </row>
    <row r="447" spans="1:20" ht="15.75">
      <c r="A447" s="13">
        <v>55122</v>
      </c>
      <c r="B447" s="44">
        <v>30</v>
      </c>
      <c r="C447" s="35">
        <v>122.58</v>
      </c>
      <c r="D447" s="35">
        <v>297.94099999999997</v>
      </c>
      <c r="E447" s="41">
        <v>729.47900000000004</v>
      </c>
      <c r="F447" s="35">
        <v>1150</v>
      </c>
      <c r="G447" s="35">
        <v>100</v>
      </c>
      <c r="H447" s="43">
        <v>600</v>
      </c>
      <c r="I447" s="35">
        <v>695</v>
      </c>
      <c r="J447" s="35">
        <v>50</v>
      </c>
      <c r="K447" s="36"/>
      <c r="L447" s="36"/>
      <c r="M447" s="36"/>
      <c r="N447" s="36"/>
      <c r="O447" s="36"/>
      <c r="P447" s="36"/>
      <c r="Q447" s="36"/>
      <c r="R447" s="36"/>
      <c r="S447" s="36"/>
      <c r="T447" s="36"/>
    </row>
    <row r="448" spans="1:20" ht="15.75">
      <c r="A448" s="13">
        <v>55153</v>
      </c>
      <c r="B448" s="44">
        <v>31</v>
      </c>
      <c r="C448" s="35">
        <v>122.58</v>
      </c>
      <c r="D448" s="35">
        <v>297.94099999999997</v>
      </c>
      <c r="E448" s="41">
        <v>729.47900000000004</v>
      </c>
      <c r="F448" s="35">
        <v>1150</v>
      </c>
      <c r="G448" s="35">
        <v>100</v>
      </c>
      <c r="H448" s="43">
        <v>600</v>
      </c>
      <c r="I448" s="35">
        <v>695</v>
      </c>
      <c r="J448" s="35">
        <v>50</v>
      </c>
      <c r="K448" s="36"/>
      <c r="L448" s="36"/>
      <c r="M448" s="36"/>
      <c r="N448" s="36"/>
      <c r="O448" s="36"/>
      <c r="P448" s="36"/>
      <c r="Q448" s="36"/>
      <c r="R448" s="36"/>
      <c r="S448" s="36"/>
      <c r="T448" s="36"/>
    </row>
    <row r="449" spans="1:20" ht="15.75">
      <c r="A449" s="13">
        <v>55184</v>
      </c>
      <c r="B449" s="44">
        <v>31</v>
      </c>
      <c r="C449" s="35">
        <v>122.58</v>
      </c>
      <c r="D449" s="35">
        <v>297.94099999999997</v>
      </c>
      <c r="E449" s="41">
        <v>729.47900000000004</v>
      </c>
      <c r="F449" s="35">
        <v>1150</v>
      </c>
      <c r="G449" s="35">
        <v>100</v>
      </c>
      <c r="H449" s="43">
        <v>600</v>
      </c>
      <c r="I449" s="35">
        <v>695</v>
      </c>
      <c r="J449" s="35">
        <v>50</v>
      </c>
      <c r="K449" s="36"/>
      <c r="L449" s="36"/>
      <c r="M449" s="36"/>
      <c r="N449" s="36"/>
      <c r="O449" s="36"/>
      <c r="P449" s="36"/>
      <c r="Q449" s="36"/>
      <c r="R449" s="36"/>
      <c r="S449" s="36"/>
      <c r="T449" s="36"/>
    </row>
    <row r="450" spans="1:20" ht="15.75">
      <c r="A450" s="13">
        <v>55212</v>
      </c>
      <c r="B450" s="44">
        <v>28</v>
      </c>
      <c r="C450" s="35">
        <v>122.58</v>
      </c>
      <c r="D450" s="35">
        <v>297.94099999999997</v>
      </c>
      <c r="E450" s="41">
        <v>729.47900000000004</v>
      </c>
      <c r="F450" s="35">
        <v>1150</v>
      </c>
      <c r="G450" s="35">
        <v>100</v>
      </c>
      <c r="H450" s="43">
        <v>600</v>
      </c>
      <c r="I450" s="35">
        <v>695</v>
      </c>
      <c r="J450" s="35">
        <v>50</v>
      </c>
      <c r="K450" s="36"/>
      <c r="L450" s="36"/>
      <c r="M450" s="36"/>
      <c r="N450" s="36"/>
      <c r="O450" s="36"/>
      <c r="P450" s="36"/>
      <c r="Q450" s="36"/>
      <c r="R450" s="36"/>
      <c r="S450" s="36"/>
      <c r="T450" s="36"/>
    </row>
    <row r="451" spans="1:20" ht="15.75">
      <c r="A451" s="13">
        <v>55243</v>
      </c>
      <c r="B451" s="44">
        <v>31</v>
      </c>
      <c r="C451" s="35">
        <v>122.58</v>
      </c>
      <c r="D451" s="35">
        <v>297.94099999999997</v>
      </c>
      <c r="E451" s="41">
        <v>729.47900000000004</v>
      </c>
      <c r="F451" s="35">
        <v>1150</v>
      </c>
      <c r="G451" s="35">
        <v>100</v>
      </c>
      <c r="H451" s="43">
        <v>600</v>
      </c>
      <c r="I451" s="35">
        <v>695</v>
      </c>
      <c r="J451" s="35">
        <v>50</v>
      </c>
      <c r="K451" s="36"/>
      <c r="L451" s="36"/>
      <c r="M451" s="36"/>
      <c r="N451" s="36"/>
      <c r="O451" s="36"/>
      <c r="P451" s="36"/>
      <c r="Q451" s="36"/>
      <c r="R451" s="36"/>
      <c r="S451" s="36"/>
      <c r="T451" s="36"/>
    </row>
    <row r="452" spans="1:20" ht="15.75">
      <c r="A452" s="13">
        <v>55273</v>
      </c>
      <c r="B452" s="44">
        <v>30</v>
      </c>
      <c r="C452" s="35">
        <v>141.29300000000001</v>
      </c>
      <c r="D452" s="35">
        <v>267.99299999999999</v>
      </c>
      <c r="E452" s="41">
        <v>829.71400000000006</v>
      </c>
      <c r="F452" s="35">
        <v>1239</v>
      </c>
      <c r="G452" s="35">
        <v>100</v>
      </c>
      <c r="H452" s="43">
        <v>600</v>
      </c>
      <c r="I452" s="35">
        <v>695</v>
      </c>
      <c r="J452" s="35">
        <v>50</v>
      </c>
      <c r="K452" s="36"/>
      <c r="L452" s="36"/>
      <c r="M452" s="36"/>
      <c r="N452" s="36"/>
      <c r="O452" s="36"/>
      <c r="P452" s="36"/>
      <c r="Q452" s="36"/>
      <c r="R452" s="36"/>
      <c r="S452" s="36"/>
      <c r="T452" s="36"/>
    </row>
    <row r="453" spans="1:20" ht="15.75">
      <c r="A453" s="13">
        <v>55304</v>
      </c>
      <c r="B453" s="44">
        <v>31</v>
      </c>
      <c r="C453" s="35">
        <v>194.20500000000001</v>
      </c>
      <c r="D453" s="35">
        <v>267.46600000000001</v>
      </c>
      <c r="E453" s="41">
        <v>812.32899999999995</v>
      </c>
      <c r="F453" s="35">
        <v>1274</v>
      </c>
      <c r="G453" s="35">
        <v>75</v>
      </c>
      <c r="H453" s="43">
        <v>600</v>
      </c>
      <c r="I453" s="35">
        <v>695</v>
      </c>
      <c r="J453" s="35">
        <v>50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</row>
    <row r="454" spans="1:20" ht="15.75">
      <c r="A454" s="13">
        <v>55334</v>
      </c>
      <c r="B454" s="44">
        <v>30</v>
      </c>
      <c r="C454" s="35">
        <v>194.20500000000001</v>
      </c>
      <c r="D454" s="35">
        <v>267.46600000000001</v>
      </c>
      <c r="E454" s="41">
        <v>812.32899999999995</v>
      </c>
      <c r="F454" s="35">
        <v>1274</v>
      </c>
      <c r="G454" s="35">
        <v>50</v>
      </c>
      <c r="H454" s="43">
        <v>600</v>
      </c>
      <c r="I454" s="35">
        <v>695</v>
      </c>
      <c r="J454" s="35">
        <v>50</v>
      </c>
      <c r="K454" s="36"/>
      <c r="L454" s="36"/>
      <c r="M454" s="36"/>
      <c r="N454" s="36"/>
      <c r="O454" s="36"/>
      <c r="P454" s="36"/>
      <c r="Q454" s="36"/>
      <c r="R454" s="36"/>
      <c r="S454" s="36"/>
      <c r="T454" s="36"/>
    </row>
    <row r="455" spans="1:20" ht="15.75">
      <c r="A455" s="13">
        <v>55365</v>
      </c>
      <c r="B455" s="44">
        <v>31</v>
      </c>
      <c r="C455" s="35">
        <v>194.20500000000001</v>
      </c>
      <c r="D455" s="35">
        <v>267.46600000000001</v>
      </c>
      <c r="E455" s="41">
        <v>812.32899999999995</v>
      </c>
      <c r="F455" s="35">
        <v>1274</v>
      </c>
      <c r="G455" s="35">
        <v>50</v>
      </c>
      <c r="H455" s="43">
        <v>600</v>
      </c>
      <c r="I455" s="35">
        <v>695</v>
      </c>
      <c r="J455" s="35">
        <v>0</v>
      </c>
      <c r="K455" s="36"/>
      <c r="L455" s="36"/>
      <c r="M455" s="36"/>
      <c r="N455" s="36"/>
      <c r="O455" s="36"/>
      <c r="P455" s="36"/>
      <c r="Q455" s="36"/>
      <c r="R455" s="36"/>
      <c r="S455" s="36"/>
      <c r="T455" s="36"/>
    </row>
    <row r="456" spans="1:20" ht="15.75">
      <c r="A456" s="13">
        <v>55396</v>
      </c>
      <c r="B456" s="44">
        <v>31</v>
      </c>
      <c r="C456" s="35">
        <v>194.20500000000001</v>
      </c>
      <c r="D456" s="35">
        <v>267.46600000000001</v>
      </c>
      <c r="E456" s="41">
        <v>812.32899999999995</v>
      </c>
      <c r="F456" s="35">
        <v>1274</v>
      </c>
      <c r="G456" s="35">
        <v>50</v>
      </c>
      <c r="H456" s="43">
        <v>600</v>
      </c>
      <c r="I456" s="35">
        <v>695</v>
      </c>
      <c r="J456" s="35">
        <v>0</v>
      </c>
      <c r="K456" s="36"/>
      <c r="L456" s="36"/>
      <c r="M456" s="36"/>
      <c r="N456" s="36"/>
      <c r="O456" s="36"/>
      <c r="P456" s="36"/>
      <c r="Q456" s="36"/>
      <c r="R456" s="36"/>
      <c r="S456" s="36"/>
      <c r="T456" s="36"/>
    </row>
    <row r="457" spans="1:20" ht="15.75">
      <c r="A457" s="13">
        <v>55426</v>
      </c>
      <c r="B457" s="44">
        <v>30</v>
      </c>
      <c r="C457" s="35">
        <v>194.20500000000001</v>
      </c>
      <c r="D457" s="35">
        <v>267.46600000000001</v>
      </c>
      <c r="E457" s="41">
        <v>812.32899999999995</v>
      </c>
      <c r="F457" s="35">
        <v>1274</v>
      </c>
      <c r="G457" s="35">
        <v>50</v>
      </c>
      <c r="H457" s="43">
        <v>600</v>
      </c>
      <c r="I457" s="35">
        <v>695</v>
      </c>
      <c r="J457" s="35">
        <v>0</v>
      </c>
      <c r="K457" s="36"/>
      <c r="L457" s="36"/>
      <c r="M457" s="36"/>
      <c r="N457" s="36"/>
      <c r="O457" s="36"/>
      <c r="P457" s="36"/>
      <c r="Q457" s="36"/>
      <c r="R457" s="36"/>
      <c r="S457" s="36"/>
      <c r="T457" s="36"/>
    </row>
    <row r="458" spans="1:20" ht="15.75">
      <c r="A458" s="13">
        <v>55457</v>
      </c>
      <c r="B458" s="44">
        <v>31</v>
      </c>
      <c r="C458" s="35">
        <v>131.881</v>
      </c>
      <c r="D458" s="35">
        <v>277.16699999999997</v>
      </c>
      <c r="E458" s="41">
        <v>829.952</v>
      </c>
      <c r="F458" s="35">
        <v>1239</v>
      </c>
      <c r="G458" s="35">
        <v>75</v>
      </c>
      <c r="H458" s="43">
        <v>600</v>
      </c>
      <c r="I458" s="35">
        <v>695</v>
      </c>
      <c r="J458" s="35">
        <v>0</v>
      </c>
      <c r="K458" s="36"/>
      <c r="L458" s="36"/>
      <c r="M458" s="36"/>
      <c r="N458" s="36"/>
      <c r="O458" s="36"/>
      <c r="P458" s="36"/>
      <c r="Q458" s="36"/>
      <c r="R458" s="36"/>
      <c r="S458" s="36"/>
      <c r="T458" s="36"/>
    </row>
    <row r="459" spans="1:20" ht="15.75">
      <c r="A459" s="13">
        <v>55487</v>
      </c>
      <c r="B459" s="44">
        <v>30</v>
      </c>
      <c r="C459" s="35">
        <v>122.58</v>
      </c>
      <c r="D459" s="35">
        <v>297.94099999999997</v>
      </c>
      <c r="E459" s="41">
        <v>729.47900000000004</v>
      </c>
      <c r="F459" s="35">
        <v>1150</v>
      </c>
      <c r="G459" s="35">
        <v>100</v>
      </c>
      <c r="H459" s="43">
        <v>600</v>
      </c>
      <c r="I459" s="35">
        <v>695</v>
      </c>
      <c r="J459" s="35">
        <v>50</v>
      </c>
      <c r="K459" s="36"/>
      <c r="L459" s="36"/>
      <c r="M459" s="36"/>
      <c r="N459" s="36"/>
      <c r="O459" s="36"/>
      <c r="P459" s="36"/>
      <c r="Q459" s="36"/>
      <c r="R459" s="36"/>
      <c r="S459" s="36"/>
      <c r="T459" s="36"/>
    </row>
    <row r="460" spans="1:20" ht="15.75">
      <c r="A460" s="13">
        <v>55518</v>
      </c>
      <c r="B460" s="44">
        <v>31</v>
      </c>
      <c r="C460" s="35">
        <v>122.58</v>
      </c>
      <c r="D460" s="35">
        <v>297.94099999999997</v>
      </c>
      <c r="E460" s="41">
        <v>729.47900000000004</v>
      </c>
      <c r="F460" s="35">
        <v>1150</v>
      </c>
      <c r="G460" s="35">
        <v>100</v>
      </c>
      <c r="H460" s="43">
        <v>600</v>
      </c>
      <c r="I460" s="35">
        <v>695</v>
      </c>
      <c r="J460" s="35">
        <v>50</v>
      </c>
      <c r="K460" s="36"/>
      <c r="L460" s="36"/>
      <c r="M460" s="36"/>
      <c r="N460" s="36"/>
      <c r="O460" s="36"/>
      <c r="P460" s="36"/>
      <c r="Q460" s="36"/>
      <c r="R460" s="36"/>
      <c r="S460" s="36"/>
      <c r="T460" s="36"/>
    </row>
    <row r="461" spans="1:20" ht="15.75">
      <c r="A461" s="13">
        <v>55549</v>
      </c>
      <c r="B461" s="44">
        <v>31</v>
      </c>
      <c r="C461" s="35">
        <v>122.58</v>
      </c>
      <c r="D461" s="35">
        <v>297.94099999999997</v>
      </c>
      <c r="E461" s="41">
        <v>729.47900000000004</v>
      </c>
      <c r="F461" s="35">
        <v>1150</v>
      </c>
      <c r="G461" s="35">
        <v>100</v>
      </c>
      <c r="H461" s="43">
        <v>600</v>
      </c>
      <c r="I461" s="35">
        <v>695</v>
      </c>
      <c r="J461" s="35">
        <v>50</v>
      </c>
      <c r="K461" s="36"/>
      <c r="L461" s="36"/>
      <c r="M461" s="36"/>
      <c r="N461" s="36"/>
      <c r="O461" s="36"/>
      <c r="P461" s="36"/>
      <c r="Q461" s="36"/>
      <c r="R461" s="36"/>
      <c r="S461" s="36"/>
      <c r="T461" s="36"/>
    </row>
    <row r="462" spans="1:20" ht="15.75">
      <c r="A462" s="13">
        <v>55577</v>
      </c>
      <c r="B462" s="44">
        <v>29</v>
      </c>
      <c r="C462" s="35">
        <v>122.58</v>
      </c>
      <c r="D462" s="35">
        <v>297.94099999999997</v>
      </c>
      <c r="E462" s="41">
        <v>729.47900000000004</v>
      </c>
      <c r="F462" s="35">
        <v>1150</v>
      </c>
      <c r="G462" s="35">
        <v>100</v>
      </c>
      <c r="H462" s="43">
        <v>600</v>
      </c>
      <c r="I462" s="35">
        <v>695</v>
      </c>
      <c r="J462" s="35">
        <v>50</v>
      </c>
      <c r="K462" s="36"/>
      <c r="L462" s="36"/>
      <c r="M462" s="36"/>
      <c r="N462" s="36"/>
      <c r="O462" s="36"/>
      <c r="P462" s="36"/>
      <c r="Q462" s="36"/>
      <c r="R462" s="36"/>
      <c r="S462" s="36"/>
      <c r="T462" s="36"/>
    </row>
    <row r="463" spans="1:20" ht="15.75">
      <c r="A463" s="13">
        <v>55609</v>
      </c>
      <c r="B463" s="44">
        <v>31</v>
      </c>
      <c r="C463" s="35">
        <v>122.58</v>
      </c>
      <c r="D463" s="35">
        <v>297.94099999999997</v>
      </c>
      <c r="E463" s="41">
        <v>729.47900000000004</v>
      </c>
      <c r="F463" s="35">
        <v>1150</v>
      </c>
      <c r="G463" s="35">
        <v>100</v>
      </c>
      <c r="H463" s="43">
        <v>600</v>
      </c>
      <c r="I463" s="35">
        <v>695</v>
      </c>
      <c r="J463" s="35">
        <v>50</v>
      </c>
      <c r="K463" s="36"/>
      <c r="L463" s="36"/>
      <c r="M463" s="36"/>
      <c r="N463" s="36"/>
      <c r="O463" s="36"/>
      <c r="P463" s="36"/>
      <c r="Q463" s="36"/>
      <c r="R463" s="36"/>
      <c r="S463" s="36"/>
      <c r="T463" s="36"/>
    </row>
    <row r="464" spans="1:20" ht="15.75">
      <c r="A464" s="13">
        <v>55639</v>
      </c>
      <c r="B464" s="44">
        <v>30</v>
      </c>
      <c r="C464" s="35">
        <v>141.29300000000001</v>
      </c>
      <c r="D464" s="35">
        <v>267.99299999999999</v>
      </c>
      <c r="E464" s="41">
        <v>829.71400000000006</v>
      </c>
      <c r="F464" s="35">
        <v>1239</v>
      </c>
      <c r="G464" s="35">
        <v>100</v>
      </c>
      <c r="H464" s="43">
        <v>600</v>
      </c>
      <c r="I464" s="35">
        <v>695</v>
      </c>
      <c r="J464" s="35">
        <v>50</v>
      </c>
      <c r="K464" s="36"/>
      <c r="L464" s="36"/>
      <c r="M464" s="36"/>
      <c r="N464" s="36"/>
      <c r="O464" s="36"/>
      <c r="P464" s="36"/>
      <c r="Q464" s="36"/>
      <c r="R464" s="36"/>
      <c r="S464" s="36"/>
      <c r="T464" s="36"/>
    </row>
    <row r="465" spans="1:20" ht="15.75">
      <c r="A465" s="13">
        <v>55670</v>
      </c>
      <c r="B465" s="44">
        <v>31</v>
      </c>
      <c r="C465" s="35">
        <v>194.20500000000001</v>
      </c>
      <c r="D465" s="35">
        <v>267.46600000000001</v>
      </c>
      <c r="E465" s="41">
        <v>812.32899999999995</v>
      </c>
      <c r="F465" s="35">
        <v>1274</v>
      </c>
      <c r="G465" s="35">
        <v>75</v>
      </c>
      <c r="H465" s="43">
        <v>600</v>
      </c>
      <c r="I465" s="35">
        <v>695</v>
      </c>
      <c r="J465" s="35">
        <v>50</v>
      </c>
      <c r="K465" s="36"/>
      <c r="L465" s="36"/>
      <c r="M465" s="36"/>
      <c r="N465" s="36"/>
      <c r="O465" s="36"/>
      <c r="P465" s="36"/>
      <c r="Q465" s="36"/>
      <c r="R465" s="36"/>
      <c r="S465" s="36"/>
      <c r="T465" s="36"/>
    </row>
    <row r="466" spans="1:20" ht="15.75">
      <c r="A466" s="13">
        <v>55700</v>
      </c>
      <c r="B466" s="44">
        <v>30</v>
      </c>
      <c r="C466" s="35">
        <v>194.20500000000001</v>
      </c>
      <c r="D466" s="35">
        <v>267.46600000000001</v>
      </c>
      <c r="E466" s="41">
        <v>812.32899999999995</v>
      </c>
      <c r="F466" s="35">
        <v>1274</v>
      </c>
      <c r="G466" s="35">
        <v>50</v>
      </c>
      <c r="H466" s="43">
        <v>600</v>
      </c>
      <c r="I466" s="35">
        <v>695</v>
      </c>
      <c r="J466" s="35">
        <v>50</v>
      </c>
      <c r="K466" s="36"/>
      <c r="L466" s="36"/>
      <c r="M466" s="36"/>
      <c r="N466" s="36"/>
      <c r="O466" s="36"/>
      <c r="P466" s="36"/>
      <c r="Q466" s="36"/>
      <c r="R466" s="36"/>
      <c r="S466" s="36"/>
      <c r="T466" s="36"/>
    </row>
    <row r="467" spans="1:20" ht="15.75">
      <c r="A467" s="13">
        <v>55731</v>
      </c>
      <c r="B467" s="44">
        <v>31</v>
      </c>
      <c r="C467" s="35">
        <v>194.20500000000001</v>
      </c>
      <c r="D467" s="35">
        <v>267.46600000000001</v>
      </c>
      <c r="E467" s="41">
        <v>812.32899999999995</v>
      </c>
      <c r="F467" s="35">
        <v>1274</v>
      </c>
      <c r="G467" s="35">
        <v>50</v>
      </c>
      <c r="H467" s="43">
        <v>600</v>
      </c>
      <c r="I467" s="35">
        <v>695</v>
      </c>
      <c r="J467" s="35">
        <v>0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</row>
    <row r="468" spans="1:20" ht="15.75">
      <c r="A468" s="13">
        <v>55762</v>
      </c>
      <c r="B468" s="44">
        <v>31</v>
      </c>
      <c r="C468" s="35">
        <v>194.20500000000001</v>
      </c>
      <c r="D468" s="35">
        <v>267.46600000000001</v>
      </c>
      <c r="E468" s="41">
        <v>812.32899999999995</v>
      </c>
      <c r="F468" s="35">
        <v>1274</v>
      </c>
      <c r="G468" s="35">
        <v>50</v>
      </c>
      <c r="H468" s="43">
        <v>600</v>
      </c>
      <c r="I468" s="35">
        <v>695</v>
      </c>
      <c r="J468" s="35">
        <v>0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</row>
    <row r="469" spans="1:20" ht="15.75">
      <c r="A469" s="13">
        <v>55792</v>
      </c>
      <c r="B469" s="44">
        <v>30</v>
      </c>
      <c r="C469" s="35">
        <v>194.20500000000001</v>
      </c>
      <c r="D469" s="35">
        <v>267.46600000000001</v>
      </c>
      <c r="E469" s="41">
        <v>812.32899999999995</v>
      </c>
      <c r="F469" s="35">
        <v>1274</v>
      </c>
      <c r="G469" s="35">
        <v>50</v>
      </c>
      <c r="H469" s="43">
        <v>600</v>
      </c>
      <c r="I469" s="35">
        <v>695</v>
      </c>
      <c r="J469" s="35">
        <v>0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</row>
    <row r="470" spans="1:20" ht="15.75">
      <c r="A470" s="13">
        <v>55823</v>
      </c>
      <c r="B470" s="44">
        <v>31</v>
      </c>
      <c r="C470" s="35">
        <v>131.881</v>
      </c>
      <c r="D470" s="35">
        <v>277.16699999999997</v>
      </c>
      <c r="E470" s="41">
        <v>829.952</v>
      </c>
      <c r="F470" s="35">
        <v>1239</v>
      </c>
      <c r="G470" s="35">
        <v>75</v>
      </c>
      <c r="H470" s="43">
        <v>600</v>
      </c>
      <c r="I470" s="35">
        <v>695</v>
      </c>
      <c r="J470" s="35">
        <v>0</v>
      </c>
      <c r="K470" s="36"/>
      <c r="L470" s="36"/>
      <c r="M470" s="36"/>
      <c r="N470" s="36"/>
      <c r="O470" s="36"/>
      <c r="P470" s="36"/>
      <c r="Q470" s="36"/>
      <c r="R470" s="36"/>
      <c r="S470" s="36"/>
      <c r="T470" s="36"/>
    </row>
    <row r="471" spans="1:20" ht="15.75">
      <c r="A471" s="13">
        <v>55853</v>
      </c>
      <c r="B471" s="44">
        <v>30</v>
      </c>
      <c r="C471" s="35">
        <v>122.58</v>
      </c>
      <c r="D471" s="35">
        <v>297.94099999999997</v>
      </c>
      <c r="E471" s="41">
        <v>729.47900000000004</v>
      </c>
      <c r="F471" s="35">
        <v>1150</v>
      </c>
      <c r="G471" s="35">
        <v>100</v>
      </c>
      <c r="H471" s="43">
        <v>600</v>
      </c>
      <c r="I471" s="35">
        <v>695</v>
      </c>
      <c r="J471" s="35">
        <v>50</v>
      </c>
      <c r="K471" s="36"/>
      <c r="L471" s="36"/>
      <c r="M471" s="36"/>
      <c r="N471" s="36"/>
      <c r="O471" s="36"/>
      <c r="P471" s="36"/>
      <c r="Q471" s="36"/>
      <c r="R471" s="36"/>
      <c r="S471" s="36"/>
      <c r="T471" s="36"/>
    </row>
    <row r="472" spans="1:20" ht="15.75">
      <c r="A472" s="13">
        <v>55884</v>
      </c>
      <c r="B472" s="44">
        <v>31</v>
      </c>
      <c r="C472" s="35">
        <v>122.58</v>
      </c>
      <c r="D472" s="35">
        <v>297.94099999999997</v>
      </c>
      <c r="E472" s="41">
        <v>729.47900000000004</v>
      </c>
      <c r="F472" s="35">
        <v>1150</v>
      </c>
      <c r="G472" s="35">
        <v>100</v>
      </c>
      <c r="H472" s="43">
        <v>600</v>
      </c>
      <c r="I472" s="35">
        <v>695</v>
      </c>
      <c r="J472" s="35">
        <v>50</v>
      </c>
      <c r="K472" s="36"/>
      <c r="L472" s="36"/>
      <c r="M472" s="36"/>
      <c r="N472" s="36"/>
      <c r="O472" s="36"/>
      <c r="P472" s="36"/>
      <c r="Q472" s="36"/>
      <c r="R472" s="36"/>
      <c r="S472" s="36"/>
      <c r="T472" s="36"/>
    </row>
    <row r="473" spans="1:20" ht="15.75">
      <c r="A473" s="13">
        <v>55915</v>
      </c>
      <c r="B473" s="44">
        <v>31</v>
      </c>
      <c r="C473" s="35">
        <v>122.58</v>
      </c>
      <c r="D473" s="35">
        <v>297.94099999999997</v>
      </c>
      <c r="E473" s="41">
        <v>729.47900000000004</v>
      </c>
      <c r="F473" s="35">
        <v>1150</v>
      </c>
      <c r="G473" s="35">
        <v>100</v>
      </c>
      <c r="H473" s="43">
        <v>600</v>
      </c>
      <c r="I473" s="35">
        <v>695</v>
      </c>
      <c r="J473" s="35">
        <v>50</v>
      </c>
      <c r="K473" s="36"/>
      <c r="L473" s="36"/>
      <c r="M473" s="36"/>
      <c r="N473" s="36"/>
      <c r="O473" s="36"/>
      <c r="P473" s="36"/>
      <c r="Q473" s="36"/>
      <c r="R473" s="36"/>
      <c r="S473" s="36"/>
      <c r="T473" s="36"/>
    </row>
    <row r="474" spans="1:20" ht="15.75">
      <c r="A474" s="13">
        <v>55943</v>
      </c>
      <c r="B474" s="44">
        <v>28</v>
      </c>
      <c r="C474" s="35">
        <v>122.58</v>
      </c>
      <c r="D474" s="35">
        <v>297.94099999999997</v>
      </c>
      <c r="E474" s="41">
        <v>729.47900000000004</v>
      </c>
      <c r="F474" s="35">
        <v>1150</v>
      </c>
      <c r="G474" s="35">
        <v>100</v>
      </c>
      <c r="H474" s="43">
        <v>600</v>
      </c>
      <c r="I474" s="35">
        <v>695</v>
      </c>
      <c r="J474" s="35">
        <v>50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</row>
    <row r="475" spans="1:20" ht="15.75">
      <c r="A475" s="13">
        <v>55974</v>
      </c>
      <c r="B475" s="44">
        <v>31</v>
      </c>
      <c r="C475" s="35">
        <v>122.58</v>
      </c>
      <c r="D475" s="35">
        <v>297.94099999999997</v>
      </c>
      <c r="E475" s="41">
        <v>729.47900000000004</v>
      </c>
      <c r="F475" s="35">
        <v>1150</v>
      </c>
      <c r="G475" s="35">
        <v>100</v>
      </c>
      <c r="H475" s="43">
        <v>600</v>
      </c>
      <c r="I475" s="35">
        <v>695</v>
      </c>
      <c r="J475" s="35">
        <v>50</v>
      </c>
      <c r="K475" s="36"/>
      <c r="L475" s="36"/>
      <c r="M475" s="36"/>
      <c r="N475" s="36"/>
      <c r="O475" s="36"/>
      <c r="P475" s="36"/>
      <c r="Q475" s="36"/>
      <c r="R475" s="36"/>
      <c r="S475" s="36"/>
      <c r="T475" s="36"/>
    </row>
    <row r="476" spans="1:20" ht="15.75">
      <c r="A476" s="13">
        <v>56004</v>
      </c>
      <c r="B476" s="44">
        <v>30</v>
      </c>
      <c r="C476" s="35">
        <v>141.29300000000001</v>
      </c>
      <c r="D476" s="35">
        <v>267.99299999999999</v>
      </c>
      <c r="E476" s="41">
        <v>829.71400000000006</v>
      </c>
      <c r="F476" s="35">
        <v>1239</v>
      </c>
      <c r="G476" s="35">
        <v>100</v>
      </c>
      <c r="H476" s="43">
        <v>600</v>
      </c>
      <c r="I476" s="35">
        <v>695</v>
      </c>
      <c r="J476" s="35">
        <v>50</v>
      </c>
      <c r="K476" s="36"/>
      <c r="L476" s="36"/>
      <c r="M476" s="36"/>
      <c r="N476" s="36"/>
      <c r="O476" s="36"/>
      <c r="P476" s="36"/>
      <c r="Q476" s="36"/>
      <c r="R476" s="36"/>
      <c r="S476" s="36"/>
      <c r="T476" s="36"/>
    </row>
    <row r="477" spans="1:20" ht="15.75">
      <c r="A477" s="13">
        <v>56035</v>
      </c>
      <c r="B477" s="44">
        <v>31</v>
      </c>
      <c r="C477" s="35">
        <v>194.20500000000001</v>
      </c>
      <c r="D477" s="35">
        <v>267.46600000000001</v>
      </c>
      <c r="E477" s="41">
        <v>812.32899999999995</v>
      </c>
      <c r="F477" s="35">
        <v>1274</v>
      </c>
      <c r="G477" s="35">
        <v>75</v>
      </c>
      <c r="H477" s="43">
        <v>600</v>
      </c>
      <c r="I477" s="35">
        <v>695</v>
      </c>
      <c r="J477" s="35">
        <v>50</v>
      </c>
      <c r="K477" s="36"/>
      <c r="L477" s="36"/>
      <c r="M477" s="36"/>
      <c r="N477" s="36"/>
      <c r="O477" s="36"/>
      <c r="P477" s="36"/>
      <c r="Q477" s="36"/>
      <c r="R477" s="36"/>
      <c r="S477" s="36"/>
      <c r="T477" s="36"/>
    </row>
    <row r="478" spans="1:20" ht="15.75">
      <c r="A478" s="13">
        <v>56065</v>
      </c>
      <c r="B478" s="44">
        <v>30</v>
      </c>
      <c r="C478" s="35">
        <v>194.20500000000001</v>
      </c>
      <c r="D478" s="35">
        <v>267.46600000000001</v>
      </c>
      <c r="E478" s="41">
        <v>812.32899999999995</v>
      </c>
      <c r="F478" s="35">
        <v>1274</v>
      </c>
      <c r="G478" s="35">
        <v>50</v>
      </c>
      <c r="H478" s="43">
        <v>600</v>
      </c>
      <c r="I478" s="35">
        <v>695</v>
      </c>
      <c r="J478" s="35">
        <v>50</v>
      </c>
      <c r="K478" s="36"/>
      <c r="L478" s="36"/>
      <c r="M478" s="36"/>
      <c r="N478" s="36"/>
      <c r="O478" s="36"/>
      <c r="P478" s="36"/>
      <c r="Q478" s="36"/>
      <c r="R478" s="36"/>
      <c r="S478" s="36"/>
      <c r="T478" s="36"/>
    </row>
    <row r="479" spans="1:20" ht="15.75">
      <c r="A479" s="13">
        <v>56096</v>
      </c>
      <c r="B479" s="44">
        <v>31</v>
      </c>
      <c r="C479" s="35">
        <v>194.20500000000001</v>
      </c>
      <c r="D479" s="35">
        <v>267.46600000000001</v>
      </c>
      <c r="E479" s="41">
        <v>812.32899999999995</v>
      </c>
      <c r="F479" s="35">
        <v>1274</v>
      </c>
      <c r="G479" s="35">
        <v>50</v>
      </c>
      <c r="H479" s="43">
        <v>600</v>
      </c>
      <c r="I479" s="35">
        <v>695</v>
      </c>
      <c r="J479" s="35">
        <v>0</v>
      </c>
      <c r="K479" s="36"/>
      <c r="L479" s="36"/>
      <c r="M479" s="36"/>
      <c r="N479" s="36"/>
      <c r="O479" s="36"/>
      <c r="P479" s="36"/>
      <c r="Q479" s="36"/>
      <c r="R479" s="36"/>
      <c r="S479" s="36"/>
      <c r="T479" s="36"/>
    </row>
    <row r="480" spans="1:20" ht="15.75">
      <c r="A480" s="13">
        <v>56127</v>
      </c>
      <c r="B480" s="44">
        <v>31</v>
      </c>
      <c r="C480" s="35">
        <v>194.20500000000001</v>
      </c>
      <c r="D480" s="35">
        <v>267.46600000000001</v>
      </c>
      <c r="E480" s="41">
        <v>812.32899999999995</v>
      </c>
      <c r="F480" s="35">
        <v>1274</v>
      </c>
      <c r="G480" s="35">
        <v>50</v>
      </c>
      <c r="H480" s="43">
        <v>600</v>
      </c>
      <c r="I480" s="35">
        <v>695</v>
      </c>
      <c r="J480" s="35">
        <v>0</v>
      </c>
      <c r="K480" s="36"/>
      <c r="L480" s="36"/>
      <c r="M480" s="36"/>
      <c r="N480" s="36"/>
      <c r="O480" s="36"/>
      <c r="P480" s="36"/>
      <c r="Q480" s="36"/>
      <c r="R480" s="36"/>
      <c r="S480" s="36"/>
      <c r="T480" s="36"/>
    </row>
    <row r="481" spans="1:20" ht="15.75">
      <c r="A481" s="13">
        <v>56157</v>
      </c>
      <c r="B481" s="44">
        <v>30</v>
      </c>
      <c r="C481" s="35">
        <v>194.20500000000001</v>
      </c>
      <c r="D481" s="35">
        <v>267.46600000000001</v>
      </c>
      <c r="E481" s="41">
        <v>812.32899999999995</v>
      </c>
      <c r="F481" s="35">
        <v>1274</v>
      </c>
      <c r="G481" s="35">
        <v>50</v>
      </c>
      <c r="H481" s="43">
        <v>600</v>
      </c>
      <c r="I481" s="35">
        <v>695</v>
      </c>
      <c r="J481" s="35">
        <v>0</v>
      </c>
      <c r="K481" s="36"/>
      <c r="L481" s="36"/>
      <c r="M481" s="36"/>
      <c r="N481" s="36"/>
      <c r="O481" s="36"/>
      <c r="P481" s="36"/>
      <c r="Q481" s="36"/>
      <c r="R481" s="36"/>
      <c r="S481" s="36"/>
      <c r="T481" s="36"/>
    </row>
    <row r="482" spans="1:20" ht="15.75">
      <c r="A482" s="13">
        <v>56188</v>
      </c>
      <c r="B482" s="44">
        <v>31</v>
      </c>
      <c r="C482" s="35">
        <v>131.881</v>
      </c>
      <c r="D482" s="35">
        <v>277.16699999999997</v>
      </c>
      <c r="E482" s="41">
        <v>829.952</v>
      </c>
      <c r="F482" s="35">
        <v>1239</v>
      </c>
      <c r="G482" s="35">
        <v>75</v>
      </c>
      <c r="H482" s="43">
        <v>600</v>
      </c>
      <c r="I482" s="35">
        <v>695</v>
      </c>
      <c r="J482" s="35">
        <v>0</v>
      </c>
      <c r="K482" s="36"/>
      <c r="L482" s="36"/>
      <c r="M482" s="36"/>
      <c r="N482" s="36"/>
      <c r="O482" s="36"/>
      <c r="P482" s="36"/>
      <c r="Q482" s="36"/>
      <c r="R482" s="36"/>
      <c r="S482" s="36"/>
      <c r="T482" s="36"/>
    </row>
    <row r="483" spans="1:20" ht="15.75">
      <c r="A483" s="13">
        <v>56218</v>
      </c>
      <c r="B483" s="44">
        <v>30</v>
      </c>
      <c r="C483" s="35">
        <v>122.58</v>
      </c>
      <c r="D483" s="35">
        <v>297.94099999999997</v>
      </c>
      <c r="E483" s="41">
        <v>729.47900000000004</v>
      </c>
      <c r="F483" s="35">
        <v>1150</v>
      </c>
      <c r="G483" s="35">
        <v>100</v>
      </c>
      <c r="H483" s="43">
        <v>600</v>
      </c>
      <c r="I483" s="35">
        <v>695</v>
      </c>
      <c r="J483" s="35">
        <v>50</v>
      </c>
      <c r="K483" s="36"/>
      <c r="L483" s="36"/>
      <c r="M483" s="36"/>
      <c r="N483" s="36"/>
      <c r="O483" s="36"/>
      <c r="P483" s="36"/>
      <c r="Q483" s="36"/>
      <c r="R483" s="36"/>
      <c r="S483" s="36"/>
      <c r="T483" s="36"/>
    </row>
    <row r="484" spans="1:20" ht="15.75">
      <c r="A484" s="13">
        <v>56249</v>
      </c>
      <c r="B484" s="44">
        <v>31</v>
      </c>
      <c r="C484" s="35">
        <v>122.58</v>
      </c>
      <c r="D484" s="35">
        <v>297.94099999999997</v>
      </c>
      <c r="E484" s="41">
        <v>729.47900000000004</v>
      </c>
      <c r="F484" s="35">
        <v>1150</v>
      </c>
      <c r="G484" s="35">
        <v>100</v>
      </c>
      <c r="H484" s="43">
        <v>600</v>
      </c>
      <c r="I484" s="35">
        <v>695</v>
      </c>
      <c r="J484" s="35">
        <v>50</v>
      </c>
      <c r="K484" s="36"/>
      <c r="L484" s="36"/>
      <c r="M484" s="36"/>
      <c r="N484" s="36"/>
      <c r="O484" s="36"/>
      <c r="P484" s="36"/>
      <c r="Q484" s="36"/>
      <c r="R484" s="36"/>
      <c r="S484" s="36"/>
      <c r="T484" s="36"/>
    </row>
    <row r="485" spans="1:20" ht="15.75">
      <c r="A485" s="13">
        <v>56280</v>
      </c>
      <c r="B485" s="44">
        <v>31</v>
      </c>
      <c r="C485" s="35">
        <v>122.58</v>
      </c>
      <c r="D485" s="35">
        <v>297.94099999999997</v>
      </c>
      <c r="E485" s="41">
        <v>729.47900000000004</v>
      </c>
      <c r="F485" s="35">
        <v>1150</v>
      </c>
      <c r="G485" s="35">
        <v>100</v>
      </c>
      <c r="H485" s="43">
        <v>600</v>
      </c>
      <c r="I485" s="35">
        <v>695</v>
      </c>
      <c r="J485" s="35">
        <v>50</v>
      </c>
      <c r="K485" s="36"/>
      <c r="L485" s="36"/>
      <c r="M485" s="36"/>
      <c r="N485" s="36"/>
      <c r="O485" s="36"/>
      <c r="P485" s="36"/>
      <c r="Q485" s="36"/>
      <c r="R485" s="36"/>
      <c r="S485" s="36"/>
      <c r="T485" s="36"/>
    </row>
    <row r="486" spans="1:20" ht="15.75">
      <c r="A486" s="13">
        <v>56308</v>
      </c>
      <c r="B486" s="44">
        <v>28</v>
      </c>
      <c r="C486" s="35">
        <v>122.58</v>
      </c>
      <c r="D486" s="35">
        <v>297.94099999999997</v>
      </c>
      <c r="E486" s="41">
        <v>729.47900000000004</v>
      </c>
      <c r="F486" s="35">
        <v>1150</v>
      </c>
      <c r="G486" s="35">
        <v>100</v>
      </c>
      <c r="H486" s="43">
        <v>600</v>
      </c>
      <c r="I486" s="35">
        <v>695</v>
      </c>
      <c r="J486" s="35">
        <v>50</v>
      </c>
      <c r="K486" s="36"/>
      <c r="L486" s="36"/>
      <c r="M486" s="36"/>
      <c r="N486" s="36"/>
      <c r="O486" s="36"/>
      <c r="P486" s="36"/>
      <c r="Q486" s="36"/>
      <c r="R486" s="36"/>
      <c r="S486" s="36"/>
      <c r="T486" s="36"/>
    </row>
    <row r="487" spans="1:20" ht="15.75">
      <c r="A487" s="13">
        <v>56339</v>
      </c>
      <c r="B487" s="44">
        <v>31</v>
      </c>
      <c r="C487" s="35">
        <v>122.58</v>
      </c>
      <c r="D487" s="35">
        <v>297.94099999999997</v>
      </c>
      <c r="E487" s="41">
        <v>729.47900000000004</v>
      </c>
      <c r="F487" s="35">
        <v>1150</v>
      </c>
      <c r="G487" s="35">
        <v>100</v>
      </c>
      <c r="H487" s="43">
        <v>600</v>
      </c>
      <c r="I487" s="35">
        <v>695</v>
      </c>
      <c r="J487" s="35">
        <v>50</v>
      </c>
      <c r="K487" s="36"/>
      <c r="L487" s="36"/>
      <c r="M487" s="36"/>
      <c r="N487" s="36"/>
      <c r="O487" s="36"/>
      <c r="P487" s="36"/>
      <c r="Q487" s="36"/>
      <c r="R487" s="36"/>
      <c r="S487" s="36"/>
      <c r="T487" s="36"/>
    </row>
    <row r="488" spans="1:20" ht="15.75">
      <c r="A488" s="13">
        <v>56369</v>
      </c>
      <c r="B488" s="44">
        <v>30</v>
      </c>
      <c r="C488" s="35">
        <v>141.29300000000001</v>
      </c>
      <c r="D488" s="35">
        <v>267.99299999999999</v>
      </c>
      <c r="E488" s="41">
        <v>829.71400000000006</v>
      </c>
      <c r="F488" s="35">
        <v>1239</v>
      </c>
      <c r="G488" s="35">
        <v>100</v>
      </c>
      <c r="H488" s="43">
        <v>600</v>
      </c>
      <c r="I488" s="35">
        <v>695</v>
      </c>
      <c r="J488" s="35">
        <v>50</v>
      </c>
      <c r="K488" s="36"/>
      <c r="L488" s="36"/>
      <c r="M488" s="36"/>
      <c r="N488" s="36"/>
      <c r="O488" s="36"/>
      <c r="P488" s="36"/>
      <c r="Q488" s="36"/>
      <c r="R488" s="36"/>
      <c r="S488" s="36"/>
      <c r="T488" s="36"/>
    </row>
    <row r="489" spans="1:20" ht="15.75">
      <c r="A489" s="13">
        <v>56400</v>
      </c>
      <c r="B489" s="44">
        <v>31</v>
      </c>
      <c r="C489" s="35">
        <v>194.20500000000001</v>
      </c>
      <c r="D489" s="35">
        <v>267.46600000000001</v>
      </c>
      <c r="E489" s="41">
        <v>812.32899999999995</v>
      </c>
      <c r="F489" s="35">
        <v>1274</v>
      </c>
      <c r="G489" s="35">
        <v>75</v>
      </c>
      <c r="H489" s="43">
        <v>600</v>
      </c>
      <c r="I489" s="35">
        <v>695</v>
      </c>
      <c r="J489" s="35">
        <v>50</v>
      </c>
      <c r="K489" s="36"/>
      <c r="L489" s="36"/>
      <c r="M489" s="36"/>
      <c r="N489" s="36"/>
      <c r="O489" s="36"/>
      <c r="P489" s="36"/>
      <c r="Q489" s="36"/>
      <c r="R489" s="36"/>
      <c r="S489" s="36"/>
      <c r="T489" s="36"/>
    </row>
    <row r="490" spans="1:20" ht="15.75">
      <c r="A490" s="13">
        <v>56430</v>
      </c>
      <c r="B490" s="44">
        <v>30</v>
      </c>
      <c r="C490" s="35">
        <v>194.20500000000001</v>
      </c>
      <c r="D490" s="35">
        <v>267.46600000000001</v>
      </c>
      <c r="E490" s="41">
        <v>812.32899999999995</v>
      </c>
      <c r="F490" s="35">
        <v>1274</v>
      </c>
      <c r="G490" s="35">
        <v>50</v>
      </c>
      <c r="H490" s="43">
        <v>600</v>
      </c>
      <c r="I490" s="35">
        <v>695</v>
      </c>
      <c r="J490" s="35">
        <v>50</v>
      </c>
      <c r="K490" s="36"/>
      <c r="L490" s="36"/>
      <c r="M490" s="36"/>
      <c r="N490" s="36"/>
      <c r="O490" s="36"/>
      <c r="P490" s="36"/>
      <c r="Q490" s="36"/>
      <c r="R490" s="36"/>
      <c r="S490" s="36"/>
      <c r="T490" s="36"/>
    </row>
    <row r="491" spans="1:20" ht="15.75">
      <c r="A491" s="13">
        <v>56461</v>
      </c>
      <c r="B491" s="44">
        <v>31</v>
      </c>
      <c r="C491" s="35">
        <v>194.20500000000001</v>
      </c>
      <c r="D491" s="35">
        <v>267.46600000000001</v>
      </c>
      <c r="E491" s="41">
        <v>812.32899999999995</v>
      </c>
      <c r="F491" s="35">
        <v>1274</v>
      </c>
      <c r="G491" s="35">
        <v>50</v>
      </c>
      <c r="H491" s="43">
        <v>600</v>
      </c>
      <c r="I491" s="35">
        <v>695</v>
      </c>
      <c r="J491" s="35">
        <v>0</v>
      </c>
      <c r="K491" s="36"/>
      <c r="L491" s="36"/>
      <c r="M491" s="36"/>
      <c r="N491" s="36"/>
      <c r="O491" s="36"/>
      <c r="P491" s="36"/>
      <c r="Q491" s="36"/>
      <c r="R491" s="36"/>
      <c r="S491" s="36"/>
      <c r="T491" s="36"/>
    </row>
    <row r="492" spans="1:20" ht="15.75">
      <c r="A492" s="13">
        <v>56492</v>
      </c>
      <c r="B492" s="44">
        <v>31</v>
      </c>
      <c r="C492" s="35">
        <v>194.20500000000001</v>
      </c>
      <c r="D492" s="35">
        <v>267.46600000000001</v>
      </c>
      <c r="E492" s="41">
        <v>812.32899999999995</v>
      </c>
      <c r="F492" s="35">
        <v>1274</v>
      </c>
      <c r="G492" s="35">
        <v>50</v>
      </c>
      <c r="H492" s="43">
        <v>600</v>
      </c>
      <c r="I492" s="35">
        <v>695</v>
      </c>
      <c r="J492" s="35">
        <v>0</v>
      </c>
      <c r="K492" s="36"/>
      <c r="L492" s="36"/>
      <c r="M492" s="36"/>
      <c r="N492" s="36"/>
      <c r="O492" s="36"/>
      <c r="P492" s="36"/>
      <c r="Q492" s="36"/>
      <c r="R492" s="36"/>
      <c r="S492" s="36"/>
      <c r="T492" s="36"/>
    </row>
    <row r="493" spans="1:20" ht="15.75">
      <c r="A493" s="13">
        <v>56522</v>
      </c>
      <c r="B493" s="44">
        <v>30</v>
      </c>
      <c r="C493" s="35">
        <v>194.20500000000001</v>
      </c>
      <c r="D493" s="35">
        <v>267.46600000000001</v>
      </c>
      <c r="E493" s="41">
        <v>812.32899999999995</v>
      </c>
      <c r="F493" s="35">
        <v>1274</v>
      </c>
      <c r="G493" s="35">
        <v>50</v>
      </c>
      <c r="H493" s="43">
        <v>600</v>
      </c>
      <c r="I493" s="35">
        <v>695</v>
      </c>
      <c r="J493" s="35">
        <v>0</v>
      </c>
      <c r="K493" s="36"/>
      <c r="L493" s="36"/>
      <c r="M493" s="36"/>
      <c r="N493" s="36"/>
      <c r="O493" s="36"/>
      <c r="P493" s="36"/>
      <c r="Q493" s="36"/>
      <c r="R493" s="36"/>
      <c r="S493" s="36"/>
      <c r="T493" s="36"/>
    </row>
    <row r="494" spans="1:20" ht="15.75">
      <c r="A494" s="13">
        <v>56553</v>
      </c>
      <c r="B494" s="44">
        <v>31</v>
      </c>
      <c r="C494" s="35">
        <v>131.881</v>
      </c>
      <c r="D494" s="35">
        <v>277.16699999999997</v>
      </c>
      <c r="E494" s="41">
        <v>829.952</v>
      </c>
      <c r="F494" s="35">
        <v>1239</v>
      </c>
      <c r="G494" s="35">
        <v>75</v>
      </c>
      <c r="H494" s="43">
        <v>600</v>
      </c>
      <c r="I494" s="35">
        <v>695</v>
      </c>
      <c r="J494" s="35">
        <v>0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</row>
    <row r="495" spans="1:20" ht="15.75">
      <c r="A495" s="13">
        <v>56583</v>
      </c>
      <c r="B495" s="44">
        <v>30</v>
      </c>
      <c r="C495" s="35">
        <v>122.58</v>
      </c>
      <c r="D495" s="35">
        <v>297.94099999999997</v>
      </c>
      <c r="E495" s="41">
        <v>729.47900000000004</v>
      </c>
      <c r="F495" s="35">
        <v>1150</v>
      </c>
      <c r="G495" s="35">
        <v>100</v>
      </c>
      <c r="H495" s="43">
        <v>600</v>
      </c>
      <c r="I495" s="35">
        <v>695</v>
      </c>
      <c r="J495" s="35">
        <v>50</v>
      </c>
      <c r="K495" s="36"/>
      <c r="L495" s="36"/>
      <c r="M495" s="36"/>
      <c r="N495" s="36"/>
      <c r="O495" s="36"/>
      <c r="P495" s="36"/>
      <c r="Q495" s="36"/>
      <c r="R495" s="36"/>
      <c r="S495" s="36"/>
      <c r="T495" s="36"/>
    </row>
    <row r="496" spans="1:20" ht="15.75">
      <c r="A496" s="13">
        <v>56614</v>
      </c>
      <c r="B496" s="44">
        <v>31</v>
      </c>
      <c r="C496" s="35">
        <v>122.58</v>
      </c>
      <c r="D496" s="35">
        <v>297.94099999999997</v>
      </c>
      <c r="E496" s="41">
        <v>729.47900000000004</v>
      </c>
      <c r="F496" s="35">
        <v>1150</v>
      </c>
      <c r="G496" s="35">
        <v>100</v>
      </c>
      <c r="H496" s="43">
        <v>600</v>
      </c>
      <c r="I496" s="35">
        <v>695</v>
      </c>
      <c r="J496" s="35">
        <v>50</v>
      </c>
      <c r="K496" s="36"/>
      <c r="L496" s="36"/>
      <c r="M496" s="36"/>
      <c r="N496" s="36"/>
      <c r="O496" s="36"/>
      <c r="P496" s="36"/>
      <c r="Q496" s="36"/>
      <c r="R496" s="36"/>
      <c r="S496" s="36"/>
      <c r="T496" s="36"/>
    </row>
    <row r="497" spans="1:20" ht="15.75">
      <c r="A497" s="13">
        <v>56645</v>
      </c>
      <c r="B497" s="44">
        <v>31</v>
      </c>
      <c r="C497" s="35">
        <v>122.58</v>
      </c>
      <c r="D497" s="35">
        <v>297.94099999999997</v>
      </c>
      <c r="E497" s="41">
        <v>729.47900000000004</v>
      </c>
      <c r="F497" s="35">
        <v>1150</v>
      </c>
      <c r="G497" s="35">
        <v>100</v>
      </c>
      <c r="H497" s="43">
        <v>600</v>
      </c>
      <c r="I497" s="35">
        <v>695</v>
      </c>
      <c r="J497" s="35">
        <v>50</v>
      </c>
      <c r="K497" s="36"/>
      <c r="L497" s="36"/>
      <c r="M497" s="36"/>
      <c r="N497" s="36"/>
      <c r="O497" s="36"/>
      <c r="P497" s="36"/>
      <c r="Q497" s="36"/>
      <c r="R497" s="36"/>
      <c r="S497" s="36"/>
      <c r="T497" s="36"/>
    </row>
    <row r="498" spans="1:20" ht="15.75">
      <c r="A498" s="13">
        <v>56673</v>
      </c>
      <c r="B498" s="44">
        <v>28</v>
      </c>
      <c r="C498" s="35">
        <v>122.58</v>
      </c>
      <c r="D498" s="35">
        <v>297.94099999999997</v>
      </c>
      <c r="E498" s="41">
        <v>729.47900000000004</v>
      </c>
      <c r="F498" s="35">
        <v>1150</v>
      </c>
      <c r="G498" s="35">
        <v>100</v>
      </c>
      <c r="H498" s="43">
        <v>600</v>
      </c>
      <c r="I498" s="35">
        <v>695</v>
      </c>
      <c r="J498" s="35">
        <v>50</v>
      </c>
      <c r="K498" s="36"/>
      <c r="L498" s="36"/>
      <c r="M498" s="36"/>
      <c r="N498" s="36"/>
      <c r="O498" s="36"/>
      <c r="P498" s="36"/>
      <c r="Q498" s="36"/>
      <c r="R498" s="36"/>
      <c r="S498" s="36"/>
      <c r="T498" s="36"/>
    </row>
    <row r="499" spans="1:20" ht="15.75">
      <c r="A499" s="13">
        <v>56704</v>
      </c>
      <c r="B499" s="44">
        <v>31</v>
      </c>
      <c r="C499" s="35">
        <v>122.58</v>
      </c>
      <c r="D499" s="35">
        <v>297.94099999999997</v>
      </c>
      <c r="E499" s="41">
        <v>729.47900000000004</v>
      </c>
      <c r="F499" s="35">
        <v>1150</v>
      </c>
      <c r="G499" s="35">
        <v>100</v>
      </c>
      <c r="H499" s="43">
        <v>600</v>
      </c>
      <c r="I499" s="35">
        <v>695</v>
      </c>
      <c r="J499" s="35">
        <v>50</v>
      </c>
      <c r="K499" s="36"/>
      <c r="L499" s="36"/>
      <c r="M499" s="36"/>
      <c r="N499" s="36"/>
      <c r="O499" s="36"/>
      <c r="P499" s="36"/>
      <c r="Q499" s="36"/>
      <c r="R499" s="36"/>
      <c r="S499" s="36"/>
      <c r="T499" s="36"/>
    </row>
    <row r="500" spans="1:20" ht="15.75">
      <c r="A500" s="13">
        <v>56734</v>
      </c>
      <c r="B500" s="44">
        <v>30</v>
      </c>
      <c r="C500" s="35">
        <v>141.29300000000001</v>
      </c>
      <c r="D500" s="35">
        <v>267.99299999999999</v>
      </c>
      <c r="E500" s="41">
        <v>829.71400000000006</v>
      </c>
      <c r="F500" s="35">
        <v>1239</v>
      </c>
      <c r="G500" s="35">
        <v>100</v>
      </c>
      <c r="H500" s="43">
        <v>600</v>
      </c>
      <c r="I500" s="35">
        <v>695</v>
      </c>
      <c r="J500" s="35">
        <v>50</v>
      </c>
      <c r="K500" s="36"/>
      <c r="L500" s="36"/>
      <c r="M500" s="36"/>
      <c r="N500" s="36"/>
      <c r="O500" s="36"/>
      <c r="P500" s="36"/>
      <c r="Q500" s="36"/>
      <c r="R500" s="36"/>
      <c r="S500" s="36"/>
      <c r="T500" s="36"/>
    </row>
    <row r="501" spans="1:20" ht="15.75">
      <c r="A501" s="13">
        <v>56765</v>
      </c>
      <c r="B501" s="44">
        <v>31</v>
      </c>
      <c r="C501" s="35">
        <v>194.20500000000001</v>
      </c>
      <c r="D501" s="35">
        <v>267.46600000000001</v>
      </c>
      <c r="E501" s="41">
        <v>812.32899999999995</v>
      </c>
      <c r="F501" s="35">
        <v>1274</v>
      </c>
      <c r="G501" s="35">
        <v>75</v>
      </c>
      <c r="H501" s="43">
        <v>600</v>
      </c>
      <c r="I501" s="35">
        <v>695</v>
      </c>
      <c r="J501" s="35">
        <v>50</v>
      </c>
      <c r="K501" s="36"/>
      <c r="L501" s="36"/>
      <c r="M501" s="36"/>
      <c r="N501" s="36"/>
      <c r="O501" s="36"/>
      <c r="P501" s="36"/>
      <c r="Q501" s="36"/>
      <c r="R501" s="36"/>
      <c r="S501" s="36"/>
      <c r="T501" s="36"/>
    </row>
    <row r="502" spans="1:20" ht="15.75">
      <c r="A502" s="13">
        <v>56795</v>
      </c>
      <c r="B502" s="44">
        <v>30</v>
      </c>
      <c r="C502" s="35">
        <v>194.20500000000001</v>
      </c>
      <c r="D502" s="35">
        <v>267.46600000000001</v>
      </c>
      <c r="E502" s="41">
        <v>812.32899999999995</v>
      </c>
      <c r="F502" s="35">
        <v>1274</v>
      </c>
      <c r="G502" s="35">
        <v>50</v>
      </c>
      <c r="H502" s="43">
        <v>600</v>
      </c>
      <c r="I502" s="35">
        <v>695</v>
      </c>
      <c r="J502" s="35">
        <v>50</v>
      </c>
      <c r="K502" s="36"/>
      <c r="L502" s="36"/>
      <c r="M502" s="36"/>
      <c r="N502" s="36"/>
      <c r="O502" s="36"/>
      <c r="P502" s="36"/>
      <c r="Q502" s="36"/>
      <c r="R502" s="36"/>
      <c r="S502" s="36"/>
      <c r="T502" s="36"/>
    </row>
    <row r="503" spans="1:20" ht="15.75">
      <c r="A503" s="13">
        <v>56826</v>
      </c>
      <c r="B503" s="44">
        <v>31</v>
      </c>
      <c r="C503" s="35">
        <v>194.20500000000001</v>
      </c>
      <c r="D503" s="35">
        <v>267.46600000000001</v>
      </c>
      <c r="E503" s="41">
        <v>812.32899999999995</v>
      </c>
      <c r="F503" s="35">
        <v>1274</v>
      </c>
      <c r="G503" s="35">
        <v>50</v>
      </c>
      <c r="H503" s="43">
        <v>600</v>
      </c>
      <c r="I503" s="35">
        <v>695</v>
      </c>
      <c r="J503" s="35">
        <v>0</v>
      </c>
      <c r="K503" s="36"/>
      <c r="L503" s="36"/>
      <c r="M503" s="36"/>
      <c r="N503" s="36"/>
      <c r="O503" s="36"/>
      <c r="P503" s="36"/>
      <c r="Q503" s="36"/>
      <c r="R503" s="36"/>
      <c r="S503" s="36"/>
      <c r="T503" s="36"/>
    </row>
    <row r="504" spans="1:20" ht="15.75">
      <c r="A504" s="13">
        <v>56857</v>
      </c>
      <c r="B504" s="44">
        <v>31</v>
      </c>
      <c r="C504" s="35">
        <v>194.20500000000001</v>
      </c>
      <c r="D504" s="35">
        <v>267.46600000000001</v>
      </c>
      <c r="E504" s="41">
        <v>812.32899999999995</v>
      </c>
      <c r="F504" s="35">
        <v>1274</v>
      </c>
      <c r="G504" s="35">
        <v>50</v>
      </c>
      <c r="H504" s="43">
        <v>600</v>
      </c>
      <c r="I504" s="35">
        <v>695</v>
      </c>
      <c r="J504" s="35">
        <v>0</v>
      </c>
      <c r="K504" s="36"/>
      <c r="L504" s="36"/>
      <c r="M504" s="36"/>
      <c r="N504" s="36"/>
      <c r="O504" s="36"/>
      <c r="P504" s="36"/>
      <c r="Q504" s="36"/>
      <c r="R504" s="36"/>
      <c r="S504" s="36"/>
      <c r="T504" s="36"/>
    </row>
    <row r="505" spans="1:20" ht="15.75">
      <c r="A505" s="13">
        <v>56887</v>
      </c>
      <c r="B505" s="44">
        <v>30</v>
      </c>
      <c r="C505" s="35">
        <v>194.20500000000001</v>
      </c>
      <c r="D505" s="35">
        <v>267.46600000000001</v>
      </c>
      <c r="E505" s="41">
        <v>812.32899999999995</v>
      </c>
      <c r="F505" s="35">
        <v>1274</v>
      </c>
      <c r="G505" s="35">
        <v>50</v>
      </c>
      <c r="H505" s="43">
        <v>600</v>
      </c>
      <c r="I505" s="35">
        <v>695</v>
      </c>
      <c r="J505" s="35">
        <v>0</v>
      </c>
      <c r="K505" s="36"/>
      <c r="L505" s="36"/>
      <c r="M505" s="36"/>
      <c r="N505" s="36"/>
      <c r="O505" s="36"/>
      <c r="P505" s="36"/>
      <c r="Q505" s="36"/>
      <c r="R505" s="36"/>
      <c r="S505" s="36"/>
      <c r="T505" s="36"/>
    </row>
    <row r="506" spans="1:20" ht="15.75">
      <c r="A506" s="13">
        <v>56918</v>
      </c>
      <c r="B506" s="44">
        <v>31</v>
      </c>
      <c r="C506" s="35">
        <v>131.881</v>
      </c>
      <c r="D506" s="35">
        <v>277.16699999999997</v>
      </c>
      <c r="E506" s="41">
        <v>829.952</v>
      </c>
      <c r="F506" s="35">
        <v>1239</v>
      </c>
      <c r="G506" s="35">
        <v>75</v>
      </c>
      <c r="H506" s="43">
        <v>600</v>
      </c>
      <c r="I506" s="35">
        <v>695</v>
      </c>
      <c r="J506" s="35">
        <v>0</v>
      </c>
      <c r="K506" s="36"/>
      <c r="L506" s="36"/>
      <c r="M506" s="36"/>
      <c r="N506" s="36"/>
      <c r="O506" s="36"/>
      <c r="P506" s="36"/>
      <c r="Q506" s="36"/>
      <c r="R506" s="36"/>
      <c r="S506" s="36"/>
      <c r="T506" s="36"/>
    </row>
    <row r="507" spans="1:20" ht="15.75">
      <c r="A507" s="13">
        <v>56948</v>
      </c>
      <c r="B507" s="44">
        <v>30</v>
      </c>
      <c r="C507" s="35">
        <v>122.58</v>
      </c>
      <c r="D507" s="35">
        <v>297.94099999999997</v>
      </c>
      <c r="E507" s="41">
        <v>729.47900000000004</v>
      </c>
      <c r="F507" s="35">
        <v>1150</v>
      </c>
      <c r="G507" s="35">
        <v>100</v>
      </c>
      <c r="H507" s="43">
        <v>600</v>
      </c>
      <c r="I507" s="35">
        <v>695</v>
      </c>
      <c r="J507" s="35">
        <v>50</v>
      </c>
      <c r="K507" s="36"/>
      <c r="L507" s="36"/>
      <c r="M507" s="36"/>
      <c r="N507" s="36"/>
      <c r="O507" s="36"/>
      <c r="P507" s="36"/>
      <c r="Q507" s="36"/>
      <c r="R507" s="36"/>
      <c r="S507" s="36"/>
      <c r="T507" s="36"/>
    </row>
    <row r="508" spans="1:20" ht="15.75">
      <c r="A508" s="13">
        <v>56979</v>
      </c>
      <c r="B508" s="44">
        <v>31</v>
      </c>
      <c r="C508" s="35">
        <v>122.58</v>
      </c>
      <c r="D508" s="35">
        <v>297.94099999999997</v>
      </c>
      <c r="E508" s="41">
        <v>729.47900000000004</v>
      </c>
      <c r="F508" s="35">
        <v>1150</v>
      </c>
      <c r="G508" s="35">
        <v>100</v>
      </c>
      <c r="H508" s="43">
        <v>600</v>
      </c>
      <c r="I508" s="35">
        <v>695</v>
      </c>
      <c r="J508" s="35">
        <v>50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</row>
    <row r="509" spans="1:20" ht="15.75">
      <c r="A509" s="13">
        <v>57010</v>
      </c>
      <c r="B509" s="44">
        <v>31</v>
      </c>
      <c r="C509" s="35">
        <v>122.58</v>
      </c>
      <c r="D509" s="35">
        <v>297.94099999999997</v>
      </c>
      <c r="E509" s="41">
        <v>729.47900000000004</v>
      </c>
      <c r="F509" s="35">
        <v>1150</v>
      </c>
      <c r="G509" s="35">
        <v>100</v>
      </c>
      <c r="H509" s="43">
        <v>600</v>
      </c>
      <c r="I509" s="35">
        <v>695</v>
      </c>
      <c r="J509" s="35">
        <v>50</v>
      </c>
      <c r="K509" s="36"/>
      <c r="L509" s="36"/>
      <c r="M509" s="36"/>
      <c r="N509" s="36"/>
      <c r="O509" s="36"/>
      <c r="P509" s="36"/>
      <c r="Q509" s="36"/>
      <c r="R509" s="36"/>
      <c r="S509" s="36"/>
      <c r="T509" s="36"/>
    </row>
    <row r="510" spans="1:20" ht="15.75">
      <c r="A510" s="13">
        <v>57038</v>
      </c>
      <c r="B510" s="44">
        <v>29</v>
      </c>
      <c r="C510" s="35">
        <v>122.58</v>
      </c>
      <c r="D510" s="35">
        <v>297.94099999999997</v>
      </c>
      <c r="E510" s="41">
        <v>729.47900000000004</v>
      </c>
      <c r="F510" s="35">
        <v>1150</v>
      </c>
      <c r="G510" s="35">
        <v>100</v>
      </c>
      <c r="H510" s="43">
        <v>600</v>
      </c>
      <c r="I510" s="35">
        <v>695</v>
      </c>
      <c r="J510" s="35">
        <v>50</v>
      </c>
      <c r="K510" s="36"/>
      <c r="L510" s="36"/>
      <c r="M510" s="36"/>
      <c r="N510" s="36"/>
      <c r="O510" s="36"/>
      <c r="P510" s="36"/>
      <c r="Q510" s="36"/>
      <c r="R510" s="36"/>
      <c r="S510" s="36"/>
      <c r="T510" s="36"/>
    </row>
    <row r="511" spans="1:20" ht="15.75">
      <c r="A511" s="13">
        <v>57070</v>
      </c>
      <c r="B511" s="44">
        <v>31</v>
      </c>
      <c r="C511" s="35">
        <v>122.58</v>
      </c>
      <c r="D511" s="35">
        <v>297.94099999999997</v>
      </c>
      <c r="E511" s="41">
        <v>729.47900000000004</v>
      </c>
      <c r="F511" s="35">
        <v>1150</v>
      </c>
      <c r="G511" s="35">
        <v>100</v>
      </c>
      <c r="H511" s="43">
        <v>600</v>
      </c>
      <c r="I511" s="35">
        <v>695</v>
      </c>
      <c r="J511" s="35">
        <v>50</v>
      </c>
      <c r="K511" s="36"/>
      <c r="L511" s="36"/>
      <c r="M511" s="36"/>
      <c r="N511" s="36"/>
      <c r="O511" s="36"/>
      <c r="P511" s="36"/>
      <c r="Q511" s="36"/>
      <c r="R511" s="36"/>
      <c r="S511" s="36"/>
      <c r="T511" s="36"/>
    </row>
    <row r="512" spans="1:20" ht="15.75">
      <c r="A512" s="13">
        <v>57100</v>
      </c>
      <c r="B512" s="44">
        <v>30</v>
      </c>
      <c r="C512" s="35">
        <v>141.29300000000001</v>
      </c>
      <c r="D512" s="35">
        <v>267.99299999999999</v>
      </c>
      <c r="E512" s="41">
        <v>829.71400000000006</v>
      </c>
      <c r="F512" s="35">
        <v>1239</v>
      </c>
      <c r="G512" s="35">
        <v>100</v>
      </c>
      <c r="H512" s="43">
        <v>600</v>
      </c>
      <c r="I512" s="35">
        <v>695</v>
      </c>
      <c r="J512" s="35">
        <v>50</v>
      </c>
      <c r="K512" s="36"/>
      <c r="L512" s="36"/>
      <c r="M512" s="36"/>
      <c r="N512" s="36"/>
      <c r="O512" s="36"/>
      <c r="P512" s="36"/>
      <c r="Q512" s="36"/>
      <c r="R512" s="36"/>
      <c r="S512" s="36"/>
      <c r="T512" s="36"/>
    </row>
    <row r="513" spans="1:20" ht="15.75">
      <c r="A513" s="13">
        <v>57131</v>
      </c>
      <c r="B513" s="44">
        <v>31</v>
      </c>
      <c r="C513" s="35">
        <v>194.20500000000001</v>
      </c>
      <c r="D513" s="35">
        <v>267.46600000000001</v>
      </c>
      <c r="E513" s="41">
        <v>812.32899999999995</v>
      </c>
      <c r="F513" s="35">
        <v>1274</v>
      </c>
      <c r="G513" s="35">
        <v>75</v>
      </c>
      <c r="H513" s="43">
        <v>600</v>
      </c>
      <c r="I513" s="35">
        <v>695</v>
      </c>
      <c r="J513" s="35">
        <v>50</v>
      </c>
      <c r="K513" s="36"/>
      <c r="L513" s="36"/>
      <c r="M513" s="36"/>
      <c r="N513" s="36"/>
      <c r="O513" s="36"/>
      <c r="P513" s="36"/>
      <c r="Q513" s="36"/>
      <c r="R513" s="36"/>
      <c r="S513" s="36"/>
      <c r="T513" s="36"/>
    </row>
    <row r="514" spans="1:20" ht="15.75">
      <c r="A514" s="13">
        <v>57161</v>
      </c>
      <c r="B514" s="44">
        <v>30</v>
      </c>
      <c r="C514" s="35">
        <v>194.20500000000001</v>
      </c>
      <c r="D514" s="35">
        <v>267.46600000000001</v>
      </c>
      <c r="E514" s="41">
        <v>812.32899999999995</v>
      </c>
      <c r="F514" s="35">
        <v>1274</v>
      </c>
      <c r="G514" s="35">
        <v>50</v>
      </c>
      <c r="H514" s="43">
        <v>600</v>
      </c>
      <c r="I514" s="35">
        <v>695</v>
      </c>
      <c r="J514" s="35">
        <v>50</v>
      </c>
      <c r="K514" s="36"/>
      <c r="L514" s="36"/>
      <c r="M514" s="36"/>
      <c r="N514" s="36"/>
      <c r="O514" s="36"/>
      <c r="P514" s="36"/>
      <c r="Q514" s="36"/>
      <c r="R514" s="36"/>
      <c r="S514" s="36"/>
      <c r="T514" s="36"/>
    </row>
    <row r="515" spans="1:20" ht="15.75">
      <c r="A515" s="13">
        <v>57192</v>
      </c>
      <c r="B515" s="44">
        <v>31</v>
      </c>
      <c r="C515" s="35">
        <v>194.20500000000001</v>
      </c>
      <c r="D515" s="35">
        <v>267.46600000000001</v>
      </c>
      <c r="E515" s="41">
        <v>812.32899999999995</v>
      </c>
      <c r="F515" s="35">
        <v>1274</v>
      </c>
      <c r="G515" s="35">
        <v>50</v>
      </c>
      <c r="H515" s="43">
        <v>600</v>
      </c>
      <c r="I515" s="35">
        <v>695</v>
      </c>
      <c r="J515" s="35">
        <v>0</v>
      </c>
      <c r="K515" s="36"/>
      <c r="L515" s="36"/>
      <c r="M515" s="36"/>
      <c r="N515" s="36"/>
      <c r="O515" s="36"/>
      <c r="P515" s="36"/>
      <c r="Q515" s="36"/>
      <c r="R515" s="36"/>
      <c r="S515" s="36"/>
      <c r="T515" s="36"/>
    </row>
    <row r="516" spans="1:20" ht="15.75">
      <c r="A516" s="13">
        <v>57223</v>
      </c>
      <c r="B516" s="44">
        <v>31</v>
      </c>
      <c r="C516" s="35">
        <v>194.20500000000001</v>
      </c>
      <c r="D516" s="35">
        <v>267.46600000000001</v>
      </c>
      <c r="E516" s="41">
        <v>812.32899999999995</v>
      </c>
      <c r="F516" s="35">
        <v>1274</v>
      </c>
      <c r="G516" s="35">
        <v>50</v>
      </c>
      <c r="H516" s="43">
        <v>600</v>
      </c>
      <c r="I516" s="35">
        <v>695</v>
      </c>
      <c r="J516" s="35">
        <v>0</v>
      </c>
      <c r="K516" s="36"/>
      <c r="L516" s="36"/>
      <c r="M516" s="36"/>
      <c r="N516" s="36"/>
      <c r="O516" s="36"/>
      <c r="P516" s="36"/>
      <c r="Q516" s="36"/>
      <c r="R516" s="36"/>
      <c r="S516" s="36"/>
      <c r="T516" s="36"/>
    </row>
    <row r="517" spans="1:20" ht="15.75">
      <c r="A517" s="13">
        <v>57253</v>
      </c>
      <c r="B517" s="44">
        <v>30</v>
      </c>
      <c r="C517" s="35">
        <v>194.20500000000001</v>
      </c>
      <c r="D517" s="35">
        <v>267.46600000000001</v>
      </c>
      <c r="E517" s="41">
        <v>812.32899999999995</v>
      </c>
      <c r="F517" s="35">
        <v>1274</v>
      </c>
      <c r="G517" s="35">
        <v>50</v>
      </c>
      <c r="H517" s="43">
        <v>600</v>
      </c>
      <c r="I517" s="35">
        <v>695</v>
      </c>
      <c r="J517" s="35">
        <v>0</v>
      </c>
      <c r="K517" s="36"/>
      <c r="L517" s="36"/>
      <c r="M517" s="36"/>
      <c r="N517" s="36"/>
      <c r="O517" s="36"/>
      <c r="P517" s="36"/>
      <c r="Q517" s="36"/>
      <c r="R517" s="36"/>
      <c r="S517" s="36"/>
      <c r="T517" s="36"/>
    </row>
    <row r="518" spans="1:20" ht="15.75">
      <c r="A518" s="13">
        <v>57284</v>
      </c>
      <c r="B518" s="44">
        <v>31</v>
      </c>
      <c r="C518" s="35">
        <v>131.881</v>
      </c>
      <c r="D518" s="35">
        <v>277.16699999999997</v>
      </c>
      <c r="E518" s="41">
        <v>829.952</v>
      </c>
      <c r="F518" s="35">
        <v>1239</v>
      </c>
      <c r="G518" s="35">
        <v>75</v>
      </c>
      <c r="H518" s="43">
        <v>600</v>
      </c>
      <c r="I518" s="35">
        <v>695</v>
      </c>
      <c r="J518" s="35">
        <v>0</v>
      </c>
      <c r="K518" s="36"/>
      <c r="L518" s="36"/>
      <c r="M518" s="36"/>
      <c r="N518" s="36"/>
      <c r="O518" s="36"/>
      <c r="P518" s="36"/>
      <c r="Q518" s="36"/>
      <c r="R518" s="36"/>
      <c r="S518" s="36"/>
      <c r="T518" s="36"/>
    </row>
    <row r="519" spans="1:20" ht="15.75">
      <c r="A519" s="13">
        <v>57314</v>
      </c>
      <c r="B519" s="44">
        <v>30</v>
      </c>
      <c r="C519" s="35">
        <v>122.58</v>
      </c>
      <c r="D519" s="35">
        <v>297.94099999999997</v>
      </c>
      <c r="E519" s="41">
        <v>729.47900000000004</v>
      </c>
      <c r="F519" s="35">
        <v>1150</v>
      </c>
      <c r="G519" s="35">
        <v>100</v>
      </c>
      <c r="H519" s="43">
        <v>600</v>
      </c>
      <c r="I519" s="35">
        <v>695</v>
      </c>
      <c r="J519" s="35">
        <v>50</v>
      </c>
      <c r="K519" s="36"/>
      <c r="L519" s="36"/>
      <c r="M519" s="36"/>
      <c r="N519" s="36"/>
      <c r="O519" s="36"/>
      <c r="P519" s="36"/>
      <c r="Q519" s="36"/>
      <c r="R519" s="36"/>
      <c r="S519" s="36"/>
      <c r="T519" s="36"/>
    </row>
    <row r="520" spans="1:20" ht="15.75">
      <c r="A520" s="13">
        <v>57345</v>
      </c>
      <c r="B520" s="44">
        <v>31</v>
      </c>
      <c r="C520" s="35">
        <v>122.58</v>
      </c>
      <c r="D520" s="35">
        <v>297.94099999999997</v>
      </c>
      <c r="E520" s="41">
        <v>729.47900000000004</v>
      </c>
      <c r="F520" s="35">
        <v>1150</v>
      </c>
      <c r="G520" s="35">
        <v>100</v>
      </c>
      <c r="H520" s="43">
        <v>600</v>
      </c>
      <c r="I520" s="35">
        <v>695</v>
      </c>
      <c r="J520" s="35">
        <v>50</v>
      </c>
      <c r="K520" s="36"/>
      <c r="L520" s="36"/>
      <c r="M520" s="36"/>
      <c r="N520" s="36"/>
      <c r="O520" s="36"/>
      <c r="P520" s="36"/>
      <c r="Q520" s="36"/>
      <c r="R520" s="36"/>
      <c r="S520" s="36"/>
      <c r="T520" s="36"/>
    </row>
    <row r="521" spans="1:20" ht="15.75">
      <c r="A521" s="13">
        <v>57376</v>
      </c>
      <c r="B521" s="44">
        <v>31</v>
      </c>
      <c r="C521" s="35">
        <v>122.58</v>
      </c>
      <c r="D521" s="35">
        <v>297.94099999999997</v>
      </c>
      <c r="E521" s="41">
        <v>729.47900000000004</v>
      </c>
      <c r="F521" s="35">
        <v>1150</v>
      </c>
      <c r="G521" s="35">
        <v>100</v>
      </c>
      <c r="H521" s="43">
        <v>600</v>
      </c>
      <c r="I521" s="35">
        <v>695</v>
      </c>
      <c r="J521" s="35">
        <v>50</v>
      </c>
      <c r="K521" s="36"/>
      <c r="L521" s="36"/>
      <c r="M521" s="36"/>
      <c r="N521" s="36"/>
      <c r="O521" s="36"/>
      <c r="P521" s="36"/>
      <c r="Q521" s="36"/>
      <c r="R521" s="36"/>
      <c r="S521" s="36"/>
      <c r="T521" s="36"/>
    </row>
    <row r="522" spans="1:20" ht="15.75">
      <c r="A522" s="13">
        <v>57404</v>
      </c>
      <c r="B522" s="44">
        <v>28</v>
      </c>
      <c r="C522" s="35">
        <v>122.58</v>
      </c>
      <c r="D522" s="35">
        <v>297.94099999999997</v>
      </c>
      <c r="E522" s="41">
        <v>729.47900000000004</v>
      </c>
      <c r="F522" s="35">
        <v>1150</v>
      </c>
      <c r="G522" s="35">
        <v>100</v>
      </c>
      <c r="H522" s="43">
        <v>600</v>
      </c>
      <c r="I522" s="35">
        <v>695</v>
      </c>
      <c r="J522" s="35">
        <v>50</v>
      </c>
      <c r="K522" s="36"/>
      <c r="L522" s="36"/>
      <c r="M522" s="36"/>
      <c r="N522" s="36"/>
      <c r="O522" s="36"/>
      <c r="P522" s="36"/>
      <c r="Q522" s="36"/>
      <c r="R522" s="36"/>
      <c r="S522" s="36"/>
      <c r="T522" s="36"/>
    </row>
    <row r="523" spans="1:20" ht="15.75">
      <c r="A523" s="13">
        <v>57435</v>
      </c>
      <c r="B523" s="44">
        <v>31</v>
      </c>
      <c r="C523" s="35">
        <v>122.58</v>
      </c>
      <c r="D523" s="35">
        <v>297.94099999999997</v>
      </c>
      <c r="E523" s="41">
        <v>729.47900000000004</v>
      </c>
      <c r="F523" s="35">
        <v>1150</v>
      </c>
      <c r="G523" s="35">
        <v>100</v>
      </c>
      <c r="H523" s="43">
        <v>600</v>
      </c>
      <c r="I523" s="35">
        <v>695</v>
      </c>
      <c r="J523" s="35">
        <v>50</v>
      </c>
      <c r="K523" s="36"/>
      <c r="L523" s="36"/>
      <c r="M523" s="36"/>
      <c r="N523" s="36"/>
      <c r="O523" s="36"/>
      <c r="P523" s="36"/>
      <c r="Q523" s="36"/>
      <c r="R523" s="36"/>
      <c r="S523" s="36"/>
      <c r="T523" s="36"/>
    </row>
    <row r="524" spans="1:20" ht="15.75">
      <c r="A524" s="13">
        <v>57465</v>
      </c>
      <c r="B524" s="44">
        <v>30</v>
      </c>
      <c r="C524" s="35">
        <v>141.29300000000001</v>
      </c>
      <c r="D524" s="35">
        <v>267.99299999999999</v>
      </c>
      <c r="E524" s="41">
        <v>829.71400000000006</v>
      </c>
      <c r="F524" s="35">
        <v>1239</v>
      </c>
      <c r="G524" s="35">
        <v>100</v>
      </c>
      <c r="H524" s="43">
        <v>600</v>
      </c>
      <c r="I524" s="35">
        <v>695</v>
      </c>
      <c r="J524" s="35">
        <v>50</v>
      </c>
      <c r="K524" s="36"/>
      <c r="L524" s="36"/>
      <c r="M524" s="36"/>
      <c r="N524" s="36"/>
      <c r="O524" s="36"/>
      <c r="P524" s="36"/>
      <c r="Q524" s="36"/>
      <c r="R524" s="36"/>
      <c r="S524" s="36"/>
      <c r="T524" s="36"/>
    </row>
    <row r="525" spans="1:20" ht="15.75">
      <c r="A525" s="13">
        <v>57496</v>
      </c>
      <c r="B525" s="44">
        <v>31</v>
      </c>
      <c r="C525" s="35">
        <v>194.20500000000001</v>
      </c>
      <c r="D525" s="35">
        <v>267.46600000000001</v>
      </c>
      <c r="E525" s="41">
        <v>812.32899999999995</v>
      </c>
      <c r="F525" s="35">
        <v>1274</v>
      </c>
      <c r="G525" s="35">
        <v>75</v>
      </c>
      <c r="H525" s="43">
        <v>600</v>
      </c>
      <c r="I525" s="35">
        <v>695</v>
      </c>
      <c r="J525" s="35">
        <v>50</v>
      </c>
      <c r="K525" s="36"/>
      <c r="L525" s="36"/>
      <c r="M525" s="36"/>
      <c r="N525" s="36"/>
      <c r="O525" s="36"/>
      <c r="P525" s="36"/>
      <c r="Q525" s="36"/>
      <c r="R525" s="36"/>
      <c r="S525" s="36"/>
      <c r="T525" s="36"/>
    </row>
    <row r="526" spans="1:20" ht="15.75">
      <c r="A526" s="13">
        <v>57526</v>
      </c>
      <c r="B526" s="44">
        <v>30</v>
      </c>
      <c r="C526" s="35">
        <v>194.20500000000001</v>
      </c>
      <c r="D526" s="35">
        <v>267.46600000000001</v>
      </c>
      <c r="E526" s="41">
        <v>812.32899999999995</v>
      </c>
      <c r="F526" s="35">
        <v>1274</v>
      </c>
      <c r="G526" s="35">
        <v>50</v>
      </c>
      <c r="H526" s="43">
        <v>600</v>
      </c>
      <c r="I526" s="35">
        <v>695</v>
      </c>
      <c r="J526" s="35">
        <v>50</v>
      </c>
      <c r="K526" s="36"/>
      <c r="L526" s="36"/>
      <c r="M526" s="36"/>
      <c r="N526" s="36"/>
      <c r="O526" s="36"/>
      <c r="P526" s="36"/>
      <c r="Q526" s="36"/>
      <c r="R526" s="36"/>
      <c r="S526" s="36"/>
      <c r="T526" s="36"/>
    </row>
    <row r="527" spans="1:20" ht="15.75">
      <c r="A527" s="13">
        <v>57557</v>
      </c>
      <c r="B527" s="44">
        <v>31</v>
      </c>
      <c r="C527" s="35">
        <v>194.20500000000001</v>
      </c>
      <c r="D527" s="35">
        <v>267.46600000000001</v>
      </c>
      <c r="E527" s="41">
        <v>812.32899999999995</v>
      </c>
      <c r="F527" s="35">
        <v>1274</v>
      </c>
      <c r="G527" s="35">
        <v>50</v>
      </c>
      <c r="H527" s="43">
        <v>600</v>
      </c>
      <c r="I527" s="35">
        <v>695</v>
      </c>
      <c r="J527" s="35">
        <v>0</v>
      </c>
      <c r="K527" s="36"/>
      <c r="L527" s="36"/>
      <c r="M527" s="36"/>
      <c r="N527" s="36"/>
      <c r="O527" s="36"/>
      <c r="P527" s="36"/>
      <c r="Q527" s="36"/>
      <c r="R527" s="36"/>
      <c r="S527" s="36"/>
      <c r="T527" s="36"/>
    </row>
    <row r="528" spans="1:20" ht="15.75">
      <c r="A528" s="13">
        <v>57588</v>
      </c>
      <c r="B528" s="44">
        <v>31</v>
      </c>
      <c r="C528" s="35">
        <v>194.20500000000001</v>
      </c>
      <c r="D528" s="35">
        <v>267.46600000000001</v>
      </c>
      <c r="E528" s="41">
        <v>812.32899999999995</v>
      </c>
      <c r="F528" s="35">
        <v>1274</v>
      </c>
      <c r="G528" s="35">
        <v>50</v>
      </c>
      <c r="H528" s="43">
        <v>600</v>
      </c>
      <c r="I528" s="35">
        <v>695</v>
      </c>
      <c r="J528" s="35">
        <v>0</v>
      </c>
      <c r="K528" s="36"/>
      <c r="L528" s="36"/>
      <c r="M528" s="36"/>
      <c r="N528" s="36"/>
      <c r="O528" s="36"/>
      <c r="P528" s="36"/>
      <c r="Q528" s="36"/>
      <c r="R528" s="36"/>
      <c r="S528" s="36"/>
      <c r="T528" s="36"/>
    </row>
    <row r="529" spans="1:20" ht="15.75">
      <c r="A529" s="13">
        <v>57618</v>
      </c>
      <c r="B529" s="44">
        <v>30</v>
      </c>
      <c r="C529" s="35">
        <v>194.20500000000001</v>
      </c>
      <c r="D529" s="35">
        <v>267.46600000000001</v>
      </c>
      <c r="E529" s="41">
        <v>812.32899999999995</v>
      </c>
      <c r="F529" s="35">
        <v>1274</v>
      </c>
      <c r="G529" s="35">
        <v>50</v>
      </c>
      <c r="H529" s="43">
        <v>600</v>
      </c>
      <c r="I529" s="35">
        <v>695</v>
      </c>
      <c r="J529" s="35">
        <v>0</v>
      </c>
      <c r="K529" s="36"/>
      <c r="L529" s="36"/>
      <c r="M529" s="36"/>
      <c r="N529" s="36"/>
      <c r="O529" s="36"/>
      <c r="P529" s="36"/>
      <c r="Q529" s="36"/>
      <c r="R529" s="36"/>
      <c r="S529" s="36"/>
      <c r="T529" s="36"/>
    </row>
    <row r="530" spans="1:20" ht="15.75">
      <c r="A530" s="13">
        <v>57649</v>
      </c>
      <c r="B530" s="44">
        <v>31</v>
      </c>
      <c r="C530" s="35">
        <v>131.881</v>
      </c>
      <c r="D530" s="35">
        <v>277.16699999999997</v>
      </c>
      <c r="E530" s="41">
        <v>829.952</v>
      </c>
      <c r="F530" s="35">
        <v>1239</v>
      </c>
      <c r="G530" s="35">
        <v>75</v>
      </c>
      <c r="H530" s="43">
        <v>600</v>
      </c>
      <c r="I530" s="35">
        <v>695</v>
      </c>
      <c r="J530" s="35">
        <v>0</v>
      </c>
      <c r="K530" s="36"/>
      <c r="L530" s="36"/>
      <c r="M530" s="36"/>
      <c r="N530" s="36"/>
      <c r="O530" s="36"/>
      <c r="P530" s="36"/>
      <c r="Q530" s="36"/>
      <c r="R530" s="36"/>
      <c r="S530" s="36"/>
      <c r="T530" s="36"/>
    </row>
    <row r="531" spans="1:20" ht="15.75">
      <c r="A531" s="13">
        <v>57679</v>
      </c>
      <c r="B531" s="44">
        <v>30</v>
      </c>
      <c r="C531" s="35">
        <v>122.58</v>
      </c>
      <c r="D531" s="35">
        <v>297.94099999999997</v>
      </c>
      <c r="E531" s="41">
        <v>729.47900000000004</v>
      </c>
      <c r="F531" s="35">
        <v>1150</v>
      </c>
      <c r="G531" s="35">
        <v>100</v>
      </c>
      <c r="H531" s="43">
        <v>600</v>
      </c>
      <c r="I531" s="35">
        <v>695</v>
      </c>
      <c r="J531" s="35">
        <v>50</v>
      </c>
      <c r="K531" s="36"/>
      <c r="L531" s="36"/>
      <c r="M531" s="36"/>
      <c r="N531" s="36"/>
      <c r="O531" s="36"/>
      <c r="P531" s="36"/>
      <c r="Q531" s="36"/>
      <c r="R531" s="36"/>
      <c r="S531" s="36"/>
      <c r="T531" s="36"/>
    </row>
    <row r="532" spans="1:20" ht="15.75">
      <c r="A532" s="13">
        <v>57710</v>
      </c>
      <c r="B532" s="44">
        <v>31</v>
      </c>
      <c r="C532" s="35">
        <v>122.58</v>
      </c>
      <c r="D532" s="35">
        <v>297.94099999999997</v>
      </c>
      <c r="E532" s="41">
        <v>729.47900000000004</v>
      </c>
      <c r="F532" s="35">
        <v>1150</v>
      </c>
      <c r="G532" s="35">
        <v>100</v>
      </c>
      <c r="H532" s="43">
        <v>600</v>
      </c>
      <c r="I532" s="35">
        <v>695</v>
      </c>
      <c r="J532" s="35">
        <v>50</v>
      </c>
      <c r="K532" s="36"/>
      <c r="L532" s="36"/>
      <c r="M532" s="36"/>
      <c r="N532" s="36"/>
      <c r="O532" s="36"/>
      <c r="P532" s="36"/>
      <c r="Q532" s="36"/>
      <c r="R532" s="36"/>
      <c r="S532" s="36"/>
      <c r="T532" s="36"/>
    </row>
    <row r="533" spans="1:20" ht="15.75">
      <c r="A533" s="13">
        <v>57741</v>
      </c>
      <c r="B533" s="44">
        <v>31</v>
      </c>
      <c r="C533" s="35">
        <v>122.58</v>
      </c>
      <c r="D533" s="35">
        <v>297.94099999999997</v>
      </c>
      <c r="E533" s="41">
        <v>729.47900000000004</v>
      </c>
      <c r="F533" s="35">
        <v>1150</v>
      </c>
      <c r="G533" s="35">
        <v>100</v>
      </c>
      <c r="H533" s="43">
        <v>600</v>
      </c>
      <c r="I533" s="35">
        <v>695</v>
      </c>
      <c r="J533" s="35">
        <v>50</v>
      </c>
      <c r="K533" s="36"/>
      <c r="L533" s="36"/>
      <c r="M533" s="36"/>
      <c r="N533" s="36"/>
      <c r="O533" s="36"/>
      <c r="P533" s="36"/>
      <c r="Q533" s="36"/>
      <c r="R533" s="36"/>
      <c r="S533" s="36"/>
      <c r="T533" s="36"/>
    </row>
    <row r="534" spans="1:20" ht="15.75">
      <c r="A534" s="13">
        <v>57769</v>
      </c>
      <c r="B534" s="44">
        <v>28</v>
      </c>
      <c r="C534" s="35">
        <v>122.58</v>
      </c>
      <c r="D534" s="35">
        <v>297.94099999999997</v>
      </c>
      <c r="E534" s="41">
        <v>729.47900000000004</v>
      </c>
      <c r="F534" s="35">
        <v>1150</v>
      </c>
      <c r="G534" s="35">
        <v>100</v>
      </c>
      <c r="H534" s="43">
        <v>600</v>
      </c>
      <c r="I534" s="35">
        <v>695</v>
      </c>
      <c r="J534" s="35">
        <v>50</v>
      </c>
      <c r="K534" s="36"/>
      <c r="L534" s="36"/>
      <c r="M534" s="36"/>
      <c r="N534" s="36"/>
      <c r="O534" s="36"/>
      <c r="P534" s="36"/>
      <c r="Q534" s="36"/>
      <c r="R534" s="36"/>
      <c r="S534" s="36"/>
      <c r="T534" s="36"/>
    </row>
    <row r="535" spans="1:20" ht="15.75">
      <c r="A535" s="13">
        <v>57800</v>
      </c>
      <c r="B535" s="44">
        <v>31</v>
      </c>
      <c r="C535" s="35">
        <v>122.58</v>
      </c>
      <c r="D535" s="35">
        <v>297.94099999999997</v>
      </c>
      <c r="E535" s="41">
        <v>729.47900000000004</v>
      </c>
      <c r="F535" s="35">
        <v>1150</v>
      </c>
      <c r="G535" s="35">
        <v>100</v>
      </c>
      <c r="H535" s="43">
        <v>600</v>
      </c>
      <c r="I535" s="35">
        <v>695</v>
      </c>
      <c r="J535" s="35">
        <v>50</v>
      </c>
      <c r="K535" s="36"/>
      <c r="L535" s="36"/>
      <c r="M535" s="36"/>
      <c r="N535" s="36"/>
      <c r="O535" s="36"/>
      <c r="P535" s="36"/>
      <c r="Q535" s="36"/>
      <c r="R535" s="36"/>
      <c r="S535" s="36"/>
      <c r="T535" s="36"/>
    </row>
    <row r="536" spans="1:20" ht="15.75">
      <c r="A536" s="13">
        <v>57830</v>
      </c>
      <c r="B536" s="44">
        <v>30</v>
      </c>
      <c r="C536" s="35">
        <v>141.29300000000001</v>
      </c>
      <c r="D536" s="35">
        <v>267.99299999999999</v>
      </c>
      <c r="E536" s="41">
        <v>829.71400000000006</v>
      </c>
      <c r="F536" s="35">
        <v>1239</v>
      </c>
      <c r="G536" s="35">
        <v>100</v>
      </c>
      <c r="H536" s="43">
        <v>600</v>
      </c>
      <c r="I536" s="35">
        <v>695</v>
      </c>
      <c r="J536" s="35">
        <v>50</v>
      </c>
      <c r="K536" s="36"/>
      <c r="L536" s="36"/>
      <c r="M536" s="36"/>
      <c r="N536" s="36"/>
      <c r="O536" s="36"/>
      <c r="P536" s="36"/>
      <c r="Q536" s="36"/>
      <c r="R536" s="36"/>
      <c r="S536" s="36"/>
      <c r="T536" s="36"/>
    </row>
    <row r="537" spans="1:20" ht="15.75">
      <c r="A537" s="13">
        <v>57861</v>
      </c>
      <c r="B537" s="44">
        <v>31</v>
      </c>
      <c r="C537" s="35">
        <v>194.20500000000001</v>
      </c>
      <c r="D537" s="35">
        <v>267.46600000000001</v>
      </c>
      <c r="E537" s="41">
        <v>812.32899999999995</v>
      </c>
      <c r="F537" s="35">
        <v>1274</v>
      </c>
      <c r="G537" s="35">
        <v>75</v>
      </c>
      <c r="H537" s="43">
        <v>600</v>
      </c>
      <c r="I537" s="35">
        <v>695</v>
      </c>
      <c r="J537" s="35">
        <v>50</v>
      </c>
      <c r="K537" s="36"/>
      <c r="L537" s="36"/>
      <c r="M537" s="36"/>
      <c r="N537" s="36"/>
      <c r="O537" s="36"/>
      <c r="P537" s="36"/>
      <c r="Q537" s="36"/>
      <c r="R537" s="36"/>
      <c r="S537" s="36"/>
      <c r="T537" s="36"/>
    </row>
    <row r="538" spans="1:20" ht="15.75">
      <c r="A538" s="13">
        <v>57891</v>
      </c>
      <c r="B538" s="44">
        <v>30</v>
      </c>
      <c r="C538" s="35">
        <v>194.20500000000001</v>
      </c>
      <c r="D538" s="35">
        <v>267.46600000000001</v>
      </c>
      <c r="E538" s="41">
        <v>812.32899999999995</v>
      </c>
      <c r="F538" s="35">
        <v>1274</v>
      </c>
      <c r="G538" s="35">
        <v>50</v>
      </c>
      <c r="H538" s="43">
        <v>600</v>
      </c>
      <c r="I538" s="35">
        <v>695</v>
      </c>
      <c r="J538" s="35">
        <v>50</v>
      </c>
      <c r="K538" s="36"/>
      <c r="L538" s="36"/>
      <c r="M538" s="36"/>
      <c r="N538" s="36"/>
      <c r="O538" s="36"/>
      <c r="P538" s="36"/>
      <c r="Q538" s="36"/>
      <c r="R538" s="36"/>
      <c r="S538" s="36"/>
      <c r="T538" s="36"/>
    </row>
    <row r="539" spans="1:20" ht="15.75">
      <c r="A539" s="13">
        <v>57922</v>
      </c>
      <c r="B539" s="44">
        <v>31</v>
      </c>
      <c r="C539" s="35">
        <v>194.20500000000001</v>
      </c>
      <c r="D539" s="35">
        <v>267.46600000000001</v>
      </c>
      <c r="E539" s="41">
        <v>812.32899999999995</v>
      </c>
      <c r="F539" s="35">
        <v>1274</v>
      </c>
      <c r="G539" s="35">
        <v>50</v>
      </c>
      <c r="H539" s="43">
        <v>600</v>
      </c>
      <c r="I539" s="35">
        <v>695</v>
      </c>
      <c r="J539" s="35">
        <v>0</v>
      </c>
      <c r="K539" s="36"/>
      <c r="L539" s="36"/>
      <c r="M539" s="36"/>
      <c r="N539" s="36"/>
      <c r="O539" s="36"/>
      <c r="P539" s="36"/>
      <c r="Q539" s="36"/>
      <c r="R539" s="36"/>
      <c r="S539" s="36"/>
      <c r="T539" s="36"/>
    </row>
    <row r="540" spans="1:20" ht="15.75">
      <c r="A540" s="13">
        <v>57953</v>
      </c>
      <c r="B540" s="44">
        <v>31</v>
      </c>
      <c r="C540" s="35">
        <v>194.20500000000001</v>
      </c>
      <c r="D540" s="35">
        <v>267.46600000000001</v>
      </c>
      <c r="E540" s="41">
        <v>812.32899999999995</v>
      </c>
      <c r="F540" s="35">
        <v>1274</v>
      </c>
      <c r="G540" s="35">
        <v>50</v>
      </c>
      <c r="H540" s="43">
        <v>600</v>
      </c>
      <c r="I540" s="35">
        <v>695</v>
      </c>
      <c r="J540" s="35">
        <v>0</v>
      </c>
      <c r="K540" s="36"/>
      <c r="L540" s="36"/>
      <c r="M540" s="36"/>
      <c r="N540" s="36"/>
      <c r="O540" s="36"/>
      <c r="P540" s="36"/>
      <c r="Q540" s="36"/>
      <c r="R540" s="36"/>
      <c r="S540" s="36"/>
      <c r="T540" s="36"/>
    </row>
    <row r="541" spans="1:20" ht="15.75">
      <c r="A541" s="13">
        <v>57983</v>
      </c>
      <c r="B541" s="44">
        <v>30</v>
      </c>
      <c r="C541" s="35">
        <v>194.20500000000001</v>
      </c>
      <c r="D541" s="35">
        <v>267.46600000000001</v>
      </c>
      <c r="E541" s="41">
        <v>812.32899999999995</v>
      </c>
      <c r="F541" s="35">
        <v>1274</v>
      </c>
      <c r="G541" s="35">
        <v>50</v>
      </c>
      <c r="H541" s="43">
        <v>600</v>
      </c>
      <c r="I541" s="35">
        <v>695</v>
      </c>
      <c r="J541" s="35">
        <v>0</v>
      </c>
      <c r="K541" s="36"/>
      <c r="L541" s="36"/>
      <c r="M541" s="36"/>
      <c r="N541" s="36"/>
      <c r="O541" s="36"/>
      <c r="P541" s="36"/>
      <c r="Q541" s="36"/>
      <c r="R541" s="36"/>
      <c r="S541" s="36"/>
      <c r="T541" s="36"/>
    </row>
    <row r="542" spans="1:20" ht="15.75">
      <c r="A542" s="13">
        <v>58014</v>
      </c>
      <c r="B542" s="44">
        <v>31</v>
      </c>
      <c r="C542" s="35">
        <v>131.881</v>
      </c>
      <c r="D542" s="35">
        <v>277.16699999999997</v>
      </c>
      <c r="E542" s="41">
        <v>829.952</v>
      </c>
      <c r="F542" s="35">
        <v>1239</v>
      </c>
      <c r="G542" s="35">
        <v>75</v>
      </c>
      <c r="H542" s="43">
        <v>600</v>
      </c>
      <c r="I542" s="35">
        <v>695</v>
      </c>
      <c r="J542" s="35">
        <v>0</v>
      </c>
      <c r="K542" s="36"/>
      <c r="L542" s="36"/>
      <c r="M542" s="36"/>
      <c r="N542" s="36"/>
      <c r="O542" s="36"/>
      <c r="P542" s="36"/>
      <c r="Q542" s="36"/>
      <c r="R542" s="36"/>
      <c r="S542" s="36"/>
      <c r="T542" s="36"/>
    </row>
    <row r="543" spans="1:20" ht="15.75">
      <c r="A543" s="13">
        <v>58044</v>
      </c>
      <c r="B543" s="44">
        <v>30</v>
      </c>
      <c r="C543" s="35">
        <v>122.58</v>
      </c>
      <c r="D543" s="35">
        <v>297.94099999999997</v>
      </c>
      <c r="E543" s="41">
        <v>729.47900000000004</v>
      </c>
      <c r="F543" s="35">
        <v>1150</v>
      </c>
      <c r="G543" s="35">
        <v>100</v>
      </c>
      <c r="H543" s="43">
        <v>600</v>
      </c>
      <c r="I543" s="35">
        <v>695</v>
      </c>
      <c r="J543" s="35">
        <v>50</v>
      </c>
      <c r="K543" s="36"/>
      <c r="L543" s="36"/>
      <c r="M543" s="36"/>
      <c r="N543" s="36"/>
      <c r="O543" s="36"/>
      <c r="P543" s="36"/>
      <c r="Q543" s="36"/>
      <c r="R543" s="36"/>
      <c r="S543" s="36"/>
      <c r="T543" s="36"/>
    </row>
    <row r="544" spans="1:20" ht="15.75">
      <c r="A544" s="13">
        <v>58075</v>
      </c>
      <c r="B544" s="44">
        <v>31</v>
      </c>
      <c r="C544" s="35">
        <v>122.58</v>
      </c>
      <c r="D544" s="35">
        <v>297.94099999999997</v>
      </c>
      <c r="E544" s="41">
        <v>729.47900000000004</v>
      </c>
      <c r="F544" s="35">
        <v>1150</v>
      </c>
      <c r="G544" s="35">
        <v>100</v>
      </c>
      <c r="H544" s="43">
        <v>600</v>
      </c>
      <c r="I544" s="35">
        <v>695</v>
      </c>
      <c r="J544" s="35">
        <v>50</v>
      </c>
      <c r="K544" s="36"/>
      <c r="L544" s="36"/>
      <c r="M544" s="36"/>
      <c r="N544" s="36"/>
      <c r="O544" s="36"/>
      <c r="P544" s="36"/>
      <c r="Q544" s="36"/>
      <c r="R544" s="36"/>
      <c r="S544" s="36"/>
      <c r="T544" s="36"/>
    </row>
    <row r="545" spans="1:20" ht="15.75">
      <c r="A545" s="13">
        <v>58106</v>
      </c>
      <c r="B545" s="44">
        <v>31</v>
      </c>
      <c r="C545" s="35">
        <v>122.58</v>
      </c>
      <c r="D545" s="35">
        <v>297.94099999999997</v>
      </c>
      <c r="E545" s="41">
        <v>729.47900000000004</v>
      </c>
      <c r="F545" s="35">
        <v>1150</v>
      </c>
      <c r="G545" s="35">
        <v>100</v>
      </c>
      <c r="H545" s="43">
        <v>600</v>
      </c>
      <c r="I545" s="35">
        <v>695</v>
      </c>
      <c r="J545" s="35">
        <v>50</v>
      </c>
      <c r="K545" s="36"/>
      <c r="L545" s="36"/>
      <c r="M545" s="36"/>
      <c r="N545" s="36"/>
      <c r="O545" s="36"/>
      <c r="P545" s="36"/>
      <c r="Q545" s="36"/>
      <c r="R545" s="36"/>
      <c r="S545" s="36"/>
      <c r="T545" s="36"/>
    </row>
    <row r="546" spans="1:20" ht="15.75">
      <c r="A546" s="13">
        <v>58134</v>
      </c>
      <c r="B546" s="44">
        <v>28</v>
      </c>
      <c r="C546" s="35">
        <v>122.58</v>
      </c>
      <c r="D546" s="35">
        <v>297.94099999999997</v>
      </c>
      <c r="E546" s="41">
        <v>729.47900000000004</v>
      </c>
      <c r="F546" s="35">
        <v>1150</v>
      </c>
      <c r="G546" s="35">
        <v>100</v>
      </c>
      <c r="H546" s="43">
        <v>600</v>
      </c>
      <c r="I546" s="35">
        <v>695</v>
      </c>
      <c r="J546" s="35">
        <v>50</v>
      </c>
      <c r="K546" s="36"/>
      <c r="L546" s="36"/>
      <c r="M546" s="36"/>
      <c r="N546" s="36"/>
      <c r="O546" s="36"/>
      <c r="P546" s="36"/>
      <c r="Q546" s="36"/>
      <c r="R546" s="36"/>
      <c r="S546" s="36"/>
      <c r="T546" s="36"/>
    </row>
    <row r="547" spans="1:20" ht="15.75">
      <c r="A547" s="13">
        <v>58165</v>
      </c>
      <c r="B547" s="44">
        <v>31</v>
      </c>
      <c r="C547" s="35">
        <v>122.58</v>
      </c>
      <c r="D547" s="35">
        <v>297.94099999999997</v>
      </c>
      <c r="E547" s="41">
        <v>729.47900000000004</v>
      </c>
      <c r="F547" s="35">
        <v>1150</v>
      </c>
      <c r="G547" s="35">
        <v>100</v>
      </c>
      <c r="H547" s="43">
        <v>600</v>
      </c>
      <c r="I547" s="35">
        <v>695</v>
      </c>
      <c r="J547" s="35">
        <v>50</v>
      </c>
      <c r="K547" s="36"/>
      <c r="L547" s="36"/>
      <c r="M547" s="36"/>
      <c r="N547" s="36"/>
      <c r="O547" s="36"/>
      <c r="P547" s="36"/>
      <c r="Q547" s="36"/>
      <c r="R547" s="36"/>
      <c r="S547" s="36"/>
      <c r="T547" s="36"/>
    </row>
    <row r="548" spans="1:20" ht="15.75">
      <c r="A548" s="13">
        <v>58195</v>
      </c>
      <c r="B548" s="44">
        <v>30</v>
      </c>
      <c r="C548" s="35">
        <v>141.29300000000001</v>
      </c>
      <c r="D548" s="35">
        <v>267.99299999999999</v>
      </c>
      <c r="E548" s="41">
        <v>829.71400000000006</v>
      </c>
      <c r="F548" s="35">
        <v>1239</v>
      </c>
      <c r="G548" s="35">
        <v>100</v>
      </c>
      <c r="H548" s="43">
        <v>600</v>
      </c>
      <c r="I548" s="35">
        <v>695</v>
      </c>
      <c r="J548" s="35">
        <v>50</v>
      </c>
      <c r="K548" s="36"/>
      <c r="L548" s="36"/>
      <c r="M548" s="36"/>
      <c r="N548" s="36"/>
      <c r="O548" s="36"/>
      <c r="P548" s="36"/>
      <c r="Q548" s="36"/>
      <c r="R548" s="36"/>
      <c r="S548" s="36"/>
      <c r="T548" s="36"/>
    </row>
    <row r="549" spans="1:20" ht="15.75">
      <c r="A549" s="13">
        <v>58226</v>
      </c>
      <c r="B549" s="44">
        <v>31</v>
      </c>
      <c r="C549" s="35">
        <v>194.20500000000001</v>
      </c>
      <c r="D549" s="35">
        <v>267.46600000000001</v>
      </c>
      <c r="E549" s="41">
        <v>812.32899999999995</v>
      </c>
      <c r="F549" s="35">
        <v>1274</v>
      </c>
      <c r="G549" s="35">
        <v>75</v>
      </c>
      <c r="H549" s="43">
        <v>600</v>
      </c>
      <c r="I549" s="35">
        <v>695</v>
      </c>
      <c r="J549" s="35">
        <v>50</v>
      </c>
      <c r="K549" s="36"/>
      <c r="L549" s="36"/>
      <c r="M549" s="36"/>
      <c r="N549" s="36"/>
      <c r="O549" s="36"/>
      <c r="P549" s="36"/>
      <c r="Q549" s="36"/>
      <c r="R549" s="36"/>
      <c r="S549" s="36"/>
      <c r="T549" s="36"/>
    </row>
    <row r="550" spans="1:20" ht="15.75">
      <c r="A550" s="13">
        <v>58256</v>
      </c>
      <c r="B550" s="44">
        <v>30</v>
      </c>
      <c r="C550" s="35">
        <v>194.20500000000001</v>
      </c>
      <c r="D550" s="35">
        <v>267.46600000000001</v>
      </c>
      <c r="E550" s="41">
        <v>812.32899999999995</v>
      </c>
      <c r="F550" s="35">
        <v>1274</v>
      </c>
      <c r="G550" s="35">
        <v>50</v>
      </c>
      <c r="H550" s="43">
        <v>600</v>
      </c>
      <c r="I550" s="35">
        <v>695</v>
      </c>
      <c r="J550" s="35">
        <v>50</v>
      </c>
      <c r="K550" s="36"/>
      <c r="L550" s="36"/>
      <c r="M550" s="36"/>
      <c r="N550" s="36"/>
      <c r="O550" s="36"/>
      <c r="P550" s="36"/>
      <c r="Q550" s="36"/>
      <c r="R550" s="36"/>
      <c r="S550" s="36"/>
      <c r="T550" s="36"/>
    </row>
    <row r="551" spans="1:20" ht="15.75">
      <c r="A551" s="13">
        <v>58287</v>
      </c>
      <c r="B551" s="44">
        <v>31</v>
      </c>
      <c r="C551" s="35">
        <v>194.20500000000001</v>
      </c>
      <c r="D551" s="35">
        <v>267.46600000000001</v>
      </c>
      <c r="E551" s="41">
        <v>812.32899999999995</v>
      </c>
      <c r="F551" s="35">
        <v>1274</v>
      </c>
      <c r="G551" s="35">
        <v>50</v>
      </c>
      <c r="H551" s="43">
        <v>600</v>
      </c>
      <c r="I551" s="35">
        <v>695</v>
      </c>
      <c r="J551" s="35">
        <v>0</v>
      </c>
      <c r="K551" s="36"/>
      <c r="L551" s="36"/>
      <c r="M551" s="36"/>
      <c r="N551" s="36"/>
      <c r="O551" s="36"/>
      <c r="P551" s="36"/>
      <c r="Q551" s="36"/>
      <c r="R551" s="36"/>
      <c r="S551" s="36"/>
      <c r="T551" s="36"/>
    </row>
    <row r="552" spans="1:20" ht="15.75">
      <c r="A552" s="13">
        <v>58318</v>
      </c>
      <c r="B552" s="44">
        <v>31</v>
      </c>
      <c r="C552" s="35">
        <v>194.20500000000001</v>
      </c>
      <c r="D552" s="35">
        <v>267.46600000000001</v>
      </c>
      <c r="E552" s="41">
        <v>812.32899999999995</v>
      </c>
      <c r="F552" s="35">
        <v>1274</v>
      </c>
      <c r="G552" s="35">
        <v>50</v>
      </c>
      <c r="H552" s="43">
        <v>600</v>
      </c>
      <c r="I552" s="35">
        <v>695</v>
      </c>
      <c r="J552" s="35">
        <v>0</v>
      </c>
      <c r="K552" s="36"/>
      <c r="L552" s="36"/>
      <c r="M552" s="36"/>
      <c r="N552" s="36"/>
      <c r="O552" s="36"/>
      <c r="P552" s="36"/>
      <c r="Q552" s="36"/>
      <c r="R552" s="36"/>
      <c r="S552" s="36"/>
      <c r="T552" s="36"/>
    </row>
    <row r="553" spans="1:20" ht="15.75">
      <c r="A553" s="13">
        <v>58348</v>
      </c>
      <c r="B553" s="44">
        <v>30</v>
      </c>
      <c r="C553" s="35">
        <v>194.20500000000001</v>
      </c>
      <c r="D553" s="35">
        <v>267.46600000000001</v>
      </c>
      <c r="E553" s="41">
        <v>812.32899999999995</v>
      </c>
      <c r="F553" s="35">
        <v>1274</v>
      </c>
      <c r="G553" s="35">
        <v>50</v>
      </c>
      <c r="H553" s="43">
        <v>600</v>
      </c>
      <c r="I553" s="35">
        <v>695</v>
      </c>
      <c r="J553" s="35">
        <v>0</v>
      </c>
      <c r="K553" s="36"/>
      <c r="L553" s="36"/>
      <c r="M553" s="36"/>
      <c r="N553" s="36"/>
      <c r="O553" s="36"/>
      <c r="P553" s="36"/>
      <c r="Q553" s="36"/>
      <c r="R553" s="36"/>
      <c r="S553" s="36"/>
      <c r="T553" s="36"/>
    </row>
    <row r="554" spans="1:20" ht="15.75">
      <c r="A554" s="13">
        <v>58379</v>
      </c>
      <c r="B554" s="44">
        <v>31</v>
      </c>
      <c r="C554" s="35">
        <v>131.881</v>
      </c>
      <c r="D554" s="35">
        <v>277.16699999999997</v>
      </c>
      <c r="E554" s="41">
        <v>829.952</v>
      </c>
      <c r="F554" s="35">
        <v>1239</v>
      </c>
      <c r="G554" s="35">
        <v>75</v>
      </c>
      <c r="H554" s="43">
        <v>600</v>
      </c>
      <c r="I554" s="35">
        <v>695</v>
      </c>
      <c r="J554" s="35">
        <v>0</v>
      </c>
      <c r="K554" s="36"/>
      <c r="L554" s="36"/>
      <c r="M554" s="36"/>
      <c r="N554" s="36"/>
      <c r="O554" s="36"/>
      <c r="P554" s="36"/>
      <c r="Q554" s="36"/>
      <c r="R554" s="36"/>
      <c r="S554" s="36"/>
      <c r="T554" s="36"/>
    </row>
    <row r="555" spans="1:20" ht="15.75">
      <c r="A555" s="13">
        <v>58409</v>
      </c>
      <c r="B555" s="44">
        <v>30</v>
      </c>
      <c r="C555" s="35">
        <v>122.58</v>
      </c>
      <c r="D555" s="35">
        <v>297.94099999999997</v>
      </c>
      <c r="E555" s="41">
        <v>729.47900000000004</v>
      </c>
      <c r="F555" s="35">
        <v>1150</v>
      </c>
      <c r="G555" s="35">
        <v>100</v>
      </c>
      <c r="H555" s="43">
        <v>600</v>
      </c>
      <c r="I555" s="35">
        <v>695</v>
      </c>
      <c r="J555" s="35">
        <v>50</v>
      </c>
      <c r="K555" s="36"/>
      <c r="L555" s="36"/>
      <c r="M555" s="36"/>
      <c r="N555" s="36"/>
      <c r="O555" s="36"/>
      <c r="P555" s="36"/>
      <c r="Q555" s="36"/>
      <c r="R555" s="36"/>
      <c r="S555" s="36"/>
      <c r="T555" s="36"/>
    </row>
    <row r="556" spans="1:20" ht="15.75">
      <c r="A556" s="13">
        <v>58440</v>
      </c>
      <c r="B556" s="44">
        <v>31</v>
      </c>
      <c r="C556" s="35">
        <v>122.58</v>
      </c>
      <c r="D556" s="35">
        <v>297.94099999999997</v>
      </c>
      <c r="E556" s="41">
        <v>729.47900000000004</v>
      </c>
      <c r="F556" s="35">
        <v>1150</v>
      </c>
      <c r="G556" s="35">
        <v>100</v>
      </c>
      <c r="H556" s="43">
        <v>600</v>
      </c>
      <c r="I556" s="35">
        <v>695</v>
      </c>
      <c r="J556" s="35">
        <v>50</v>
      </c>
      <c r="K556" s="36"/>
      <c r="L556" s="36"/>
      <c r="M556" s="36"/>
      <c r="N556" s="36"/>
      <c r="O556" s="36"/>
      <c r="P556" s="36"/>
      <c r="Q556" s="36"/>
      <c r="R556" s="36"/>
      <c r="S556" s="36"/>
      <c r="T556" s="36"/>
    </row>
    <row r="557" spans="1:20" ht="15.75">
      <c r="A557" s="13">
        <v>58471</v>
      </c>
      <c r="B557" s="44">
        <v>31</v>
      </c>
      <c r="C557" s="35">
        <v>122.58</v>
      </c>
      <c r="D557" s="35">
        <v>297.94099999999997</v>
      </c>
      <c r="E557" s="41">
        <v>729.47900000000004</v>
      </c>
      <c r="F557" s="35">
        <v>1150</v>
      </c>
      <c r="G557" s="35">
        <v>100</v>
      </c>
      <c r="H557" s="43">
        <v>600</v>
      </c>
      <c r="I557" s="35">
        <v>695</v>
      </c>
      <c r="J557" s="35">
        <v>50</v>
      </c>
      <c r="K557" s="36"/>
      <c r="L557" s="36"/>
      <c r="M557" s="36"/>
      <c r="N557" s="36"/>
      <c r="O557" s="36"/>
      <c r="P557" s="36"/>
      <c r="Q557" s="36"/>
      <c r="R557" s="36"/>
      <c r="S557" s="36"/>
      <c r="T557" s="36"/>
    </row>
    <row r="558" spans="1:20" ht="15.75">
      <c r="A558" s="13">
        <v>58499</v>
      </c>
      <c r="B558" s="44">
        <v>29</v>
      </c>
      <c r="C558" s="35">
        <v>122.58</v>
      </c>
      <c r="D558" s="35">
        <v>297.94099999999997</v>
      </c>
      <c r="E558" s="41">
        <v>729.47900000000004</v>
      </c>
      <c r="F558" s="35">
        <v>1150</v>
      </c>
      <c r="G558" s="35">
        <v>100</v>
      </c>
      <c r="H558" s="43">
        <v>600</v>
      </c>
      <c r="I558" s="35">
        <v>695</v>
      </c>
      <c r="J558" s="35">
        <v>50</v>
      </c>
      <c r="K558" s="36"/>
      <c r="L558" s="36"/>
      <c r="M558" s="36"/>
      <c r="N558" s="36"/>
      <c r="O558" s="36"/>
      <c r="P558" s="36"/>
      <c r="Q558" s="36"/>
      <c r="R558" s="36"/>
      <c r="S558" s="36"/>
      <c r="T558" s="36"/>
    </row>
    <row r="559" spans="1:20" ht="15.75">
      <c r="A559" s="13">
        <v>58531</v>
      </c>
      <c r="B559" s="44">
        <v>31</v>
      </c>
      <c r="C559" s="35">
        <v>122.58</v>
      </c>
      <c r="D559" s="35">
        <v>297.94099999999997</v>
      </c>
      <c r="E559" s="41">
        <v>729.47900000000004</v>
      </c>
      <c r="F559" s="35">
        <v>1150</v>
      </c>
      <c r="G559" s="35">
        <v>100</v>
      </c>
      <c r="H559" s="43">
        <v>600</v>
      </c>
      <c r="I559" s="35">
        <v>695</v>
      </c>
      <c r="J559" s="35">
        <v>50</v>
      </c>
      <c r="K559" s="36"/>
      <c r="L559" s="36"/>
      <c r="M559" s="36"/>
      <c r="N559" s="36"/>
      <c r="O559" s="36"/>
      <c r="P559" s="36"/>
      <c r="Q559" s="36"/>
      <c r="R559" s="36"/>
      <c r="S559" s="36"/>
      <c r="T559" s="36"/>
    </row>
    <row r="560" spans="1:20" ht="15.75">
      <c r="A560" s="13">
        <v>58561</v>
      </c>
      <c r="B560" s="44">
        <v>30</v>
      </c>
      <c r="C560" s="35">
        <v>141.29300000000001</v>
      </c>
      <c r="D560" s="35">
        <v>267.99299999999999</v>
      </c>
      <c r="E560" s="41">
        <v>829.71400000000006</v>
      </c>
      <c r="F560" s="35">
        <v>1239</v>
      </c>
      <c r="G560" s="35">
        <v>100</v>
      </c>
      <c r="H560" s="43">
        <v>600</v>
      </c>
      <c r="I560" s="35">
        <v>695</v>
      </c>
      <c r="J560" s="35">
        <v>50</v>
      </c>
      <c r="K560" s="36"/>
      <c r="L560" s="36"/>
      <c r="M560" s="36"/>
      <c r="N560" s="36"/>
      <c r="O560" s="36"/>
      <c r="P560" s="36"/>
      <c r="Q560" s="36"/>
      <c r="R560" s="36"/>
      <c r="S560" s="36"/>
      <c r="T560" s="36"/>
    </row>
    <row r="561" spans="1:20" ht="15.75">
      <c r="A561" s="13">
        <v>58592</v>
      </c>
      <c r="B561" s="44">
        <v>31</v>
      </c>
      <c r="C561" s="35">
        <v>194.20500000000001</v>
      </c>
      <c r="D561" s="35">
        <v>267.46600000000001</v>
      </c>
      <c r="E561" s="41">
        <v>812.32899999999995</v>
      </c>
      <c r="F561" s="35">
        <v>1274</v>
      </c>
      <c r="G561" s="35">
        <v>75</v>
      </c>
      <c r="H561" s="43">
        <v>600</v>
      </c>
      <c r="I561" s="35">
        <v>695</v>
      </c>
      <c r="J561" s="35">
        <v>50</v>
      </c>
      <c r="K561" s="36"/>
      <c r="L561" s="36"/>
      <c r="M561" s="36"/>
      <c r="N561" s="36"/>
      <c r="O561" s="36"/>
      <c r="P561" s="36"/>
      <c r="Q561" s="36"/>
      <c r="R561" s="36"/>
      <c r="S561" s="36"/>
      <c r="T561" s="36"/>
    </row>
    <row r="562" spans="1:20" ht="15.75">
      <c r="A562" s="13">
        <v>58622</v>
      </c>
      <c r="B562" s="44">
        <v>30</v>
      </c>
      <c r="C562" s="35">
        <v>194.20500000000001</v>
      </c>
      <c r="D562" s="35">
        <v>267.46600000000001</v>
      </c>
      <c r="E562" s="41">
        <v>812.32899999999995</v>
      </c>
      <c r="F562" s="35">
        <v>1274</v>
      </c>
      <c r="G562" s="35">
        <v>50</v>
      </c>
      <c r="H562" s="43">
        <v>600</v>
      </c>
      <c r="I562" s="35">
        <v>695</v>
      </c>
      <c r="J562" s="35">
        <v>50</v>
      </c>
      <c r="K562" s="36"/>
      <c r="L562" s="36"/>
      <c r="M562" s="36"/>
      <c r="N562" s="36"/>
      <c r="O562" s="36"/>
      <c r="P562" s="36"/>
      <c r="Q562" s="36"/>
      <c r="R562" s="36"/>
      <c r="S562" s="36"/>
      <c r="T562" s="36"/>
    </row>
    <row r="563" spans="1:20" ht="15.75">
      <c r="A563" s="13">
        <v>58653</v>
      </c>
      <c r="B563" s="44">
        <v>31</v>
      </c>
      <c r="C563" s="35">
        <v>194.20500000000001</v>
      </c>
      <c r="D563" s="35">
        <v>267.46600000000001</v>
      </c>
      <c r="E563" s="41">
        <v>812.32899999999995</v>
      </c>
      <c r="F563" s="35">
        <v>1274</v>
      </c>
      <c r="G563" s="35">
        <v>50</v>
      </c>
      <c r="H563" s="43">
        <v>600</v>
      </c>
      <c r="I563" s="35">
        <v>695</v>
      </c>
      <c r="J563" s="35">
        <v>0</v>
      </c>
      <c r="K563" s="36"/>
      <c r="L563" s="36"/>
      <c r="M563" s="36"/>
      <c r="N563" s="36"/>
      <c r="O563" s="36"/>
      <c r="P563" s="36"/>
      <c r="Q563" s="36"/>
      <c r="R563" s="36"/>
      <c r="S563" s="36"/>
      <c r="T563" s="36"/>
    </row>
    <row r="564" spans="1:20" ht="15.75">
      <c r="A564" s="13">
        <v>58684</v>
      </c>
      <c r="B564" s="44">
        <v>31</v>
      </c>
      <c r="C564" s="35">
        <v>194.20500000000001</v>
      </c>
      <c r="D564" s="35">
        <v>267.46600000000001</v>
      </c>
      <c r="E564" s="41">
        <v>812.32899999999995</v>
      </c>
      <c r="F564" s="35">
        <v>1274</v>
      </c>
      <c r="G564" s="35">
        <v>50</v>
      </c>
      <c r="H564" s="43">
        <v>600</v>
      </c>
      <c r="I564" s="35">
        <v>695</v>
      </c>
      <c r="J564" s="35">
        <v>0</v>
      </c>
      <c r="K564" s="36"/>
      <c r="L564" s="36"/>
      <c r="M564" s="36"/>
      <c r="N564" s="36"/>
      <c r="O564" s="36"/>
      <c r="P564" s="36"/>
      <c r="Q564" s="36"/>
      <c r="R564" s="36"/>
      <c r="S564" s="36"/>
      <c r="T564" s="36"/>
    </row>
    <row r="565" spans="1:20" ht="15.75">
      <c r="A565" s="13">
        <v>58714</v>
      </c>
      <c r="B565" s="44">
        <v>30</v>
      </c>
      <c r="C565" s="35">
        <v>194.20500000000001</v>
      </c>
      <c r="D565" s="35">
        <v>267.46600000000001</v>
      </c>
      <c r="E565" s="41">
        <v>812.32899999999995</v>
      </c>
      <c r="F565" s="35">
        <v>1274</v>
      </c>
      <c r="G565" s="35">
        <v>50</v>
      </c>
      <c r="H565" s="43">
        <v>600</v>
      </c>
      <c r="I565" s="35">
        <v>695</v>
      </c>
      <c r="J565" s="35">
        <v>0</v>
      </c>
      <c r="K565" s="36"/>
      <c r="L565" s="36"/>
      <c r="M565" s="36"/>
      <c r="N565" s="36"/>
      <c r="O565" s="36"/>
      <c r="P565" s="36"/>
      <c r="Q565" s="36"/>
      <c r="R565" s="36"/>
      <c r="S565" s="36"/>
      <c r="T565" s="36"/>
    </row>
    <row r="566" spans="1:20" ht="15.75">
      <c r="A566" s="13">
        <v>58745</v>
      </c>
      <c r="B566" s="44">
        <v>31</v>
      </c>
      <c r="C566" s="35">
        <v>131.881</v>
      </c>
      <c r="D566" s="35">
        <v>277.16699999999997</v>
      </c>
      <c r="E566" s="41">
        <v>829.952</v>
      </c>
      <c r="F566" s="35">
        <v>1239</v>
      </c>
      <c r="G566" s="35">
        <v>75</v>
      </c>
      <c r="H566" s="43">
        <v>600</v>
      </c>
      <c r="I566" s="35">
        <v>695</v>
      </c>
      <c r="J566" s="35">
        <v>0</v>
      </c>
      <c r="K566" s="36"/>
      <c r="L566" s="36"/>
      <c r="M566" s="36"/>
      <c r="N566" s="36"/>
      <c r="O566" s="36"/>
      <c r="P566" s="36"/>
      <c r="Q566" s="36"/>
      <c r="R566" s="36"/>
      <c r="S566" s="36"/>
      <c r="T566" s="36"/>
    </row>
    <row r="567" spans="1:20" ht="15.75">
      <c r="A567" s="13">
        <v>58775</v>
      </c>
      <c r="B567" s="44">
        <v>30</v>
      </c>
      <c r="C567" s="35">
        <v>122.58</v>
      </c>
      <c r="D567" s="35">
        <v>297.94099999999997</v>
      </c>
      <c r="E567" s="41">
        <v>729.47900000000004</v>
      </c>
      <c r="F567" s="35">
        <v>1150</v>
      </c>
      <c r="G567" s="35">
        <v>100</v>
      </c>
      <c r="H567" s="43">
        <v>600</v>
      </c>
      <c r="I567" s="35">
        <v>695</v>
      </c>
      <c r="J567" s="35">
        <v>50</v>
      </c>
      <c r="K567" s="36"/>
      <c r="L567" s="36"/>
      <c r="M567" s="36"/>
      <c r="N567" s="36"/>
      <c r="O567" s="36"/>
      <c r="P567" s="36"/>
      <c r="Q567" s="36"/>
      <c r="R567" s="36"/>
      <c r="S567" s="36"/>
      <c r="T567" s="36"/>
    </row>
    <row r="568" spans="1:20" ht="15.75">
      <c r="A568" s="13">
        <v>58806</v>
      </c>
      <c r="B568" s="44">
        <v>31</v>
      </c>
      <c r="C568" s="35">
        <v>122.58</v>
      </c>
      <c r="D568" s="35">
        <v>297.94099999999997</v>
      </c>
      <c r="E568" s="41">
        <v>729.47900000000004</v>
      </c>
      <c r="F568" s="35">
        <v>1150</v>
      </c>
      <c r="G568" s="35">
        <v>100</v>
      </c>
      <c r="H568" s="43">
        <v>600</v>
      </c>
      <c r="I568" s="35">
        <v>695</v>
      </c>
      <c r="J568" s="35">
        <v>50</v>
      </c>
      <c r="K568" s="36"/>
      <c r="L568" s="36"/>
      <c r="M568" s="36"/>
      <c r="N568" s="36"/>
      <c r="O568" s="36"/>
      <c r="P568" s="36"/>
      <c r="Q568" s="36"/>
      <c r="R568" s="36"/>
      <c r="S568" s="36"/>
      <c r="T568" s="36"/>
    </row>
    <row r="569" spans="1:20" ht="15.75">
      <c r="A569" s="13">
        <v>58837</v>
      </c>
      <c r="B569" s="44">
        <v>31</v>
      </c>
      <c r="C569" s="35">
        <v>122.58</v>
      </c>
      <c r="D569" s="35">
        <v>297.94099999999997</v>
      </c>
      <c r="E569" s="41">
        <v>729.47900000000004</v>
      </c>
      <c r="F569" s="35">
        <v>1150</v>
      </c>
      <c r="G569" s="35">
        <v>100</v>
      </c>
      <c r="H569" s="43">
        <v>600</v>
      </c>
      <c r="I569" s="35">
        <v>695</v>
      </c>
      <c r="J569" s="35">
        <v>50</v>
      </c>
      <c r="K569" s="36"/>
      <c r="L569" s="36"/>
      <c r="M569" s="36"/>
      <c r="N569" s="36"/>
      <c r="O569" s="36"/>
      <c r="P569" s="36"/>
      <c r="Q569" s="36"/>
      <c r="R569" s="36"/>
      <c r="S569" s="36"/>
      <c r="T569" s="36"/>
    </row>
    <row r="570" spans="1:20" ht="15.75">
      <c r="A570" s="13">
        <v>58865</v>
      </c>
      <c r="B570" s="44">
        <v>28</v>
      </c>
      <c r="C570" s="35">
        <v>122.58</v>
      </c>
      <c r="D570" s="35">
        <v>297.94099999999997</v>
      </c>
      <c r="E570" s="41">
        <v>729.47900000000004</v>
      </c>
      <c r="F570" s="35">
        <v>1150</v>
      </c>
      <c r="G570" s="35">
        <v>100</v>
      </c>
      <c r="H570" s="43">
        <v>600</v>
      </c>
      <c r="I570" s="35">
        <v>695</v>
      </c>
      <c r="J570" s="35">
        <v>50</v>
      </c>
      <c r="K570" s="36"/>
      <c r="L570" s="36"/>
      <c r="M570" s="36"/>
      <c r="N570" s="36"/>
      <c r="O570" s="36"/>
      <c r="P570" s="36"/>
      <c r="Q570" s="36"/>
      <c r="R570" s="36"/>
      <c r="S570" s="36"/>
      <c r="T570" s="36"/>
    </row>
    <row r="571" spans="1:20" ht="15.75">
      <c r="A571" s="13">
        <v>58893</v>
      </c>
      <c r="B571" s="44">
        <v>31</v>
      </c>
      <c r="C571" s="35">
        <v>122.58</v>
      </c>
      <c r="D571" s="35">
        <v>297.94099999999997</v>
      </c>
      <c r="E571" s="41">
        <v>729.47900000000004</v>
      </c>
      <c r="F571" s="35">
        <v>1150</v>
      </c>
      <c r="G571" s="35">
        <v>100</v>
      </c>
      <c r="H571" s="43">
        <v>600</v>
      </c>
      <c r="I571" s="35">
        <v>695</v>
      </c>
      <c r="J571" s="35">
        <v>50</v>
      </c>
      <c r="K571" s="36"/>
      <c r="L571" s="36"/>
      <c r="M571" s="36"/>
      <c r="N571" s="36"/>
      <c r="O571" s="36"/>
      <c r="P571" s="36"/>
      <c r="Q571" s="36"/>
      <c r="R571" s="36"/>
      <c r="S571" s="36"/>
      <c r="T571" s="36"/>
    </row>
    <row r="572" spans="1:20" ht="15.75">
      <c r="A572" s="13">
        <v>58926</v>
      </c>
      <c r="B572" s="44">
        <v>30</v>
      </c>
      <c r="C572" s="35">
        <v>141.29300000000001</v>
      </c>
      <c r="D572" s="35">
        <v>267.99299999999999</v>
      </c>
      <c r="E572" s="41">
        <v>829.71400000000006</v>
      </c>
      <c r="F572" s="35">
        <v>1239</v>
      </c>
      <c r="G572" s="35">
        <v>100</v>
      </c>
      <c r="H572" s="43">
        <v>600</v>
      </c>
      <c r="I572" s="35">
        <v>695</v>
      </c>
      <c r="J572" s="35">
        <v>50</v>
      </c>
      <c r="K572" s="36"/>
      <c r="L572" s="36"/>
      <c r="M572" s="36"/>
      <c r="N572" s="36"/>
      <c r="O572" s="36"/>
      <c r="P572" s="36"/>
      <c r="Q572" s="36"/>
      <c r="R572" s="36"/>
      <c r="S572" s="36"/>
      <c r="T572" s="36"/>
    </row>
    <row r="573" spans="1:20" ht="15.75">
      <c r="A573" s="13">
        <v>58957</v>
      </c>
      <c r="B573" s="44">
        <v>31</v>
      </c>
      <c r="C573" s="35">
        <v>194.20500000000001</v>
      </c>
      <c r="D573" s="35">
        <v>267.46600000000001</v>
      </c>
      <c r="E573" s="41">
        <v>812.32899999999995</v>
      </c>
      <c r="F573" s="35">
        <v>1274</v>
      </c>
      <c r="G573" s="35">
        <v>75</v>
      </c>
      <c r="H573" s="43">
        <v>600</v>
      </c>
      <c r="I573" s="35">
        <v>695</v>
      </c>
      <c r="J573" s="35">
        <v>50</v>
      </c>
      <c r="K573" s="36"/>
      <c r="L573" s="36"/>
      <c r="M573" s="36"/>
      <c r="N573" s="36"/>
      <c r="O573" s="36"/>
      <c r="P573" s="36"/>
      <c r="Q573" s="36"/>
      <c r="R573" s="36"/>
      <c r="S573" s="36"/>
      <c r="T573" s="36"/>
    </row>
    <row r="574" spans="1:20" ht="15.75">
      <c r="A574" s="13">
        <v>58987</v>
      </c>
      <c r="B574" s="44">
        <v>30</v>
      </c>
      <c r="C574" s="35">
        <v>194.20500000000001</v>
      </c>
      <c r="D574" s="35">
        <v>267.46600000000001</v>
      </c>
      <c r="E574" s="41">
        <v>812.32899999999995</v>
      </c>
      <c r="F574" s="35">
        <v>1274</v>
      </c>
      <c r="G574" s="35">
        <v>50</v>
      </c>
      <c r="H574" s="43">
        <v>600</v>
      </c>
      <c r="I574" s="35">
        <v>695</v>
      </c>
      <c r="J574" s="35">
        <v>50</v>
      </c>
      <c r="K574" s="36"/>
      <c r="L574" s="36"/>
      <c r="M574" s="36"/>
      <c r="N574" s="36"/>
      <c r="O574" s="36"/>
      <c r="P574" s="36"/>
      <c r="Q574" s="36"/>
      <c r="R574" s="36"/>
      <c r="S574" s="36"/>
      <c r="T574" s="36"/>
    </row>
    <row r="575" spans="1:20" ht="15.75">
      <c r="A575" s="13">
        <v>59018</v>
      </c>
      <c r="B575" s="44">
        <v>31</v>
      </c>
      <c r="C575" s="35">
        <v>194.20500000000001</v>
      </c>
      <c r="D575" s="35">
        <v>267.46600000000001</v>
      </c>
      <c r="E575" s="41">
        <v>812.32899999999995</v>
      </c>
      <c r="F575" s="35">
        <v>1274</v>
      </c>
      <c r="G575" s="35">
        <v>50</v>
      </c>
      <c r="H575" s="43">
        <v>600</v>
      </c>
      <c r="I575" s="35">
        <v>695</v>
      </c>
      <c r="J575" s="35">
        <v>0</v>
      </c>
      <c r="K575" s="36"/>
      <c r="L575" s="36"/>
      <c r="M575" s="36"/>
      <c r="N575" s="36"/>
      <c r="O575" s="36"/>
      <c r="P575" s="36"/>
      <c r="Q575" s="36"/>
      <c r="R575" s="36"/>
      <c r="S575" s="36"/>
      <c r="T575" s="36"/>
    </row>
    <row r="576" spans="1:20" ht="15.75">
      <c r="A576" s="13">
        <v>59049</v>
      </c>
      <c r="B576" s="44">
        <v>31</v>
      </c>
      <c r="C576" s="35">
        <v>194.20500000000001</v>
      </c>
      <c r="D576" s="35">
        <v>267.46600000000001</v>
      </c>
      <c r="E576" s="41">
        <v>812.32899999999995</v>
      </c>
      <c r="F576" s="35">
        <v>1274</v>
      </c>
      <c r="G576" s="35">
        <v>50</v>
      </c>
      <c r="H576" s="43">
        <v>600</v>
      </c>
      <c r="I576" s="35">
        <v>695</v>
      </c>
      <c r="J576" s="35">
        <v>0</v>
      </c>
      <c r="K576" s="36"/>
      <c r="L576" s="36"/>
      <c r="M576" s="36"/>
      <c r="N576" s="36"/>
      <c r="O576" s="36"/>
      <c r="P576" s="36"/>
      <c r="Q576" s="36"/>
      <c r="R576" s="36"/>
      <c r="S576" s="36"/>
      <c r="T576" s="36"/>
    </row>
    <row r="577" spans="1:20" ht="15.75">
      <c r="A577" s="13">
        <v>59079</v>
      </c>
      <c r="B577" s="44">
        <v>30</v>
      </c>
      <c r="C577" s="35">
        <v>194.20500000000001</v>
      </c>
      <c r="D577" s="35">
        <v>267.46600000000001</v>
      </c>
      <c r="E577" s="41">
        <v>812.32899999999995</v>
      </c>
      <c r="F577" s="35">
        <v>1274</v>
      </c>
      <c r="G577" s="35">
        <v>50</v>
      </c>
      <c r="H577" s="43">
        <v>600</v>
      </c>
      <c r="I577" s="35">
        <v>695</v>
      </c>
      <c r="J577" s="35">
        <v>0</v>
      </c>
      <c r="K577" s="36"/>
      <c r="L577" s="36"/>
      <c r="M577" s="36"/>
      <c r="N577" s="36"/>
      <c r="O577" s="36"/>
      <c r="P577" s="36"/>
      <c r="Q577" s="36"/>
      <c r="R577" s="36"/>
      <c r="S577" s="36"/>
      <c r="T577" s="36"/>
    </row>
    <row r="578" spans="1:20" ht="15.75">
      <c r="A578" s="13">
        <v>59110</v>
      </c>
      <c r="B578" s="44">
        <v>31</v>
      </c>
      <c r="C578" s="35">
        <v>131.881</v>
      </c>
      <c r="D578" s="35">
        <v>277.16699999999997</v>
      </c>
      <c r="E578" s="41">
        <v>829.952</v>
      </c>
      <c r="F578" s="35">
        <v>1239</v>
      </c>
      <c r="G578" s="35">
        <v>75</v>
      </c>
      <c r="H578" s="43">
        <v>600</v>
      </c>
      <c r="I578" s="35">
        <v>695</v>
      </c>
      <c r="J578" s="35">
        <v>0</v>
      </c>
      <c r="K578" s="36"/>
      <c r="L578" s="36"/>
      <c r="M578" s="36"/>
      <c r="N578" s="36"/>
      <c r="O578" s="36"/>
      <c r="P578" s="36"/>
      <c r="Q578" s="36"/>
      <c r="R578" s="36"/>
      <c r="S578" s="36"/>
      <c r="T578" s="36"/>
    </row>
    <row r="579" spans="1:20" ht="15.75">
      <c r="A579" s="13">
        <v>59140</v>
      </c>
      <c r="B579" s="44">
        <v>30</v>
      </c>
      <c r="C579" s="35">
        <v>122.58</v>
      </c>
      <c r="D579" s="35">
        <v>297.94099999999997</v>
      </c>
      <c r="E579" s="41">
        <v>729.47900000000004</v>
      </c>
      <c r="F579" s="35">
        <v>1150</v>
      </c>
      <c r="G579" s="35">
        <v>100</v>
      </c>
      <c r="H579" s="43">
        <v>600</v>
      </c>
      <c r="I579" s="35">
        <v>695</v>
      </c>
      <c r="J579" s="35">
        <v>50</v>
      </c>
      <c r="K579" s="36"/>
      <c r="L579" s="36"/>
      <c r="M579" s="36"/>
      <c r="N579" s="36"/>
      <c r="O579" s="36"/>
      <c r="P579" s="36"/>
      <c r="Q579" s="36"/>
      <c r="R579" s="36"/>
      <c r="S579" s="36"/>
      <c r="T579" s="36"/>
    </row>
    <row r="580" spans="1:20" ht="15.75">
      <c r="A580" s="13">
        <v>59171</v>
      </c>
      <c r="B580" s="44">
        <v>31</v>
      </c>
      <c r="C580" s="35">
        <v>122.58</v>
      </c>
      <c r="D580" s="35">
        <v>297.94099999999997</v>
      </c>
      <c r="E580" s="41">
        <v>729.47900000000004</v>
      </c>
      <c r="F580" s="35">
        <v>1150</v>
      </c>
      <c r="G580" s="35">
        <v>100</v>
      </c>
      <c r="H580" s="43">
        <v>600</v>
      </c>
      <c r="I580" s="35">
        <v>695</v>
      </c>
      <c r="J580" s="35">
        <v>50</v>
      </c>
      <c r="K580" s="36"/>
      <c r="L580" s="36"/>
      <c r="M580" s="36"/>
      <c r="N580" s="36"/>
      <c r="O580" s="36"/>
      <c r="P580" s="36"/>
      <c r="Q580" s="36"/>
      <c r="R580" s="36"/>
      <c r="S580" s="36"/>
      <c r="T580" s="36"/>
    </row>
    <row r="581" spans="1:20" ht="15.75">
      <c r="A581" s="13">
        <v>59202</v>
      </c>
      <c r="B581" s="44">
        <f t="shared" ref="B581:B644" si="0">EOMONTH(A581,0)-EOMONTH(A581,-1)</f>
        <v>31</v>
      </c>
      <c r="C581" s="35">
        <v>122.58</v>
      </c>
      <c r="D581" s="35">
        <v>297.94099999999997</v>
      </c>
      <c r="E581" s="41">
        <v>729.47900000000004</v>
      </c>
      <c r="F581" s="35">
        <v>1150</v>
      </c>
      <c r="G581" s="35">
        <v>100</v>
      </c>
      <c r="H581" s="43">
        <v>600</v>
      </c>
      <c r="I581" s="35">
        <v>695</v>
      </c>
      <c r="J581" s="35">
        <v>50</v>
      </c>
      <c r="K581" s="36"/>
      <c r="L581" s="36"/>
      <c r="M581" s="36"/>
      <c r="N581" s="36"/>
      <c r="O581" s="36"/>
      <c r="P581" s="36"/>
      <c r="Q581" s="36"/>
      <c r="R581" s="36"/>
      <c r="S581" s="36"/>
      <c r="T581" s="36"/>
    </row>
    <row r="582" spans="1:20" ht="15.75">
      <c r="A582" s="13">
        <v>59230</v>
      </c>
      <c r="B582" s="44">
        <f t="shared" si="0"/>
        <v>28</v>
      </c>
      <c r="C582" s="35">
        <v>122.58</v>
      </c>
      <c r="D582" s="35">
        <v>297.94099999999997</v>
      </c>
      <c r="E582" s="41">
        <v>729.47900000000004</v>
      </c>
      <c r="F582" s="35">
        <v>1150</v>
      </c>
      <c r="G582" s="35">
        <v>100</v>
      </c>
      <c r="H582" s="43">
        <v>600</v>
      </c>
      <c r="I582" s="35">
        <v>695</v>
      </c>
      <c r="J582" s="35">
        <v>50</v>
      </c>
      <c r="K582" s="36"/>
      <c r="L582" s="36"/>
      <c r="M582" s="36"/>
      <c r="N582" s="36"/>
      <c r="O582" s="36"/>
      <c r="P582" s="36"/>
      <c r="Q582" s="36"/>
      <c r="R582" s="36"/>
      <c r="S582" s="36"/>
      <c r="T582" s="36"/>
    </row>
    <row r="583" spans="1:20" ht="15.75">
      <c r="A583" s="13">
        <v>59261</v>
      </c>
      <c r="B583" s="44">
        <f t="shared" si="0"/>
        <v>31</v>
      </c>
      <c r="C583" s="35">
        <v>122.58</v>
      </c>
      <c r="D583" s="35">
        <v>297.94099999999997</v>
      </c>
      <c r="E583" s="41">
        <v>729.47900000000004</v>
      </c>
      <c r="F583" s="35">
        <v>1150</v>
      </c>
      <c r="G583" s="35">
        <v>100</v>
      </c>
      <c r="H583" s="43">
        <v>600</v>
      </c>
      <c r="I583" s="35">
        <v>695</v>
      </c>
      <c r="J583" s="35">
        <v>50</v>
      </c>
      <c r="K583" s="36"/>
      <c r="L583" s="36"/>
      <c r="M583" s="36"/>
      <c r="N583" s="36"/>
      <c r="O583" s="36"/>
      <c r="P583" s="36"/>
      <c r="Q583" s="36"/>
      <c r="R583" s="36"/>
      <c r="S583" s="36"/>
      <c r="T583" s="36"/>
    </row>
    <row r="584" spans="1:20" ht="15.75">
      <c r="A584" s="13">
        <v>59291</v>
      </c>
      <c r="B584" s="44">
        <f t="shared" si="0"/>
        <v>30</v>
      </c>
      <c r="C584" s="35">
        <v>141.29300000000001</v>
      </c>
      <c r="D584" s="35">
        <v>267.99299999999999</v>
      </c>
      <c r="E584" s="41">
        <v>829.71400000000006</v>
      </c>
      <c r="F584" s="35">
        <v>1239</v>
      </c>
      <c r="G584" s="35">
        <v>100</v>
      </c>
      <c r="H584" s="43">
        <v>600</v>
      </c>
      <c r="I584" s="35">
        <v>695</v>
      </c>
      <c r="J584" s="35">
        <v>50</v>
      </c>
      <c r="K584" s="36"/>
      <c r="L584" s="36"/>
      <c r="M584" s="36"/>
      <c r="N584" s="36"/>
      <c r="O584" s="36"/>
      <c r="P584" s="36"/>
      <c r="Q584" s="36"/>
      <c r="R584" s="36"/>
      <c r="S584" s="36"/>
      <c r="T584" s="36"/>
    </row>
    <row r="585" spans="1:20" ht="15.75">
      <c r="A585" s="13">
        <v>59322</v>
      </c>
      <c r="B585" s="44">
        <f t="shared" si="0"/>
        <v>31</v>
      </c>
      <c r="C585" s="35">
        <v>194.20500000000001</v>
      </c>
      <c r="D585" s="35">
        <v>267.46600000000001</v>
      </c>
      <c r="E585" s="41">
        <v>812.32899999999995</v>
      </c>
      <c r="F585" s="35">
        <v>1274</v>
      </c>
      <c r="G585" s="35">
        <v>75</v>
      </c>
      <c r="H585" s="43">
        <v>600</v>
      </c>
      <c r="I585" s="35">
        <v>695</v>
      </c>
      <c r="J585" s="35">
        <v>50</v>
      </c>
      <c r="K585" s="36"/>
      <c r="L585" s="36"/>
      <c r="M585" s="36"/>
      <c r="N585" s="36"/>
      <c r="O585" s="36"/>
      <c r="P585" s="36"/>
      <c r="Q585" s="36"/>
      <c r="R585" s="36"/>
      <c r="S585" s="36"/>
      <c r="T585" s="36"/>
    </row>
    <row r="586" spans="1:20" ht="15.75">
      <c r="A586" s="13">
        <v>59352</v>
      </c>
      <c r="B586" s="44">
        <f t="shared" si="0"/>
        <v>30</v>
      </c>
      <c r="C586" s="35">
        <v>194.20500000000001</v>
      </c>
      <c r="D586" s="35">
        <v>267.46600000000001</v>
      </c>
      <c r="E586" s="41">
        <v>812.32899999999995</v>
      </c>
      <c r="F586" s="35">
        <v>1274</v>
      </c>
      <c r="G586" s="35">
        <v>50</v>
      </c>
      <c r="H586" s="43">
        <v>600</v>
      </c>
      <c r="I586" s="35">
        <v>695</v>
      </c>
      <c r="J586" s="35">
        <v>50</v>
      </c>
      <c r="K586" s="36"/>
      <c r="L586" s="36"/>
      <c r="M586" s="36"/>
      <c r="N586" s="36"/>
      <c r="O586" s="36"/>
      <c r="P586" s="36"/>
      <c r="Q586" s="36"/>
      <c r="R586" s="36"/>
      <c r="S586" s="36"/>
      <c r="T586" s="36"/>
    </row>
    <row r="587" spans="1:20" ht="15.75">
      <c r="A587" s="13">
        <v>59383</v>
      </c>
      <c r="B587" s="44">
        <f t="shared" si="0"/>
        <v>31</v>
      </c>
      <c r="C587" s="35">
        <v>194.20500000000001</v>
      </c>
      <c r="D587" s="35">
        <v>267.46600000000001</v>
      </c>
      <c r="E587" s="41">
        <v>812.32899999999995</v>
      </c>
      <c r="F587" s="35">
        <v>1274</v>
      </c>
      <c r="G587" s="35">
        <v>50</v>
      </c>
      <c r="H587" s="43">
        <v>600</v>
      </c>
      <c r="I587" s="35">
        <v>695</v>
      </c>
      <c r="J587" s="35">
        <v>0</v>
      </c>
      <c r="K587" s="36"/>
      <c r="L587" s="36"/>
      <c r="M587" s="36"/>
      <c r="N587" s="36"/>
      <c r="O587" s="36"/>
      <c r="P587" s="36"/>
      <c r="Q587" s="36"/>
      <c r="R587" s="36"/>
      <c r="S587" s="36"/>
      <c r="T587" s="36"/>
    </row>
    <row r="588" spans="1:20" ht="15.75">
      <c r="A588" s="13">
        <v>59414</v>
      </c>
      <c r="B588" s="44">
        <f t="shared" si="0"/>
        <v>31</v>
      </c>
      <c r="C588" s="35">
        <v>194.20500000000001</v>
      </c>
      <c r="D588" s="35">
        <v>267.46600000000001</v>
      </c>
      <c r="E588" s="41">
        <v>812.32899999999995</v>
      </c>
      <c r="F588" s="35">
        <v>1274</v>
      </c>
      <c r="G588" s="35">
        <v>50</v>
      </c>
      <c r="H588" s="43">
        <v>600</v>
      </c>
      <c r="I588" s="35">
        <v>695</v>
      </c>
      <c r="J588" s="35">
        <v>0</v>
      </c>
      <c r="K588" s="36"/>
      <c r="L588" s="36"/>
      <c r="M588" s="36"/>
      <c r="N588" s="36"/>
      <c r="O588" s="36"/>
      <c r="P588" s="36"/>
      <c r="Q588" s="36"/>
      <c r="R588" s="36"/>
      <c r="S588" s="36"/>
      <c r="T588" s="36"/>
    </row>
    <row r="589" spans="1:20" ht="15.75">
      <c r="A589" s="13">
        <v>59444</v>
      </c>
      <c r="B589" s="44">
        <f t="shared" si="0"/>
        <v>30</v>
      </c>
      <c r="C589" s="35">
        <v>194.20500000000001</v>
      </c>
      <c r="D589" s="35">
        <v>267.46600000000001</v>
      </c>
      <c r="E589" s="41">
        <v>812.32899999999995</v>
      </c>
      <c r="F589" s="35">
        <v>1274</v>
      </c>
      <c r="G589" s="35">
        <v>50</v>
      </c>
      <c r="H589" s="43">
        <v>600</v>
      </c>
      <c r="I589" s="35">
        <v>695</v>
      </c>
      <c r="J589" s="35">
        <v>0</v>
      </c>
      <c r="K589" s="36"/>
      <c r="L589" s="36"/>
      <c r="M589" s="36"/>
      <c r="N589" s="36"/>
      <c r="O589" s="36"/>
      <c r="P589" s="36"/>
      <c r="Q589" s="36"/>
      <c r="R589" s="36"/>
      <c r="S589" s="36"/>
      <c r="T589" s="36"/>
    </row>
    <row r="590" spans="1:20" ht="15.75">
      <c r="A590" s="13">
        <v>59475</v>
      </c>
      <c r="B590" s="44">
        <f t="shared" si="0"/>
        <v>31</v>
      </c>
      <c r="C590" s="35">
        <v>131.881</v>
      </c>
      <c r="D590" s="35">
        <v>277.16699999999997</v>
      </c>
      <c r="E590" s="41">
        <v>829.952</v>
      </c>
      <c r="F590" s="35">
        <v>1239</v>
      </c>
      <c r="G590" s="35">
        <v>75</v>
      </c>
      <c r="H590" s="43">
        <v>600</v>
      </c>
      <c r="I590" s="35">
        <v>695</v>
      </c>
      <c r="J590" s="35">
        <v>0</v>
      </c>
      <c r="K590" s="36"/>
      <c r="L590" s="36"/>
      <c r="M590" s="36"/>
      <c r="N590" s="36"/>
      <c r="O590" s="36"/>
      <c r="P590" s="36"/>
      <c r="Q590" s="36"/>
      <c r="R590" s="36"/>
      <c r="S590" s="36"/>
      <c r="T590" s="36"/>
    </row>
    <row r="591" spans="1:20" ht="15.75">
      <c r="A591" s="13">
        <v>59505</v>
      </c>
      <c r="B591" s="44">
        <f t="shared" si="0"/>
        <v>30</v>
      </c>
      <c r="C591" s="35">
        <v>122.58</v>
      </c>
      <c r="D591" s="35">
        <v>297.94099999999997</v>
      </c>
      <c r="E591" s="41">
        <v>729.47900000000004</v>
      </c>
      <c r="F591" s="35">
        <v>1150</v>
      </c>
      <c r="G591" s="35">
        <v>100</v>
      </c>
      <c r="H591" s="43">
        <v>600</v>
      </c>
      <c r="I591" s="35">
        <v>695</v>
      </c>
      <c r="J591" s="35">
        <v>50</v>
      </c>
      <c r="K591" s="36"/>
      <c r="L591" s="36"/>
      <c r="M591" s="36"/>
      <c r="N591" s="36"/>
      <c r="O591" s="36"/>
      <c r="P591" s="36"/>
      <c r="Q591" s="36"/>
      <c r="R591" s="36"/>
      <c r="S591" s="36"/>
      <c r="T591" s="36"/>
    </row>
    <row r="592" spans="1:20" ht="15.75">
      <c r="A592" s="13">
        <v>59536</v>
      </c>
      <c r="B592" s="44">
        <f t="shared" si="0"/>
        <v>31</v>
      </c>
      <c r="C592" s="35">
        <v>122.58</v>
      </c>
      <c r="D592" s="35">
        <v>297.94099999999997</v>
      </c>
      <c r="E592" s="41">
        <v>729.47900000000004</v>
      </c>
      <c r="F592" s="35">
        <v>1150</v>
      </c>
      <c r="G592" s="35">
        <v>100</v>
      </c>
      <c r="H592" s="43">
        <v>600</v>
      </c>
      <c r="I592" s="35">
        <v>695</v>
      </c>
      <c r="J592" s="35">
        <v>50</v>
      </c>
      <c r="K592" s="36"/>
      <c r="L592" s="36"/>
      <c r="M592" s="36"/>
      <c r="N592" s="36"/>
      <c r="O592" s="36"/>
      <c r="P592" s="36"/>
      <c r="Q592" s="36"/>
      <c r="R592" s="36"/>
      <c r="S592" s="36"/>
      <c r="T592" s="36"/>
    </row>
    <row r="593" spans="1:20" ht="15.75">
      <c r="A593" s="13">
        <v>59567</v>
      </c>
      <c r="B593" s="44">
        <f t="shared" si="0"/>
        <v>31</v>
      </c>
      <c r="C593" s="35">
        <v>122.58</v>
      </c>
      <c r="D593" s="35">
        <v>297.94099999999997</v>
      </c>
      <c r="E593" s="41">
        <v>729.47900000000004</v>
      </c>
      <c r="F593" s="35">
        <v>1150</v>
      </c>
      <c r="G593" s="35">
        <v>100</v>
      </c>
      <c r="H593" s="43">
        <v>600</v>
      </c>
      <c r="I593" s="35">
        <v>695</v>
      </c>
      <c r="J593" s="35">
        <v>50</v>
      </c>
      <c r="K593" s="36"/>
      <c r="L593" s="36"/>
      <c r="M593" s="36"/>
      <c r="N593" s="36"/>
      <c r="O593" s="36"/>
      <c r="P593" s="36"/>
      <c r="Q593" s="36"/>
      <c r="R593" s="36"/>
      <c r="S593" s="36"/>
      <c r="T593" s="36"/>
    </row>
    <row r="594" spans="1:20" ht="15.75">
      <c r="A594" s="13">
        <v>59595</v>
      </c>
      <c r="B594" s="44">
        <f t="shared" si="0"/>
        <v>28</v>
      </c>
      <c r="C594" s="35">
        <v>122.58</v>
      </c>
      <c r="D594" s="35">
        <v>297.94099999999997</v>
      </c>
      <c r="E594" s="41">
        <v>729.47900000000004</v>
      </c>
      <c r="F594" s="35">
        <v>1150</v>
      </c>
      <c r="G594" s="35">
        <v>100</v>
      </c>
      <c r="H594" s="43">
        <v>600</v>
      </c>
      <c r="I594" s="35">
        <v>695</v>
      </c>
      <c r="J594" s="35">
        <v>50</v>
      </c>
      <c r="K594" s="36"/>
      <c r="L594" s="36"/>
      <c r="M594" s="36"/>
      <c r="N594" s="36"/>
      <c r="O594" s="36"/>
      <c r="P594" s="36"/>
      <c r="Q594" s="36"/>
      <c r="R594" s="36"/>
      <c r="S594" s="36"/>
      <c r="T594" s="36"/>
    </row>
    <row r="595" spans="1:20" ht="15.75">
      <c r="A595" s="13">
        <v>59626</v>
      </c>
      <c r="B595" s="44">
        <f t="shared" si="0"/>
        <v>31</v>
      </c>
      <c r="C595" s="35">
        <v>122.58</v>
      </c>
      <c r="D595" s="35">
        <v>297.94099999999997</v>
      </c>
      <c r="E595" s="41">
        <v>729.47900000000004</v>
      </c>
      <c r="F595" s="35">
        <v>1150</v>
      </c>
      <c r="G595" s="35">
        <v>100</v>
      </c>
      <c r="H595" s="43">
        <v>600</v>
      </c>
      <c r="I595" s="35">
        <v>695</v>
      </c>
      <c r="J595" s="35">
        <v>50</v>
      </c>
      <c r="K595" s="36"/>
      <c r="L595" s="36"/>
      <c r="M595" s="36"/>
      <c r="N595" s="36"/>
      <c r="O595" s="36"/>
      <c r="P595" s="36"/>
      <c r="Q595" s="36"/>
      <c r="R595" s="36"/>
      <c r="S595" s="36"/>
      <c r="T595" s="36"/>
    </row>
    <row r="596" spans="1:20" ht="15.75">
      <c r="A596" s="13">
        <v>59656</v>
      </c>
      <c r="B596" s="44">
        <f t="shared" si="0"/>
        <v>30</v>
      </c>
      <c r="C596" s="35">
        <v>141.29300000000001</v>
      </c>
      <c r="D596" s="35">
        <v>267.99299999999999</v>
      </c>
      <c r="E596" s="41">
        <v>829.71400000000006</v>
      </c>
      <c r="F596" s="35">
        <v>1239</v>
      </c>
      <c r="G596" s="35">
        <v>100</v>
      </c>
      <c r="H596" s="43">
        <v>600</v>
      </c>
      <c r="I596" s="35">
        <v>695</v>
      </c>
      <c r="J596" s="35">
        <v>50</v>
      </c>
      <c r="K596" s="36"/>
      <c r="L596" s="36"/>
      <c r="M596" s="36"/>
      <c r="N596" s="36"/>
      <c r="O596" s="36"/>
      <c r="P596" s="36"/>
      <c r="Q596" s="36"/>
      <c r="R596" s="36"/>
      <c r="S596" s="36"/>
      <c r="T596" s="36"/>
    </row>
    <row r="597" spans="1:20" ht="15.75">
      <c r="A597" s="13">
        <v>59687</v>
      </c>
      <c r="B597" s="44">
        <f t="shared" si="0"/>
        <v>31</v>
      </c>
      <c r="C597" s="35">
        <v>194.20500000000001</v>
      </c>
      <c r="D597" s="35">
        <v>267.46600000000001</v>
      </c>
      <c r="E597" s="41">
        <v>812.32899999999995</v>
      </c>
      <c r="F597" s="35">
        <v>1274</v>
      </c>
      <c r="G597" s="35">
        <v>75</v>
      </c>
      <c r="H597" s="43">
        <v>600</v>
      </c>
      <c r="I597" s="35">
        <v>695</v>
      </c>
      <c r="J597" s="35">
        <v>50</v>
      </c>
      <c r="K597" s="36"/>
      <c r="L597" s="36"/>
      <c r="M597" s="36"/>
      <c r="N597" s="36"/>
      <c r="O597" s="36"/>
      <c r="P597" s="36"/>
      <c r="Q597" s="36"/>
      <c r="R597" s="36"/>
      <c r="S597" s="36"/>
      <c r="T597" s="36"/>
    </row>
    <row r="598" spans="1:20" ht="15.75">
      <c r="A598" s="13">
        <v>59717</v>
      </c>
      <c r="B598" s="44">
        <f t="shared" si="0"/>
        <v>30</v>
      </c>
      <c r="C598" s="35">
        <v>194.20500000000001</v>
      </c>
      <c r="D598" s="35">
        <v>267.46600000000001</v>
      </c>
      <c r="E598" s="41">
        <v>812.32899999999995</v>
      </c>
      <c r="F598" s="35">
        <v>1274</v>
      </c>
      <c r="G598" s="35">
        <v>50</v>
      </c>
      <c r="H598" s="43">
        <v>600</v>
      </c>
      <c r="I598" s="35">
        <v>695</v>
      </c>
      <c r="J598" s="35">
        <v>50</v>
      </c>
      <c r="K598" s="36"/>
      <c r="L598" s="36"/>
      <c r="M598" s="36"/>
      <c r="N598" s="36"/>
      <c r="O598" s="36"/>
      <c r="P598" s="36"/>
      <c r="Q598" s="36"/>
      <c r="R598" s="36"/>
      <c r="S598" s="36"/>
      <c r="T598" s="36"/>
    </row>
    <row r="599" spans="1:20" ht="15.75">
      <c r="A599" s="13">
        <v>59748</v>
      </c>
      <c r="B599" s="44">
        <f t="shared" si="0"/>
        <v>31</v>
      </c>
      <c r="C599" s="35">
        <v>194.20500000000001</v>
      </c>
      <c r="D599" s="35">
        <v>267.46600000000001</v>
      </c>
      <c r="E599" s="41">
        <v>812.32899999999995</v>
      </c>
      <c r="F599" s="35">
        <v>1274</v>
      </c>
      <c r="G599" s="35">
        <v>50</v>
      </c>
      <c r="H599" s="43">
        <v>600</v>
      </c>
      <c r="I599" s="35">
        <v>695</v>
      </c>
      <c r="J599" s="35">
        <v>0</v>
      </c>
      <c r="K599" s="36"/>
      <c r="L599" s="36"/>
      <c r="M599" s="36"/>
      <c r="N599" s="36"/>
      <c r="O599" s="36"/>
      <c r="P599" s="36"/>
      <c r="Q599" s="36"/>
      <c r="R599" s="36"/>
      <c r="S599" s="36"/>
      <c r="T599" s="36"/>
    </row>
    <row r="600" spans="1:20" ht="15.75">
      <c r="A600" s="13">
        <v>59779</v>
      </c>
      <c r="B600" s="44">
        <f t="shared" si="0"/>
        <v>31</v>
      </c>
      <c r="C600" s="35">
        <v>194.20500000000001</v>
      </c>
      <c r="D600" s="35">
        <v>267.46600000000001</v>
      </c>
      <c r="E600" s="41">
        <v>812.32899999999995</v>
      </c>
      <c r="F600" s="35">
        <v>1274</v>
      </c>
      <c r="G600" s="35">
        <v>50</v>
      </c>
      <c r="H600" s="43">
        <v>600</v>
      </c>
      <c r="I600" s="35">
        <v>695</v>
      </c>
      <c r="J600" s="35">
        <v>0</v>
      </c>
      <c r="K600" s="36"/>
      <c r="L600" s="36"/>
      <c r="M600" s="36"/>
      <c r="N600" s="36"/>
      <c r="O600" s="36"/>
      <c r="P600" s="36"/>
      <c r="Q600" s="36"/>
      <c r="R600" s="36"/>
      <c r="S600" s="36"/>
      <c r="T600" s="36"/>
    </row>
    <row r="601" spans="1:20" ht="15.75">
      <c r="A601" s="13">
        <v>59809</v>
      </c>
      <c r="B601" s="44">
        <f t="shared" si="0"/>
        <v>30</v>
      </c>
      <c r="C601" s="35">
        <v>194.20500000000001</v>
      </c>
      <c r="D601" s="35">
        <v>267.46600000000001</v>
      </c>
      <c r="E601" s="41">
        <v>812.32899999999995</v>
      </c>
      <c r="F601" s="35">
        <v>1274</v>
      </c>
      <c r="G601" s="35">
        <v>50</v>
      </c>
      <c r="H601" s="43">
        <v>600</v>
      </c>
      <c r="I601" s="35">
        <v>695</v>
      </c>
      <c r="J601" s="35">
        <v>0</v>
      </c>
      <c r="K601" s="36"/>
      <c r="L601" s="36"/>
      <c r="M601" s="36"/>
      <c r="N601" s="36"/>
      <c r="O601" s="36"/>
      <c r="P601" s="36"/>
      <c r="Q601" s="36"/>
      <c r="R601" s="36"/>
      <c r="S601" s="36"/>
      <c r="T601" s="36"/>
    </row>
    <row r="602" spans="1:20" ht="15.75">
      <c r="A602" s="13">
        <v>59840</v>
      </c>
      <c r="B602" s="44">
        <f t="shared" si="0"/>
        <v>31</v>
      </c>
      <c r="C602" s="35">
        <v>131.881</v>
      </c>
      <c r="D602" s="35">
        <v>277.16699999999997</v>
      </c>
      <c r="E602" s="41">
        <v>829.952</v>
      </c>
      <c r="F602" s="35">
        <v>1239</v>
      </c>
      <c r="G602" s="35">
        <v>75</v>
      </c>
      <c r="H602" s="43">
        <v>600</v>
      </c>
      <c r="I602" s="35">
        <v>695</v>
      </c>
      <c r="J602" s="35">
        <v>0</v>
      </c>
      <c r="K602" s="36"/>
      <c r="L602" s="36"/>
      <c r="M602" s="36"/>
      <c r="N602" s="36"/>
      <c r="O602" s="36"/>
      <c r="P602" s="36"/>
      <c r="Q602" s="36"/>
      <c r="R602" s="36"/>
      <c r="S602" s="36"/>
      <c r="T602" s="36"/>
    </row>
    <row r="603" spans="1:20" ht="15.75">
      <c r="A603" s="13">
        <v>59870</v>
      </c>
      <c r="B603" s="44">
        <f t="shared" si="0"/>
        <v>30</v>
      </c>
      <c r="C603" s="35">
        <v>122.58</v>
      </c>
      <c r="D603" s="35">
        <v>297.94099999999997</v>
      </c>
      <c r="E603" s="41">
        <v>729.47900000000004</v>
      </c>
      <c r="F603" s="35">
        <v>1150</v>
      </c>
      <c r="G603" s="35">
        <v>100</v>
      </c>
      <c r="H603" s="43">
        <v>600</v>
      </c>
      <c r="I603" s="35">
        <v>695</v>
      </c>
      <c r="J603" s="35">
        <v>50</v>
      </c>
      <c r="K603" s="36"/>
      <c r="L603" s="36"/>
      <c r="M603" s="36"/>
      <c r="N603" s="36"/>
      <c r="O603" s="36"/>
      <c r="P603" s="36"/>
      <c r="Q603" s="36"/>
      <c r="R603" s="36"/>
      <c r="S603" s="36"/>
      <c r="T603" s="36"/>
    </row>
    <row r="604" spans="1:20" ht="15.75">
      <c r="A604" s="13">
        <v>59901</v>
      </c>
      <c r="B604" s="44">
        <f t="shared" si="0"/>
        <v>31</v>
      </c>
      <c r="C604" s="35">
        <v>122.58</v>
      </c>
      <c r="D604" s="35">
        <v>297.94099999999997</v>
      </c>
      <c r="E604" s="41">
        <v>729.47900000000004</v>
      </c>
      <c r="F604" s="35">
        <v>1150</v>
      </c>
      <c r="G604" s="35">
        <v>100</v>
      </c>
      <c r="H604" s="43">
        <v>600</v>
      </c>
      <c r="I604" s="35">
        <v>695</v>
      </c>
      <c r="J604" s="35">
        <v>50</v>
      </c>
      <c r="K604" s="36"/>
      <c r="L604" s="36"/>
      <c r="M604" s="36"/>
      <c r="N604" s="36"/>
      <c r="O604" s="36"/>
      <c r="P604" s="36"/>
      <c r="Q604" s="36"/>
      <c r="R604" s="36"/>
      <c r="S604" s="36"/>
      <c r="T604" s="36"/>
    </row>
    <row r="605" spans="1:20" ht="15.75">
      <c r="A605" s="13">
        <v>59932</v>
      </c>
      <c r="B605" s="44">
        <f t="shared" si="0"/>
        <v>31</v>
      </c>
      <c r="C605" s="35">
        <v>122.58</v>
      </c>
      <c r="D605" s="35">
        <v>297.94099999999997</v>
      </c>
      <c r="E605" s="41">
        <v>729.47900000000004</v>
      </c>
      <c r="F605" s="35">
        <v>1150</v>
      </c>
      <c r="G605" s="35">
        <v>100</v>
      </c>
      <c r="H605" s="43">
        <v>600</v>
      </c>
      <c r="I605" s="35">
        <v>695</v>
      </c>
      <c r="J605" s="35">
        <v>50</v>
      </c>
      <c r="K605" s="36"/>
      <c r="L605" s="36"/>
      <c r="M605" s="36"/>
      <c r="N605" s="36"/>
      <c r="O605" s="36"/>
      <c r="P605" s="36"/>
      <c r="Q605" s="36"/>
      <c r="R605" s="36"/>
      <c r="S605" s="36"/>
      <c r="T605" s="36"/>
    </row>
    <row r="606" spans="1:20" ht="15.75">
      <c r="A606" s="13">
        <v>59961</v>
      </c>
      <c r="B606" s="44">
        <f t="shared" si="0"/>
        <v>29</v>
      </c>
      <c r="C606" s="35">
        <v>122.58</v>
      </c>
      <c r="D606" s="35">
        <v>297.94099999999997</v>
      </c>
      <c r="E606" s="41">
        <v>729.47900000000004</v>
      </c>
      <c r="F606" s="35">
        <v>1150</v>
      </c>
      <c r="G606" s="35">
        <v>100</v>
      </c>
      <c r="H606" s="43">
        <v>600</v>
      </c>
      <c r="I606" s="35">
        <v>695</v>
      </c>
      <c r="J606" s="35">
        <v>50</v>
      </c>
      <c r="K606" s="36"/>
      <c r="L606" s="36"/>
      <c r="M606" s="36"/>
      <c r="N606" s="36"/>
      <c r="O606" s="36"/>
      <c r="P606" s="36"/>
      <c r="Q606" s="36"/>
      <c r="R606" s="36"/>
      <c r="S606" s="36"/>
      <c r="T606" s="36"/>
    </row>
    <row r="607" spans="1:20" ht="15.75">
      <c r="A607" s="13">
        <v>59992</v>
      </c>
      <c r="B607" s="44">
        <f t="shared" si="0"/>
        <v>31</v>
      </c>
      <c r="C607" s="35">
        <v>122.58</v>
      </c>
      <c r="D607" s="35">
        <v>297.94099999999997</v>
      </c>
      <c r="E607" s="41">
        <v>729.47900000000004</v>
      </c>
      <c r="F607" s="35">
        <v>1150</v>
      </c>
      <c r="G607" s="35">
        <v>100</v>
      </c>
      <c r="H607" s="43">
        <v>600</v>
      </c>
      <c r="I607" s="35">
        <v>695</v>
      </c>
      <c r="J607" s="35">
        <v>50</v>
      </c>
      <c r="K607" s="36"/>
      <c r="L607" s="36"/>
      <c r="M607" s="36"/>
      <c r="N607" s="36"/>
      <c r="O607" s="36"/>
      <c r="P607" s="36"/>
      <c r="Q607" s="36"/>
      <c r="R607" s="36"/>
      <c r="S607" s="36"/>
      <c r="T607" s="36"/>
    </row>
    <row r="608" spans="1:20" ht="15.75">
      <c r="A608" s="13">
        <v>60022</v>
      </c>
      <c r="B608" s="44">
        <f t="shared" si="0"/>
        <v>30</v>
      </c>
      <c r="C608" s="35">
        <v>141.29300000000001</v>
      </c>
      <c r="D608" s="35">
        <v>267.99299999999999</v>
      </c>
      <c r="E608" s="41">
        <v>829.71400000000006</v>
      </c>
      <c r="F608" s="35">
        <v>1239</v>
      </c>
      <c r="G608" s="35">
        <v>100</v>
      </c>
      <c r="H608" s="43">
        <v>600</v>
      </c>
      <c r="I608" s="35">
        <v>695</v>
      </c>
      <c r="J608" s="35">
        <v>50</v>
      </c>
      <c r="K608" s="36"/>
      <c r="L608" s="36"/>
      <c r="M608" s="36"/>
      <c r="N608" s="36"/>
      <c r="O608" s="36"/>
      <c r="P608" s="36"/>
      <c r="Q608" s="36"/>
      <c r="R608" s="36"/>
      <c r="S608" s="36"/>
      <c r="T608" s="36"/>
    </row>
    <row r="609" spans="1:20" ht="15.75">
      <c r="A609" s="13">
        <v>60053</v>
      </c>
      <c r="B609" s="44">
        <f t="shared" si="0"/>
        <v>31</v>
      </c>
      <c r="C609" s="35">
        <v>194.20500000000001</v>
      </c>
      <c r="D609" s="35">
        <v>267.46600000000001</v>
      </c>
      <c r="E609" s="41">
        <v>812.32899999999995</v>
      </c>
      <c r="F609" s="35">
        <v>1274</v>
      </c>
      <c r="G609" s="35">
        <v>75</v>
      </c>
      <c r="H609" s="43">
        <v>600</v>
      </c>
      <c r="I609" s="35">
        <v>695</v>
      </c>
      <c r="J609" s="35">
        <v>50</v>
      </c>
      <c r="K609" s="36"/>
      <c r="L609" s="36"/>
      <c r="M609" s="36"/>
      <c r="N609" s="36"/>
      <c r="O609" s="36"/>
      <c r="P609" s="36"/>
      <c r="Q609" s="36"/>
      <c r="R609" s="36"/>
      <c r="S609" s="36"/>
      <c r="T609" s="36"/>
    </row>
    <row r="610" spans="1:20" ht="15.75">
      <c r="A610" s="13">
        <v>60083</v>
      </c>
      <c r="B610" s="44">
        <f t="shared" si="0"/>
        <v>30</v>
      </c>
      <c r="C610" s="35">
        <v>194.20500000000001</v>
      </c>
      <c r="D610" s="35">
        <v>267.46600000000001</v>
      </c>
      <c r="E610" s="41">
        <v>812.32899999999995</v>
      </c>
      <c r="F610" s="35">
        <v>1274</v>
      </c>
      <c r="G610" s="35">
        <v>50</v>
      </c>
      <c r="H610" s="43">
        <v>600</v>
      </c>
      <c r="I610" s="35">
        <v>695</v>
      </c>
      <c r="J610" s="35">
        <v>50</v>
      </c>
      <c r="K610" s="36"/>
      <c r="L610" s="36"/>
      <c r="M610" s="36"/>
      <c r="N610" s="36"/>
      <c r="O610" s="36"/>
      <c r="P610" s="36"/>
      <c r="Q610" s="36"/>
      <c r="R610" s="36"/>
      <c r="S610" s="36"/>
      <c r="T610" s="36"/>
    </row>
    <row r="611" spans="1:20" ht="15.75">
      <c r="A611" s="13">
        <v>60114</v>
      </c>
      <c r="B611" s="44">
        <f t="shared" si="0"/>
        <v>31</v>
      </c>
      <c r="C611" s="35">
        <v>194.20500000000001</v>
      </c>
      <c r="D611" s="35">
        <v>267.46600000000001</v>
      </c>
      <c r="E611" s="41">
        <v>812.32899999999995</v>
      </c>
      <c r="F611" s="35">
        <v>1274</v>
      </c>
      <c r="G611" s="35">
        <v>50</v>
      </c>
      <c r="H611" s="43">
        <v>600</v>
      </c>
      <c r="I611" s="35">
        <v>695</v>
      </c>
      <c r="J611" s="35">
        <v>0</v>
      </c>
      <c r="K611" s="36"/>
      <c r="L611" s="36"/>
      <c r="M611" s="36"/>
      <c r="N611" s="36"/>
      <c r="O611" s="36"/>
      <c r="P611" s="36"/>
      <c r="Q611" s="36"/>
      <c r="R611" s="36"/>
      <c r="S611" s="36"/>
      <c r="T611" s="36"/>
    </row>
    <row r="612" spans="1:20" ht="15.75">
      <c r="A612" s="13">
        <v>60145</v>
      </c>
      <c r="B612" s="44">
        <f t="shared" si="0"/>
        <v>31</v>
      </c>
      <c r="C612" s="35">
        <v>194.20500000000001</v>
      </c>
      <c r="D612" s="35">
        <v>267.46600000000001</v>
      </c>
      <c r="E612" s="41">
        <v>812.32899999999995</v>
      </c>
      <c r="F612" s="35">
        <v>1274</v>
      </c>
      <c r="G612" s="35">
        <v>50</v>
      </c>
      <c r="H612" s="43">
        <v>600</v>
      </c>
      <c r="I612" s="35">
        <v>695</v>
      </c>
      <c r="J612" s="35">
        <v>0</v>
      </c>
      <c r="K612" s="36"/>
      <c r="L612" s="36"/>
      <c r="M612" s="36"/>
      <c r="N612" s="36"/>
      <c r="O612" s="36"/>
      <c r="P612" s="36"/>
      <c r="Q612" s="36"/>
      <c r="R612" s="36"/>
      <c r="S612" s="36"/>
      <c r="T612" s="36"/>
    </row>
    <row r="613" spans="1:20" ht="15.75">
      <c r="A613" s="13">
        <v>60175</v>
      </c>
      <c r="B613" s="44">
        <f t="shared" si="0"/>
        <v>30</v>
      </c>
      <c r="C613" s="35">
        <v>194.20500000000001</v>
      </c>
      <c r="D613" s="35">
        <v>267.46600000000001</v>
      </c>
      <c r="E613" s="41">
        <v>812.32899999999995</v>
      </c>
      <c r="F613" s="35">
        <v>1274</v>
      </c>
      <c r="G613" s="35">
        <v>50</v>
      </c>
      <c r="H613" s="43">
        <v>600</v>
      </c>
      <c r="I613" s="35">
        <v>695</v>
      </c>
      <c r="J613" s="35">
        <v>0</v>
      </c>
      <c r="K613" s="36"/>
      <c r="L613" s="36"/>
      <c r="M613" s="36"/>
      <c r="N613" s="36"/>
      <c r="O613" s="36"/>
      <c r="P613" s="36"/>
      <c r="Q613" s="36"/>
      <c r="R613" s="36"/>
      <c r="S613" s="36"/>
      <c r="T613" s="36"/>
    </row>
    <row r="614" spans="1:20" ht="15.75">
      <c r="A614" s="13">
        <v>60206</v>
      </c>
      <c r="B614" s="44">
        <f t="shared" si="0"/>
        <v>31</v>
      </c>
      <c r="C614" s="35">
        <v>131.881</v>
      </c>
      <c r="D614" s="35">
        <v>277.16699999999997</v>
      </c>
      <c r="E614" s="41">
        <v>829.952</v>
      </c>
      <c r="F614" s="35">
        <v>1239</v>
      </c>
      <c r="G614" s="35">
        <v>75</v>
      </c>
      <c r="H614" s="43">
        <v>600</v>
      </c>
      <c r="I614" s="35">
        <v>695</v>
      </c>
      <c r="J614" s="35">
        <v>0</v>
      </c>
      <c r="K614" s="36"/>
      <c r="L614" s="36"/>
      <c r="M614" s="36"/>
      <c r="N614" s="36"/>
      <c r="O614" s="36"/>
      <c r="P614" s="36"/>
      <c r="Q614" s="36"/>
      <c r="R614" s="36"/>
      <c r="S614" s="36"/>
      <c r="T614" s="36"/>
    </row>
    <row r="615" spans="1:20" ht="15.75">
      <c r="A615" s="13">
        <v>60236</v>
      </c>
      <c r="B615" s="44">
        <f t="shared" si="0"/>
        <v>30</v>
      </c>
      <c r="C615" s="35">
        <v>122.58</v>
      </c>
      <c r="D615" s="35">
        <v>297.94099999999997</v>
      </c>
      <c r="E615" s="41">
        <v>729.47900000000004</v>
      </c>
      <c r="F615" s="35">
        <v>1150</v>
      </c>
      <c r="G615" s="35">
        <v>100</v>
      </c>
      <c r="H615" s="43">
        <v>600</v>
      </c>
      <c r="I615" s="35">
        <v>695</v>
      </c>
      <c r="J615" s="35">
        <v>50</v>
      </c>
      <c r="K615" s="36"/>
      <c r="L615" s="36"/>
      <c r="M615" s="36"/>
      <c r="N615" s="36"/>
      <c r="O615" s="36"/>
      <c r="P615" s="36"/>
      <c r="Q615" s="36"/>
      <c r="R615" s="36"/>
      <c r="S615" s="36"/>
      <c r="T615" s="36"/>
    </row>
    <row r="616" spans="1:20" ht="15.75">
      <c r="A616" s="13">
        <v>60267</v>
      </c>
      <c r="B616" s="44">
        <f t="shared" si="0"/>
        <v>31</v>
      </c>
      <c r="C616" s="35">
        <v>122.58</v>
      </c>
      <c r="D616" s="35">
        <v>297.94099999999997</v>
      </c>
      <c r="E616" s="41">
        <v>729.47900000000004</v>
      </c>
      <c r="F616" s="35">
        <v>1150</v>
      </c>
      <c r="G616" s="35">
        <v>100</v>
      </c>
      <c r="H616" s="43">
        <v>600</v>
      </c>
      <c r="I616" s="35">
        <v>695</v>
      </c>
      <c r="J616" s="35">
        <v>50</v>
      </c>
      <c r="K616" s="36"/>
      <c r="L616" s="36"/>
      <c r="M616" s="36"/>
      <c r="N616" s="36"/>
      <c r="O616" s="36"/>
      <c r="P616" s="36"/>
      <c r="Q616" s="36"/>
      <c r="R616" s="36"/>
      <c r="S616" s="36"/>
      <c r="T616" s="36"/>
    </row>
    <row r="617" spans="1:20" ht="15.75">
      <c r="A617" s="13">
        <v>60298</v>
      </c>
      <c r="B617" s="44">
        <f t="shared" si="0"/>
        <v>31</v>
      </c>
      <c r="C617" s="35">
        <v>122.58</v>
      </c>
      <c r="D617" s="35">
        <v>297.94099999999997</v>
      </c>
      <c r="E617" s="41">
        <v>729.47900000000004</v>
      </c>
      <c r="F617" s="35">
        <v>1150</v>
      </c>
      <c r="G617" s="35">
        <v>100</v>
      </c>
      <c r="H617" s="43">
        <v>600</v>
      </c>
      <c r="I617" s="35">
        <v>695</v>
      </c>
      <c r="J617" s="35">
        <v>50</v>
      </c>
      <c r="K617" s="36"/>
      <c r="L617" s="36"/>
      <c r="M617" s="36"/>
      <c r="N617" s="36"/>
      <c r="O617" s="36"/>
      <c r="P617" s="36"/>
      <c r="Q617" s="36"/>
      <c r="R617" s="36"/>
      <c r="S617" s="36"/>
      <c r="T617" s="36"/>
    </row>
    <row r="618" spans="1:20" ht="15.75">
      <c r="A618" s="13">
        <v>60326</v>
      </c>
      <c r="B618" s="44">
        <f t="shared" si="0"/>
        <v>28</v>
      </c>
      <c r="C618" s="35">
        <v>122.58</v>
      </c>
      <c r="D618" s="35">
        <v>297.94099999999997</v>
      </c>
      <c r="E618" s="41">
        <v>729.47900000000004</v>
      </c>
      <c r="F618" s="35">
        <v>1150</v>
      </c>
      <c r="G618" s="35">
        <v>100</v>
      </c>
      <c r="H618" s="43">
        <v>600</v>
      </c>
      <c r="I618" s="35">
        <v>695</v>
      </c>
      <c r="J618" s="35">
        <v>50</v>
      </c>
      <c r="K618" s="36"/>
      <c r="L618" s="36"/>
      <c r="M618" s="36"/>
      <c r="N618" s="36"/>
      <c r="O618" s="36"/>
      <c r="P618" s="36"/>
      <c r="Q618" s="36"/>
      <c r="R618" s="36"/>
      <c r="S618" s="36"/>
      <c r="T618" s="36"/>
    </row>
    <row r="619" spans="1:20" ht="15.75">
      <c r="A619" s="13">
        <v>60357</v>
      </c>
      <c r="B619" s="44">
        <f t="shared" si="0"/>
        <v>31</v>
      </c>
      <c r="C619" s="35">
        <v>122.58</v>
      </c>
      <c r="D619" s="35">
        <v>297.94099999999997</v>
      </c>
      <c r="E619" s="41">
        <v>729.47900000000004</v>
      </c>
      <c r="F619" s="35">
        <v>1150</v>
      </c>
      <c r="G619" s="35">
        <v>100</v>
      </c>
      <c r="H619" s="43">
        <v>600</v>
      </c>
      <c r="I619" s="35">
        <v>695</v>
      </c>
      <c r="J619" s="35">
        <v>50</v>
      </c>
      <c r="K619" s="36"/>
      <c r="L619" s="36"/>
      <c r="M619" s="36"/>
      <c r="N619" s="36"/>
      <c r="O619" s="36"/>
      <c r="P619" s="36"/>
      <c r="Q619" s="36"/>
      <c r="R619" s="36"/>
      <c r="S619" s="36"/>
      <c r="T619" s="36"/>
    </row>
    <row r="620" spans="1:20" ht="15.75">
      <c r="A620" s="13">
        <v>60387</v>
      </c>
      <c r="B620" s="44">
        <f t="shared" si="0"/>
        <v>30</v>
      </c>
      <c r="C620" s="35">
        <v>141.29300000000001</v>
      </c>
      <c r="D620" s="35">
        <v>267.99299999999999</v>
      </c>
      <c r="E620" s="41">
        <v>829.71400000000006</v>
      </c>
      <c r="F620" s="35">
        <v>1239</v>
      </c>
      <c r="G620" s="35">
        <v>100</v>
      </c>
      <c r="H620" s="43">
        <v>600</v>
      </c>
      <c r="I620" s="35">
        <v>695</v>
      </c>
      <c r="J620" s="35">
        <v>50</v>
      </c>
      <c r="K620" s="36"/>
      <c r="L620" s="36"/>
      <c r="M620" s="36"/>
      <c r="N620" s="36"/>
      <c r="O620" s="36"/>
      <c r="P620" s="36"/>
      <c r="Q620" s="36"/>
      <c r="R620" s="36"/>
      <c r="S620" s="36"/>
      <c r="T620" s="36"/>
    </row>
    <row r="621" spans="1:20" ht="15.75">
      <c r="A621" s="13">
        <v>60418</v>
      </c>
      <c r="B621" s="44">
        <f t="shared" si="0"/>
        <v>31</v>
      </c>
      <c r="C621" s="35">
        <v>194.20500000000001</v>
      </c>
      <c r="D621" s="35">
        <v>267.46600000000001</v>
      </c>
      <c r="E621" s="41">
        <v>812.32899999999995</v>
      </c>
      <c r="F621" s="35">
        <v>1274</v>
      </c>
      <c r="G621" s="35">
        <v>75</v>
      </c>
      <c r="H621" s="43">
        <v>600</v>
      </c>
      <c r="I621" s="35">
        <v>695</v>
      </c>
      <c r="J621" s="35">
        <v>50</v>
      </c>
      <c r="K621" s="36"/>
      <c r="L621" s="36"/>
      <c r="M621" s="36"/>
      <c r="N621" s="36"/>
      <c r="O621" s="36"/>
      <c r="P621" s="36"/>
      <c r="Q621" s="36"/>
      <c r="R621" s="36"/>
      <c r="S621" s="36"/>
      <c r="T621" s="36"/>
    </row>
    <row r="622" spans="1:20" ht="15.75">
      <c r="A622" s="13">
        <v>60448</v>
      </c>
      <c r="B622" s="44">
        <f t="shared" si="0"/>
        <v>30</v>
      </c>
      <c r="C622" s="35">
        <v>194.20500000000001</v>
      </c>
      <c r="D622" s="35">
        <v>267.46600000000001</v>
      </c>
      <c r="E622" s="41">
        <v>812.32899999999995</v>
      </c>
      <c r="F622" s="35">
        <v>1274</v>
      </c>
      <c r="G622" s="35">
        <v>50</v>
      </c>
      <c r="H622" s="43">
        <v>600</v>
      </c>
      <c r="I622" s="35">
        <v>695</v>
      </c>
      <c r="J622" s="35">
        <v>50</v>
      </c>
      <c r="K622" s="36"/>
      <c r="L622" s="36"/>
      <c r="M622" s="36"/>
      <c r="N622" s="36"/>
      <c r="O622" s="36"/>
      <c r="P622" s="36"/>
      <c r="Q622" s="36"/>
      <c r="R622" s="36"/>
      <c r="S622" s="36"/>
      <c r="T622" s="36"/>
    </row>
    <row r="623" spans="1:20" ht="15.75">
      <c r="A623" s="13">
        <v>60479</v>
      </c>
      <c r="B623" s="44">
        <f t="shared" si="0"/>
        <v>31</v>
      </c>
      <c r="C623" s="35">
        <v>194.20500000000001</v>
      </c>
      <c r="D623" s="35">
        <v>267.46600000000001</v>
      </c>
      <c r="E623" s="41">
        <v>812.32899999999995</v>
      </c>
      <c r="F623" s="35">
        <v>1274</v>
      </c>
      <c r="G623" s="35">
        <v>50</v>
      </c>
      <c r="H623" s="43">
        <v>600</v>
      </c>
      <c r="I623" s="35">
        <v>695</v>
      </c>
      <c r="J623" s="35">
        <v>0</v>
      </c>
      <c r="K623" s="36"/>
      <c r="L623" s="36"/>
      <c r="M623" s="36"/>
      <c r="N623" s="36"/>
      <c r="O623" s="36"/>
      <c r="P623" s="36"/>
      <c r="Q623" s="36"/>
      <c r="R623" s="36"/>
      <c r="S623" s="36"/>
      <c r="T623" s="36"/>
    </row>
    <row r="624" spans="1:20" ht="15.75">
      <c r="A624" s="13">
        <v>60510</v>
      </c>
      <c r="B624" s="44">
        <f t="shared" si="0"/>
        <v>31</v>
      </c>
      <c r="C624" s="35">
        <v>194.20500000000001</v>
      </c>
      <c r="D624" s="35">
        <v>267.46600000000001</v>
      </c>
      <c r="E624" s="41">
        <v>812.32899999999995</v>
      </c>
      <c r="F624" s="35">
        <v>1274</v>
      </c>
      <c r="G624" s="35">
        <v>50</v>
      </c>
      <c r="H624" s="43">
        <v>600</v>
      </c>
      <c r="I624" s="35">
        <v>695</v>
      </c>
      <c r="J624" s="35">
        <v>0</v>
      </c>
      <c r="K624" s="36"/>
      <c r="L624" s="36"/>
      <c r="M624" s="36"/>
      <c r="N624" s="36"/>
      <c r="O624" s="36"/>
      <c r="P624" s="36"/>
      <c r="Q624" s="36"/>
      <c r="R624" s="36"/>
      <c r="S624" s="36"/>
      <c r="T624" s="36"/>
    </row>
    <row r="625" spans="1:20" ht="15.75">
      <c r="A625" s="13">
        <v>60540</v>
      </c>
      <c r="B625" s="44">
        <f t="shared" si="0"/>
        <v>30</v>
      </c>
      <c r="C625" s="35">
        <v>194.20500000000001</v>
      </c>
      <c r="D625" s="35">
        <v>267.46600000000001</v>
      </c>
      <c r="E625" s="41">
        <v>812.32899999999995</v>
      </c>
      <c r="F625" s="35">
        <v>1274</v>
      </c>
      <c r="G625" s="35">
        <v>50</v>
      </c>
      <c r="H625" s="43">
        <v>600</v>
      </c>
      <c r="I625" s="35">
        <v>695</v>
      </c>
      <c r="J625" s="35">
        <v>0</v>
      </c>
      <c r="K625" s="36"/>
      <c r="L625" s="36"/>
      <c r="M625" s="36"/>
      <c r="N625" s="36"/>
      <c r="O625" s="36"/>
      <c r="P625" s="36"/>
      <c r="Q625" s="36"/>
      <c r="R625" s="36"/>
      <c r="S625" s="36"/>
      <c r="T625" s="36"/>
    </row>
    <row r="626" spans="1:20" ht="15.75">
      <c r="A626" s="13">
        <v>60571</v>
      </c>
      <c r="B626" s="44">
        <f t="shared" si="0"/>
        <v>31</v>
      </c>
      <c r="C626" s="35">
        <v>131.881</v>
      </c>
      <c r="D626" s="35">
        <v>277.16699999999997</v>
      </c>
      <c r="E626" s="41">
        <v>829.952</v>
      </c>
      <c r="F626" s="35">
        <v>1239</v>
      </c>
      <c r="G626" s="35">
        <v>75</v>
      </c>
      <c r="H626" s="43">
        <v>600</v>
      </c>
      <c r="I626" s="35">
        <v>695</v>
      </c>
      <c r="J626" s="35">
        <v>0</v>
      </c>
      <c r="K626" s="36"/>
      <c r="L626" s="36"/>
      <c r="M626" s="36"/>
      <c r="N626" s="36"/>
      <c r="O626" s="36"/>
      <c r="P626" s="36"/>
      <c r="Q626" s="36"/>
      <c r="R626" s="36"/>
      <c r="S626" s="36"/>
      <c r="T626" s="36"/>
    </row>
    <row r="627" spans="1:20" ht="15.75">
      <c r="A627" s="13">
        <v>60601</v>
      </c>
      <c r="B627" s="44">
        <f t="shared" si="0"/>
        <v>30</v>
      </c>
      <c r="C627" s="35">
        <v>122.58</v>
      </c>
      <c r="D627" s="35">
        <v>297.94099999999997</v>
      </c>
      <c r="E627" s="41">
        <v>729.47900000000004</v>
      </c>
      <c r="F627" s="35">
        <v>1150</v>
      </c>
      <c r="G627" s="35">
        <v>100</v>
      </c>
      <c r="H627" s="43">
        <v>600</v>
      </c>
      <c r="I627" s="35">
        <v>695</v>
      </c>
      <c r="J627" s="35">
        <v>50</v>
      </c>
      <c r="K627" s="36"/>
      <c r="L627" s="36"/>
      <c r="M627" s="36"/>
      <c r="N627" s="36"/>
      <c r="O627" s="36"/>
      <c r="P627" s="36"/>
      <c r="Q627" s="36"/>
      <c r="R627" s="36"/>
      <c r="S627" s="36"/>
      <c r="T627" s="36"/>
    </row>
    <row r="628" spans="1:20" ht="15.75">
      <c r="A628" s="13">
        <v>60632</v>
      </c>
      <c r="B628" s="44">
        <f t="shared" si="0"/>
        <v>31</v>
      </c>
      <c r="C628" s="35">
        <v>122.58</v>
      </c>
      <c r="D628" s="35">
        <v>297.94099999999997</v>
      </c>
      <c r="E628" s="41">
        <v>729.47900000000004</v>
      </c>
      <c r="F628" s="35">
        <v>1150</v>
      </c>
      <c r="G628" s="35">
        <v>100</v>
      </c>
      <c r="H628" s="43">
        <v>600</v>
      </c>
      <c r="I628" s="35">
        <v>695</v>
      </c>
      <c r="J628" s="35">
        <v>50</v>
      </c>
      <c r="K628" s="36"/>
      <c r="L628" s="36"/>
      <c r="M628" s="36"/>
      <c r="N628" s="36"/>
      <c r="O628" s="36"/>
      <c r="P628" s="36"/>
      <c r="Q628" s="36"/>
      <c r="R628" s="36"/>
      <c r="S628" s="36"/>
      <c r="T628" s="36"/>
    </row>
    <row r="629" spans="1:20" ht="15.75">
      <c r="A629" s="13">
        <v>60663</v>
      </c>
      <c r="B629" s="44">
        <f t="shared" si="0"/>
        <v>31</v>
      </c>
      <c r="C629" s="35">
        <v>122.58</v>
      </c>
      <c r="D629" s="35">
        <v>297.94099999999997</v>
      </c>
      <c r="E629" s="41">
        <v>729.47900000000004</v>
      </c>
      <c r="F629" s="35">
        <v>1150</v>
      </c>
      <c r="G629" s="35">
        <v>100</v>
      </c>
      <c r="H629" s="43">
        <v>600</v>
      </c>
      <c r="I629" s="35">
        <v>695</v>
      </c>
      <c r="J629" s="35">
        <v>50</v>
      </c>
      <c r="K629" s="36"/>
      <c r="L629" s="36"/>
      <c r="M629" s="36"/>
      <c r="N629" s="36"/>
      <c r="O629" s="36"/>
      <c r="P629" s="36"/>
      <c r="Q629" s="36"/>
      <c r="R629" s="36"/>
      <c r="S629" s="36"/>
      <c r="T629" s="36"/>
    </row>
    <row r="630" spans="1:20" ht="15.75">
      <c r="A630" s="13">
        <v>60691</v>
      </c>
      <c r="B630" s="44">
        <f t="shared" si="0"/>
        <v>28</v>
      </c>
      <c r="C630" s="35">
        <v>122.58</v>
      </c>
      <c r="D630" s="35">
        <v>297.94099999999997</v>
      </c>
      <c r="E630" s="41">
        <v>729.47900000000004</v>
      </c>
      <c r="F630" s="35">
        <v>1150</v>
      </c>
      <c r="G630" s="35">
        <v>100</v>
      </c>
      <c r="H630" s="43">
        <v>600</v>
      </c>
      <c r="I630" s="35">
        <v>695</v>
      </c>
      <c r="J630" s="35">
        <v>50</v>
      </c>
      <c r="K630" s="36"/>
      <c r="L630" s="36"/>
      <c r="M630" s="36"/>
      <c r="N630" s="36"/>
      <c r="O630" s="36"/>
      <c r="P630" s="36"/>
      <c r="Q630" s="36"/>
      <c r="R630" s="36"/>
      <c r="S630" s="36"/>
      <c r="T630" s="36"/>
    </row>
    <row r="631" spans="1:20" ht="15.75">
      <c r="A631" s="13">
        <v>60722</v>
      </c>
      <c r="B631" s="44">
        <f t="shared" si="0"/>
        <v>31</v>
      </c>
      <c r="C631" s="35">
        <v>122.58</v>
      </c>
      <c r="D631" s="35">
        <v>297.94099999999997</v>
      </c>
      <c r="E631" s="41">
        <v>729.47900000000004</v>
      </c>
      <c r="F631" s="35">
        <v>1150</v>
      </c>
      <c r="G631" s="35">
        <v>100</v>
      </c>
      <c r="H631" s="43">
        <v>600</v>
      </c>
      <c r="I631" s="35">
        <v>695</v>
      </c>
      <c r="J631" s="35">
        <v>50</v>
      </c>
      <c r="K631" s="36"/>
      <c r="L631" s="36"/>
      <c r="M631" s="36"/>
      <c r="N631" s="36"/>
      <c r="O631" s="36"/>
      <c r="P631" s="36"/>
      <c r="Q631" s="36"/>
      <c r="R631" s="36"/>
      <c r="S631" s="36"/>
      <c r="T631" s="36"/>
    </row>
    <row r="632" spans="1:20" ht="15.75">
      <c r="A632" s="13">
        <v>60752</v>
      </c>
      <c r="B632" s="44">
        <f t="shared" si="0"/>
        <v>30</v>
      </c>
      <c r="C632" s="35">
        <v>141.29300000000001</v>
      </c>
      <c r="D632" s="35">
        <v>267.99299999999999</v>
      </c>
      <c r="E632" s="41">
        <v>829.71400000000006</v>
      </c>
      <c r="F632" s="35">
        <v>1239</v>
      </c>
      <c r="G632" s="35">
        <v>100</v>
      </c>
      <c r="H632" s="43">
        <v>600</v>
      </c>
      <c r="I632" s="35">
        <v>695</v>
      </c>
      <c r="J632" s="35">
        <v>50</v>
      </c>
      <c r="K632" s="36"/>
      <c r="L632" s="36"/>
      <c r="M632" s="36"/>
      <c r="N632" s="36"/>
      <c r="O632" s="36"/>
      <c r="P632" s="36"/>
      <c r="Q632" s="36"/>
      <c r="R632" s="36"/>
      <c r="S632" s="36"/>
      <c r="T632" s="36"/>
    </row>
    <row r="633" spans="1:20" ht="15.75">
      <c r="A633" s="13">
        <v>60783</v>
      </c>
      <c r="B633" s="44">
        <f t="shared" si="0"/>
        <v>31</v>
      </c>
      <c r="C633" s="35">
        <v>194.20500000000001</v>
      </c>
      <c r="D633" s="35">
        <v>267.46600000000001</v>
      </c>
      <c r="E633" s="41">
        <v>812.32899999999995</v>
      </c>
      <c r="F633" s="35">
        <v>1274</v>
      </c>
      <c r="G633" s="35">
        <v>75</v>
      </c>
      <c r="H633" s="43">
        <v>600</v>
      </c>
      <c r="I633" s="35">
        <v>695</v>
      </c>
      <c r="J633" s="35">
        <v>50</v>
      </c>
      <c r="K633" s="36"/>
      <c r="L633" s="36"/>
      <c r="M633" s="36"/>
      <c r="N633" s="36"/>
      <c r="O633" s="36"/>
      <c r="P633" s="36"/>
      <c r="Q633" s="36"/>
      <c r="R633" s="36"/>
      <c r="S633" s="36"/>
      <c r="T633" s="36"/>
    </row>
    <row r="634" spans="1:20" ht="15.75">
      <c r="A634" s="13">
        <v>60813</v>
      </c>
      <c r="B634" s="44">
        <f t="shared" si="0"/>
        <v>30</v>
      </c>
      <c r="C634" s="35">
        <v>194.20500000000001</v>
      </c>
      <c r="D634" s="35">
        <v>267.46600000000001</v>
      </c>
      <c r="E634" s="41">
        <v>812.32899999999995</v>
      </c>
      <c r="F634" s="35">
        <v>1274</v>
      </c>
      <c r="G634" s="35">
        <v>50</v>
      </c>
      <c r="H634" s="43">
        <v>600</v>
      </c>
      <c r="I634" s="35">
        <v>695</v>
      </c>
      <c r="J634" s="35">
        <v>50</v>
      </c>
      <c r="K634" s="36"/>
      <c r="L634" s="36"/>
      <c r="M634" s="36"/>
      <c r="N634" s="36"/>
      <c r="O634" s="36"/>
      <c r="P634" s="36"/>
      <c r="Q634" s="36"/>
      <c r="R634" s="36"/>
      <c r="S634" s="36"/>
      <c r="T634" s="36"/>
    </row>
    <row r="635" spans="1:20" ht="15.75">
      <c r="A635" s="13">
        <v>60844</v>
      </c>
      <c r="B635" s="44">
        <f t="shared" si="0"/>
        <v>31</v>
      </c>
      <c r="C635" s="35">
        <v>194.20500000000001</v>
      </c>
      <c r="D635" s="35">
        <v>267.46600000000001</v>
      </c>
      <c r="E635" s="41">
        <v>812.32899999999995</v>
      </c>
      <c r="F635" s="35">
        <v>1274</v>
      </c>
      <c r="G635" s="35">
        <v>50</v>
      </c>
      <c r="H635" s="43">
        <v>600</v>
      </c>
      <c r="I635" s="35">
        <v>695</v>
      </c>
      <c r="J635" s="35">
        <v>0</v>
      </c>
      <c r="K635" s="36"/>
      <c r="L635" s="36"/>
      <c r="M635" s="36"/>
      <c r="N635" s="36"/>
      <c r="O635" s="36"/>
      <c r="P635" s="36"/>
      <c r="Q635" s="36"/>
      <c r="R635" s="36"/>
      <c r="S635" s="36"/>
      <c r="T635" s="36"/>
    </row>
    <row r="636" spans="1:20" ht="15.75">
      <c r="A636" s="13">
        <v>60875</v>
      </c>
      <c r="B636" s="44">
        <f t="shared" si="0"/>
        <v>31</v>
      </c>
      <c r="C636" s="35">
        <v>194.20500000000001</v>
      </c>
      <c r="D636" s="35">
        <v>267.46600000000001</v>
      </c>
      <c r="E636" s="41">
        <v>812.32899999999995</v>
      </c>
      <c r="F636" s="35">
        <v>1274</v>
      </c>
      <c r="G636" s="35">
        <v>50</v>
      </c>
      <c r="H636" s="43">
        <v>600</v>
      </c>
      <c r="I636" s="35">
        <v>695</v>
      </c>
      <c r="J636" s="35">
        <v>0</v>
      </c>
      <c r="K636" s="36"/>
      <c r="L636" s="36"/>
      <c r="M636" s="36"/>
      <c r="N636" s="36"/>
      <c r="O636" s="36"/>
      <c r="P636" s="36"/>
      <c r="Q636" s="36"/>
      <c r="R636" s="36"/>
      <c r="S636" s="36"/>
      <c r="T636" s="36"/>
    </row>
    <row r="637" spans="1:20" ht="15.75">
      <c r="A637" s="13">
        <v>60905</v>
      </c>
      <c r="B637" s="44">
        <f t="shared" si="0"/>
        <v>30</v>
      </c>
      <c r="C637" s="35">
        <v>194.20500000000001</v>
      </c>
      <c r="D637" s="35">
        <v>267.46600000000001</v>
      </c>
      <c r="E637" s="41">
        <v>812.32899999999995</v>
      </c>
      <c r="F637" s="35">
        <v>1274</v>
      </c>
      <c r="G637" s="35">
        <v>50</v>
      </c>
      <c r="H637" s="43">
        <v>600</v>
      </c>
      <c r="I637" s="35">
        <v>695</v>
      </c>
      <c r="J637" s="35">
        <v>0</v>
      </c>
      <c r="K637" s="36"/>
      <c r="L637" s="36"/>
      <c r="M637" s="36"/>
      <c r="N637" s="36"/>
      <c r="O637" s="36"/>
      <c r="P637" s="36"/>
      <c r="Q637" s="36"/>
      <c r="R637" s="36"/>
      <c r="S637" s="36"/>
      <c r="T637" s="36"/>
    </row>
    <row r="638" spans="1:20" ht="15.75">
      <c r="A638" s="13">
        <v>60936</v>
      </c>
      <c r="B638" s="44">
        <f t="shared" si="0"/>
        <v>31</v>
      </c>
      <c r="C638" s="35">
        <v>131.881</v>
      </c>
      <c r="D638" s="35">
        <v>277.16699999999997</v>
      </c>
      <c r="E638" s="41">
        <v>829.952</v>
      </c>
      <c r="F638" s="35">
        <v>1239</v>
      </c>
      <c r="G638" s="35">
        <v>75</v>
      </c>
      <c r="H638" s="43">
        <v>600</v>
      </c>
      <c r="I638" s="35">
        <v>695</v>
      </c>
      <c r="J638" s="35">
        <v>0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</row>
    <row r="639" spans="1:20" ht="15.75">
      <c r="A639" s="13">
        <v>60966</v>
      </c>
      <c r="B639" s="44">
        <f t="shared" si="0"/>
        <v>30</v>
      </c>
      <c r="C639" s="35">
        <v>122.58</v>
      </c>
      <c r="D639" s="35">
        <v>297.94099999999997</v>
      </c>
      <c r="E639" s="41">
        <v>729.47900000000004</v>
      </c>
      <c r="F639" s="35">
        <v>1150</v>
      </c>
      <c r="G639" s="35">
        <v>100</v>
      </c>
      <c r="H639" s="43">
        <v>600</v>
      </c>
      <c r="I639" s="35">
        <v>695</v>
      </c>
      <c r="J639" s="35">
        <v>50</v>
      </c>
      <c r="K639" s="36"/>
      <c r="L639" s="36"/>
      <c r="M639" s="36"/>
      <c r="N639" s="36"/>
      <c r="O639" s="36"/>
      <c r="P639" s="36"/>
      <c r="Q639" s="36"/>
      <c r="R639" s="36"/>
      <c r="S639" s="36"/>
      <c r="T639" s="36"/>
    </row>
    <row r="640" spans="1:20" ht="15.75">
      <c r="A640" s="13">
        <v>60997</v>
      </c>
      <c r="B640" s="44">
        <f t="shared" si="0"/>
        <v>31</v>
      </c>
      <c r="C640" s="35">
        <v>122.58</v>
      </c>
      <c r="D640" s="35">
        <v>297.94099999999997</v>
      </c>
      <c r="E640" s="41">
        <v>729.47900000000004</v>
      </c>
      <c r="F640" s="35">
        <v>1150</v>
      </c>
      <c r="G640" s="35">
        <v>100</v>
      </c>
      <c r="H640" s="43">
        <v>600</v>
      </c>
      <c r="I640" s="35">
        <v>695</v>
      </c>
      <c r="J640" s="35">
        <v>50</v>
      </c>
      <c r="K640" s="36"/>
      <c r="L640" s="36"/>
      <c r="M640" s="36"/>
      <c r="N640" s="36"/>
      <c r="O640" s="36"/>
      <c r="P640" s="36"/>
      <c r="Q640" s="36"/>
      <c r="R640" s="36"/>
      <c r="S640" s="36"/>
      <c r="T640" s="36"/>
    </row>
    <row r="641" spans="1:20" ht="15.75">
      <c r="A641" s="13">
        <v>61028</v>
      </c>
      <c r="B641" s="44">
        <f t="shared" si="0"/>
        <v>31</v>
      </c>
      <c r="C641" s="35">
        <v>122.58</v>
      </c>
      <c r="D641" s="35">
        <v>297.94099999999997</v>
      </c>
      <c r="E641" s="41">
        <v>729.47900000000004</v>
      </c>
      <c r="F641" s="35">
        <v>1150</v>
      </c>
      <c r="G641" s="35">
        <v>100</v>
      </c>
      <c r="H641" s="43">
        <v>600</v>
      </c>
      <c r="I641" s="35">
        <v>695</v>
      </c>
      <c r="J641" s="35">
        <v>50</v>
      </c>
      <c r="K641" s="36"/>
      <c r="L641" s="36"/>
      <c r="M641" s="36"/>
      <c r="N641" s="36"/>
      <c r="O641" s="36"/>
      <c r="P641" s="36"/>
      <c r="Q641" s="36"/>
      <c r="R641" s="36"/>
      <c r="S641" s="36"/>
      <c r="T641" s="36"/>
    </row>
    <row r="642" spans="1:20" ht="15.75">
      <c r="A642" s="13">
        <v>61056</v>
      </c>
      <c r="B642" s="44">
        <f t="shared" si="0"/>
        <v>28</v>
      </c>
      <c r="C642" s="35">
        <v>122.58</v>
      </c>
      <c r="D642" s="35">
        <v>297.94099999999997</v>
      </c>
      <c r="E642" s="41">
        <v>729.47900000000004</v>
      </c>
      <c r="F642" s="35">
        <v>1150</v>
      </c>
      <c r="G642" s="35">
        <v>100</v>
      </c>
      <c r="H642" s="43">
        <v>600</v>
      </c>
      <c r="I642" s="35">
        <v>695</v>
      </c>
      <c r="J642" s="35">
        <v>50</v>
      </c>
      <c r="K642" s="36"/>
      <c r="L642" s="36"/>
      <c r="M642" s="36"/>
      <c r="N642" s="36"/>
      <c r="O642" s="36"/>
      <c r="P642" s="36"/>
      <c r="Q642" s="36"/>
      <c r="R642" s="36"/>
      <c r="S642" s="36"/>
      <c r="T642" s="36"/>
    </row>
    <row r="643" spans="1:20" ht="15.75">
      <c r="A643" s="13">
        <v>61087</v>
      </c>
      <c r="B643" s="44">
        <f t="shared" si="0"/>
        <v>31</v>
      </c>
      <c r="C643" s="35">
        <v>122.58</v>
      </c>
      <c r="D643" s="35">
        <v>297.94099999999997</v>
      </c>
      <c r="E643" s="41">
        <v>729.47900000000004</v>
      </c>
      <c r="F643" s="35">
        <v>1150</v>
      </c>
      <c r="G643" s="35">
        <v>100</v>
      </c>
      <c r="H643" s="43">
        <v>600</v>
      </c>
      <c r="I643" s="35">
        <v>695</v>
      </c>
      <c r="J643" s="35">
        <v>50</v>
      </c>
      <c r="K643" s="36"/>
      <c r="L643" s="36"/>
      <c r="M643" s="36"/>
      <c r="N643" s="36"/>
      <c r="O643" s="36"/>
      <c r="P643" s="36"/>
      <c r="Q643" s="36"/>
      <c r="R643" s="36"/>
      <c r="S643" s="36"/>
      <c r="T643" s="36"/>
    </row>
    <row r="644" spans="1:20" ht="15.75">
      <c r="A644" s="13">
        <v>61117</v>
      </c>
      <c r="B644" s="44">
        <f t="shared" si="0"/>
        <v>30</v>
      </c>
      <c r="C644" s="35">
        <v>141.29300000000001</v>
      </c>
      <c r="D644" s="35">
        <v>267.99299999999999</v>
      </c>
      <c r="E644" s="41">
        <v>829.71400000000006</v>
      </c>
      <c r="F644" s="35">
        <v>1239</v>
      </c>
      <c r="G644" s="35">
        <v>100</v>
      </c>
      <c r="H644" s="43">
        <v>600</v>
      </c>
      <c r="I644" s="35">
        <v>695</v>
      </c>
      <c r="J644" s="35">
        <v>50</v>
      </c>
      <c r="K644" s="36"/>
      <c r="L644" s="36"/>
      <c r="M644" s="36"/>
      <c r="N644" s="36"/>
      <c r="O644" s="36"/>
      <c r="P644" s="36"/>
      <c r="Q644" s="36"/>
      <c r="R644" s="36"/>
      <c r="S644" s="36"/>
      <c r="T644" s="36"/>
    </row>
    <row r="645" spans="1:20" ht="15.75">
      <c r="A645" s="13">
        <v>61148</v>
      </c>
      <c r="B645" s="44">
        <f t="shared" ref="B645:B708" si="1">EOMONTH(A645,0)-EOMONTH(A645,-1)</f>
        <v>31</v>
      </c>
      <c r="C645" s="35">
        <v>194.20500000000001</v>
      </c>
      <c r="D645" s="35">
        <v>267.46600000000001</v>
      </c>
      <c r="E645" s="41">
        <v>812.32899999999995</v>
      </c>
      <c r="F645" s="35">
        <v>1274</v>
      </c>
      <c r="G645" s="35">
        <v>75</v>
      </c>
      <c r="H645" s="43">
        <v>600</v>
      </c>
      <c r="I645" s="35">
        <v>695</v>
      </c>
      <c r="J645" s="35">
        <v>50</v>
      </c>
      <c r="K645" s="36"/>
      <c r="L645" s="36"/>
      <c r="M645" s="36"/>
      <c r="N645" s="36"/>
      <c r="O645" s="36"/>
      <c r="P645" s="36"/>
      <c r="Q645" s="36"/>
      <c r="R645" s="36"/>
      <c r="S645" s="36"/>
      <c r="T645" s="36"/>
    </row>
    <row r="646" spans="1:20" ht="15.75">
      <c r="A646" s="13">
        <v>61178</v>
      </c>
      <c r="B646" s="44">
        <f t="shared" si="1"/>
        <v>30</v>
      </c>
      <c r="C646" s="35">
        <v>194.20500000000001</v>
      </c>
      <c r="D646" s="35">
        <v>267.46600000000001</v>
      </c>
      <c r="E646" s="41">
        <v>812.32899999999995</v>
      </c>
      <c r="F646" s="35">
        <v>1274</v>
      </c>
      <c r="G646" s="35">
        <v>50</v>
      </c>
      <c r="H646" s="43">
        <v>600</v>
      </c>
      <c r="I646" s="35">
        <v>695</v>
      </c>
      <c r="J646" s="35">
        <v>50</v>
      </c>
      <c r="K646" s="36"/>
      <c r="L646" s="36"/>
      <c r="M646" s="36"/>
      <c r="N646" s="36"/>
      <c r="O646" s="36"/>
      <c r="P646" s="36"/>
      <c r="Q646" s="36"/>
      <c r="R646" s="36"/>
      <c r="S646" s="36"/>
      <c r="T646" s="36"/>
    </row>
    <row r="647" spans="1:20" ht="15.75">
      <c r="A647" s="13">
        <v>61209</v>
      </c>
      <c r="B647" s="44">
        <f t="shared" si="1"/>
        <v>31</v>
      </c>
      <c r="C647" s="35">
        <v>194.20500000000001</v>
      </c>
      <c r="D647" s="35">
        <v>267.46600000000001</v>
      </c>
      <c r="E647" s="41">
        <v>812.32899999999995</v>
      </c>
      <c r="F647" s="35">
        <v>1274</v>
      </c>
      <c r="G647" s="35">
        <v>50</v>
      </c>
      <c r="H647" s="43">
        <v>600</v>
      </c>
      <c r="I647" s="35">
        <v>695</v>
      </c>
      <c r="J647" s="35">
        <v>0</v>
      </c>
      <c r="K647" s="36"/>
      <c r="L647" s="36"/>
      <c r="M647" s="36"/>
      <c r="N647" s="36"/>
      <c r="O647" s="36"/>
      <c r="P647" s="36"/>
      <c r="Q647" s="36"/>
      <c r="R647" s="36"/>
      <c r="S647" s="36"/>
      <c r="T647" s="36"/>
    </row>
    <row r="648" spans="1:20" ht="15.75">
      <c r="A648" s="13">
        <v>61240</v>
      </c>
      <c r="B648" s="44">
        <f t="shared" si="1"/>
        <v>31</v>
      </c>
      <c r="C648" s="35">
        <v>194.20500000000001</v>
      </c>
      <c r="D648" s="35">
        <v>267.46600000000001</v>
      </c>
      <c r="E648" s="41">
        <v>812.32899999999995</v>
      </c>
      <c r="F648" s="35">
        <v>1274</v>
      </c>
      <c r="G648" s="35">
        <v>50</v>
      </c>
      <c r="H648" s="43">
        <v>600</v>
      </c>
      <c r="I648" s="35">
        <v>695</v>
      </c>
      <c r="J648" s="35">
        <v>0</v>
      </c>
      <c r="K648" s="36"/>
      <c r="L648" s="36"/>
      <c r="M648" s="36"/>
      <c r="N648" s="36"/>
      <c r="O648" s="36"/>
      <c r="P648" s="36"/>
      <c r="Q648" s="36"/>
      <c r="R648" s="36"/>
      <c r="S648" s="36"/>
      <c r="T648" s="36"/>
    </row>
    <row r="649" spans="1:20" ht="15.75">
      <c r="A649" s="13">
        <v>61270</v>
      </c>
      <c r="B649" s="44">
        <f t="shared" si="1"/>
        <v>30</v>
      </c>
      <c r="C649" s="35">
        <v>194.20500000000001</v>
      </c>
      <c r="D649" s="35">
        <v>267.46600000000001</v>
      </c>
      <c r="E649" s="41">
        <v>812.32899999999995</v>
      </c>
      <c r="F649" s="35">
        <v>1274</v>
      </c>
      <c r="G649" s="35">
        <v>50</v>
      </c>
      <c r="H649" s="43">
        <v>600</v>
      </c>
      <c r="I649" s="35">
        <v>695</v>
      </c>
      <c r="J649" s="35">
        <v>0</v>
      </c>
      <c r="K649" s="36"/>
      <c r="L649" s="36"/>
      <c r="M649" s="36"/>
      <c r="N649" s="36"/>
      <c r="O649" s="36"/>
      <c r="P649" s="36"/>
      <c r="Q649" s="36"/>
      <c r="R649" s="36"/>
      <c r="S649" s="36"/>
      <c r="T649" s="36"/>
    </row>
    <row r="650" spans="1:20" ht="15.75">
      <c r="A650" s="13">
        <v>61301</v>
      </c>
      <c r="B650" s="44">
        <f t="shared" si="1"/>
        <v>31</v>
      </c>
      <c r="C650" s="35">
        <v>131.881</v>
      </c>
      <c r="D650" s="35">
        <v>277.16699999999997</v>
      </c>
      <c r="E650" s="41">
        <v>829.952</v>
      </c>
      <c r="F650" s="35">
        <v>1239</v>
      </c>
      <c r="G650" s="35">
        <v>75</v>
      </c>
      <c r="H650" s="43">
        <v>600</v>
      </c>
      <c r="I650" s="35">
        <v>695</v>
      </c>
      <c r="J650" s="35">
        <v>0</v>
      </c>
      <c r="K650" s="36"/>
      <c r="L650" s="36"/>
      <c r="M650" s="36"/>
      <c r="N650" s="36"/>
      <c r="O650" s="36"/>
      <c r="P650" s="36"/>
      <c r="Q650" s="36"/>
      <c r="R650" s="36"/>
      <c r="S650" s="36"/>
      <c r="T650" s="36"/>
    </row>
    <row r="651" spans="1:20" ht="15.75">
      <c r="A651" s="13">
        <v>61331</v>
      </c>
      <c r="B651" s="44">
        <f t="shared" si="1"/>
        <v>30</v>
      </c>
      <c r="C651" s="35">
        <v>122.58</v>
      </c>
      <c r="D651" s="35">
        <v>297.94099999999997</v>
      </c>
      <c r="E651" s="41">
        <v>729.47900000000004</v>
      </c>
      <c r="F651" s="35">
        <v>1150</v>
      </c>
      <c r="G651" s="35">
        <v>100</v>
      </c>
      <c r="H651" s="43">
        <v>600</v>
      </c>
      <c r="I651" s="35">
        <v>695</v>
      </c>
      <c r="J651" s="35">
        <v>50</v>
      </c>
      <c r="K651" s="36"/>
      <c r="L651" s="36"/>
      <c r="M651" s="36"/>
      <c r="N651" s="36"/>
      <c r="O651" s="36"/>
      <c r="P651" s="36"/>
      <c r="Q651" s="36"/>
      <c r="R651" s="36"/>
      <c r="S651" s="36"/>
      <c r="T651" s="36"/>
    </row>
    <row r="652" spans="1:20" ht="15.75">
      <c r="A652" s="13">
        <v>61362</v>
      </c>
      <c r="B652" s="44">
        <f t="shared" si="1"/>
        <v>31</v>
      </c>
      <c r="C652" s="35">
        <v>122.58</v>
      </c>
      <c r="D652" s="35">
        <v>297.94099999999997</v>
      </c>
      <c r="E652" s="41">
        <v>729.47900000000004</v>
      </c>
      <c r="F652" s="35">
        <v>1150</v>
      </c>
      <c r="G652" s="35">
        <v>100</v>
      </c>
      <c r="H652" s="43">
        <v>600</v>
      </c>
      <c r="I652" s="35">
        <v>695</v>
      </c>
      <c r="J652" s="35">
        <v>50</v>
      </c>
      <c r="K652" s="36"/>
      <c r="L652" s="36"/>
      <c r="M652" s="36"/>
      <c r="N652" s="36"/>
      <c r="O652" s="36"/>
      <c r="P652" s="36"/>
      <c r="Q652" s="36"/>
      <c r="R652" s="36"/>
      <c r="S652" s="36"/>
      <c r="T652" s="36"/>
    </row>
    <row r="653" spans="1:20" ht="15.75">
      <c r="A653" s="13">
        <v>61393</v>
      </c>
      <c r="B653" s="44">
        <f t="shared" si="1"/>
        <v>31</v>
      </c>
      <c r="C653" s="35">
        <v>122.58</v>
      </c>
      <c r="D653" s="35">
        <v>297.94099999999997</v>
      </c>
      <c r="E653" s="41">
        <v>729.47900000000004</v>
      </c>
      <c r="F653" s="35">
        <v>1150</v>
      </c>
      <c r="G653" s="35">
        <v>100</v>
      </c>
      <c r="H653" s="43">
        <v>600</v>
      </c>
      <c r="I653" s="35">
        <v>695</v>
      </c>
      <c r="J653" s="35">
        <v>50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</row>
    <row r="654" spans="1:20" ht="15.75">
      <c r="A654" s="13">
        <v>61422</v>
      </c>
      <c r="B654" s="44">
        <f t="shared" si="1"/>
        <v>29</v>
      </c>
      <c r="C654" s="35">
        <v>122.58</v>
      </c>
      <c r="D654" s="35">
        <v>297.94099999999997</v>
      </c>
      <c r="E654" s="41">
        <v>729.47900000000004</v>
      </c>
      <c r="F654" s="35">
        <v>1150</v>
      </c>
      <c r="G654" s="35">
        <v>100</v>
      </c>
      <c r="H654" s="43">
        <v>600</v>
      </c>
      <c r="I654" s="35">
        <v>695</v>
      </c>
      <c r="J654" s="35">
        <v>50</v>
      </c>
      <c r="K654" s="36"/>
      <c r="L654" s="36"/>
      <c r="M654" s="36"/>
      <c r="N654" s="36"/>
      <c r="O654" s="36"/>
      <c r="P654" s="36"/>
      <c r="Q654" s="36"/>
      <c r="R654" s="36"/>
      <c r="S654" s="36"/>
      <c r="T654" s="36"/>
    </row>
    <row r="655" spans="1:20" ht="15.75">
      <c r="A655" s="13">
        <v>61453</v>
      </c>
      <c r="B655" s="44">
        <f t="shared" si="1"/>
        <v>31</v>
      </c>
      <c r="C655" s="35">
        <v>122.58</v>
      </c>
      <c r="D655" s="35">
        <v>297.94099999999997</v>
      </c>
      <c r="E655" s="41">
        <v>729.47900000000004</v>
      </c>
      <c r="F655" s="35">
        <v>1150</v>
      </c>
      <c r="G655" s="35">
        <v>100</v>
      </c>
      <c r="H655" s="43">
        <v>600</v>
      </c>
      <c r="I655" s="35">
        <v>695</v>
      </c>
      <c r="J655" s="35">
        <v>50</v>
      </c>
      <c r="K655" s="36"/>
      <c r="L655" s="36"/>
      <c r="M655" s="36"/>
      <c r="N655" s="36"/>
      <c r="O655" s="36"/>
      <c r="P655" s="36"/>
      <c r="Q655" s="36"/>
      <c r="R655" s="36"/>
      <c r="S655" s="36"/>
      <c r="T655" s="36"/>
    </row>
    <row r="656" spans="1:20" ht="15.75">
      <c r="A656" s="13">
        <v>61483</v>
      </c>
      <c r="B656" s="44">
        <f t="shared" si="1"/>
        <v>30</v>
      </c>
      <c r="C656" s="35">
        <v>141.29300000000001</v>
      </c>
      <c r="D656" s="35">
        <v>267.99299999999999</v>
      </c>
      <c r="E656" s="41">
        <v>829.71400000000006</v>
      </c>
      <c r="F656" s="35">
        <v>1239</v>
      </c>
      <c r="G656" s="35">
        <v>100</v>
      </c>
      <c r="H656" s="43">
        <v>600</v>
      </c>
      <c r="I656" s="35">
        <v>695</v>
      </c>
      <c r="J656" s="35">
        <v>50</v>
      </c>
      <c r="K656" s="36"/>
      <c r="L656" s="36"/>
      <c r="M656" s="36"/>
      <c r="N656" s="36"/>
      <c r="O656" s="36"/>
      <c r="P656" s="36"/>
      <c r="Q656" s="36"/>
      <c r="R656" s="36"/>
      <c r="S656" s="36"/>
      <c r="T656" s="36"/>
    </row>
    <row r="657" spans="1:20" ht="15.75">
      <c r="A657" s="13">
        <v>61514</v>
      </c>
      <c r="B657" s="44">
        <f t="shared" si="1"/>
        <v>31</v>
      </c>
      <c r="C657" s="35">
        <v>194.20500000000001</v>
      </c>
      <c r="D657" s="35">
        <v>267.46600000000001</v>
      </c>
      <c r="E657" s="41">
        <v>812.32899999999995</v>
      </c>
      <c r="F657" s="35">
        <v>1274</v>
      </c>
      <c r="G657" s="35">
        <v>75</v>
      </c>
      <c r="H657" s="43">
        <v>600</v>
      </c>
      <c r="I657" s="35">
        <v>695</v>
      </c>
      <c r="J657" s="35">
        <v>50</v>
      </c>
      <c r="K657" s="36"/>
      <c r="L657" s="36"/>
      <c r="M657" s="36"/>
      <c r="N657" s="36"/>
      <c r="O657" s="36"/>
      <c r="P657" s="36"/>
      <c r="Q657" s="36"/>
      <c r="R657" s="36"/>
      <c r="S657" s="36"/>
      <c r="T657" s="36"/>
    </row>
    <row r="658" spans="1:20" ht="15.75">
      <c r="A658" s="13">
        <v>61544</v>
      </c>
      <c r="B658" s="44">
        <f t="shared" si="1"/>
        <v>30</v>
      </c>
      <c r="C658" s="35">
        <v>194.20500000000001</v>
      </c>
      <c r="D658" s="35">
        <v>267.46600000000001</v>
      </c>
      <c r="E658" s="41">
        <v>812.32899999999995</v>
      </c>
      <c r="F658" s="35">
        <v>1274</v>
      </c>
      <c r="G658" s="35">
        <v>50</v>
      </c>
      <c r="H658" s="43">
        <v>600</v>
      </c>
      <c r="I658" s="35">
        <v>695</v>
      </c>
      <c r="J658" s="35">
        <v>50</v>
      </c>
      <c r="K658" s="36"/>
      <c r="L658" s="36"/>
      <c r="M658" s="36"/>
      <c r="N658" s="36"/>
      <c r="O658" s="36"/>
      <c r="P658" s="36"/>
      <c r="Q658" s="36"/>
      <c r="R658" s="36"/>
      <c r="S658" s="36"/>
      <c r="T658" s="36"/>
    </row>
    <row r="659" spans="1:20" ht="15.75">
      <c r="A659" s="13">
        <v>61575</v>
      </c>
      <c r="B659" s="44">
        <f t="shared" si="1"/>
        <v>31</v>
      </c>
      <c r="C659" s="35">
        <v>194.20500000000001</v>
      </c>
      <c r="D659" s="35">
        <v>267.46600000000001</v>
      </c>
      <c r="E659" s="41">
        <v>812.32899999999995</v>
      </c>
      <c r="F659" s="35">
        <v>1274</v>
      </c>
      <c r="G659" s="35">
        <v>50</v>
      </c>
      <c r="H659" s="43">
        <v>600</v>
      </c>
      <c r="I659" s="35">
        <v>695</v>
      </c>
      <c r="J659" s="35">
        <v>0</v>
      </c>
      <c r="K659" s="36"/>
      <c r="L659" s="36"/>
      <c r="M659" s="36"/>
      <c r="N659" s="36"/>
      <c r="O659" s="36"/>
      <c r="P659" s="36"/>
      <c r="Q659" s="36"/>
      <c r="R659" s="36"/>
      <c r="S659" s="36"/>
      <c r="T659" s="36"/>
    </row>
    <row r="660" spans="1:20" ht="15.75">
      <c r="A660" s="13">
        <v>61606</v>
      </c>
      <c r="B660" s="44">
        <f t="shared" si="1"/>
        <v>31</v>
      </c>
      <c r="C660" s="35">
        <v>194.20500000000001</v>
      </c>
      <c r="D660" s="35">
        <v>267.46600000000001</v>
      </c>
      <c r="E660" s="41">
        <v>812.32899999999995</v>
      </c>
      <c r="F660" s="35">
        <v>1274</v>
      </c>
      <c r="G660" s="35">
        <v>50</v>
      </c>
      <c r="H660" s="43">
        <v>600</v>
      </c>
      <c r="I660" s="35">
        <v>695</v>
      </c>
      <c r="J660" s="35">
        <v>0</v>
      </c>
      <c r="K660" s="36"/>
      <c r="L660" s="36"/>
      <c r="M660" s="36"/>
      <c r="N660" s="36"/>
      <c r="O660" s="36"/>
      <c r="P660" s="36"/>
      <c r="Q660" s="36"/>
      <c r="R660" s="36"/>
      <c r="S660" s="36"/>
      <c r="T660" s="36"/>
    </row>
    <row r="661" spans="1:20" ht="15.75">
      <c r="A661" s="13">
        <v>61636</v>
      </c>
      <c r="B661" s="44">
        <f t="shared" si="1"/>
        <v>30</v>
      </c>
      <c r="C661" s="35">
        <v>194.20500000000001</v>
      </c>
      <c r="D661" s="35">
        <v>267.46600000000001</v>
      </c>
      <c r="E661" s="41">
        <v>812.32899999999995</v>
      </c>
      <c r="F661" s="35">
        <v>1274</v>
      </c>
      <c r="G661" s="35">
        <v>50</v>
      </c>
      <c r="H661" s="43">
        <v>600</v>
      </c>
      <c r="I661" s="35">
        <v>695</v>
      </c>
      <c r="J661" s="35">
        <v>0</v>
      </c>
      <c r="K661" s="36"/>
      <c r="L661" s="36"/>
      <c r="M661" s="36"/>
      <c r="N661" s="36"/>
      <c r="O661" s="36"/>
      <c r="P661" s="36"/>
      <c r="Q661" s="36"/>
      <c r="R661" s="36"/>
      <c r="S661" s="36"/>
      <c r="T661" s="36"/>
    </row>
    <row r="662" spans="1:20" ht="15.75">
      <c r="A662" s="13">
        <v>61667</v>
      </c>
      <c r="B662" s="44">
        <f t="shared" si="1"/>
        <v>31</v>
      </c>
      <c r="C662" s="35">
        <v>131.881</v>
      </c>
      <c r="D662" s="35">
        <v>277.16699999999997</v>
      </c>
      <c r="E662" s="41">
        <v>829.952</v>
      </c>
      <c r="F662" s="35">
        <v>1239</v>
      </c>
      <c r="G662" s="35">
        <v>75</v>
      </c>
      <c r="H662" s="43">
        <v>600</v>
      </c>
      <c r="I662" s="35">
        <v>695</v>
      </c>
      <c r="J662" s="35">
        <v>0</v>
      </c>
      <c r="K662" s="36"/>
      <c r="L662" s="36"/>
      <c r="M662" s="36"/>
      <c r="N662" s="36"/>
      <c r="O662" s="36"/>
      <c r="P662" s="36"/>
      <c r="Q662" s="36"/>
      <c r="R662" s="36"/>
      <c r="S662" s="36"/>
      <c r="T662" s="36"/>
    </row>
    <row r="663" spans="1:20" ht="15.75">
      <c r="A663" s="13">
        <v>61697</v>
      </c>
      <c r="B663" s="44">
        <f t="shared" si="1"/>
        <v>30</v>
      </c>
      <c r="C663" s="35">
        <v>122.58</v>
      </c>
      <c r="D663" s="35">
        <v>297.94099999999997</v>
      </c>
      <c r="E663" s="41">
        <v>729.47900000000004</v>
      </c>
      <c r="F663" s="35">
        <v>1150</v>
      </c>
      <c r="G663" s="35">
        <v>100</v>
      </c>
      <c r="H663" s="43">
        <v>600</v>
      </c>
      <c r="I663" s="35">
        <v>695</v>
      </c>
      <c r="J663" s="35">
        <v>50</v>
      </c>
      <c r="K663" s="36"/>
      <c r="L663" s="36"/>
      <c r="M663" s="36"/>
      <c r="N663" s="36"/>
      <c r="O663" s="36"/>
      <c r="P663" s="36"/>
      <c r="Q663" s="36"/>
      <c r="R663" s="36"/>
      <c r="S663" s="36"/>
      <c r="T663" s="36"/>
    </row>
    <row r="664" spans="1:20" ht="15.75">
      <c r="A664" s="13">
        <v>61728</v>
      </c>
      <c r="B664" s="44">
        <f t="shared" si="1"/>
        <v>31</v>
      </c>
      <c r="C664" s="35">
        <v>122.58</v>
      </c>
      <c r="D664" s="35">
        <v>297.94099999999997</v>
      </c>
      <c r="E664" s="41">
        <v>729.47900000000004</v>
      </c>
      <c r="F664" s="35">
        <v>1150</v>
      </c>
      <c r="G664" s="35">
        <v>100</v>
      </c>
      <c r="H664" s="43">
        <v>600</v>
      </c>
      <c r="I664" s="35">
        <v>695</v>
      </c>
      <c r="J664" s="35">
        <v>50</v>
      </c>
      <c r="K664" s="36"/>
      <c r="L664" s="36"/>
      <c r="M664" s="36"/>
      <c r="N664" s="36"/>
      <c r="O664" s="36"/>
      <c r="P664" s="36"/>
      <c r="Q664" s="36"/>
      <c r="R664" s="36"/>
      <c r="S664" s="36"/>
      <c r="T664" s="36"/>
    </row>
    <row r="665" spans="1:20" ht="15.75">
      <c r="A665" s="13">
        <v>61759</v>
      </c>
      <c r="B665" s="44">
        <f t="shared" si="1"/>
        <v>31</v>
      </c>
      <c r="C665" s="35">
        <v>122.58</v>
      </c>
      <c r="D665" s="35">
        <v>297.94099999999997</v>
      </c>
      <c r="E665" s="41">
        <v>729.47900000000004</v>
      </c>
      <c r="F665" s="35">
        <v>1150</v>
      </c>
      <c r="G665" s="35">
        <v>100</v>
      </c>
      <c r="H665" s="43">
        <v>600</v>
      </c>
      <c r="I665" s="35">
        <v>695</v>
      </c>
      <c r="J665" s="35">
        <v>50</v>
      </c>
      <c r="K665" s="36"/>
      <c r="L665" s="36"/>
      <c r="M665" s="36"/>
      <c r="N665" s="36"/>
      <c r="O665" s="36"/>
      <c r="P665" s="36"/>
      <c r="Q665" s="36"/>
      <c r="R665" s="36"/>
      <c r="S665" s="36"/>
      <c r="T665" s="36"/>
    </row>
    <row r="666" spans="1:20" ht="15.75">
      <c r="A666" s="13">
        <v>61787</v>
      </c>
      <c r="B666" s="44">
        <f t="shared" si="1"/>
        <v>28</v>
      </c>
      <c r="C666" s="35">
        <v>122.58</v>
      </c>
      <c r="D666" s="35">
        <v>297.94099999999997</v>
      </c>
      <c r="E666" s="41">
        <v>729.47900000000004</v>
      </c>
      <c r="F666" s="35">
        <v>1150</v>
      </c>
      <c r="G666" s="35">
        <v>100</v>
      </c>
      <c r="H666" s="43">
        <v>600</v>
      </c>
      <c r="I666" s="35">
        <v>695</v>
      </c>
      <c r="J666" s="35">
        <v>50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</row>
    <row r="667" spans="1:20" ht="15.75">
      <c r="A667" s="13">
        <v>61818</v>
      </c>
      <c r="B667" s="44">
        <f t="shared" si="1"/>
        <v>31</v>
      </c>
      <c r="C667" s="35">
        <v>122.58</v>
      </c>
      <c r="D667" s="35">
        <v>297.94099999999997</v>
      </c>
      <c r="E667" s="41">
        <v>729.47900000000004</v>
      </c>
      <c r="F667" s="35">
        <v>1150</v>
      </c>
      <c r="G667" s="35">
        <v>100</v>
      </c>
      <c r="H667" s="43">
        <v>600</v>
      </c>
      <c r="I667" s="35">
        <v>695</v>
      </c>
      <c r="J667" s="35">
        <v>50</v>
      </c>
      <c r="K667" s="36"/>
      <c r="L667" s="36"/>
      <c r="M667" s="36"/>
      <c r="N667" s="36"/>
      <c r="O667" s="36"/>
      <c r="P667" s="36"/>
      <c r="Q667" s="36"/>
      <c r="R667" s="36"/>
      <c r="S667" s="36"/>
      <c r="T667" s="36"/>
    </row>
    <row r="668" spans="1:20" ht="15.75">
      <c r="A668" s="13">
        <v>61848</v>
      </c>
      <c r="B668" s="44">
        <f t="shared" si="1"/>
        <v>30</v>
      </c>
      <c r="C668" s="35">
        <v>141.29300000000001</v>
      </c>
      <c r="D668" s="35">
        <v>267.99299999999999</v>
      </c>
      <c r="E668" s="41">
        <v>829.71400000000006</v>
      </c>
      <c r="F668" s="35">
        <v>1239</v>
      </c>
      <c r="G668" s="35">
        <v>100</v>
      </c>
      <c r="H668" s="43">
        <v>600</v>
      </c>
      <c r="I668" s="35">
        <v>695</v>
      </c>
      <c r="J668" s="35">
        <v>50</v>
      </c>
      <c r="K668" s="36"/>
      <c r="L668" s="36"/>
      <c r="M668" s="36"/>
      <c r="N668" s="36"/>
      <c r="O668" s="36"/>
      <c r="P668" s="36"/>
      <c r="Q668" s="36"/>
      <c r="R668" s="36"/>
      <c r="S668" s="36"/>
      <c r="T668" s="36"/>
    </row>
    <row r="669" spans="1:20" ht="15.75">
      <c r="A669" s="13">
        <v>61879</v>
      </c>
      <c r="B669" s="44">
        <f t="shared" si="1"/>
        <v>31</v>
      </c>
      <c r="C669" s="35">
        <v>194.20500000000001</v>
      </c>
      <c r="D669" s="35">
        <v>267.46600000000001</v>
      </c>
      <c r="E669" s="41">
        <v>812.32899999999995</v>
      </c>
      <c r="F669" s="35">
        <v>1274</v>
      </c>
      <c r="G669" s="35">
        <v>75</v>
      </c>
      <c r="H669" s="43">
        <v>600</v>
      </c>
      <c r="I669" s="35">
        <v>695</v>
      </c>
      <c r="J669" s="35">
        <v>50</v>
      </c>
      <c r="K669" s="36"/>
      <c r="L669" s="36"/>
      <c r="M669" s="36"/>
      <c r="N669" s="36"/>
      <c r="O669" s="36"/>
      <c r="P669" s="36"/>
      <c r="Q669" s="36"/>
      <c r="R669" s="36"/>
      <c r="S669" s="36"/>
      <c r="T669" s="36"/>
    </row>
    <row r="670" spans="1:20" ht="15.75">
      <c r="A670" s="13">
        <v>61909</v>
      </c>
      <c r="B670" s="44">
        <f t="shared" si="1"/>
        <v>30</v>
      </c>
      <c r="C670" s="35">
        <v>194.20500000000001</v>
      </c>
      <c r="D670" s="35">
        <v>267.46600000000001</v>
      </c>
      <c r="E670" s="41">
        <v>812.32899999999995</v>
      </c>
      <c r="F670" s="35">
        <v>1274</v>
      </c>
      <c r="G670" s="35">
        <v>50</v>
      </c>
      <c r="H670" s="43">
        <v>600</v>
      </c>
      <c r="I670" s="35">
        <v>695</v>
      </c>
      <c r="J670" s="35">
        <v>50</v>
      </c>
      <c r="K670" s="36"/>
      <c r="L670" s="36"/>
      <c r="M670" s="36"/>
      <c r="N670" s="36"/>
      <c r="O670" s="36"/>
      <c r="P670" s="36"/>
      <c r="Q670" s="36"/>
      <c r="R670" s="36"/>
      <c r="S670" s="36"/>
      <c r="T670" s="36"/>
    </row>
    <row r="671" spans="1:20" ht="15.75">
      <c r="A671" s="13">
        <v>61940</v>
      </c>
      <c r="B671" s="44">
        <f t="shared" si="1"/>
        <v>31</v>
      </c>
      <c r="C671" s="35">
        <v>194.20500000000001</v>
      </c>
      <c r="D671" s="35">
        <v>267.46600000000001</v>
      </c>
      <c r="E671" s="41">
        <v>812.32899999999995</v>
      </c>
      <c r="F671" s="35">
        <v>1274</v>
      </c>
      <c r="G671" s="35">
        <v>50</v>
      </c>
      <c r="H671" s="43">
        <v>600</v>
      </c>
      <c r="I671" s="35">
        <v>695</v>
      </c>
      <c r="J671" s="35">
        <v>0</v>
      </c>
      <c r="K671" s="36"/>
      <c r="L671" s="36"/>
      <c r="M671" s="36"/>
      <c r="N671" s="36"/>
      <c r="O671" s="36"/>
      <c r="P671" s="36"/>
      <c r="Q671" s="36"/>
      <c r="R671" s="36"/>
      <c r="S671" s="36"/>
      <c r="T671" s="36"/>
    </row>
    <row r="672" spans="1:20" ht="15.75">
      <c r="A672" s="13">
        <v>61971</v>
      </c>
      <c r="B672" s="44">
        <f t="shared" si="1"/>
        <v>31</v>
      </c>
      <c r="C672" s="35">
        <v>194.20500000000001</v>
      </c>
      <c r="D672" s="35">
        <v>267.46600000000001</v>
      </c>
      <c r="E672" s="41">
        <v>812.32899999999995</v>
      </c>
      <c r="F672" s="35">
        <v>1274</v>
      </c>
      <c r="G672" s="35">
        <v>50</v>
      </c>
      <c r="H672" s="43">
        <v>600</v>
      </c>
      <c r="I672" s="35">
        <v>695</v>
      </c>
      <c r="J672" s="35">
        <v>0</v>
      </c>
      <c r="K672" s="36"/>
      <c r="L672" s="36"/>
      <c r="M672" s="36"/>
      <c r="N672" s="36"/>
      <c r="O672" s="36"/>
      <c r="P672" s="36"/>
      <c r="Q672" s="36"/>
      <c r="R672" s="36"/>
      <c r="S672" s="36"/>
      <c r="T672" s="36"/>
    </row>
    <row r="673" spans="1:20" ht="15.75">
      <c r="A673" s="13">
        <v>62001</v>
      </c>
      <c r="B673" s="44">
        <f t="shared" si="1"/>
        <v>30</v>
      </c>
      <c r="C673" s="35">
        <v>194.20500000000001</v>
      </c>
      <c r="D673" s="35">
        <v>267.46600000000001</v>
      </c>
      <c r="E673" s="41">
        <v>812.32899999999995</v>
      </c>
      <c r="F673" s="35">
        <v>1274</v>
      </c>
      <c r="G673" s="35">
        <v>50</v>
      </c>
      <c r="H673" s="43">
        <v>600</v>
      </c>
      <c r="I673" s="35">
        <v>695</v>
      </c>
      <c r="J673" s="35">
        <v>0</v>
      </c>
      <c r="K673" s="36"/>
      <c r="L673" s="36"/>
      <c r="M673" s="36"/>
      <c r="N673" s="36"/>
      <c r="O673" s="36"/>
      <c r="P673" s="36"/>
      <c r="Q673" s="36"/>
      <c r="R673" s="36"/>
      <c r="S673" s="36"/>
      <c r="T673" s="36"/>
    </row>
    <row r="674" spans="1:20" ht="15.75">
      <c r="A674" s="13">
        <v>62032</v>
      </c>
      <c r="B674" s="44">
        <f t="shared" si="1"/>
        <v>31</v>
      </c>
      <c r="C674" s="35">
        <v>131.881</v>
      </c>
      <c r="D674" s="35">
        <v>277.16699999999997</v>
      </c>
      <c r="E674" s="41">
        <v>829.952</v>
      </c>
      <c r="F674" s="35">
        <v>1239</v>
      </c>
      <c r="G674" s="35">
        <v>75</v>
      </c>
      <c r="H674" s="43">
        <v>600</v>
      </c>
      <c r="I674" s="35">
        <v>695</v>
      </c>
      <c r="J674" s="35">
        <v>0</v>
      </c>
      <c r="K674" s="36"/>
      <c r="L674" s="36"/>
      <c r="M674" s="36"/>
      <c r="N674" s="36"/>
      <c r="O674" s="36"/>
      <c r="P674" s="36"/>
      <c r="Q674" s="36"/>
      <c r="R674" s="36"/>
      <c r="S674" s="36"/>
      <c r="T674" s="36"/>
    </row>
    <row r="675" spans="1:20" ht="15.75">
      <c r="A675" s="13">
        <v>62062</v>
      </c>
      <c r="B675" s="44">
        <f t="shared" si="1"/>
        <v>30</v>
      </c>
      <c r="C675" s="35">
        <v>122.58</v>
      </c>
      <c r="D675" s="35">
        <v>297.94099999999997</v>
      </c>
      <c r="E675" s="41">
        <v>729.47900000000004</v>
      </c>
      <c r="F675" s="35">
        <v>1150</v>
      </c>
      <c r="G675" s="35">
        <v>100</v>
      </c>
      <c r="H675" s="43">
        <v>600</v>
      </c>
      <c r="I675" s="35">
        <v>695</v>
      </c>
      <c r="J675" s="35">
        <v>50</v>
      </c>
      <c r="K675" s="36"/>
      <c r="L675" s="36"/>
      <c r="M675" s="36"/>
      <c r="N675" s="36"/>
      <c r="O675" s="36"/>
      <c r="P675" s="36"/>
      <c r="Q675" s="36"/>
      <c r="R675" s="36"/>
      <c r="S675" s="36"/>
      <c r="T675" s="36"/>
    </row>
    <row r="676" spans="1:20" ht="15.75">
      <c r="A676" s="13">
        <v>62093</v>
      </c>
      <c r="B676" s="44">
        <f t="shared" si="1"/>
        <v>31</v>
      </c>
      <c r="C676" s="35">
        <v>122.58</v>
      </c>
      <c r="D676" s="35">
        <v>297.94099999999997</v>
      </c>
      <c r="E676" s="41">
        <v>729.47900000000004</v>
      </c>
      <c r="F676" s="35">
        <v>1150</v>
      </c>
      <c r="G676" s="35">
        <v>100</v>
      </c>
      <c r="H676" s="43">
        <v>600</v>
      </c>
      <c r="I676" s="35">
        <v>695</v>
      </c>
      <c r="J676" s="35">
        <v>50</v>
      </c>
      <c r="K676" s="36"/>
      <c r="L676" s="36"/>
      <c r="M676" s="36"/>
      <c r="N676" s="36"/>
      <c r="O676" s="36"/>
      <c r="P676" s="36"/>
      <c r="Q676" s="36"/>
      <c r="R676" s="36"/>
      <c r="S676" s="36"/>
      <c r="T676" s="36"/>
    </row>
    <row r="677" spans="1:20" ht="15.75">
      <c r="A677" s="13">
        <v>62124</v>
      </c>
      <c r="B677" s="44">
        <f t="shared" si="1"/>
        <v>31</v>
      </c>
      <c r="C677" s="35">
        <v>122.58</v>
      </c>
      <c r="D677" s="35">
        <v>297.94099999999997</v>
      </c>
      <c r="E677" s="41">
        <v>729.47900000000004</v>
      </c>
      <c r="F677" s="35">
        <v>1150</v>
      </c>
      <c r="G677" s="35">
        <v>100</v>
      </c>
      <c r="H677" s="43">
        <v>600</v>
      </c>
      <c r="I677" s="35">
        <v>695</v>
      </c>
      <c r="J677" s="35">
        <v>50</v>
      </c>
      <c r="K677" s="36"/>
      <c r="L677" s="36"/>
      <c r="M677" s="36"/>
      <c r="N677" s="36"/>
      <c r="O677" s="36"/>
      <c r="P677" s="36"/>
      <c r="Q677" s="36"/>
      <c r="R677" s="36"/>
      <c r="S677" s="36"/>
      <c r="T677" s="36"/>
    </row>
    <row r="678" spans="1:20" ht="15.75">
      <c r="A678" s="13">
        <v>62152</v>
      </c>
      <c r="B678" s="44">
        <f t="shared" si="1"/>
        <v>28</v>
      </c>
      <c r="C678" s="35">
        <v>122.58</v>
      </c>
      <c r="D678" s="35">
        <v>297.94099999999997</v>
      </c>
      <c r="E678" s="41">
        <v>729.47900000000004</v>
      </c>
      <c r="F678" s="35">
        <v>1150</v>
      </c>
      <c r="G678" s="35">
        <v>100</v>
      </c>
      <c r="H678" s="43">
        <v>600</v>
      </c>
      <c r="I678" s="35">
        <v>695</v>
      </c>
      <c r="J678" s="35">
        <v>50</v>
      </c>
      <c r="K678" s="36"/>
      <c r="L678" s="36"/>
      <c r="M678" s="36"/>
      <c r="N678" s="36"/>
      <c r="O678" s="36"/>
      <c r="P678" s="36"/>
      <c r="Q678" s="36"/>
      <c r="R678" s="36"/>
      <c r="S678" s="36"/>
      <c r="T678" s="36"/>
    </row>
    <row r="679" spans="1:20" ht="15.75">
      <c r="A679" s="13">
        <v>62183</v>
      </c>
      <c r="B679" s="44">
        <f t="shared" si="1"/>
        <v>31</v>
      </c>
      <c r="C679" s="35">
        <v>122.58</v>
      </c>
      <c r="D679" s="35">
        <v>297.94099999999997</v>
      </c>
      <c r="E679" s="41">
        <v>729.47900000000004</v>
      </c>
      <c r="F679" s="35">
        <v>1150</v>
      </c>
      <c r="G679" s="35">
        <v>100</v>
      </c>
      <c r="H679" s="43">
        <v>600</v>
      </c>
      <c r="I679" s="35">
        <v>695</v>
      </c>
      <c r="J679" s="35">
        <v>50</v>
      </c>
      <c r="K679" s="36"/>
      <c r="L679" s="36"/>
      <c r="M679" s="36"/>
      <c r="N679" s="36"/>
      <c r="O679" s="36"/>
      <c r="P679" s="36"/>
      <c r="Q679" s="36"/>
      <c r="R679" s="36"/>
      <c r="S679" s="36"/>
      <c r="T679" s="36"/>
    </row>
    <row r="680" spans="1:20" ht="15.75">
      <c r="A680" s="13">
        <v>62213</v>
      </c>
      <c r="B680" s="44">
        <f t="shared" si="1"/>
        <v>30</v>
      </c>
      <c r="C680" s="35">
        <v>141.29300000000001</v>
      </c>
      <c r="D680" s="35">
        <v>267.99299999999999</v>
      </c>
      <c r="E680" s="41">
        <v>829.71400000000006</v>
      </c>
      <c r="F680" s="35">
        <v>1239</v>
      </c>
      <c r="G680" s="35">
        <v>100</v>
      </c>
      <c r="H680" s="43">
        <v>600</v>
      </c>
      <c r="I680" s="35">
        <v>695</v>
      </c>
      <c r="J680" s="35">
        <v>50</v>
      </c>
      <c r="K680" s="36"/>
      <c r="L680" s="36"/>
      <c r="M680" s="36"/>
      <c r="N680" s="36"/>
      <c r="O680" s="36"/>
      <c r="P680" s="36"/>
      <c r="Q680" s="36"/>
      <c r="R680" s="36"/>
      <c r="S680" s="36"/>
      <c r="T680" s="36"/>
    </row>
    <row r="681" spans="1:20" ht="15.75">
      <c r="A681" s="13">
        <v>62244</v>
      </c>
      <c r="B681" s="44">
        <f t="shared" si="1"/>
        <v>31</v>
      </c>
      <c r="C681" s="35">
        <v>194.20500000000001</v>
      </c>
      <c r="D681" s="35">
        <v>267.46600000000001</v>
      </c>
      <c r="E681" s="41">
        <v>812.32899999999995</v>
      </c>
      <c r="F681" s="35">
        <v>1274</v>
      </c>
      <c r="G681" s="35">
        <v>75</v>
      </c>
      <c r="H681" s="43">
        <v>600</v>
      </c>
      <c r="I681" s="35">
        <v>695</v>
      </c>
      <c r="J681" s="35">
        <v>50</v>
      </c>
      <c r="K681" s="36"/>
      <c r="L681" s="36"/>
      <c r="M681" s="36"/>
      <c r="N681" s="36"/>
      <c r="O681" s="36"/>
      <c r="P681" s="36"/>
      <c r="Q681" s="36"/>
      <c r="R681" s="36"/>
      <c r="S681" s="36"/>
      <c r="T681" s="36"/>
    </row>
    <row r="682" spans="1:20" ht="15.75">
      <c r="A682" s="13">
        <v>62274</v>
      </c>
      <c r="B682" s="44">
        <f t="shared" si="1"/>
        <v>30</v>
      </c>
      <c r="C682" s="35">
        <v>194.20500000000001</v>
      </c>
      <c r="D682" s="35">
        <v>267.46600000000001</v>
      </c>
      <c r="E682" s="41">
        <v>812.32899999999995</v>
      </c>
      <c r="F682" s="35">
        <v>1274</v>
      </c>
      <c r="G682" s="35">
        <v>50</v>
      </c>
      <c r="H682" s="43">
        <v>600</v>
      </c>
      <c r="I682" s="35">
        <v>695</v>
      </c>
      <c r="J682" s="35">
        <v>50</v>
      </c>
      <c r="K682" s="36"/>
      <c r="L682" s="36"/>
      <c r="M682" s="36"/>
      <c r="N682" s="36"/>
      <c r="O682" s="36"/>
      <c r="P682" s="36"/>
      <c r="Q682" s="36"/>
      <c r="R682" s="36"/>
      <c r="S682" s="36"/>
      <c r="T682" s="36"/>
    </row>
    <row r="683" spans="1:20" ht="15.75">
      <c r="A683" s="13">
        <v>62305</v>
      </c>
      <c r="B683" s="44">
        <f t="shared" si="1"/>
        <v>31</v>
      </c>
      <c r="C683" s="35">
        <v>194.20500000000001</v>
      </c>
      <c r="D683" s="35">
        <v>267.46600000000001</v>
      </c>
      <c r="E683" s="41">
        <v>812.32899999999995</v>
      </c>
      <c r="F683" s="35">
        <v>1274</v>
      </c>
      <c r="G683" s="35">
        <v>50</v>
      </c>
      <c r="H683" s="43">
        <v>600</v>
      </c>
      <c r="I683" s="35">
        <v>695</v>
      </c>
      <c r="J683" s="35">
        <v>0</v>
      </c>
      <c r="K683" s="36"/>
      <c r="L683" s="36"/>
      <c r="M683" s="36"/>
      <c r="N683" s="36"/>
      <c r="O683" s="36"/>
      <c r="P683" s="36"/>
      <c r="Q683" s="36"/>
      <c r="R683" s="36"/>
      <c r="S683" s="36"/>
      <c r="T683" s="36"/>
    </row>
    <row r="684" spans="1:20" ht="15.75">
      <c r="A684" s="13">
        <v>62336</v>
      </c>
      <c r="B684" s="44">
        <f t="shared" si="1"/>
        <v>31</v>
      </c>
      <c r="C684" s="35">
        <v>194.20500000000001</v>
      </c>
      <c r="D684" s="35">
        <v>267.46600000000001</v>
      </c>
      <c r="E684" s="41">
        <v>812.32899999999995</v>
      </c>
      <c r="F684" s="35">
        <v>1274</v>
      </c>
      <c r="G684" s="35">
        <v>50</v>
      </c>
      <c r="H684" s="43">
        <v>600</v>
      </c>
      <c r="I684" s="35">
        <v>695</v>
      </c>
      <c r="J684" s="35">
        <v>0</v>
      </c>
      <c r="K684" s="36"/>
      <c r="L684" s="36"/>
      <c r="M684" s="36"/>
      <c r="N684" s="36"/>
      <c r="O684" s="36"/>
      <c r="P684" s="36"/>
      <c r="Q684" s="36"/>
      <c r="R684" s="36"/>
      <c r="S684" s="36"/>
      <c r="T684" s="36"/>
    </row>
    <row r="685" spans="1:20" ht="15.75">
      <c r="A685" s="13">
        <v>62366</v>
      </c>
      <c r="B685" s="44">
        <f t="shared" si="1"/>
        <v>30</v>
      </c>
      <c r="C685" s="35">
        <v>194.20500000000001</v>
      </c>
      <c r="D685" s="35">
        <v>267.46600000000001</v>
      </c>
      <c r="E685" s="41">
        <v>812.32899999999995</v>
      </c>
      <c r="F685" s="35">
        <v>1274</v>
      </c>
      <c r="G685" s="35">
        <v>50</v>
      </c>
      <c r="H685" s="43">
        <v>600</v>
      </c>
      <c r="I685" s="35">
        <v>695</v>
      </c>
      <c r="J685" s="35">
        <v>0</v>
      </c>
      <c r="K685" s="36"/>
      <c r="L685" s="36"/>
      <c r="M685" s="36"/>
      <c r="N685" s="36"/>
      <c r="O685" s="36"/>
      <c r="P685" s="36"/>
      <c r="Q685" s="36"/>
      <c r="R685" s="36"/>
      <c r="S685" s="36"/>
      <c r="T685" s="36"/>
    </row>
    <row r="686" spans="1:20" ht="15.75">
      <c r="A686" s="13">
        <v>62397</v>
      </c>
      <c r="B686" s="44">
        <f t="shared" si="1"/>
        <v>31</v>
      </c>
      <c r="C686" s="35">
        <v>131.881</v>
      </c>
      <c r="D686" s="35">
        <v>277.16699999999997</v>
      </c>
      <c r="E686" s="41">
        <v>829.952</v>
      </c>
      <c r="F686" s="35">
        <v>1239</v>
      </c>
      <c r="G686" s="35">
        <v>75</v>
      </c>
      <c r="H686" s="43">
        <v>600</v>
      </c>
      <c r="I686" s="35">
        <v>695</v>
      </c>
      <c r="J686" s="35">
        <v>0</v>
      </c>
      <c r="K686" s="36"/>
      <c r="L686" s="36"/>
      <c r="M686" s="36"/>
      <c r="N686" s="36"/>
      <c r="O686" s="36"/>
      <c r="P686" s="36"/>
      <c r="Q686" s="36"/>
      <c r="R686" s="36"/>
      <c r="S686" s="36"/>
      <c r="T686" s="36"/>
    </row>
    <row r="687" spans="1:20" ht="15.75">
      <c r="A687" s="13">
        <v>62427</v>
      </c>
      <c r="B687" s="44">
        <f t="shared" si="1"/>
        <v>30</v>
      </c>
      <c r="C687" s="35">
        <v>122.58</v>
      </c>
      <c r="D687" s="35">
        <v>297.94099999999997</v>
      </c>
      <c r="E687" s="41">
        <v>729.47900000000004</v>
      </c>
      <c r="F687" s="35">
        <v>1150</v>
      </c>
      <c r="G687" s="35">
        <v>100</v>
      </c>
      <c r="H687" s="43">
        <v>600</v>
      </c>
      <c r="I687" s="35">
        <v>695</v>
      </c>
      <c r="J687" s="35">
        <v>50</v>
      </c>
      <c r="K687" s="36"/>
      <c r="L687" s="36"/>
      <c r="M687" s="36"/>
      <c r="N687" s="36"/>
      <c r="O687" s="36"/>
      <c r="P687" s="36"/>
      <c r="Q687" s="36"/>
      <c r="R687" s="36"/>
      <c r="S687" s="36"/>
      <c r="T687" s="36"/>
    </row>
    <row r="688" spans="1:20" ht="15.75">
      <c r="A688" s="13">
        <v>62458</v>
      </c>
      <c r="B688" s="44">
        <f t="shared" si="1"/>
        <v>31</v>
      </c>
      <c r="C688" s="35">
        <v>122.58</v>
      </c>
      <c r="D688" s="35">
        <v>297.94099999999997</v>
      </c>
      <c r="E688" s="41">
        <v>729.47900000000004</v>
      </c>
      <c r="F688" s="35">
        <v>1150</v>
      </c>
      <c r="G688" s="35">
        <v>100</v>
      </c>
      <c r="H688" s="43">
        <v>600</v>
      </c>
      <c r="I688" s="35">
        <v>695</v>
      </c>
      <c r="J688" s="35">
        <v>50</v>
      </c>
      <c r="K688" s="36"/>
      <c r="L688" s="36"/>
      <c r="M688" s="36"/>
      <c r="N688" s="36"/>
      <c r="O688" s="36"/>
      <c r="P688" s="36"/>
      <c r="Q688" s="36"/>
      <c r="R688" s="36"/>
      <c r="S688" s="36"/>
      <c r="T688" s="36"/>
    </row>
    <row r="689" spans="1:20" ht="15.75">
      <c r="A689" s="13">
        <v>62489</v>
      </c>
      <c r="B689" s="44">
        <f t="shared" si="1"/>
        <v>31</v>
      </c>
      <c r="C689" s="35">
        <v>122.58</v>
      </c>
      <c r="D689" s="35">
        <v>297.94099999999997</v>
      </c>
      <c r="E689" s="41">
        <v>729.47900000000004</v>
      </c>
      <c r="F689" s="35">
        <v>1150</v>
      </c>
      <c r="G689" s="35">
        <v>100</v>
      </c>
      <c r="H689" s="43">
        <v>600</v>
      </c>
      <c r="I689" s="35">
        <v>695</v>
      </c>
      <c r="J689" s="35">
        <v>50</v>
      </c>
      <c r="K689" s="36"/>
      <c r="L689" s="36"/>
      <c r="M689" s="36"/>
      <c r="N689" s="36"/>
      <c r="O689" s="36"/>
      <c r="P689" s="36"/>
      <c r="Q689" s="36"/>
      <c r="R689" s="36"/>
      <c r="S689" s="36"/>
      <c r="T689" s="36"/>
    </row>
    <row r="690" spans="1:20" ht="15.75">
      <c r="A690" s="13">
        <v>62517</v>
      </c>
      <c r="B690" s="44">
        <f t="shared" si="1"/>
        <v>28</v>
      </c>
      <c r="C690" s="35">
        <v>122.58</v>
      </c>
      <c r="D690" s="35">
        <v>297.94099999999997</v>
      </c>
      <c r="E690" s="41">
        <v>729.47900000000004</v>
      </c>
      <c r="F690" s="35">
        <v>1150</v>
      </c>
      <c r="G690" s="35">
        <v>100</v>
      </c>
      <c r="H690" s="43">
        <v>600</v>
      </c>
      <c r="I690" s="35">
        <v>695</v>
      </c>
      <c r="J690" s="35">
        <v>50</v>
      </c>
      <c r="K690" s="36"/>
      <c r="L690" s="36"/>
      <c r="M690" s="36"/>
      <c r="N690" s="36"/>
      <c r="O690" s="36"/>
      <c r="P690" s="36"/>
      <c r="Q690" s="36"/>
      <c r="R690" s="36"/>
      <c r="S690" s="36"/>
      <c r="T690" s="36"/>
    </row>
    <row r="691" spans="1:20" ht="15.75">
      <c r="A691" s="13">
        <v>62548</v>
      </c>
      <c r="B691" s="44">
        <f t="shared" si="1"/>
        <v>31</v>
      </c>
      <c r="C691" s="35">
        <v>122.58</v>
      </c>
      <c r="D691" s="35">
        <v>297.94099999999997</v>
      </c>
      <c r="E691" s="41">
        <v>729.47900000000004</v>
      </c>
      <c r="F691" s="35">
        <v>1150</v>
      </c>
      <c r="G691" s="35">
        <v>100</v>
      </c>
      <c r="H691" s="43">
        <v>600</v>
      </c>
      <c r="I691" s="35">
        <v>695</v>
      </c>
      <c r="J691" s="35">
        <v>50</v>
      </c>
      <c r="K691" s="36"/>
      <c r="L691" s="36"/>
      <c r="M691" s="36"/>
      <c r="N691" s="36"/>
      <c r="O691" s="36"/>
      <c r="P691" s="36"/>
      <c r="Q691" s="36"/>
      <c r="R691" s="36"/>
      <c r="S691" s="36"/>
      <c r="T691" s="36"/>
    </row>
    <row r="692" spans="1:20" ht="15.75">
      <c r="A692" s="13">
        <v>62578</v>
      </c>
      <c r="B692" s="44">
        <f t="shared" si="1"/>
        <v>30</v>
      </c>
      <c r="C692" s="35">
        <v>141.29300000000001</v>
      </c>
      <c r="D692" s="35">
        <v>267.99299999999999</v>
      </c>
      <c r="E692" s="41">
        <v>829.71400000000006</v>
      </c>
      <c r="F692" s="35">
        <v>1239</v>
      </c>
      <c r="G692" s="35">
        <v>100</v>
      </c>
      <c r="H692" s="43">
        <v>600</v>
      </c>
      <c r="I692" s="35">
        <v>695</v>
      </c>
      <c r="J692" s="35">
        <v>50</v>
      </c>
      <c r="K692" s="36"/>
      <c r="L692" s="36"/>
      <c r="M692" s="36"/>
      <c r="N692" s="36"/>
      <c r="O692" s="36"/>
      <c r="P692" s="36"/>
      <c r="Q692" s="36"/>
      <c r="R692" s="36"/>
      <c r="S692" s="36"/>
      <c r="T692" s="36"/>
    </row>
    <row r="693" spans="1:20" ht="15.75">
      <c r="A693" s="13">
        <v>62609</v>
      </c>
      <c r="B693" s="44">
        <f t="shared" si="1"/>
        <v>31</v>
      </c>
      <c r="C693" s="35">
        <v>194.20500000000001</v>
      </c>
      <c r="D693" s="35">
        <v>267.46600000000001</v>
      </c>
      <c r="E693" s="41">
        <v>812.32899999999995</v>
      </c>
      <c r="F693" s="35">
        <v>1274</v>
      </c>
      <c r="G693" s="35">
        <v>75</v>
      </c>
      <c r="H693" s="43">
        <v>600</v>
      </c>
      <c r="I693" s="35">
        <v>695</v>
      </c>
      <c r="J693" s="35">
        <v>50</v>
      </c>
      <c r="K693" s="36"/>
      <c r="L693" s="36"/>
      <c r="M693" s="36"/>
      <c r="N693" s="36"/>
      <c r="O693" s="36"/>
      <c r="P693" s="36"/>
      <c r="Q693" s="36"/>
      <c r="R693" s="36"/>
      <c r="S693" s="36"/>
      <c r="T693" s="36"/>
    </row>
    <row r="694" spans="1:20" ht="15.75">
      <c r="A694" s="13">
        <v>62639</v>
      </c>
      <c r="B694" s="44">
        <f t="shared" si="1"/>
        <v>30</v>
      </c>
      <c r="C694" s="35">
        <v>194.20500000000001</v>
      </c>
      <c r="D694" s="35">
        <v>267.46600000000001</v>
      </c>
      <c r="E694" s="41">
        <v>812.32899999999995</v>
      </c>
      <c r="F694" s="35">
        <v>1274</v>
      </c>
      <c r="G694" s="35">
        <v>50</v>
      </c>
      <c r="H694" s="43">
        <v>600</v>
      </c>
      <c r="I694" s="35">
        <v>695</v>
      </c>
      <c r="J694" s="35">
        <v>50</v>
      </c>
      <c r="K694" s="36"/>
      <c r="L694" s="36"/>
      <c r="M694" s="36"/>
      <c r="N694" s="36"/>
      <c r="O694" s="36"/>
      <c r="P694" s="36"/>
      <c r="Q694" s="36"/>
      <c r="R694" s="36"/>
      <c r="S694" s="36"/>
      <c r="T694" s="36"/>
    </row>
    <row r="695" spans="1:20" ht="15.75">
      <c r="A695" s="13">
        <v>62670</v>
      </c>
      <c r="B695" s="44">
        <f t="shared" si="1"/>
        <v>31</v>
      </c>
      <c r="C695" s="35">
        <v>194.20500000000001</v>
      </c>
      <c r="D695" s="35">
        <v>267.46600000000001</v>
      </c>
      <c r="E695" s="41">
        <v>812.32899999999995</v>
      </c>
      <c r="F695" s="35">
        <v>1274</v>
      </c>
      <c r="G695" s="35">
        <v>50</v>
      </c>
      <c r="H695" s="43">
        <v>600</v>
      </c>
      <c r="I695" s="35">
        <v>695</v>
      </c>
      <c r="J695" s="35">
        <v>0</v>
      </c>
      <c r="K695" s="36"/>
      <c r="L695" s="36"/>
      <c r="M695" s="36"/>
      <c r="N695" s="36"/>
      <c r="O695" s="36"/>
      <c r="P695" s="36"/>
      <c r="Q695" s="36"/>
      <c r="R695" s="36"/>
      <c r="S695" s="36"/>
      <c r="T695" s="36"/>
    </row>
    <row r="696" spans="1:20" ht="15.75">
      <c r="A696" s="13">
        <v>62701</v>
      </c>
      <c r="B696" s="44">
        <f t="shared" si="1"/>
        <v>31</v>
      </c>
      <c r="C696" s="35">
        <v>194.20500000000001</v>
      </c>
      <c r="D696" s="35">
        <v>267.46600000000001</v>
      </c>
      <c r="E696" s="41">
        <v>812.32899999999995</v>
      </c>
      <c r="F696" s="35">
        <v>1274</v>
      </c>
      <c r="G696" s="35">
        <v>50</v>
      </c>
      <c r="H696" s="43">
        <v>600</v>
      </c>
      <c r="I696" s="35">
        <v>695</v>
      </c>
      <c r="J696" s="35">
        <v>0</v>
      </c>
      <c r="K696" s="36"/>
      <c r="L696" s="36"/>
      <c r="M696" s="36"/>
      <c r="N696" s="36"/>
      <c r="O696" s="36"/>
      <c r="P696" s="36"/>
      <c r="Q696" s="36"/>
      <c r="R696" s="36"/>
      <c r="S696" s="36"/>
      <c r="T696" s="36"/>
    </row>
    <row r="697" spans="1:20" ht="15.75">
      <c r="A697" s="13">
        <v>62731</v>
      </c>
      <c r="B697" s="44">
        <f t="shared" si="1"/>
        <v>30</v>
      </c>
      <c r="C697" s="35">
        <v>194.20500000000001</v>
      </c>
      <c r="D697" s="35">
        <v>267.46600000000001</v>
      </c>
      <c r="E697" s="41">
        <v>812.32899999999995</v>
      </c>
      <c r="F697" s="35">
        <v>1274</v>
      </c>
      <c r="G697" s="35">
        <v>50</v>
      </c>
      <c r="H697" s="43">
        <v>600</v>
      </c>
      <c r="I697" s="35">
        <v>695</v>
      </c>
      <c r="J697" s="35">
        <v>0</v>
      </c>
      <c r="K697" s="36"/>
      <c r="L697" s="36"/>
      <c r="M697" s="36"/>
      <c r="N697" s="36"/>
      <c r="O697" s="36"/>
      <c r="P697" s="36"/>
      <c r="Q697" s="36"/>
      <c r="R697" s="36"/>
      <c r="S697" s="36"/>
      <c r="T697" s="36"/>
    </row>
    <row r="698" spans="1:20" ht="15.75">
      <c r="A698" s="13">
        <v>62762</v>
      </c>
      <c r="B698" s="44">
        <f t="shared" si="1"/>
        <v>31</v>
      </c>
      <c r="C698" s="35">
        <v>131.881</v>
      </c>
      <c r="D698" s="35">
        <v>277.16699999999997</v>
      </c>
      <c r="E698" s="41">
        <v>829.952</v>
      </c>
      <c r="F698" s="35">
        <v>1239</v>
      </c>
      <c r="G698" s="35">
        <v>75</v>
      </c>
      <c r="H698" s="43">
        <v>600</v>
      </c>
      <c r="I698" s="35">
        <v>695</v>
      </c>
      <c r="J698" s="35">
        <v>0</v>
      </c>
      <c r="K698" s="36"/>
      <c r="L698" s="36"/>
      <c r="M698" s="36"/>
      <c r="N698" s="36"/>
      <c r="O698" s="36"/>
      <c r="P698" s="36"/>
      <c r="Q698" s="36"/>
      <c r="R698" s="36"/>
      <c r="S698" s="36"/>
      <c r="T698" s="36"/>
    </row>
    <row r="699" spans="1:20" ht="15.75">
      <c r="A699" s="13">
        <v>62792</v>
      </c>
      <c r="B699" s="44">
        <f t="shared" si="1"/>
        <v>30</v>
      </c>
      <c r="C699" s="35">
        <v>122.58</v>
      </c>
      <c r="D699" s="35">
        <v>297.94099999999997</v>
      </c>
      <c r="E699" s="41">
        <v>729.47900000000004</v>
      </c>
      <c r="F699" s="35">
        <v>1150</v>
      </c>
      <c r="G699" s="35">
        <v>100</v>
      </c>
      <c r="H699" s="43">
        <v>600</v>
      </c>
      <c r="I699" s="35">
        <v>695</v>
      </c>
      <c r="J699" s="35">
        <v>50</v>
      </c>
      <c r="K699" s="36"/>
      <c r="L699" s="36"/>
      <c r="M699" s="36"/>
      <c r="N699" s="36"/>
      <c r="O699" s="36"/>
      <c r="P699" s="36"/>
      <c r="Q699" s="36"/>
      <c r="R699" s="36"/>
      <c r="S699" s="36"/>
      <c r="T699" s="36"/>
    </row>
    <row r="700" spans="1:20" ht="15.75">
      <c r="A700" s="13">
        <v>62823</v>
      </c>
      <c r="B700" s="44">
        <f t="shared" si="1"/>
        <v>31</v>
      </c>
      <c r="C700" s="35">
        <v>122.58</v>
      </c>
      <c r="D700" s="35">
        <v>297.94099999999997</v>
      </c>
      <c r="E700" s="41">
        <v>729.47900000000004</v>
      </c>
      <c r="F700" s="35">
        <v>1150</v>
      </c>
      <c r="G700" s="35">
        <v>100</v>
      </c>
      <c r="H700" s="43">
        <v>600</v>
      </c>
      <c r="I700" s="35">
        <v>695</v>
      </c>
      <c r="J700" s="35">
        <v>50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</row>
    <row r="701" spans="1:20" ht="15.75">
      <c r="A701" s="13">
        <v>62854</v>
      </c>
      <c r="B701" s="44">
        <f t="shared" si="1"/>
        <v>31</v>
      </c>
      <c r="C701" s="35">
        <v>122.58</v>
      </c>
      <c r="D701" s="35">
        <v>297.94099999999997</v>
      </c>
      <c r="E701" s="41">
        <v>729.47900000000004</v>
      </c>
      <c r="F701" s="35">
        <v>1150</v>
      </c>
      <c r="G701" s="35">
        <v>100</v>
      </c>
      <c r="H701" s="43">
        <v>600</v>
      </c>
      <c r="I701" s="35">
        <v>695</v>
      </c>
      <c r="J701" s="35">
        <v>50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</row>
    <row r="702" spans="1:20" ht="15.75">
      <c r="A702" s="13">
        <v>62883</v>
      </c>
      <c r="B702" s="44">
        <f t="shared" si="1"/>
        <v>29</v>
      </c>
      <c r="C702" s="35">
        <v>122.58</v>
      </c>
      <c r="D702" s="35">
        <v>297.94099999999997</v>
      </c>
      <c r="E702" s="41">
        <v>729.47900000000004</v>
      </c>
      <c r="F702" s="35">
        <v>1150</v>
      </c>
      <c r="G702" s="35">
        <v>100</v>
      </c>
      <c r="H702" s="43">
        <v>600</v>
      </c>
      <c r="I702" s="35">
        <v>695</v>
      </c>
      <c r="J702" s="35">
        <v>50</v>
      </c>
      <c r="K702" s="36"/>
      <c r="L702" s="36"/>
      <c r="M702" s="36"/>
      <c r="N702" s="36"/>
      <c r="O702" s="36"/>
      <c r="P702" s="36"/>
      <c r="Q702" s="36"/>
      <c r="R702" s="36"/>
      <c r="S702" s="36"/>
      <c r="T702" s="36"/>
    </row>
    <row r="703" spans="1:20" ht="15.75">
      <c r="A703" s="13">
        <v>62914</v>
      </c>
      <c r="B703" s="44">
        <f t="shared" si="1"/>
        <v>31</v>
      </c>
      <c r="C703" s="35">
        <v>122.58</v>
      </c>
      <c r="D703" s="35">
        <v>297.94099999999997</v>
      </c>
      <c r="E703" s="41">
        <v>729.47900000000004</v>
      </c>
      <c r="F703" s="35">
        <v>1150</v>
      </c>
      <c r="G703" s="35">
        <v>100</v>
      </c>
      <c r="H703" s="43">
        <v>600</v>
      </c>
      <c r="I703" s="35">
        <v>695</v>
      </c>
      <c r="J703" s="35">
        <v>50</v>
      </c>
      <c r="K703" s="36"/>
      <c r="L703" s="36"/>
      <c r="M703" s="36"/>
      <c r="N703" s="36"/>
      <c r="O703" s="36"/>
      <c r="P703" s="36"/>
      <c r="Q703" s="36"/>
      <c r="R703" s="36"/>
      <c r="S703" s="36"/>
      <c r="T703" s="36"/>
    </row>
    <row r="704" spans="1:20" ht="15.75">
      <c r="A704" s="13">
        <v>62944</v>
      </c>
      <c r="B704" s="44">
        <f t="shared" si="1"/>
        <v>30</v>
      </c>
      <c r="C704" s="35">
        <v>141.29300000000001</v>
      </c>
      <c r="D704" s="35">
        <v>267.99299999999999</v>
      </c>
      <c r="E704" s="41">
        <v>829.71400000000006</v>
      </c>
      <c r="F704" s="35">
        <v>1239</v>
      </c>
      <c r="G704" s="35">
        <v>100</v>
      </c>
      <c r="H704" s="43">
        <v>600</v>
      </c>
      <c r="I704" s="35">
        <v>695</v>
      </c>
      <c r="J704" s="35">
        <v>50</v>
      </c>
      <c r="K704" s="36"/>
      <c r="L704" s="36"/>
      <c r="M704" s="36"/>
      <c r="N704" s="36"/>
      <c r="O704" s="36"/>
      <c r="P704" s="36"/>
      <c r="Q704" s="36"/>
      <c r="R704" s="36"/>
      <c r="S704" s="36"/>
      <c r="T704" s="36"/>
    </row>
    <row r="705" spans="1:20" ht="15.75">
      <c r="A705" s="13">
        <v>62975</v>
      </c>
      <c r="B705" s="44">
        <f t="shared" si="1"/>
        <v>31</v>
      </c>
      <c r="C705" s="35">
        <v>194.20500000000001</v>
      </c>
      <c r="D705" s="35">
        <v>267.46600000000001</v>
      </c>
      <c r="E705" s="41">
        <v>812.32899999999995</v>
      </c>
      <c r="F705" s="35">
        <v>1274</v>
      </c>
      <c r="G705" s="35">
        <v>75</v>
      </c>
      <c r="H705" s="43">
        <v>600</v>
      </c>
      <c r="I705" s="35">
        <v>695</v>
      </c>
      <c r="J705" s="35">
        <v>50</v>
      </c>
      <c r="K705" s="36"/>
      <c r="L705" s="36"/>
      <c r="M705" s="36"/>
      <c r="N705" s="36"/>
      <c r="O705" s="36"/>
      <c r="P705" s="36"/>
      <c r="Q705" s="36"/>
      <c r="R705" s="36"/>
      <c r="S705" s="36"/>
      <c r="T705" s="36"/>
    </row>
    <row r="706" spans="1:20" ht="15.75">
      <c r="A706" s="13">
        <v>63005</v>
      </c>
      <c r="B706" s="44">
        <f t="shared" si="1"/>
        <v>30</v>
      </c>
      <c r="C706" s="35">
        <v>194.20500000000001</v>
      </c>
      <c r="D706" s="35">
        <v>267.46600000000001</v>
      </c>
      <c r="E706" s="41">
        <v>812.32899999999995</v>
      </c>
      <c r="F706" s="35">
        <v>1274</v>
      </c>
      <c r="G706" s="35">
        <v>50</v>
      </c>
      <c r="H706" s="43">
        <v>600</v>
      </c>
      <c r="I706" s="35">
        <v>695</v>
      </c>
      <c r="J706" s="35">
        <v>50</v>
      </c>
      <c r="K706" s="36"/>
      <c r="L706" s="36"/>
      <c r="M706" s="36"/>
      <c r="N706" s="36"/>
      <c r="O706" s="36"/>
      <c r="P706" s="36"/>
      <c r="Q706" s="36"/>
      <c r="R706" s="36"/>
      <c r="S706" s="36"/>
      <c r="T706" s="36"/>
    </row>
    <row r="707" spans="1:20" ht="15.75">
      <c r="A707" s="13">
        <v>63036</v>
      </c>
      <c r="B707" s="44">
        <f t="shared" si="1"/>
        <v>31</v>
      </c>
      <c r="C707" s="35">
        <v>194.20500000000001</v>
      </c>
      <c r="D707" s="35">
        <v>267.46600000000001</v>
      </c>
      <c r="E707" s="41">
        <v>812.32899999999995</v>
      </c>
      <c r="F707" s="35">
        <v>1274</v>
      </c>
      <c r="G707" s="35">
        <v>50</v>
      </c>
      <c r="H707" s="43">
        <v>600</v>
      </c>
      <c r="I707" s="35">
        <v>695</v>
      </c>
      <c r="J707" s="35">
        <v>0</v>
      </c>
      <c r="K707" s="36"/>
      <c r="L707" s="36"/>
      <c r="M707" s="36"/>
      <c r="N707" s="36"/>
      <c r="O707" s="36"/>
      <c r="P707" s="36"/>
      <c r="Q707" s="36"/>
      <c r="R707" s="36"/>
      <c r="S707" s="36"/>
      <c r="T707" s="36"/>
    </row>
    <row r="708" spans="1:20" ht="15.75">
      <c r="A708" s="13">
        <v>63067</v>
      </c>
      <c r="B708" s="44">
        <f t="shared" si="1"/>
        <v>31</v>
      </c>
      <c r="C708" s="35">
        <v>194.20500000000001</v>
      </c>
      <c r="D708" s="35">
        <v>267.46600000000001</v>
      </c>
      <c r="E708" s="41">
        <v>812.32899999999995</v>
      </c>
      <c r="F708" s="35">
        <v>1274</v>
      </c>
      <c r="G708" s="35">
        <v>50</v>
      </c>
      <c r="H708" s="43">
        <v>600</v>
      </c>
      <c r="I708" s="35">
        <v>695</v>
      </c>
      <c r="J708" s="35">
        <v>0</v>
      </c>
      <c r="K708" s="36"/>
      <c r="L708" s="36"/>
      <c r="M708" s="36"/>
      <c r="N708" s="36"/>
      <c r="O708" s="36"/>
      <c r="P708" s="36"/>
      <c r="Q708" s="36"/>
      <c r="R708" s="36"/>
      <c r="S708" s="36"/>
      <c r="T708" s="36"/>
    </row>
    <row r="709" spans="1:20" ht="15.75">
      <c r="A709" s="13">
        <v>63097</v>
      </c>
      <c r="B709" s="44">
        <f t="shared" ref="B709:B772" si="2">EOMONTH(A709,0)-EOMONTH(A709,-1)</f>
        <v>30</v>
      </c>
      <c r="C709" s="35">
        <v>194.20500000000001</v>
      </c>
      <c r="D709" s="35">
        <v>267.46600000000001</v>
      </c>
      <c r="E709" s="41">
        <v>812.32899999999995</v>
      </c>
      <c r="F709" s="35">
        <v>1274</v>
      </c>
      <c r="G709" s="35">
        <v>50</v>
      </c>
      <c r="H709" s="43">
        <v>600</v>
      </c>
      <c r="I709" s="35">
        <v>695</v>
      </c>
      <c r="J709" s="35">
        <v>0</v>
      </c>
      <c r="K709" s="36"/>
      <c r="L709" s="36"/>
      <c r="M709" s="36"/>
      <c r="N709" s="36"/>
      <c r="O709" s="36"/>
      <c r="P709" s="36"/>
      <c r="Q709" s="36"/>
      <c r="R709" s="36"/>
      <c r="S709" s="36"/>
      <c r="T709" s="36"/>
    </row>
    <row r="710" spans="1:20" ht="15.75">
      <c r="A710" s="13">
        <v>63128</v>
      </c>
      <c r="B710" s="44">
        <f t="shared" si="2"/>
        <v>31</v>
      </c>
      <c r="C710" s="35">
        <v>131.881</v>
      </c>
      <c r="D710" s="35">
        <v>277.16699999999997</v>
      </c>
      <c r="E710" s="41">
        <v>829.952</v>
      </c>
      <c r="F710" s="35">
        <v>1239</v>
      </c>
      <c r="G710" s="35">
        <v>75</v>
      </c>
      <c r="H710" s="43">
        <v>600</v>
      </c>
      <c r="I710" s="35">
        <v>695</v>
      </c>
      <c r="J710" s="35">
        <v>0</v>
      </c>
      <c r="K710" s="36"/>
      <c r="L710" s="36"/>
      <c r="M710" s="36"/>
      <c r="N710" s="36"/>
      <c r="O710" s="36"/>
      <c r="P710" s="36"/>
      <c r="Q710" s="36"/>
      <c r="R710" s="36"/>
      <c r="S710" s="36"/>
      <c r="T710" s="36"/>
    </row>
    <row r="711" spans="1:20" ht="15.75">
      <c r="A711" s="13">
        <v>63158</v>
      </c>
      <c r="B711" s="44">
        <f t="shared" si="2"/>
        <v>30</v>
      </c>
      <c r="C711" s="35">
        <v>122.58</v>
      </c>
      <c r="D711" s="35">
        <v>297.94099999999997</v>
      </c>
      <c r="E711" s="41">
        <v>729.47900000000004</v>
      </c>
      <c r="F711" s="35">
        <v>1150</v>
      </c>
      <c r="G711" s="35">
        <v>100</v>
      </c>
      <c r="H711" s="43">
        <v>600</v>
      </c>
      <c r="I711" s="35">
        <v>695</v>
      </c>
      <c r="J711" s="35">
        <v>50</v>
      </c>
      <c r="K711" s="36"/>
      <c r="L711" s="36"/>
      <c r="M711" s="36"/>
      <c r="N711" s="36"/>
      <c r="O711" s="36"/>
      <c r="P711" s="36"/>
      <c r="Q711" s="36"/>
      <c r="R711" s="36"/>
      <c r="S711" s="36"/>
      <c r="T711" s="36"/>
    </row>
    <row r="712" spans="1:20" ht="15.75">
      <c r="A712" s="13">
        <v>63189</v>
      </c>
      <c r="B712" s="44">
        <f t="shared" si="2"/>
        <v>31</v>
      </c>
      <c r="C712" s="35">
        <v>122.58</v>
      </c>
      <c r="D712" s="35">
        <v>297.94099999999997</v>
      </c>
      <c r="E712" s="41">
        <v>729.47900000000004</v>
      </c>
      <c r="F712" s="35">
        <v>1150</v>
      </c>
      <c r="G712" s="35">
        <v>100</v>
      </c>
      <c r="H712" s="43">
        <v>600</v>
      </c>
      <c r="I712" s="35">
        <v>695</v>
      </c>
      <c r="J712" s="35">
        <v>50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</row>
    <row r="713" spans="1:20" ht="15.75">
      <c r="A713" s="13">
        <v>63220</v>
      </c>
      <c r="B713" s="44">
        <f t="shared" si="2"/>
        <v>31</v>
      </c>
      <c r="C713" s="35">
        <v>122.58</v>
      </c>
      <c r="D713" s="35">
        <v>297.94099999999997</v>
      </c>
      <c r="E713" s="41">
        <v>729.47900000000004</v>
      </c>
      <c r="F713" s="35">
        <v>1150</v>
      </c>
      <c r="G713" s="35">
        <v>100</v>
      </c>
      <c r="H713" s="43">
        <v>600</v>
      </c>
      <c r="I713" s="35">
        <v>695</v>
      </c>
      <c r="J713" s="35">
        <v>50</v>
      </c>
      <c r="K713" s="36"/>
      <c r="L713" s="36"/>
      <c r="M713" s="36"/>
      <c r="N713" s="36"/>
      <c r="O713" s="36"/>
      <c r="P713" s="36"/>
      <c r="Q713" s="36"/>
      <c r="R713" s="36"/>
      <c r="S713" s="36"/>
      <c r="T713" s="36"/>
    </row>
    <row r="714" spans="1:20" ht="15.75">
      <c r="A714" s="13">
        <v>63248</v>
      </c>
      <c r="B714" s="44">
        <f t="shared" si="2"/>
        <v>28</v>
      </c>
      <c r="C714" s="35">
        <v>122.58</v>
      </c>
      <c r="D714" s="35">
        <v>297.94099999999997</v>
      </c>
      <c r="E714" s="41">
        <v>729.47900000000004</v>
      </c>
      <c r="F714" s="35">
        <v>1150</v>
      </c>
      <c r="G714" s="35">
        <v>100</v>
      </c>
      <c r="H714" s="43">
        <v>600</v>
      </c>
      <c r="I714" s="35">
        <v>695</v>
      </c>
      <c r="J714" s="35">
        <v>50</v>
      </c>
      <c r="K714" s="36"/>
      <c r="L714" s="36"/>
      <c r="M714" s="36"/>
      <c r="N714" s="36"/>
      <c r="O714" s="36"/>
      <c r="P714" s="36"/>
      <c r="Q714" s="36"/>
      <c r="R714" s="36"/>
      <c r="S714" s="36"/>
      <c r="T714" s="36"/>
    </row>
    <row r="715" spans="1:20" ht="15.75">
      <c r="A715" s="13">
        <v>63279</v>
      </c>
      <c r="B715" s="44">
        <f t="shared" si="2"/>
        <v>31</v>
      </c>
      <c r="C715" s="35">
        <v>122.58</v>
      </c>
      <c r="D715" s="35">
        <v>297.94099999999997</v>
      </c>
      <c r="E715" s="41">
        <v>729.47900000000004</v>
      </c>
      <c r="F715" s="35">
        <v>1150</v>
      </c>
      <c r="G715" s="35">
        <v>100</v>
      </c>
      <c r="H715" s="43">
        <v>600</v>
      </c>
      <c r="I715" s="35">
        <v>695</v>
      </c>
      <c r="J715" s="35">
        <v>50</v>
      </c>
      <c r="K715" s="36"/>
      <c r="L715" s="36"/>
      <c r="M715" s="36"/>
      <c r="N715" s="36"/>
      <c r="O715" s="36"/>
      <c r="P715" s="36"/>
      <c r="Q715" s="36"/>
      <c r="R715" s="36"/>
      <c r="S715" s="36"/>
      <c r="T715" s="36"/>
    </row>
    <row r="716" spans="1:20" ht="15.75">
      <c r="A716" s="13">
        <v>63309</v>
      </c>
      <c r="B716" s="44">
        <f t="shared" si="2"/>
        <v>30</v>
      </c>
      <c r="C716" s="35">
        <v>141.29300000000001</v>
      </c>
      <c r="D716" s="35">
        <v>267.99299999999999</v>
      </c>
      <c r="E716" s="41">
        <v>829.71400000000006</v>
      </c>
      <c r="F716" s="35">
        <v>1239</v>
      </c>
      <c r="G716" s="35">
        <v>100</v>
      </c>
      <c r="H716" s="43">
        <v>600</v>
      </c>
      <c r="I716" s="35">
        <v>695</v>
      </c>
      <c r="J716" s="35">
        <v>50</v>
      </c>
      <c r="K716" s="36"/>
      <c r="L716" s="36"/>
      <c r="M716" s="36"/>
      <c r="N716" s="36"/>
      <c r="O716" s="36"/>
      <c r="P716" s="36"/>
      <c r="Q716" s="36"/>
      <c r="R716" s="36"/>
      <c r="S716" s="36"/>
      <c r="T716" s="36"/>
    </row>
    <row r="717" spans="1:20" ht="15.75">
      <c r="A717" s="13">
        <v>63340</v>
      </c>
      <c r="B717" s="44">
        <f t="shared" si="2"/>
        <v>31</v>
      </c>
      <c r="C717" s="35">
        <v>194.20500000000001</v>
      </c>
      <c r="D717" s="35">
        <v>267.46600000000001</v>
      </c>
      <c r="E717" s="41">
        <v>812.32899999999995</v>
      </c>
      <c r="F717" s="35">
        <v>1274</v>
      </c>
      <c r="G717" s="35">
        <v>75</v>
      </c>
      <c r="H717" s="43">
        <v>600</v>
      </c>
      <c r="I717" s="35">
        <v>695</v>
      </c>
      <c r="J717" s="35">
        <v>50</v>
      </c>
      <c r="K717" s="36"/>
      <c r="L717" s="36"/>
      <c r="M717" s="36"/>
      <c r="N717" s="36"/>
      <c r="O717" s="36"/>
      <c r="P717" s="36"/>
      <c r="Q717" s="36"/>
      <c r="R717" s="36"/>
      <c r="S717" s="36"/>
      <c r="T717" s="36"/>
    </row>
    <row r="718" spans="1:20" ht="15.75">
      <c r="A718" s="13">
        <v>63370</v>
      </c>
      <c r="B718" s="44">
        <f t="shared" si="2"/>
        <v>30</v>
      </c>
      <c r="C718" s="35">
        <v>194.20500000000001</v>
      </c>
      <c r="D718" s="35">
        <v>267.46600000000001</v>
      </c>
      <c r="E718" s="41">
        <v>812.32899999999995</v>
      </c>
      <c r="F718" s="35">
        <v>1274</v>
      </c>
      <c r="G718" s="35">
        <v>50</v>
      </c>
      <c r="H718" s="43">
        <v>600</v>
      </c>
      <c r="I718" s="35">
        <v>695</v>
      </c>
      <c r="J718" s="35">
        <v>50</v>
      </c>
      <c r="K718" s="36"/>
      <c r="L718" s="36"/>
      <c r="M718" s="36"/>
      <c r="N718" s="36"/>
      <c r="O718" s="36"/>
      <c r="P718" s="36"/>
      <c r="Q718" s="36"/>
      <c r="R718" s="36"/>
      <c r="S718" s="36"/>
      <c r="T718" s="36"/>
    </row>
    <row r="719" spans="1:20" ht="15.75">
      <c r="A719" s="13">
        <v>63401</v>
      </c>
      <c r="B719" s="44">
        <f t="shared" si="2"/>
        <v>31</v>
      </c>
      <c r="C719" s="35">
        <v>194.20500000000001</v>
      </c>
      <c r="D719" s="35">
        <v>267.46600000000001</v>
      </c>
      <c r="E719" s="41">
        <v>812.32899999999995</v>
      </c>
      <c r="F719" s="35">
        <v>1274</v>
      </c>
      <c r="G719" s="35">
        <v>50</v>
      </c>
      <c r="H719" s="43">
        <v>600</v>
      </c>
      <c r="I719" s="35">
        <v>695</v>
      </c>
      <c r="J719" s="35">
        <v>0</v>
      </c>
      <c r="K719" s="36"/>
      <c r="L719" s="36"/>
      <c r="M719" s="36"/>
      <c r="N719" s="36"/>
      <c r="O719" s="36"/>
      <c r="P719" s="36"/>
      <c r="Q719" s="36"/>
      <c r="R719" s="36"/>
      <c r="S719" s="36"/>
      <c r="T719" s="36"/>
    </row>
    <row r="720" spans="1:20" ht="15.75">
      <c r="A720" s="13">
        <v>63432</v>
      </c>
      <c r="B720" s="44">
        <f t="shared" si="2"/>
        <v>31</v>
      </c>
      <c r="C720" s="35">
        <v>194.20500000000001</v>
      </c>
      <c r="D720" s="35">
        <v>267.46600000000001</v>
      </c>
      <c r="E720" s="41">
        <v>812.32899999999995</v>
      </c>
      <c r="F720" s="35">
        <v>1274</v>
      </c>
      <c r="G720" s="35">
        <v>50</v>
      </c>
      <c r="H720" s="43">
        <v>600</v>
      </c>
      <c r="I720" s="35">
        <v>695</v>
      </c>
      <c r="J720" s="35">
        <v>0</v>
      </c>
      <c r="K720" s="36"/>
      <c r="L720" s="36"/>
      <c r="M720" s="36"/>
      <c r="N720" s="36"/>
      <c r="O720" s="36"/>
      <c r="P720" s="36"/>
      <c r="Q720" s="36"/>
      <c r="R720" s="36"/>
      <c r="S720" s="36"/>
      <c r="T720" s="36"/>
    </row>
    <row r="721" spans="1:20" ht="15.75">
      <c r="A721" s="13">
        <v>63462</v>
      </c>
      <c r="B721" s="44">
        <f t="shared" si="2"/>
        <v>30</v>
      </c>
      <c r="C721" s="35">
        <v>194.20500000000001</v>
      </c>
      <c r="D721" s="35">
        <v>267.46600000000001</v>
      </c>
      <c r="E721" s="41">
        <v>812.32899999999995</v>
      </c>
      <c r="F721" s="35">
        <v>1274</v>
      </c>
      <c r="G721" s="35">
        <v>50</v>
      </c>
      <c r="H721" s="43">
        <v>600</v>
      </c>
      <c r="I721" s="35">
        <v>695</v>
      </c>
      <c r="J721" s="35">
        <v>0</v>
      </c>
      <c r="K721" s="36"/>
      <c r="L721" s="36"/>
      <c r="M721" s="36"/>
      <c r="N721" s="36"/>
      <c r="O721" s="36"/>
      <c r="P721" s="36"/>
      <c r="Q721" s="36"/>
      <c r="R721" s="36"/>
      <c r="S721" s="36"/>
      <c r="T721" s="36"/>
    </row>
    <row r="722" spans="1:20" ht="15.75">
      <c r="A722" s="13">
        <v>63493</v>
      </c>
      <c r="B722" s="44">
        <f t="shared" si="2"/>
        <v>31</v>
      </c>
      <c r="C722" s="35">
        <v>131.881</v>
      </c>
      <c r="D722" s="35">
        <v>277.16699999999997</v>
      </c>
      <c r="E722" s="41">
        <v>829.952</v>
      </c>
      <c r="F722" s="35">
        <v>1239</v>
      </c>
      <c r="G722" s="35">
        <v>75</v>
      </c>
      <c r="H722" s="43">
        <v>600</v>
      </c>
      <c r="I722" s="35">
        <v>695</v>
      </c>
      <c r="J722" s="35">
        <v>0</v>
      </c>
      <c r="K722" s="36"/>
      <c r="L722" s="36"/>
      <c r="M722" s="36"/>
      <c r="N722" s="36"/>
      <c r="O722" s="36"/>
      <c r="P722" s="36"/>
      <c r="Q722" s="36"/>
      <c r="R722" s="36"/>
      <c r="S722" s="36"/>
      <c r="T722" s="36"/>
    </row>
    <row r="723" spans="1:20" ht="15.75">
      <c r="A723" s="13">
        <v>63523</v>
      </c>
      <c r="B723" s="44">
        <f t="shared" si="2"/>
        <v>30</v>
      </c>
      <c r="C723" s="35">
        <v>122.58</v>
      </c>
      <c r="D723" s="35">
        <v>297.94099999999997</v>
      </c>
      <c r="E723" s="41">
        <v>729.47900000000004</v>
      </c>
      <c r="F723" s="35">
        <v>1150</v>
      </c>
      <c r="G723" s="35">
        <v>100</v>
      </c>
      <c r="H723" s="43">
        <v>600</v>
      </c>
      <c r="I723" s="35">
        <v>695</v>
      </c>
      <c r="J723" s="35">
        <v>50</v>
      </c>
      <c r="K723" s="36"/>
      <c r="L723" s="36"/>
      <c r="M723" s="36"/>
      <c r="N723" s="36"/>
      <c r="O723" s="36"/>
      <c r="P723" s="36"/>
      <c r="Q723" s="36"/>
      <c r="R723" s="36"/>
      <c r="S723" s="36"/>
      <c r="T723" s="36"/>
    </row>
    <row r="724" spans="1:20" ht="15.75">
      <c r="A724" s="13">
        <v>63554</v>
      </c>
      <c r="B724" s="44">
        <f t="shared" si="2"/>
        <v>31</v>
      </c>
      <c r="C724" s="35">
        <v>122.58</v>
      </c>
      <c r="D724" s="35">
        <v>297.94099999999997</v>
      </c>
      <c r="E724" s="41">
        <v>729.47900000000004</v>
      </c>
      <c r="F724" s="35">
        <v>1150</v>
      </c>
      <c r="G724" s="35">
        <v>100</v>
      </c>
      <c r="H724" s="43">
        <v>600</v>
      </c>
      <c r="I724" s="35">
        <v>695</v>
      </c>
      <c r="J724" s="35">
        <v>50</v>
      </c>
      <c r="K724" s="36"/>
      <c r="L724" s="36"/>
      <c r="M724" s="36"/>
      <c r="N724" s="36"/>
      <c r="O724" s="36"/>
      <c r="P724" s="36"/>
      <c r="Q724" s="36"/>
      <c r="R724" s="36"/>
      <c r="S724" s="36"/>
      <c r="T724" s="36"/>
    </row>
    <row r="725" spans="1:20" ht="15.75">
      <c r="A725" s="13">
        <v>63585</v>
      </c>
      <c r="B725" s="44">
        <f t="shared" si="2"/>
        <v>31</v>
      </c>
      <c r="C725" s="35">
        <v>122.58</v>
      </c>
      <c r="D725" s="35">
        <v>297.94099999999997</v>
      </c>
      <c r="E725" s="41">
        <v>729.47900000000004</v>
      </c>
      <c r="F725" s="35">
        <v>1150</v>
      </c>
      <c r="G725" s="35">
        <v>100</v>
      </c>
      <c r="H725" s="43">
        <v>600</v>
      </c>
      <c r="I725" s="35">
        <v>695</v>
      </c>
      <c r="J725" s="35">
        <v>50</v>
      </c>
      <c r="K725" s="36"/>
      <c r="L725" s="36"/>
      <c r="M725" s="36"/>
      <c r="N725" s="36"/>
      <c r="O725" s="36"/>
      <c r="P725" s="36"/>
      <c r="Q725" s="36"/>
      <c r="R725" s="36"/>
      <c r="S725" s="36"/>
      <c r="T725" s="36"/>
    </row>
    <row r="726" spans="1:20" ht="15.75">
      <c r="A726" s="13">
        <v>63613</v>
      </c>
      <c r="B726" s="44">
        <f t="shared" si="2"/>
        <v>28</v>
      </c>
      <c r="C726" s="35">
        <v>122.58</v>
      </c>
      <c r="D726" s="35">
        <v>297.94099999999997</v>
      </c>
      <c r="E726" s="41">
        <v>729.47900000000004</v>
      </c>
      <c r="F726" s="35">
        <v>1150</v>
      </c>
      <c r="G726" s="35">
        <v>100</v>
      </c>
      <c r="H726" s="43">
        <v>600</v>
      </c>
      <c r="I726" s="35">
        <v>695</v>
      </c>
      <c r="J726" s="35">
        <v>50</v>
      </c>
      <c r="K726" s="36"/>
      <c r="L726" s="36"/>
      <c r="M726" s="36"/>
      <c r="N726" s="36"/>
      <c r="O726" s="36"/>
      <c r="P726" s="36"/>
      <c r="Q726" s="36"/>
      <c r="R726" s="36"/>
      <c r="S726" s="36"/>
      <c r="T726" s="36"/>
    </row>
    <row r="727" spans="1:20" ht="15.75">
      <c r="A727" s="13">
        <v>63644</v>
      </c>
      <c r="B727" s="44">
        <f t="shared" si="2"/>
        <v>31</v>
      </c>
      <c r="C727" s="35">
        <v>122.58</v>
      </c>
      <c r="D727" s="35">
        <v>297.94099999999997</v>
      </c>
      <c r="E727" s="41">
        <v>729.47900000000004</v>
      </c>
      <c r="F727" s="35">
        <v>1150</v>
      </c>
      <c r="G727" s="35">
        <v>100</v>
      </c>
      <c r="H727" s="43">
        <v>600</v>
      </c>
      <c r="I727" s="35">
        <v>695</v>
      </c>
      <c r="J727" s="35">
        <v>50</v>
      </c>
      <c r="K727" s="36"/>
      <c r="L727" s="36"/>
      <c r="M727" s="36"/>
      <c r="N727" s="36"/>
      <c r="O727" s="36"/>
      <c r="P727" s="36"/>
      <c r="Q727" s="36"/>
      <c r="R727" s="36"/>
      <c r="S727" s="36"/>
      <c r="T727" s="36"/>
    </row>
    <row r="728" spans="1:20" ht="15.75">
      <c r="A728" s="13">
        <v>63674</v>
      </c>
      <c r="B728" s="44">
        <f t="shared" si="2"/>
        <v>30</v>
      </c>
      <c r="C728" s="35">
        <v>141.29300000000001</v>
      </c>
      <c r="D728" s="35">
        <v>267.99299999999999</v>
      </c>
      <c r="E728" s="41">
        <v>829.71400000000006</v>
      </c>
      <c r="F728" s="35">
        <v>1239</v>
      </c>
      <c r="G728" s="35">
        <v>100</v>
      </c>
      <c r="H728" s="43">
        <v>600</v>
      </c>
      <c r="I728" s="35">
        <v>695</v>
      </c>
      <c r="J728" s="35">
        <v>50</v>
      </c>
      <c r="K728" s="36"/>
      <c r="L728" s="36"/>
      <c r="M728" s="36"/>
      <c r="N728" s="36"/>
      <c r="O728" s="36"/>
      <c r="P728" s="36"/>
      <c r="Q728" s="36"/>
      <c r="R728" s="36"/>
      <c r="S728" s="36"/>
      <c r="T728" s="36"/>
    </row>
    <row r="729" spans="1:20" ht="15.75">
      <c r="A729" s="13">
        <v>63705</v>
      </c>
      <c r="B729" s="44">
        <f t="shared" si="2"/>
        <v>31</v>
      </c>
      <c r="C729" s="35">
        <v>194.20500000000001</v>
      </c>
      <c r="D729" s="35">
        <v>267.46600000000001</v>
      </c>
      <c r="E729" s="41">
        <v>812.32899999999995</v>
      </c>
      <c r="F729" s="35">
        <v>1274</v>
      </c>
      <c r="G729" s="35">
        <v>75</v>
      </c>
      <c r="H729" s="43">
        <v>600</v>
      </c>
      <c r="I729" s="35">
        <v>695</v>
      </c>
      <c r="J729" s="35">
        <v>50</v>
      </c>
      <c r="K729" s="36"/>
      <c r="L729" s="36"/>
      <c r="M729" s="36"/>
      <c r="N729" s="36"/>
      <c r="O729" s="36"/>
      <c r="P729" s="36"/>
      <c r="Q729" s="36"/>
      <c r="R729" s="36"/>
      <c r="S729" s="36"/>
      <c r="T729" s="36"/>
    </row>
    <row r="730" spans="1:20" ht="15.75">
      <c r="A730" s="13">
        <v>63735</v>
      </c>
      <c r="B730" s="44">
        <f t="shared" si="2"/>
        <v>30</v>
      </c>
      <c r="C730" s="35">
        <v>194.20500000000001</v>
      </c>
      <c r="D730" s="35">
        <v>267.46600000000001</v>
      </c>
      <c r="E730" s="41">
        <v>812.32899999999995</v>
      </c>
      <c r="F730" s="35">
        <v>1274</v>
      </c>
      <c r="G730" s="35">
        <v>50</v>
      </c>
      <c r="H730" s="43">
        <v>600</v>
      </c>
      <c r="I730" s="35">
        <v>695</v>
      </c>
      <c r="J730" s="35">
        <v>50</v>
      </c>
      <c r="K730" s="36"/>
      <c r="L730" s="36"/>
      <c r="M730" s="36"/>
      <c r="N730" s="36"/>
      <c r="O730" s="36"/>
      <c r="P730" s="36"/>
      <c r="Q730" s="36"/>
      <c r="R730" s="36"/>
      <c r="S730" s="36"/>
      <c r="T730" s="36"/>
    </row>
    <row r="731" spans="1:20" ht="15.75">
      <c r="A731" s="13">
        <v>63766</v>
      </c>
      <c r="B731" s="44">
        <f t="shared" si="2"/>
        <v>31</v>
      </c>
      <c r="C731" s="35">
        <v>194.20500000000001</v>
      </c>
      <c r="D731" s="35">
        <v>267.46600000000001</v>
      </c>
      <c r="E731" s="41">
        <v>812.32899999999995</v>
      </c>
      <c r="F731" s="35">
        <v>1274</v>
      </c>
      <c r="G731" s="35">
        <v>50</v>
      </c>
      <c r="H731" s="43">
        <v>600</v>
      </c>
      <c r="I731" s="35">
        <v>695</v>
      </c>
      <c r="J731" s="35">
        <v>0</v>
      </c>
      <c r="K731" s="36"/>
      <c r="L731" s="36"/>
      <c r="M731" s="36"/>
      <c r="N731" s="36"/>
      <c r="O731" s="36"/>
      <c r="P731" s="36"/>
      <c r="Q731" s="36"/>
      <c r="R731" s="36"/>
      <c r="S731" s="36"/>
      <c r="T731" s="36"/>
    </row>
    <row r="732" spans="1:20" ht="15.75">
      <c r="A732" s="13">
        <v>63797</v>
      </c>
      <c r="B732" s="44">
        <f t="shared" si="2"/>
        <v>31</v>
      </c>
      <c r="C732" s="35">
        <v>194.20500000000001</v>
      </c>
      <c r="D732" s="35">
        <v>267.46600000000001</v>
      </c>
      <c r="E732" s="41">
        <v>812.32899999999995</v>
      </c>
      <c r="F732" s="35">
        <v>1274</v>
      </c>
      <c r="G732" s="35">
        <v>50</v>
      </c>
      <c r="H732" s="43">
        <v>600</v>
      </c>
      <c r="I732" s="35">
        <v>695</v>
      </c>
      <c r="J732" s="35">
        <v>0</v>
      </c>
      <c r="K732" s="36"/>
      <c r="L732" s="36"/>
      <c r="M732" s="36"/>
      <c r="N732" s="36"/>
      <c r="O732" s="36"/>
      <c r="P732" s="36"/>
      <c r="Q732" s="36"/>
      <c r="R732" s="36"/>
      <c r="S732" s="36"/>
      <c r="T732" s="36"/>
    </row>
    <row r="733" spans="1:20" ht="15.75">
      <c r="A733" s="13">
        <v>63827</v>
      </c>
      <c r="B733" s="44">
        <f t="shared" si="2"/>
        <v>30</v>
      </c>
      <c r="C733" s="35">
        <v>194.20500000000001</v>
      </c>
      <c r="D733" s="35">
        <v>267.46600000000001</v>
      </c>
      <c r="E733" s="41">
        <v>812.32899999999995</v>
      </c>
      <c r="F733" s="35">
        <v>1274</v>
      </c>
      <c r="G733" s="35">
        <v>50</v>
      </c>
      <c r="H733" s="43">
        <v>600</v>
      </c>
      <c r="I733" s="35">
        <v>695</v>
      </c>
      <c r="J733" s="35">
        <v>0</v>
      </c>
      <c r="K733" s="36"/>
      <c r="L733" s="36"/>
      <c r="M733" s="36"/>
      <c r="N733" s="36"/>
      <c r="O733" s="36"/>
      <c r="P733" s="36"/>
      <c r="Q733" s="36"/>
      <c r="R733" s="36"/>
      <c r="S733" s="36"/>
      <c r="T733" s="36"/>
    </row>
    <row r="734" spans="1:20" ht="15.75">
      <c r="A734" s="13">
        <v>63858</v>
      </c>
      <c r="B734" s="44">
        <f t="shared" si="2"/>
        <v>31</v>
      </c>
      <c r="C734" s="35">
        <v>131.881</v>
      </c>
      <c r="D734" s="35">
        <v>277.16699999999997</v>
      </c>
      <c r="E734" s="41">
        <v>829.952</v>
      </c>
      <c r="F734" s="35">
        <v>1239</v>
      </c>
      <c r="G734" s="35">
        <v>75</v>
      </c>
      <c r="H734" s="43">
        <v>600</v>
      </c>
      <c r="I734" s="35">
        <v>695</v>
      </c>
      <c r="J734" s="35">
        <v>0</v>
      </c>
      <c r="K734" s="36"/>
      <c r="L734" s="36"/>
      <c r="M734" s="36"/>
      <c r="N734" s="36"/>
      <c r="O734" s="36"/>
      <c r="P734" s="36"/>
      <c r="Q734" s="36"/>
      <c r="R734" s="36"/>
      <c r="S734" s="36"/>
      <c r="T734" s="36"/>
    </row>
    <row r="735" spans="1:20" ht="15.75">
      <c r="A735" s="13">
        <v>63888</v>
      </c>
      <c r="B735" s="44">
        <f t="shared" si="2"/>
        <v>30</v>
      </c>
      <c r="C735" s="35">
        <v>122.58</v>
      </c>
      <c r="D735" s="35">
        <v>297.94099999999997</v>
      </c>
      <c r="E735" s="41">
        <v>729.47900000000004</v>
      </c>
      <c r="F735" s="35">
        <v>1150</v>
      </c>
      <c r="G735" s="35">
        <v>100</v>
      </c>
      <c r="H735" s="43">
        <v>600</v>
      </c>
      <c r="I735" s="35">
        <v>695</v>
      </c>
      <c r="J735" s="35">
        <v>50</v>
      </c>
      <c r="K735" s="36"/>
      <c r="L735" s="36"/>
      <c r="M735" s="36"/>
      <c r="N735" s="36"/>
      <c r="O735" s="36"/>
      <c r="P735" s="36"/>
      <c r="Q735" s="36"/>
      <c r="R735" s="36"/>
      <c r="S735" s="36"/>
      <c r="T735" s="36"/>
    </row>
    <row r="736" spans="1:20" ht="15.75">
      <c r="A736" s="13">
        <v>63919</v>
      </c>
      <c r="B736" s="44">
        <f t="shared" si="2"/>
        <v>31</v>
      </c>
      <c r="C736" s="35">
        <v>122.58</v>
      </c>
      <c r="D736" s="35">
        <v>297.94099999999997</v>
      </c>
      <c r="E736" s="41">
        <v>729.47900000000004</v>
      </c>
      <c r="F736" s="35">
        <v>1150</v>
      </c>
      <c r="G736" s="35">
        <v>100</v>
      </c>
      <c r="H736" s="43">
        <v>600</v>
      </c>
      <c r="I736" s="35">
        <v>695</v>
      </c>
      <c r="J736" s="35">
        <v>50</v>
      </c>
      <c r="K736" s="36"/>
      <c r="L736" s="36"/>
      <c r="M736" s="36"/>
      <c r="N736" s="36"/>
      <c r="O736" s="36"/>
      <c r="P736" s="36"/>
      <c r="Q736" s="36"/>
      <c r="R736" s="36"/>
      <c r="S736" s="36"/>
      <c r="T736" s="36"/>
    </row>
    <row r="737" spans="1:20" ht="15.75">
      <c r="A737" s="13">
        <v>63950</v>
      </c>
      <c r="B737" s="44">
        <f t="shared" si="2"/>
        <v>31</v>
      </c>
      <c r="C737" s="35">
        <v>122.58</v>
      </c>
      <c r="D737" s="35">
        <v>297.94099999999997</v>
      </c>
      <c r="E737" s="41">
        <v>729.47900000000004</v>
      </c>
      <c r="F737" s="35">
        <v>1150</v>
      </c>
      <c r="G737" s="35">
        <v>100</v>
      </c>
      <c r="H737" s="43">
        <v>600</v>
      </c>
      <c r="I737" s="35">
        <v>695</v>
      </c>
      <c r="J737" s="35">
        <v>50</v>
      </c>
      <c r="K737" s="36"/>
      <c r="L737" s="36"/>
      <c r="M737" s="36"/>
      <c r="N737" s="36"/>
      <c r="O737" s="36"/>
      <c r="P737" s="36"/>
      <c r="Q737" s="36"/>
      <c r="R737" s="36"/>
      <c r="S737" s="36"/>
      <c r="T737" s="36"/>
    </row>
    <row r="738" spans="1:20" ht="15.75">
      <c r="A738" s="13">
        <v>63978</v>
      </c>
      <c r="B738" s="44">
        <f t="shared" si="2"/>
        <v>28</v>
      </c>
      <c r="C738" s="35">
        <v>122.58</v>
      </c>
      <c r="D738" s="35">
        <v>297.94099999999997</v>
      </c>
      <c r="E738" s="41">
        <v>729.47900000000004</v>
      </c>
      <c r="F738" s="35">
        <v>1150</v>
      </c>
      <c r="G738" s="35">
        <v>100</v>
      </c>
      <c r="H738" s="43">
        <v>600</v>
      </c>
      <c r="I738" s="35">
        <v>695</v>
      </c>
      <c r="J738" s="35">
        <v>50</v>
      </c>
      <c r="K738" s="36"/>
      <c r="L738" s="36"/>
      <c r="M738" s="36"/>
      <c r="N738" s="36"/>
      <c r="O738" s="36"/>
      <c r="P738" s="36"/>
      <c r="Q738" s="36"/>
      <c r="R738" s="36"/>
      <c r="S738" s="36"/>
      <c r="T738" s="36"/>
    </row>
    <row r="739" spans="1:20" ht="15.75">
      <c r="A739" s="13">
        <v>64009</v>
      </c>
      <c r="B739" s="44">
        <f t="shared" si="2"/>
        <v>31</v>
      </c>
      <c r="C739" s="35">
        <v>122.58</v>
      </c>
      <c r="D739" s="35">
        <v>297.94099999999997</v>
      </c>
      <c r="E739" s="41">
        <v>729.47900000000004</v>
      </c>
      <c r="F739" s="35">
        <v>1150</v>
      </c>
      <c r="G739" s="35">
        <v>100</v>
      </c>
      <c r="H739" s="43">
        <v>600</v>
      </c>
      <c r="I739" s="35">
        <v>695</v>
      </c>
      <c r="J739" s="35">
        <v>50</v>
      </c>
      <c r="K739" s="36"/>
      <c r="L739" s="36"/>
      <c r="M739" s="36"/>
      <c r="N739" s="36"/>
      <c r="O739" s="36"/>
      <c r="P739" s="36"/>
      <c r="Q739" s="36"/>
      <c r="R739" s="36"/>
      <c r="S739" s="36"/>
      <c r="T739" s="36"/>
    </row>
    <row r="740" spans="1:20" ht="15.75">
      <c r="A740" s="13">
        <v>64039</v>
      </c>
      <c r="B740" s="44">
        <f t="shared" si="2"/>
        <v>30</v>
      </c>
      <c r="C740" s="35">
        <v>141.29300000000001</v>
      </c>
      <c r="D740" s="35">
        <v>267.99299999999999</v>
      </c>
      <c r="E740" s="41">
        <v>829.71400000000006</v>
      </c>
      <c r="F740" s="35">
        <v>1239</v>
      </c>
      <c r="G740" s="35">
        <v>100</v>
      </c>
      <c r="H740" s="43">
        <v>600</v>
      </c>
      <c r="I740" s="35">
        <v>695</v>
      </c>
      <c r="J740" s="35">
        <v>50</v>
      </c>
      <c r="K740" s="36"/>
      <c r="L740" s="36"/>
      <c r="M740" s="36"/>
      <c r="N740" s="36"/>
      <c r="O740" s="36"/>
      <c r="P740" s="36"/>
      <c r="Q740" s="36"/>
      <c r="R740" s="36"/>
      <c r="S740" s="36"/>
      <c r="T740" s="36"/>
    </row>
    <row r="741" spans="1:20" ht="15.75">
      <c r="A741" s="13">
        <v>64070</v>
      </c>
      <c r="B741" s="44">
        <f t="shared" si="2"/>
        <v>31</v>
      </c>
      <c r="C741" s="35">
        <v>194.20500000000001</v>
      </c>
      <c r="D741" s="35">
        <v>267.46600000000001</v>
      </c>
      <c r="E741" s="41">
        <v>812.32899999999995</v>
      </c>
      <c r="F741" s="35">
        <v>1274</v>
      </c>
      <c r="G741" s="35">
        <v>75</v>
      </c>
      <c r="H741" s="43">
        <v>600</v>
      </c>
      <c r="I741" s="35">
        <v>695</v>
      </c>
      <c r="J741" s="35">
        <v>50</v>
      </c>
      <c r="K741" s="36"/>
      <c r="L741" s="36"/>
      <c r="M741" s="36"/>
      <c r="N741" s="36"/>
      <c r="O741" s="36"/>
      <c r="P741" s="36"/>
      <c r="Q741" s="36"/>
      <c r="R741" s="36"/>
      <c r="S741" s="36"/>
      <c r="T741" s="36"/>
    </row>
    <row r="742" spans="1:20" ht="15.75">
      <c r="A742" s="13">
        <v>64100</v>
      </c>
      <c r="B742" s="44">
        <f t="shared" si="2"/>
        <v>30</v>
      </c>
      <c r="C742" s="35">
        <v>194.20500000000001</v>
      </c>
      <c r="D742" s="35">
        <v>267.46600000000001</v>
      </c>
      <c r="E742" s="41">
        <v>812.32899999999995</v>
      </c>
      <c r="F742" s="35">
        <v>1274</v>
      </c>
      <c r="G742" s="35">
        <v>50</v>
      </c>
      <c r="H742" s="43">
        <v>600</v>
      </c>
      <c r="I742" s="35">
        <v>695</v>
      </c>
      <c r="J742" s="35">
        <v>50</v>
      </c>
      <c r="K742" s="36"/>
      <c r="L742" s="36"/>
      <c r="M742" s="36"/>
      <c r="N742" s="36"/>
      <c r="O742" s="36"/>
      <c r="P742" s="36"/>
      <c r="Q742" s="36"/>
      <c r="R742" s="36"/>
      <c r="S742" s="36"/>
      <c r="T742" s="36"/>
    </row>
    <row r="743" spans="1:20" ht="15.75">
      <c r="A743" s="13">
        <v>64131</v>
      </c>
      <c r="B743" s="44">
        <f t="shared" si="2"/>
        <v>31</v>
      </c>
      <c r="C743" s="35">
        <v>194.20500000000001</v>
      </c>
      <c r="D743" s="35">
        <v>267.46600000000001</v>
      </c>
      <c r="E743" s="41">
        <v>812.32899999999995</v>
      </c>
      <c r="F743" s="35">
        <v>1274</v>
      </c>
      <c r="G743" s="35">
        <v>50</v>
      </c>
      <c r="H743" s="43">
        <v>600</v>
      </c>
      <c r="I743" s="35">
        <v>695</v>
      </c>
      <c r="J743" s="35">
        <v>0</v>
      </c>
      <c r="K743" s="36"/>
      <c r="L743" s="36"/>
      <c r="M743" s="36"/>
      <c r="N743" s="36"/>
      <c r="O743" s="36"/>
      <c r="P743" s="36"/>
      <c r="Q743" s="36"/>
      <c r="R743" s="36"/>
      <c r="S743" s="36"/>
      <c r="T743" s="36"/>
    </row>
    <row r="744" spans="1:20" ht="15.75">
      <c r="A744" s="13">
        <v>64162</v>
      </c>
      <c r="B744" s="44">
        <f t="shared" si="2"/>
        <v>31</v>
      </c>
      <c r="C744" s="35">
        <v>194.20500000000001</v>
      </c>
      <c r="D744" s="35">
        <v>267.46600000000001</v>
      </c>
      <c r="E744" s="41">
        <v>812.32899999999995</v>
      </c>
      <c r="F744" s="35">
        <v>1274</v>
      </c>
      <c r="G744" s="35">
        <v>50</v>
      </c>
      <c r="H744" s="43">
        <v>600</v>
      </c>
      <c r="I744" s="35">
        <v>695</v>
      </c>
      <c r="J744" s="35">
        <v>0</v>
      </c>
      <c r="K744" s="36"/>
      <c r="L744" s="36"/>
      <c r="M744" s="36"/>
      <c r="N744" s="36"/>
      <c r="O744" s="36"/>
      <c r="P744" s="36"/>
      <c r="Q744" s="36"/>
      <c r="R744" s="36"/>
      <c r="S744" s="36"/>
      <c r="T744" s="36"/>
    </row>
    <row r="745" spans="1:20" ht="15.75">
      <c r="A745" s="13">
        <v>64192</v>
      </c>
      <c r="B745" s="44">
        <f t="shared" si="2"/>
        <v>30</v>
      </c>
      <c r="C745" s="35">
        <v>194.20500000000001</v>
      </c>
      <c r="D745" s="35">
        <v>267.46600000000001</v>
      </c>
      <c r="E745" s="41">
        <v>812.32899999999995</v>
      </c>
      <c r="F745" s="35">
        <v>1274</v>
      </c>
      <c r="G745" s="35">
        <v>50</v>
      </c>
      <c r="H745" s="43">
        <v>600</v>
      </c>
      <c r="I745" s="35">
        <v>695</v>
      </c>
      <c r="J745" s="35">
        <v>0</v>
      </c>
      <c r="K745" s="36"/>
      <c r="L745" s="36"/>
      <c r="M745" s="36"/>
      <c r="N745" s="36"/>
      <c r="O745" s="36"/>
      <c r="P745" s="36"/>
      <c r="Q745" s="36"/>
      <c r="R745" s="36"/>
      <c r="S745" s="36"/>
      <c r="T745" s="36"/>
    </row>
    <row r="746" spans="1:20" ht="15.75">
      <c r="A746" s="13">
        <v>64223</v>
      </c>
      <c r="B746" s="44">
        <f t="shared" si="2"/>
        <v>31</v>
      </c>
      <c r="C746" s="35">
        <v>131.881</v>
      </c>
      <c r="D746" s="35">
        <v>277.16699999999997</v>
      </c>
      <c r="E746" s="41">
        <v>829.952</v>
      </c>
      <c r="F746" s="35">
        <v>1239</v>
      </c>
      <c r="G746" s="35">
        <v>75</v>
      </c>
      <c r="H746" s="43">
        <v>600</v>
      </c>
      <c r="I746" s="35">
        <v>695</v>
      </c>
      <c r="J746" s="35">
        <v>0</v>
      </c>
      <c r="K746" s="36"/>
      <c r="L746" s="36"/>
      <c r="M746" s="36"/>
      <c r="N746" s="36"/>
      <c r="O746" s="36"/>
      <c r="P746" s="36"/>
      <c r="Q746" s="36"/>
      <c r="R746" s="36"/>
      <c r="S746" s="36"/>
      <c r="T746" s="36"/>
    </row>
    <row r="747" spans="1:20" ht="15.75">
      <c r="A747" s="13">
        <v>64253</v>
      </c>
      <c r="B747" s="44">
        <f t="shared" si="2"/>
        <v>30</v>
      </c>
      <c r="C747" s="35">
        <v>122.58</v>
      </c>
      <c r="D747" s="35">
        <v>297.94099999999997</v>
      </c>
      <c r="E747" s="41">
        <v>729.47900000000004</v>
      </c>
      <c r="F747" s="35">
        <v>1150</v>
      </c>
      <c r="G747" s="35">
        <v>100</v>
      </c>
      <c r="H747" s="43">
        <v>600</v>
      </c>
      <c r="I747" s="35">
        <v>695</v>
      </c>
      <c r="J747" s="35">
        <v>50</v>
      </c>
      <c r="K747" s="36"/>
      <c r="L747" s="36"/>
      <c r="M747" s="36"/>
      <c r="N747" s="36"/>
      <c r="O747" s="36"/>
      <c r="P747" s="36"/>
      <c r="Q747" s="36"/>
      <c r="R747" s="36"/>
      <c r="S747" s="36"/>
      <c r="T747" s="36"/>
    </row>
    <row r="748" spans="1:20" ht="15.75">
      <c r="A748" s="13">
        <v>64284</v>
      </c>
      <c r="B748" s="44">
        <f t="shared" si="2"/>
        <v>31</v>
      </c>
      <c r="C748" s="35">
        <v>122.58</v>
      </c>
      <c r="D748" s="35">
        <v>297.94099999999997</v>
      </c>
      <c r="E748" s="41">
        <v>729.47900000000004</v>
      </c>
      <c r="F748" s="35">
        <v>1150</v>
      </c>
      <c r="G748" s="35">
        <v>100</v>
      </c>
      <c r="H748" s="43">
        <v>600</v>
      </c>
      <c r="I748" s="35">
        <v>695</v>
      </c>
      <c r="J748" s="35">
        <v>50</v>
      </c>
      <c r="K748" s="36"/>
      <c r="L748" s="36"/>
      <c r="M748" s="36"/>
      <c r="N748" s="36"/>
      <c r="O748" s="36"/>
      <c r="P748" s="36"/>
      <c r="Q748" s="36"/>
      <c r="R748" s="36"/>
      <c r="S748" s="36"/>
      <c r="T748" s="36"/>
    </row>
    <row r="749" spans="1:20" ht="15.75">
      <c r="A749" s="13">
        <v>64315</v>
      </c>
      <c r="B749" s="44">
        <f t="shared" si="2"/>
        <v>31</v>
      </c>
      <c r="C749" s="35">
        <v>122.58</v>
      </c>
      <c r="D749" s="35">
        <v>297.94099999999997</v>
      </c>
      <c r="E749" s="41">
        <v>729.47900000000004</v>
      </c>
      <c r="F749" s="35">
        <v>1150</v>
      </c>
      <c r="G749" s="35">
        <v>100</v>
      </c>
      <c r="H749" s="43">
        <v>600</v>
      </c>
      <c r="I749" s="35">
        <v>695</v>
      </c>
      <c r="J749" s="35">
        <v>50</v>
      </c>
      <c r="K749" s="36"/>
      <c r="L749" s="36"/>
      <c r="M749" s="36"/>
      <c r="N749" s="36"/>
      <c r="O749" s="36"/>
      <c r="P749" s="36"/>
      <c r="Q749" s="36"/>
      <c r="R749" s="36"/>
      <c r="S749" s="36"/>
      <c r="T749" s="36"/>
    </row>
    <row r="750" spans="1:20" ht="15.75">
      <c r="A750" s="13">
        <v>64344</v>
      </c>
      <c r="B750" s="44">
        <f t="shared" si="2"/>
        <v>29</v>
      </c>
      <c r="C750" s="35">
        <v>122.58</v>
      </c>
      <c r="D750" s="35">
        <v>297.94099999999997</v>
      </c>
      <c r="E750" s="41">
        <v>729.47900000000004</v>
      </c>
      <c r="F750" s="35">
        <v>1150</v>
      </c>
      <c r="G750" s="35">
        <v>100</v>
      </c>
      <c r="H750" s="43">
        <v>600</v>
      </c>
      <c r="I750" s="35">
        <v>695</v>
      </c>
      <c r="J750" s="35">
        <v>50</v>
      </c>
      <c r="K750" s="36"/>
      <c r="L750" s="36"/>
      <c r="M750" s="36"/>
      <c r="N750" s="36"/>
      <c r="O750" s="36"/>
      <c r="P750" s="36"/>
      <c r="Q750" s="36"/>
      <c r="R750" s="36"/>
      <c r="S750" s="36"/>
      <c r="T750" s="36"/>
    </row>
    <row r="751" spans="1:20" ht="15.75">
      <c r="A751" s="13">
        <v>64375</v>
      </c>
      <c r="B751" s="44">
        <f t="shared" si="2"/>
        <v>31</v>
      </c>
      <c r="C751" s="35">
        <v>122.58</v>
      </c>
      <c r="D751" s="35">
        <v>297.94099999999997</v>
      </c>
      <c r="E751" s="41">
        <v>729.47900000000004</v>
      </c>
      <c r="F751" s="35">
        <v>1150</v>
      </c>
      <c r="G751" s="35">
        <v>100</v>
      </c>
      <c r="H751" s="43">
        <v>600</v>
      </c>
      <c r="I751" s="35">
        <v>695</v>
      </c>
      <c r="J751" s="35">
        <v>50</v>
      </c>
      <c r="K751" s="36"/>
      <c r="L751" s="36"/>
      <c r="M751" s="36"/>
      <c r="N751" s="36"/>
      <c r="O751" s="36"/>
      <c r="P751" s="36"/>
      <c r="Q751" s="36"/>
      <c r="R751" s="36"/>
      <c r="S751" s="36"/>
      <c r="T751" s="36"/>
    </row>
    <row r="752" spans="1:20" ht="15.75">
      <c r="A752" s="13">
        <v>64405</v>
      </c>
      <c r="B752" s="44">
        <f t="shared" si="2"/>
        <v>30</v>
      </c>
      <c r="C752" s="35">
        <v>141.29300000000001</v>
      </c>
      <c r="D752" s="35">
        <v>267.99299999999999</v>
      </c>
      <c r="E752" s="41">
        <v>829.71400000000006</v>
      </c>
      <c r="F752" s="35">
        <v>1239</v>
      </c>
      <c r="G752" s="35">
        <v>100</v>
      </c>
      <c r="H752" s="43">
        <v>600</v>
      </c>
      <c r="I752" s="35">
        <v>695</v>
      </c>
      <c r="J752" s="35">
        <v>50</v>
      </c>
      <c r="K752" s="36"/>
      <c r="L752" s="36"/>
      <c r="M752" s="36"/>
      <c r="N752" s="36"/>
      <c r="O752" s="36"/>
      <c r="P752" s="36"/>
      <c r="Q752" s="36"/>
      <c r="R752" s="36"/>
      <c r="S752" s="36"/>
      <c r="T752" s="36"/>
    </row>
    <row r="753" spans="1:20" ht="15.75">
      <c r="A753" s="13">
        <v>64436</v>
      </c>
      <c r="B753" s="44">
        <f t="shared" si="2"/>
        <v>31</v>
      </c>
      <c r="C753" s="35">
        <v>194.20500000000001</v>
      </c>
      <c r="D753" s="35">
        <v>267.46600000000001</v>
      </c>
      <c r="E753" s="41">
        <v>812.32899999999995</v>
      </c>
      <c r="F753" s="35">
        <v>1274</v>
      </c>
      <c r="G753" s="35">
        <v>75</v>
      </c>
      <c r="H753" s="43">
        <v>600</v>
      </c>
      <c r="I753" s="35">
        <v>695</v>
      </c>
      <c r="J753" s="35">
        <v>50</v>
      </c>
      <c r="K753" s="36"/>
      <c r="L753" s="36"/>
      <c r="M753" s="36"/>
      <c r="N753" s="36"/>
      <c r="O753" s="36"/>
      <c r="P753" s="36"/>
      <c r="Q753" s="36"/>
      <c r="R753" s="36"/>
      <c r="S753" s="36"/>
      <c r="T753" s="36"/>
    </row>
    <row r="754" spans="1:20" ht="15.75">
      <c r="A754" s="13">
        <v>64466</v>
      </c>
      <c r="B754" s="44">
        <f t="shared" si="2"/>
        <v>30</v>
      </c>
      <c r="C754" s="35">
        <v>194.20500000000001</v>
      </c>
      <c r="D754" s="35">
        <v>267.46600000000001</v>
      </c>
      <c r="E754" s="41">
        <v>812.32899999999995</v>
      </c>
      <c r="F754" s="35">
        <v>1274</v>
      </c>
      <c r="G754" s="35">
        <v>50</v>
      </c>
      <c r="H754" s="43">
        <v>600</v>
      </c>
      <c r="I754" s="35">
        <v>695</v>
      </c>
      <c r="J754" s="35">
        <v>50</v>
      </c>
      <c r="K754" s="36"/>
      <c r="L754" s="36"/>
      <c r="M754" s="36"/>
      <c r="N754" s="36"/>
      <c r="O754" s="36"/>
      <c r="P754" s="36"/>
      <c r="Q754" s="36"/>
      <c r="R754" s="36"/>
      <c r="S754" s="36"/>
      <c r="T754" s="36"/>
    </row>
    <row r="755" spans="1:20" ht="15.75">
      <c r="A755" s="13">
        <v>64497</v>
      </c>
      <c r="B755" s="44">
        <f t="shared" si="2"/>
        <v>31</v>
      </c>
      <c r="C755" s="35">
        <v>194.20500000000001</v>
      </c>
      <c r="D755" s="35">
        <v>267.46600000000001</v>
      </c>
      <c r="E755" s="41">
        <v>812.32899999999995</v>
      </c>
      <c r="F755" s="35">
        <v>1274</v>
      </c>
      <c r="G755" s="35">
        <v>50</v>
      </c>
      <c r="H755" s="43">
        <v>600</v>
      </c>
      <c r="I755" s="35">
        <v>695</v>
      </c>
      <c r="J755" s="35">
        <v>0</v>
      </c>
      <c r="K755" s="36"/>
      <c r="L755" s="36"/>
      <c r="M755" s="36"/>
      <c r="N755" s="36"/>
      <c r="O755" s="36"/>
      <c r="P755" s="36"/>
      <c r="Q755" s="36"/>
      <c r="R755" s="36"/>
      <c r="S755" s="36"/>
      <c r="T755" s="36"/>
    </row>
    <row r="756" spans="1:20" ht="15.75">
      <c r="A756" s="13">
        <v>64528</v>
      </c>
      <c r="B756" s="44">
        <f t="shared" si="2"/>
        <v>31</v>
      </c>
      <c r="C756" s="35">
        <v>194.20500000000001</v>
      </c>
      <c r="D756" s="35">
        <v>267.46600000000001</v>
      </c>
      <c r="E756" s="41">
        <v>812.32899999999995</v>
      </c>
      <c r="F756" s="35">
        <v>1274</v>
      </c>
      <c r="G756" s="35">
        <v>50</v>
      </c>
      <c r="H756" s="43">
        <v>600</v>
      </c>
      <c r="I756" s="35">
        <v>695</v>
      </c>
      <c r="J756" s="35">
        <v>0</v>
      </c>
      <c r="K756" s="36"/>
      <c r="L756" s="36"/>
      <c r="M756" s="36"/>
      <c r="N756" s="36"/>
      <c r="O756" s="36"/>
      <c r="P756" s="36"/>
      <c r="Q756" s="36"/>
      <c r="R756" s="36"/>
      <c r="S756" s="36"/>
      <c r="T756" s="36"/>
    </row>
    <row r="757" spans="1:20" ht="15.75">
      <c r="A757" s="13">
        <v>64558</v>
      </c>
      <c r="B757" s="44">
        <f t="shared" si="2"/>
        <v>30</v>
      </c>
      <c r="C757" s="35">
        <v>194.20500000000001</v>
      </c>
      <c r="D757" s="35">
        <v>267.46600000000001</v>
      </c>
      <c r="E757" s="41">
        <v>812.32899999999995</v>
      </c>
      <c r="F757" s="35">
        <v>1274</v>
      </c>
      <c r="G757" s="35">
        <v>50</v>
      </c>
      <c r="H757" s="43">
        <v>600</v>
      </c>
      <c r="I757" s="35">
        <v>695</v>
      </c>
      <c r="J757" s="35">
        <v>0</v>
      </c>
      <c r="K757" s="36"/>
      <c r="L757" s="36"/>
      <c r="M757" s="36"/>
      <c r="N757" s="36"/>
      <c r="O757" s="36"/>
      <c r="P757" s="36"/>
      <c r="Q757" s="36"/>
      <c r="R757" s="36"/>
      <c r="S757" s="36"/>
      <c r="T757" s="36"/>
    </row>
    <row r="758" spans="1:20" ht="15.75">
      <c r="A758" s="13">
        <v>64589</v>
      </c>
      <c r="B758" s="44">
        <f t="shared" si="2"/>
        <v>31</v>
      </c>
      <c r="C758" s="35">
        <v>131.881</v>
      </c>
      <c r="D758" s="35">
        <v>277.16699999999997</v>
      </c>
      <c r="E758" s="41">
        <v>829.952</v>
      </c>
      <c r="F758" s="35">
        <v>1239</v>
      </c>
      <c r="G758" s="35">
        <v>75</v>
      </c>
      <c r="H758" s="43">
        <v>600</v>
      </c>
      <c r="I758" s="35">
        <v>695</v>
      </c>
      <c r="J758" s="35">
        <v>0</v>
      </c>
      <c r="K758" s="36"/>
      <c r="L758" s="36"/>
      <c r="M758" s="36"/>
      <c r="N758" s="36"/>
      <c r="O758" s="36"/>
      <c r="P758" s="36"/>
      <c r="Q758" s="36"/>
      <c r="R758" s="36"/>
      <c r="S758" s="36"/>
      <c r="T758" s="36"/>
    </row>
    <row r="759" spans="1:20" ht="15.75">
      <c r="A759" s="13">
        <v>64619</v>
      </c>
      <c r="B759" s="44">
        <f t="shared" si="2"/>
        <v>30</v>
      </c>
      <c r="C759" s="35">
        <v>122.58</v>
      </c>
      <c r="D759" s="35">
        <v>297.94099999999997</v>
      </c>
      <c r="E759" s="41">
        <v>729.47900000000004</v>
      </c>
      <c r="F759" s="35">
        <v>1150</v>
      </c>
      <c r="G759" s="35">
        <v>100</v>
      </c>
      <c r="H759" s="43">
        <v>600</v>
      </c>
      <c r="I759" s="35">
        <v>695</v>
      </c>
      <c r="J759" s="35">
        <v>50</v>
      </c>
      <c r="K759" s="36"/>
      <c r="L759" s="36"/>
      <c r="M759" s="36"/>
      <c r="N759" s="36"/>
      <c r="O759" s="36"/>
      <c r="P759" s="36"/>
      <c r="Q759" s="36"/>
      <c r="R759" s="36"/>
      <c r="S759" s="36"/>
      <c r="T759" s="36"/>
    </row>
    <row r="760" spans="1:20" ht="15.75">
      <c r="A760" s="13">
        <v>64650</v>
      </c>
      <c r="B760" s="44">
        <f t="shared" si="2"/>
        <v>31</v>
      </c>
      <c r="C760" s="35">
        <v>122.58</v>
      </c>
      <c r="D760" s="35">
        <v>297.94099999999997</v>
      </c>
      <c r="E760" s="41">
        <v>729.47900000000004</v>
      </c>
      <c r="F760" s="35">
        <v>1150</v>
      </c>
      <c r="G760" s="35">
        <v>100</v>
      </c>
      <c r="H760" s="43">
        <v>600</v>
      </c>
      <c r="I760" s="35">
        <v>695</v>
      </c>
      <c r="J760" s="35">
        <v>50</v>
      </c>
      <c r="K760" s="36"/>
      <c r="L760" s="36"/>
      <c r="M760" s="36"/>
      <c r="N760" s="36"/>
      <c r="O760" s="36"/>
      <c r="P760" s="36"/>
      <c r="Q760" s="36"/>
      <c r="R760" s="36"/>
      <c r="S760" s="36"/>
      <c r="T760" s="36"/>
    </row>
    <row r="761" spans="1:20" ht="15.75">
      <c r="A761" s="13">
        <v>64681</v>
      </c>
      <c r="B761" s="44">
        <f t="shared" si="2"/>
        <v>31</v>
      </c>
      <c r="C761" s="35">
        <v>122.58</v>
      </c>
      <c r="D761" s="35">
        <v>297.94099999999997</v>
      </c>
      <c r="E761" s="41">
        <v>729.47900000000004</v>
      </c>
      <c r="F761" s="35">
        <v>1150</v>
      </c>
      <c r="G761" s="35">
        <v>100</v>
      </c>
      <c r="H761" s="43">
        <v>600</v>
      </c>
      <c r="I761" s="35">
        <v>695</v>
      </c>
      <c r="J761" s="35">
        <v>50</v>
      </c>
      <c r="K761" s="36"/>
      <c r="L761" s="36"/>
      <c r="M761" s="36"/>
      <c r="N761" s="36"/>
      <c r="O761" s="36"/>
      <c r="P761" s="36"/>
      <c r="Q761" s="36"/>
      <c r="R761" s="36"/>
      <c r="S761" s="36"/>
      <c r="T761" s="36"/>
    </row>
    <row r="762" spans="1:20" ht="15.75">
      <c r="A762" s="13">
        <v>64709</v>
      </c>
      <c r="B762" s="44">
        <f t="shared" si="2"/>
        <v>28</v>
      </c>
      <c r="C762" s="35">
        <v>122.58</v>
      </c>
      <c r="D762" s="35">
        <v>297.94099999999997</v>
      </c>
      <c r="E762" s="41">
        <v>729.47900000000004</v>
      </c>
      <c r="F762" s="35">
        <v>1150</v>
      </c>
      <c r="G762" s="35">
        <v>100</v>
      </c>
      <c r="H762" s="43">
        <v>600</v>
      </c>
      <c r="I762" s="35">
        <v>695</v>
      </c>
      <c r="J762" s="35">
        <v>50</v>
      </c>
      <c r="K762" s="36"/>
      <c r="L762" s="36"/>
      <c r="M762" s="36"/>
      <c r="N762" s="36"/>
      <c r="O762" s="36"/>
      <c r="P762" s="36"/>
      <c r="Q762" s="36"/>
      <c r="R762" s="36"/>
      <c r="S762" s="36"/>
      <c r="T762" s="36"/>
    </row>
    <row r="763" spans="1:20" ht="15.75">
      <c r="A763" s="13">
        <v>64740</v>
      </c>
      <c r="B763" s="44">
        <f t="shared" si="2"/>
        <v>31</v>
      </c>
      <c r="C763" s="35">
        <v>122.58</v>
      </c>
      <c r="D763" s="35">
        <v>297.94099999999997</v>
      </c>
      <c r="E763" s="41">
        <v>729.47900000000004</v>
      </c>
      <c r="F763" s="35">
        <v>1150</v>
      </c>
      <c r="G763" s="35">
        <v>100</v>
      </c>
      <c r="H763" s="43">
        <v>600</v>
      </c>
      <c r="I763" s="35">
        <v>695</v>
      </c>
      <c r="J763" s="35">
        <v>50</v>
      </c>
      <c r="K763" s="36"/>
      <c r="L763" s="36"/>
      <c r="M763" s="36"/>
      <c r="N763" s="36"/>
      <c r="O763" s="36"/>
      <c r="P763" s="36"/>
      <c r="Q763" s="36"/>
      <c r="R763" s="36"/>
      <c r="S763" s="36"/>
      <c r="T763" s="36"/>
    </row>
    <row r="764" spans="1:20" ht="15.75">
      <c r="A764" s="13">
        <v>64770</v>
      </c>
      <c r="B764" s="44">
        <f t="shared" si="2"/>
        <v>30</v>
      </c>
      <c r="C764" s="35">
        <v>141.29300000000001</v>
      </c>
      <c r="D764" s="35">
        <v>267.99299999999999</v>
      </c>
      <c r="E764" s="41">
        <v>829.71400000000006</v>
      </c>
      <c r="F764" s="35">
        <v>1239</v>
      </c>
      <c r="G764" s="35">
        <v>100</v>
      </c>
      <c r="H764" s="43">
        <v>600</v>
      </c>
      <c r="I764" s="35">
        <v>695</v>
      </c>
      <c r="J764" s="35">
        <v>50</v>
      </c>
      <c r="K764" s="36"/>
      <c r="L764" s="36"/>
      <c r="M764" s="36"/>
      <c r="N764" s="36"/>
      <c r="O764" s="36"/>
      <c r="P764" s="36"/>
      <c r="Q764" s="36"/>
      <c r="R764" s="36"/>
      <c r="S764" s="36"/>
      <c r="T764" s="36"/>
    </row>
    <row r="765" spans="1:20" ht="15.75">
      <c r="A765" s="13">
        <v>64801</v>
      </c>
      <c r="B765" s="44">
        <f t="shared" si="2"/>
        <v>31</v>
      </c>
      <c r="C765" s="35">
        <v>194.20500000000001</v>
      </c>
      <c r="D765" s="35">
        <v>267.46600000000001</v>
      </c>
      <c r="E765" s="41">
        <v>812.32899999999995</v>
      </c>
      <c r="F765" s="35">
        <v>1274</v>
      </c>
      <c r="G765" s="35">
        <v>75</v>
      </c>
      <c r="H765" s="43">
        <v>600</v>
      </c>
      <c r="I765" s="35">
        <v>695</v>
      </c>
      <c r="J765" s="35">
        <v>50</v>
      </c>
      <c r="K765" s="36"/>
      <c r="L765" s="36"/>
      <c r="M765" s="36"/>
      <c r="N765" s="36"/>
      <c r="O765" s="36"/>
      <c r="P765" s="36"/>
      <c r="Q765" s="36"/>
      <c r="R765" s="36"/>
      <c r="S765" s="36"/>
      <c r="T765" s="36"/>
    </row>
    <row r="766" spans="1:20" ht="15.75">
      <c r="A766" s="13">
        <v>64831</v>
      </c>
      <c r="B766" s="44">
        <f t="shared" si="2"/>
        <v>30</v>
      </c>
      <c r="C766" s="35">
        <v>194.20500000000001</v>
      </c>
      <c r="D766" s="35">
        <v>267.46600000000001</v>
      </c>
      <c r="E766" s="41">
        <v>812.32899999999995</v>
      </c>
      <c r="F766" s="35">
        <v>1274</v>
      </c>
      <c r="G766" s="35">
        <v>50</v>
      </c>
      <c r="H766" s="43">
        <v>600</v>
      </c>
      <c r="I766" s="35">
        <v>695</v>
      </c>
      <c r="J766" s="35">
        <v>50</v>
      </c>
      <c r="K766" s="36"/>
      <c r="L766" s="36"/>
      <c r="M766" s="36"/>
      <c r="N766" s="36"/>
      <c r="O766" s="36"/>
      <c r="P766" s="36"/>
      <c r="Q766" s="36"/>
      <c r="R766" s="36"/>
      <c r="S766" s="36"/>
      <c r="T766" s="36"/>
    </row>
    <row r="767" spans="1:20" ht="15.75">
      <c r="A767" s="13">
        <v>64862</v>
      </c>
      <c r="B767" s="44">
        <f t="shared" si="2"/>
        <v>31</v>
      </c>
      <c r="C767" s="35">
        <v>194.20500000000001</v>
      </c>
      <c r="D767" s="35">
        <v>267.46600000000001</v>
      </c>
      <c r="E767" s="41">
        <v>812.32899999999995</v>
      </c>
      <c r="F767" s="35">
        <v>1274</v>
      </c>
      <c r="G767" s="35">
        <v>50</v>
      </c>
      <c r="H767" s="43">
        <v>600</v>
      </c>
      <c r="I767" s="35">
        <v>695</v>
      </c>
      <c r="J767" s="35">
        <v>0</v>
      </c>
      <c r="K767" s="36"/>
      <c r="L767" s="36"/>
      <c r="M767" s="36"/>
      <c r="N767" s="36"/>
      <c r="O767" s="36"/>
      <c r="P767" s="36"/>
      <c r="Q767" s="36"/>
      <c r="R767" s="36"/>
      <c r="S767" s="36"/>
      <c r="T767" s="36"/>
    </row>
    <row r="768" spans="1:20" ht="15.75">
      <c r="A768" s="13">
        <v>64893</v>
      </c>
      <c r="B768" s="44">
        <f t="shared" si="2"/>
        <v>31</v>
      </c>
      <c r="C768" s="35">
        <v>194.20500000000001</v>
      </c>
      <c r="D768" s="35">
        <v>267.46600000000001</v>
      </c>
      <c r="E768" s="41">
        <v>812.32899999999995</v>
      </c>
      <c r="F768" s="35">
        <v>1274</v>
      </c>
      <c r="G768" s="35">
        <v>50</v>
      </c>
      <c r="H768" s="43">
        <v>600</v>
      </c>
      <c r="I768" s="35">
        <v>695</v>
      </c>
      <c r="J768" s="35">
        <v>0</v>
      </c>
      <c r="K768" s="36"/>
      <c r="L768" s="36"/>
      <c r="M768" s="36"/>
      <c r="N768" s="36"/>
      <c r="O768" s="36"/>
      <c r="P768" s="36"/>
      <c r="Q768" s="36"/>
      <c r="R768" s="36"/>
      <c r="S768" s="36"/>
      <c r="T768" s="36"/>
    </row>
    <row r="769" spans="1:20" ht="15.75">
      <c r="A769" s="13">
        <v>64923</v>
      </c>
      <c r="B769" s="44">
        <f t="shared" si="2"/>
        <v>30</v>
      </c>
      <c r="C769" s="35">
        <v>194.20500000000001</v>
      </c>
      <c r="D769" s="35">
        <v>267.46600000000001</v>
      </c>
      <c r="E769" s="41">
        <v>812.32899999999995</v>
      </c>
      <c r="F769" s="35">
        <v>1274</v>
      </c>
      <c r="G769" s="35">
        <v>50</v>
      </c>
      <c r="H769" s="43">
        <v>600</v>
      </c>
      <c r="I769" s="35">
        <v>695</v>
      </c>
      <c r="J769" s="35">
        <v>0</v>
      </c>
      <c r="K769" s="36"/>
      <c r="L769" s="36"/>
      <c r="M769" s="36"/>
      <c r="N769" s="36"/>
      <c r="O769" s="36"/>
      <c r="P769" s="36"/>
      <c r="Q769" s="36"/>
      <c r="R769" s="36"/>
      <c r="S769" s="36"/>
      <c r="T769" s="36"/>
    </row>
    <row r="770" spans="1:20" ht="15.75">
      <c r="A770" s="13">
        <v>64954</v>
      </c>
      <c r="B770" s="44">
        <f t="shared" si="2"/>
        <v>31</v>
      </c>
      <c r="C770" s="35">
        <v>131.881</v>
      </c>
      <c r="D770" s="35">
        <v>277.16699999999997</v>
      </c>
      <c r="E770" s="41">
        <v>829.952</v>
      </c>
      <c r="F770" s="35">
        <v>1239</v>
      </c>
      <c r="G770" s="35">
        <v>75</v>
      </c>
      <c r="H770" s="43">
        <v>600</v>
      </c>
      <c r="I770" s="35">
        <v>695</v>
      </c>
      <c r="J770" s="35">
        <v>0</v>
      </c>
      <c r="K770" s="36"/>
      <c r="L770" s="36"/>
      <c r="M770" s="36"/>
      <c r="N770" s="36"/>
      <c r="O770" s="36"/>
      <c r="P770" s="36"/>
      <c r="Q770" s="36"/>
      <c r="R770" s="36"/>
      <c r="S770" s="36"/>
      <c r="T770" s="36"/>
    </row>
    <row r="771" spans="1:20" ht="15.75">
      <c r="A771" s="13">
        <v>64984</v>
      </c>
      <c r="B771" s="44">
        <f t="shared" si="2"/>
        <v>30</v>
      </c>
      <c r="C771" s="35">
        <v>122.58</v>
      </c>
      <c r="D771" s="35">
        <v>297.94099999999997</v>
      </c>
      <c r="E771" s="41">
        <v>729.47900000000004</v>
      </c>
      <c r="F771" s="35">
        <v>1150</v>
      </c>
      <c r="G771" s="35">
        <v>100</v>
      </c>
      <c r="H771" s="43">
        <v>600</v>
      </c>
      <c r="I771" s="35">
        <v>695</v>
      </c>
      <c r="J771" s="35">
        <v>50</v>
      </c>
      <c r="K771" s="36"/>
      <c r="L771" s="36"/>
      <c r="M771" s="36"/>
      <c r="N771" s="36"/>
      <c r="O771" s="36"/>
      <c r="P771" s="36"/>
      <c r="Q771" s="36"/>
      <c r="R771" s="36"/>
      <c r="S771" s="36"/>
      <c r="T771" s="36"/>
    </row>
    <row r="772" spans="1:20" ht="15.75">
      <c r="A772" s="13">
        <v>65015</v>
      </c>
      <c r="B772" s="44">
        <f t="shared" si="2"/>
        <v>31</v>
      </c>
      <c r="C772" s="35">
        <v>122.58</v>
      </c>
      <c r="D772" s="35">
        <v>297.94099999999997</v>
      </c>
      <c r="E772" s="41">
        <v>729.47900000000004</v>
      </c>
      <c r="F772" s="35">
        <v>1150</v>
      </c>
      <c r="G772" s="35">
        <v>100</v>
      </c>
      <c r="H772" s="43">
        <v>600</v>
      </c>
      <c r="I772" s="35">
        <v>695</v>
      </c>
      <c r="J772" s="35">
        <v>50</v>
      </c>
      <c r="K772" s="36"/>
      <c r="L772" s="36"/>
      <c r="M772" s="36"/>
      <c r="N772" s="36"/>
      <c r="O772" s="36"/>
      <c r="P772" s="36"/>
      <c r="Q772" s="36"/>
      <c r="R772" s="36"/>
      <c r="S772" s="36"/>
      <c r="T772" s="36"/>
    </row>
    <row r="773" spans="1:20" ht="15.75">
      <c r="A773" s="13">
        <v>65046</v>
      </c>
      <c r="B773" s="44">
        <f t="shared" ref="B773:B836" si="3">EOMONTH(A773,0)-EOMONTH(A773,-1)</f>
        <v>31</v>
      </c>
      <c r="C773" s="35">
        <v>122.58</v>
      </c>
      <c r="D773" s="35">
        <v>297.94099999999997</v>
      </c>
      <c r="E773" s="41">
        <v>729.47900000000004</v>
      </c>
      <c r="F773" s="35">
        <v>1150</v>
      </c>
      <c r="G773" s="35">
        <v>100</v>
      </c>
      <c r="H773" s="43">
        <v>600</v>
      </c>
      <c r="I773" s="35">
        <v>695</v>
      </c>
      <c r="J773" s="35">
        <v>50</v>
      </c>
      <c r="K773" s="36"/>
      <c r="L773" s="36"/>
      <c r="M773" s="36"/>
      <c r="N773" s="36"/>
      <c r="O773" s="36"/>
      <c r="P773" s="36"/>
      <c r="Q773" s="36"/>
      <c r="R773" s="36"/>
      <c r="S773" s="36"/>
      <c r="T773" s="36"/>
    </row>
    <row r="774" spans="1:20" ht="15.75">
      <c r="A774" s="13">
        <v>65074</v>
      </c>
      <c r="B774" s="44">
        <f t="shared" si="3"/>
        <v>28</v>
      </c>
      <c r="C774" s="35">
        <v>122.58</v>
      </c>
      <c r="D774" s="35">
        <v>297.94099999999997</v>
      </c>
      <c r="E774" s="41">
        <v>729.47900000000004</v>
      </c>
      <c r="F774" s="35">
        <v>1150</v>
      </c>
      <c r="G774" s="35">
        <v>100</v>
      </c>
      <c r="H774" s="43">
        <v>600</v>
      </c>
      <c r="I774" s="35">
        <v>695</v>
      </c>
      <c r="J774" s="35">
        <v>50</v>
      </c>
      <c r="K774" s="36"/>
      <c r="L774" s="36"/>
      <c r="M774" s="36"/>
      <c r="N774" s="36"/>
      <c r="O774" s="36"/>
      <c r="P774" s="36"/>
      <c r="Q774" s="36"/>
      <c r="R774" s="36"/>
      <c r="S774" s="36"/>
      <c r="T774" s="36"/>
    </row>
    <row r="775" spans="1:20" ht="15.75">
      <c r="A775" s="13">
        <v>65105</v>
      </c>
      <c r="B775" s="44">
        <f t="shared" si="3"/>
        <v>31</v>
      </c>
      <c r="C775" s="35">
        <v>122.58</v>
      </c>
      <c r="D775" s="35">
        <v>297.94099999999997</v>
      </c>
      <c r="E775" s="41">
        <v>729.47900000000004</v>
      </c>
      <c r="F775" s="35">
        <v>1150</v>
      </c>
      <c r="G775" s="35">
        <v>100</v>
      </c>
      <c r="H775" s="43">
        <v>600</v>
      </c>
      <c r="I775" s="35">
        <v>695</v>
      </c>
      <c r="J775" s="35">
        <v>50</v>
      </c>
      <c r="K775" s="36"/>
      <c r="L775" s="36"/>
      <c r="M775" s="36"/>
      <c r="N775" s="36"/>
      <c r="O775" s="36"/>
      <c r="P775" s="36"/>
      <c r="Q775" s="36"/>
      <c r="R775" s="36"/>
      <c r="S775" s="36"/>
      <c r="T775" s="36"/>
    </row>
    <row r="776" spans="1:20" ht="15.75">
      <c r="A776" s="13">
        <v>65135</v>
      </c>
      <c r="B776" s="44">
        <f t="shared" si="3"/>
        <v>30</v>
      </c>
      <c r="C776" s="35">
        <v>141.29300000000001</v>
      </c>
      <c r="D776" s="35">
        <v>267.99299999999999</v>
      </c>
      <c r="E776" s="41">
        <v>829.71400000000006</v>
      </c>
      <c r="F776" s="35">
        <v>1239</v>
      </c>
      <c r="G776" s="35">
        <v>100</v>
      </c>
      <c r="H776" s="43">
        <v>600</v>
      </c>
      <c r="I776" s="35">
        <v>695</v>
      </c>
      <c r="J776" s="35">
        <v>50</v>
      </c>
      <c r="K776" s="36"/>
      <c r="L776" s="36"/>
      <c r="M776" s="36"/>
      <c r="N776" s="36"/>
      <c r="O776" s="36"/>
      <c r="P776" s="36"/>
      <c r="Q776" s="36"/>
      <c r="R776" s="36"/>
      <c r="S776" s="36"/>
      <c r="T776" s="36"/>
    </row>
    <row r="777" spans="1:20" ht="15.75">
      <c r="A777" s="13">
        <v>65166</v>
      </c>
      <c r="B777" s="44">
        <f t="shared" si="3"/>
        <v>31</v>
      </c>
      <c r="C777" s="35">
        <v>194.20500000000001</v>
      </c>
      <c r="D777" s="35">
        <v>267.46600000000001</v>
      </c>
      <c r="E777" s="41">
        <v>812.32899999999995</v>
      </c>
      <c r="F777" s="35">
        <v>1274</v>
      </c>
      <c r="G777" s="35">
        <v>75</v>
      </c>
      <c r="H777" s="43">
        <v>600</v>
      </c>
      <c r="I777" s="35">
        <v>695</v>
      </c>
      <c r="J777" s="35">
        <v>50</v>
      </c>
      <c r="K777" s="36"/>
      <c r="L777" s="36"/>
      <c r="M777" s="36"/>
      <c r="N777" s="36"/>
      <c r="O777" s="36"/>
      <c r="P777" s="36"/>
      <c r="Q777" s="36"/>
      <c r="R777" s="36"/>
      <c r="S777" s="36"/>
      <c r="T777" s="36"/>
    </row>
    <row r="778" spans="1:20" ht="15.75">
      <c r="A778" s="13">
        <v>65196</v>
      </c>
      <c r="B778" s="44">
        <f t="shared" si="3"/>
        <v>30</v>
      </c>
      <c r="C778" s="35">
        <v>194.20500000000001</v>
      </c>
      <c r="D778" s="35">
        <v>267.46600000000001</v>
      </c>
      <c r="E778" s="41">
        <v>812.32899999999995</v>
      </c>
      <c r="F778" s="35">
        <v>1274</v>
      </c>
      <c r="G778" s="35">
        <v>50</v>
      </c>
      <c r="H778" s="43">
        <v>600</v>
      </c>
      <c r="I778" s="35">
        <v>695</v>
      </c>
      <c r="J778" s="35">
        <v>50</v>
      </c>
      <c r="K778" s="36"/>
      <c r="L778" s="36"/>
      <c r="M778" s="36"/>
      <c r="N778" s="36"/>
      <c r="O778" s="36"/>
      <c r="P778" s="36"/>
      <c r="Q778" s="36"/>
      <c r="R778" s="36"/>
      <c r="S778" s="36"/>
      <c r="T778" s="36"/>
    </row>
    <row r="779" spans="1:20" ht="15.75">
      <c r="A779" s="13">
        <v>65227</v>
      </c>
      <c r="B779" s="44">
        <f t="shared" si="3"/>
        <v>31</v>
      </c>
      <c r="C779" s="35">
        <v>194.20500000000001</v>
      </c>
      <c r="D779" s="35">
        <v>267.46600000000001</v>
      </c>
      <c r="E779" s="41">
        <v>812.32899999999995</v>
      </c>
      <c r="F779" s="35">
        <v>1274</v>
      </c>
      <c r="G779" s="35">
        <v>50</v>
      </c>
      <c r="H779" s="43">
        <v>600</v>
      </c>
      <c r="I779" s="35">
        <v>695</v>
      </c>
      <c r="J779" s="35">
        <v>0</v>
      </c>
      <c r="K779" s="36"/>
      <c r="L779" s="36"/>
      <c r="M779" s="36"/>
      <c r="N779" s="36"/>
      <c r="O779" s="36"/>
      <c r="P779" s="36"/>
      <c r="Q779" s="36"/>
      <c r="R779" s="36"/>
      <c r="S779" s="36"/>
      <c r="T779" s="36"/>
    </row>
    <row r="780" spans="1:20" ht="15.75">
      <c r="A780" s="13">
        <v>65258</v>
      </c>
      <c r="B780" s="44">
        <f t="shared" si="3"/>
        <v>31</v>
      </c>
      <c r="C780" s="35">
        <v>194.20500000000001</v>
      </c>
      <c r="D780" s="35">
        <v>267.46600000000001</v>
      </c>
      <c r="E780" s="41">
        <v>812.32899999999995</v>
      </c>
      <c r="F780" s="35">
        <v>1274</v>
      </c>
      <c r="G780" s="35">
        <v>50</v>
      </c>
      <c r="H780" s="43">
        <v>600</v>
      </c>
      <c r="I780" s="35">
        <v>695</v>
      </c>
      <c r="J780" s="35">
        <v>0</v>
      </c>
      <c r="K780" s="36"/>
      <c r="L780" s="36"/>
      <c r="M780" s="36"/>
      <c r="N780" s="36"/>
      <c r="O780" s="36"/>
      <c r="P780" s="36"/>
      <c r="Q780" s="36"/>
      <c r="R780" s="36"/>
      <c r="S780" s="36"/>
      <c r="T780" s="36"/>
    </row>
    <row r="781" spans="1:20" ht="15.75">
      <c r="A781" s="13">
        <v>65288</v>
      </c>
      <c r="B781" s="44">
        <f t="shared" si="3"/>
        <v>30</v>
      </c>
      <c r="C781" s="35">
        <v>194.20500000000001</v>
      </c>
      <c r="D781" s="35">
        <v>267.46600000000001</v>
      </c>
      <c r="E781" s="41">
        <v>812.32899999999995</v>
      </c>
      <c r="F781" s="35">
        <v>1274</v>
      </c>
      <c r="G781" s="35">
        <v>50</v>
      </c>
      <c r="H781" s="43">
        <v>600</v>
      </c>
      <c r="I781" s="35">
        <v>695</v>
      </c>
      <c r="J781" s="35">
        <v>0</v>
      </c>
      <c r="K781" s="36"/>
      <c r="L781" s="36"/>
      <c r="M781" s="36"/>
      <c r="N781" s="36"/>
      <c r="O781" s="36"/>
      <c r="P781" s="36"/>
      <c r="Q781" s="36"/>
      <c r="R781" s="36"/>
      <c r="S781" s="36"/>
      <c r="T781" s="36"/>
    </row>
    <row r="782" spans="1:20" ht="15.75">
      <c r="A782" s="13">
        <v>65319</v>
      </c>
      <c r="B782" s="44">
        <f t="shared" si="3"/>
        <v>31</v>
      </c>
      <c r="C782" s="35">
        <v>131.881</v>
      </c>
      <c r="D782" s="35">
        <v>277.16699999999997</v>
      </c>
      <c r="E782" s="41">
        <v>829.952</v>
      </c>
      <c r="F782" s="35">
        <v>1239</v>
      </c>
      <c r="G782" s="35">
        <v>75</v>
      </c>
      <c r="H782" s="43">
        <v>600</v>
      </c>
      <c r="I782" s="35">
        <v>695</v>
      </c>
      <c r="J782" s="35">
        <v>0</v>
      </c>
      <c r="K782" s="36"/>
      <c r="L782" s="36"/>
      <c r="M782" s="36"/>
      <c r="N782" s="36"/>
      <c r="O782" s="36"/>
      <c r="P782" s="36"/>
      <c r="Q782" s="36"/>
      <c r="R782" s="36"/>
      <c r="S782" s="36"/>
      <c r="T782" s="36"/>
    </row>
    <row r="783" spans="1:20" ht="15.75">
      <c r="A783" s="13">
        <v>65349</v>
      </c>
      <c r="B783" s="44">
        <f t="shared" si="3"/>
        <v>30</v>
      </c>
      <c r="C783" s="35">
        <v>122.58</v>
      </c>
      <c r="D783" s="35">
        <v>297.94099999999997</v>
      </c>
      <c r="E783" s="41">
        <v>729.47900000000004</v>
      </c>
      <c r="F783" s="35">
        <v>1150</v>
      </c>
      <c r="G783" s="35">
        <v>100</v>
      </c>
      <c r="H783" s="43">
        <v>600</v>
      </c>
      <c r="I783" s="35">
        <v>695</v>
      </c>
      <c r="J783" s="35">
        <v>50</v>
      </c>
      <c r="K783" s="36"/>
      <c r="L783" s="36"/>
      <c r="M783" s="36"/>
      <c r="N783" s="36"/>
      <c r="O783" s="36"/>
      <c r="P783" s="36"/>
      <c r="Q783" s="36"/>
      <c r="R783" s="36"/>
      <c r="S783" s="36"/>
      <c r="T783" s="36"/>
    </row>
    <row r="784" spans="1:20" ht="15.75">
      <c r="A784" s="13">
        <v>65380</v>
      </c>
      <c r="B784" s="44">
        <f t="shared" si="3"/>
        <v>31</v>
      </c>
      <c r="C784" s="35">
        <v>122.58</v>
      </c>
      <c r="D784" s="35">
        <v>297.94099999999997</v>
      </c>
      <c r="E784" s="41">
        <v>729.47900000000004</v>
      </c>
      <c r="F784" s="35">
        <v>1150</v>
      </c>
      <c r="G784" s="35">
        <v>100</v>
      </c>
      <c r="H784" s="43">
        <v>600</v>
      </c>
      <c r="I784" s="35">
        <v>695</v>
      </c>
      <c r="J784" s="35">
        <v>50</v>
      </c>
      <c r="K784" s="36"/>
      <c r="L784" s="36"/>
      <c r="M784" s="36"/>
      <c r="N784" s="36"/>
      <c r="O784" s="36"/>
      <c r="P784" s="36"/>
      <c r="Q784" s="36"/>
      <c r="R784" s="36"/>
      <c r="S784" s="36"/>
      <c r="T784" s="36"/>
    </row>
    <row r="785" spans="1:20" ht="15.75">
      <c r="A785" s="13">
        <v>65411</v>
      </c>
      <c r="B785" s="44">
        <f t="shared" si="3"/>
        <v>31</v>
      </c>
      <c r="C785" s="35">
        <v>122.58</v>
      </c>
      <c r="D785" s="35">
        <v>297.94099999999997</v>
      </c>
      <c r="E785" s="41">
        <v>729.47900000000004</v>
      </c>
      <c r="F785" s="35">
        <v>1150</v>
      </c>
      <c r="G785" s="35">
        <v>100</v>
      </c>
      <c r="H785" s="43">
        <v>600</v>
      </c>
      <c r="I785" s="35">
        <v>695</v>
      </c>
      <c r="J785" s="35">
        <v>50</v>
      </c>
      <c r="K785" s="36"/>
      <c r="L785" s="36"/>
      <c r="M785" s="36"/>
      <c r="N785" s="36"/>
      <c r="O785" s="36"/>
      <c r="P785" s="36"/>
      <c r="Q785" s="36"/>
      <c r="R785" s="36"/>
      <c r="S785" s="36"/>
      <c r="T785" s="36"/>
    </row>
    <row r="786" spans="1:20" ht="15.75">
      <c r="A786" s="13">
        <v>65439</v>
      </c>
      <c r="B786" s="44">
        <f t="shared" si="3"/>
        <v>28</v>
      </c>
      <c r="C786" s="35">
        <v>122.58</v>
      </c>
      <c r="D786" s="35">
        <v>297.94099999999997</v>
      </c>
      <c r="E786" s="41">
        <v>729.47900000000004</v>
      </c>
      <c r="F786" s="35">
        <v>1150</v>
      </c>
      <c r="G786" s="35">
        <v>100</v>
      </c>
      <c r="H786" s="43">
        <v>600</v>
      </c>
      <c r="I786" s="35">
        <v>695</v>
      </c>
      <c r="J786" s="35">
        <v>50</v>
      </c>
      <c r="K786" s="36"/>
      <c r="L786" s="36"/>
      <c r="M786" s="36"/>
      <c r="N786" s="36"/>
      <c r="O786" s="36"/>
      <c r="P786" s="36"/>
      <c r="Q786" s="36"/>
      <c r="R786" s="36"/>
      <c r="S786" s="36"/>
      <c r="T786" s="36"/>
    </row>
    <row r="787" spans="1:20" ht="15.75">
      <c r="A787" s="13">
        <v>65470</v>
      </c>
      <c r="B787" s="44">
        <f t="shared" si="3"/>
        <v>31</v>
      </c>
      <c r="C787" s="35">
        <v>122.58</v>
      </c>
      <c r="D787" s="35">
        <v>297.94099999999997</v>
      </c>
      <c r="E787" s="41">
        <v>729.47900000000004</v>
      </c>
      <c r="F787" s="35">
        <v>1150</v>
      </c>
      <c r="G787" s="35">
        <v>100</v>
      </c>
      <c r="H787" s="43">
        <v>600</v>
      </c>
      <c r="I787" s="35">
        <v>695</v>
      </c>
      <c r="J787" s="35">
        <v>50</v>
      </c>
      <c r="K787" s="36"/>
      <c r="L787" s="36"/>
      <c r="M787" s="36"/>
      <c r="N787" s="36"/>
      <c r="O787" s="36"/>
      <c r="P787" s="36"/>
      <c r="Q787" s="36"/>
      <c r="R787" s="36"/>
      <c r="S787" s="36"/>
      <c r="T787" s="36"/>
    </row>
    <row r="788" spans="1:20" ht="15.75">
      <c r="A788" s="13">
        <v>65500</v>
      </c>
      <c r="B788" s="44">
        <f t="shared" si="3"/>
        <v>30</v>
      </c>
      <c r="C788" s="35">
        <v>141.29300000000001</v>
      </c>
      <c r="D788" s="35">
        <v>267.99299999999999</v>
      </c>
      <c r="E788" s="41">
        <v>829.71400000000006</v>
      </c>
      <c r="F788" s="35">
        <v>1239</v>
      </c>
      <c r="G788" s="35">
        <v>100</v>
      </c>
      <c r="H788" s="43">
        <v>600</v>
      </c>
      <c r="I788" s="35">
        <v>695</v>
      </c>
      <c r="J788" s="35">
        <v>50</v>
      </c>
      <c r="K788" s="36"/>
      <c r="L788" s="36"/>
      <c r="M788" s="36"/>
      <c r="N788" s="36"/>
      <c r="O788" s="36"/>
      <c r="P788" s="36"/>
      <c r="Q788" s="36"/>
      <c r="R788" s="36"/>
      <c r="S788" s="36"/>
      <c r="T788" s="36"/>
    </row>
    <row r="789" spans="1:20" ht="15.75">
      <c r="A789" s="13">
        <v>65531</v>
      </c>
      <c r="B789" s="44">
        <f t="shared" si="3"/>
        <v>31</v>
      </c>
      <c r="C789" s="35">
        <v>194.20500000000001</v>
      </c>
      <c r="D789" s="35">
        <v>267.46600000000001</v>
      </c>
      <c r="E789" s="41">
        <v>812.32899999999995</v>
      </c>
      <c r="F789" s="35">
        <v>1274</v>
      </c>
      <c r="G789" s="35">
        <v>75</v>
      </c>
      <c r="H789" s="43">
        <v>600</v>
      </c>
      <c r="I789" s="35">
        <v>695</v>
      </c>
      <c r="J789" s="35">
        <v>50</v>
      </c>
      <c r="K789" s="36"/>
      <c r="L789" s="36"/>
      <c r="M789" s="36"/>
      <c r="N789" s="36"/>
      <c r="O789" s="36"/>
      <c r="P789" s="36"/>
      <c r="Q789" s="36"/>
      <c r="R789" s="36"/>
      <c r="S789" s="36"/>
      <c r="T789" s="36"/>
    </row>
    <row r="790" spans="1:20" ht="15.75">
      <c r="A790" s="13">
        <v>65561</v>
      </c>
      <c r="B790" s="44">
        <f t="shared" si="3"/>
        <v>30</v>
      </c>
      <c r="C790" s="35">
        <v>194.20500000000001</v>
      </c>
      <c r="D790" s="35">
        <v>267.46600000000001</v>
      </c>
      <c r="E790" s="41">
        <v>812.32899999999995</v>
      </c>
      <c r="F790" s="35">
        <v>1274</v>
      </c>
      <c r="G790" s="35">
        <v>50</v>
      </c>
      <c r="H790" s="43">
        <v>600</v>
      </c>
      <c r="I790" s="35">
        <v>695</v>
      </c>
      <c r="J790" s="35">
        <v>50</v>
      </c>
      <c r="K790" s="36"/>
      <c r="L790" s="36"/>
      <c r="M790" s="36"/>
      <c r="N790" s="36"/>
      <c r="O790" s="36"/>
      <c r="P790" s="36"/>
      <c r="Q790" s="36"/>
      <c r="R790" s="36"/>
      <c r="S790" s="36"/>
      <c r="T790" s="36"/>
    </row>
    <row r="791" spans="1:20" ht="15.75">
      <c r="A791" s="13">
        <v>65592</v>
      </c>
      <c r="B791" s="44">
        <f t="shared" si="3"/>
        <v>31</v>
      </c>
      <c r="C791" s="35">
        <v>194.20500000000001</v>
      </c>
      <c r="D791" s="35">
        <v>267.46600000000001</v>
      </c>
      <c r="E791" s="41">
        <v>812.32899999999995</v>
      </c>
      <c r="F791" s="35">
        <v>1274</v>
      </c>
      <c r="G791" s="35">
        <v>50</v>
      </c>
      <c r="H791" s="43">
        <v>600</v>
      </c>
      <c r="I791" s="35">
        <v>695</v>
      </c>
      <c r="J791" s="35">
        <v>0</v>
      </c>
      <c r="K791" s="36"/>
      <c r="L791" s="36"/>
      <c r="M791" s="36"/>
      <c r="N791" s="36"/>
      <c r="O791" s="36"/>
      <c r="P791" s="36"/>
      <c r="Q791" s="36"/>
      <c r="R791" s="36"/>
      <c r="S791" s="36"/>
      <c r="T791" s="36"/>
    </row>
    <row r="792" spans="1:20" ht="15.75">
      <c r="A792" s="13">
        <v>65623</v>
      </c>
      <c r="B792" s="44">
        <f t="shared" si="3"/>
        <v>31</v>
      </c>
      <c r="C792" s="35">
        <v>194.20500000000001</v>
      </c>
      <c r="D792" s="35">
        <v>267.46600000000001</v>
      </c>
      <c r="E792" s="41">
        <v>812.32899999999995</v>
      </c>
      <c r="F792" s="35">
        <v>1274</v>
      </c>
      <c r="G792" s="35">
        <v>50</v>
      </c>
      <c r="H792" s="43">
        <v>600</v>
      </c>
      <c r="I792" s="35">
        <v>695</v>
      </c>
      <c r="J792" s="35">
        <v>0</v>
      </c>
      <c r="K792" s="36"/>
      <c r="L792" s="36"/>
      <c r="M792" s="36"/>
      <c r="N792" s="36"/>
      <c r="O792" s="36"/>
      <c r="P792" s="36"/>
      <c r="Q792" s="36"/>
      <c r="R792" s="36"/>
      <c r="S792" s="36"/>
      <c r="T792" s="36"/>
    </row>
    <row r="793" spans="1:20" ht="15.75">
      <c r="A793" s="13">
        <v>65653</v>
      </c>
      <c r="B793" s="44">
        <f t="shared" si="3"/>
        <v>30</v>
      </c>
      <c r="C793" s="35">
        <v>194.20500000000001</v>
      </c>
      <c r="D793" s="35">
        <v>267.46600000000001</v>
      </c>
      <c r="E793" s="41">
        <v>812.32899999999995</v>
      </c>
      <c r="F793" s="35">
        <v>1274</v>
      </c>
      <c r="G793" s="35">
        <v>50</v>
      </c>
      <c r="H793" s="43">
        <v>600</v>
      </c>
      <c r="I793" s="35">
        <v>695</v>
      </c>
      <c r="J793" s="35">
        <v>0</v>
      </c>
      <c r="K793" s="36"/>
      <c r="L793" s="36"/>
      <c r="M793" s="36"/>
      <c r="N793" s="36"/>
      <c r="O793" s="36"/>
      <c r="P793" s="36"/>
      <c r="Q793" s="36"/>
      <c r="R793" s="36"/>
      <c r="S793" s="36"/>
      <c r="T793" s="36"/>
    </row>
    <row r="794" spans="1:20" ht="15.75">
      <c r="A794" s="13">
        <v>65684</v>
      </c>
      <c r="B794" s="44">
        <f t="shared" si="3"/>
        <v>31</v>
      </c>
      <c r="C794" s="35">
        <v>131.881</v>
      </c>
      <c r="D794" s="35">
        <v>277.16699999999997</v>
      </c>
      <c r="E794" s="41">
        <v>829.952</v>
      </c>
      <c r="F794" s="35">
        <v>1239</v>
      </c>
      <c r="G794" s="35">
        <v>75</v>
      </c>
      <c r="H794" s="43">
        <v>600</v>
      </c>
      <c r="I794" s="35">
        <v>695</v>
      </c>
      <c r="J794" s="35">
        <v>0</v>
      </c>
      <c r="K794" s="36"/>
      <c r="L794" s="36"/>
      <c r="M794" s="36"/>
      <c r="N794" s="36"/>
      <c r="O794" s="36"/>
      <c r="P794" s="36"/>
      <c r="Q794" s="36"/>
      <c r="R794" s="36"/>
      <c r="S794" s="36"/>
      <c r="T794" s="36"/>
    </row>
    <row r="795" spans="1:20" ht="15.75">
      <c r="A795" s="13">
        <v>65714</v>
      </c>
      <c r="B795" s="44">
        <f t="shared" si="3"/>
        <v>30</v>
      </c>
      <c r="C795" s="35">
        <v>122.58</v>
      </c>
      <c r="D795" s="35">
        <v>297.94099999999997</v>
      </c>
      <c r="E795" s="41">
        <v>729.47900000000004</v>
      </c>
      <c r="F795" s="35">
        <v>1150</v>
      </c>
      <c r="G795" s="35">
        <v>100</v>
      </c>
      <c r="H795" s="43">
        <v>600</v>
      </c>
      <c r="I795" s="35">
        <v>695</v>
      </c>
      <c r="J795" s="35">
        <v>50</v>
      </c>
      <c r="K795" s="36"/>
      <c r="L795" s="36"/>
      <c r="M795" s="36"/>
      <c r="N795" s="36"/>
      <c r="O795" s="36"/>
      <c r="P795" s="36"/>
      <c r="Q795" s="36"/>
      <c r="R795" s="36"/>
      <c r="S795" s="36"/>
      <c r="T795" s="36"/>
    </row>
    <row r="796" spans="1:20" ht="15.75">
      <c r="A796" s="13">
        <v>65745</v>
      </c>
      <c r="B796" s="44">
        <f t="shared" si="3"/>
        <v>31</v>
      </c>
      <c r="C796" s="35">
        <v>122.58</v>
      </c>
      <c r="D796" s="35">
        <v>297.94099999999997</v>
      </c>
      <c r="E796" s="41">
        <v>729.47900000000004</v>
      </c>
      <c r="F796" s="35">
        <v>1150</v>
      </c>
      <c r="G796" s="35">
        <v>100</v>
      </c>
      <c r="H796" s="43">
        <v>600</v>
      </c>
      <c r="I796" s="35">
        <v>695</v>
      </c>
      <c r="J796" s="35">
        <v>50</v>
      </c>
      <c r="K796" s="36"/>
      <c r="L796" s="36"/>
      <c r="M796" s="36"/>
      <c r="N796" s="36"/>
      <c r="O796" s="36"/>
      <c r="P796" s="36"/>
      <c r="Q796" s="36"/>
      <c r="R796" s="36"/>
      <c r="S796" s="36"/>
      <c r="T796" s="36"/>
    </row>
    <row r="797" spans="1:20" ht="15.75">
      <c r="A797" s="13">
        <v>65776</v>
      </c>
      <c r="B797" s="44">
        <f t="shared" si="3"/>
        <v>31</v>
      </c>
      <c r="C797" s="35">
        <v>122.58</v>
      </c>
      <c r="D797" s="35">
        <v>297.94099999999997</v>
      </c>
      <c r="E797" s="41">
        <v>729.47900000000004</v>
      </c>
      <c r="F797" s="35">
        <v>1150</v>
      </c>
      <c r="G797" s="35">
        <v>100</v>
      </c>
      <c r="H797" s="43">
        <v>600</v>
      </c>
      <c r="I797" s="35">
        <v>695</v>
      </c>
      <c r="J797" s="35">
        <v>50</v>
      </c>
      <c r="K797" s="36"/>
      <c r="L797" s="36"/>
      <c r="M797" s="36"/>
      <c r="N797" s="36"/>
      <c r="O797" s="36"/>
      <c r="P797" s="36"/>
      <c r="Q797" s="36"/>
      <c r="R797" s="36"/>
      <c r="S797" s="36"/>
      <c r="T797" s="36"/>
    </row>
    <row r="798" spans="1:20" ht="15.75">
      <c r="A798" s="13">
        <v>65805</v>
      </c>
      <c r="B798" s="44">
        <f t="shared" si="3"/>
        <v>29</v>
      </c>
      <c r="C798" s="35">
        <v>122.58</v>
      </c>
      <c r="D798" s="35">
        <v>297.94099999999997</v>
      </c>
      <c r="E798" s="41">
        <v>729.47900000000004</v>
      </c>
      <c r="F798" s="35">
        <v>1150</v>
      </c>
      <c r="G798" s="35">
        <v>100</v>
      </c>
      <c r="H798" s="43">
        <v>600</v>
      </c>
      <c r="I798" s="35">
        <v>695</v>
      </c>
      <c r="J798" s="35">
        <v>50</v>
      </c>
      <c r="K798" s="36"/>
      <c r="L798" s="36"/>
      <c r="M798" s="36"/>
      <c r="N798" s="36"/>
      <c r="O798" s="36"/>
      <c r="P798" s="36"/>
      <c r="Q798" s="36"/>
      <c r="R798" s="36"/>
      <c r="S798" s="36"/>
      <c r="T798" s="36"/>
    </row>
    <row r="799" spans="1:20" ht="15.75">
      <c r="A799" s="13">
        <v>65836</v>
      </c>
      <c r="B799" s="44">
        <f t="shared" si="3"/>
        <v>31</v>
      </c>
      <c r="C799" s="35">
        <v>122.58</v>
      </c>
      <c r="D799" s="35">
        <v>297.94099999999997</v>
      </c>
      <c r="E799" s="41">
        <v>729.47900000000004</v>
      </c>
      <c r="F799" s="35">
        <v>1150</v>
      </c>
      <c r="G799" s="35">
        <v>100</v>
      </c>
      <c r="H799" s="43">
        <v>600</v>
      </c>
      <c r="I799" s="35">
        <v>695</v>
      </c>
      <c r="J799" s="35">
        <v>50</v>
      </c>
      <c r="K799" s="36"/>
      <c r="L799" s="36"/>
      <c r="M799" s="36"/>
      <c r="N799" s="36"/>
      <c r="O799" s="36"/>
      <c r="P799" s="36"/>
      <c r="Q799" s="36"/>
      <c r="R799" s="36"/>
      <c r="S799" s="36"/>
      <c r="T799" s="36"/>
    </row>
    <row r="800" spans="1:20" ht="15.75">
      <c r="A800" s="13">
        <v>65866</v>
      </c>
      <c r="B800" s="44">
        <f t="shared" si="3"/>
        <v>30</v>
      </c>
      <c r="C800" s="35">
        <v>141.29300000000001</v>
      </c>
      <c r="D800" s="35">
        <v>267.99299999999999</v>
      </c>
      <c r="E800" s="41">
        <v>829.71400000000006</v>
      </c>
      <c r="F800" s="35">
        <v>1239</v>
      </c>
      <c r="G800" s="35">
        <v>100</v>
      </c>
      <c r="H800" s="43">
        <v>600</v>
      </c>
      <c r="I800" s="35">
        <v>695</v>
      </c>
      <c r="J800" s="35">
        <v>50</v>
      </c>
      <c r="K800" s="36"/>
      <c r="L800" s="36"/>
      <c r="M800" s="36"/>
      <c r="N800" s="36"/>
      <c r="O800" s="36"/>
      <c r="P800" s="36"/>
      <c r="Q800" s="36"/>
      <c r="R800" s="36"/>
      <c r="S800" s="36"/>
      <c r="T800" s="36"/>
    </row>
    <row r="801" spans="1:20" ht="15.75">
      <c r="A801" s="13">
        <v>65897</v>
      </c>
      <c r="B801" s="44">
        <f t="shared" si="3"/>
        <v>31</v>
      </c>
      <c r="C801" s="35">
        <v>194.20500000000001</v>
      </c>
      <c r="D801" s="35">
        <v>267.46600000000001</v>
      </c>
      <c r="E801" s="41">
        <v>812.32899999999995</v>
      </c>
      <c r="F801" s="35">
        <v>1274</v>
      </c>
      <c r="G801" s="35">
        <v>75</v>
      </c>
      <c r="H801" s="43">
        <v>600</v>
      </c>
      <c r="I801" s="35">
        <v>695</v>
      </c>
      <c r="J801" s="35">
        <v>50</v>
      </c>
      <c r="K801" s="36"/>
      <c r="L801" s="36"/>
      <c r="M801" s="36"/>
      <c r="N801" s="36"/>
      <c r="O801" s="36"/>
      <c r="P801" s="36"/>
      <c r="Q801" s="36"/>
      <c r="R801" s="36"/>
      <c r="S801" s="36"/>
      <c r="T801" s="36"/>
    </row>
    <row r="802" spans="1:20" ht="15.75">
      <c r="A802" s="13">
        <v>65927</v>
      </c>
      <c r="B802" s="44">
        <f t="shared" si="3"/>
        <v>30</v>
      </c>
      <c r="C802" s="35">
        <v>194.20500000000001</v>
      </c>
      <c r="D802" s="35">
        <v>267.46600000000001</v>
      </c>
      <c r="E802" s="41">
        <v>812.32899999999995</v>
      </c>
      <c r="F802" s="35">
        <v>1274</v>
      </c>
      <c r="G802" s="35">
        <v>50</v>
      </c>
      <c r="H802" s="43">
        <v>600</v>
      </c>
      <c r="I802" s="35">
        <v>695</v>
      </c>
      <c r="J802" s="35">
        <v>50</v>
      </c>
      <c r="K802" s="36"/>
      <c r="L802" s="36"/>
      <c r="M802" s="36"/>
      <c r="N802" s="36"/>
      <c r="O802" s="36"/>
      <c r="P802" s="36"/>
      <c r="Q802" s="36"/>
      <c r="R802" s="36"/>
      <c r="S802" s="36"/>
      <c r="T802" s="36"/>
    </row>
    <row r="803" spans="1:20" ht="15.75">
      <c r="A803" s="13">
        <v>65958</v>
      </c>
      <c r="B803" s="44">
        <f t="shared" si="3"/>
        <v>31</v>
      </c>
      <c r="C803" s="35">
        <v>194.20500000000001</v>
      </c>
      <c r="D803" s="35">
        <v>267.46600000000001</v>
      </c>
      <c r="E803" s="41">
        <v>812.32899999999995</v>
      </c>
      <c r="F803" s="35">
        <v>1274</v>
      </c>
      <c r="G803" s="35">
        <v>50</v>
      </c>
      <c r="H803" s="43">
        <v>600</v>
      </c>
      <c r="I803" s="35">
        <v>695</v>
      </c>
      <c r="J803" s="35">
        <v>0</v>
      </c>
      <c r="K803" s="36"/>
      <c r="L803" s="36"/>
      <c r="M803" s="36"/>
      <c r="N803" s="36"/>
      <c r="O803" s="36"/>
      <c r="P803" s="36"/>
      <c r="Q803" s="36"/>
      <c r="R803" s="36"/>
      <c r="S803" s="36"/>
      <c r="T803" s="36"/>
    </row>
    <row r="804" spans="1:20" ht="15.75">
      <c r="A804" s="13">
        <v>65989</v>
      </c>
      <c r="B804" s="44">
        <f t="shared" si="3"/>
        <v>31</v>
      </c>
      <c r="C804" s="35">
        <v>194.20500000000001</v>
      </c>
      <c r="D804" s="35">
        <v>267.46600000000001</v>
      </c>
      <c r="E804" s="41">
        <v>812.32899999999995</v>
      </c>
      <c r="F804" s="35">
        <v>1274</v>
      </c>
      <c r="G804" s="35">
        <v>50</v>
      </c>
      <c r="H804" s="43">
        <v>600</v>
      </c>
      <c r="I804" s="35">
        <v>695</v>
      </c>
      <c r="J804" s="35">
        <v>0</v>
      </c>
      <c r="K804" s="36"/>
      <c r="L804" s="36"/>
      <c r="M804" s="36"/>
      <c r="N804" s="36"/>
      <c r="O804" s="36"/>
      <c r="P804" s="36"/>
      <c r="Q804" s="36"/>
      <c r="R804" s="36"/>
      <c r="S804" s="36"/>
      <c r="T804" s="36"/>
    </row>
    <row r="805" spans="1:20" ht="15.75">
      <c r="A805" s="13">
        <v>66019</v>
      </c>
      <c r="B805" s="44">
        <f t="shared" si="3"/>
        <v>30</v>
      </c>
      <c r="C805" s="35">
        <v>194.20500000000001</v>
      </c>
      <c r="D805" s="35">
        <v>267.46600000000001</v>
      </c>
      <c r="E805" s="41">
        <v>812.32899999999995</v>
      </c>
      <c r="F805" s="35">
        <v>1274</v>
      </c>
      <c r="G805" s="35">
        <v>50</v>
      </c>
      <c r="H805" s="43">
        <v>600</v>
      </c>
      <c r="I805" s="35">
        <v>695</v>
      </c>
      <c r="J805" s="35">
        <v>0</v>
      </c>
      <c r="K805" s="36"/>
      <c r="L805" s="36"/>
      <c r="M805" s="36"/>
      <c r="N805" s="36"/>
      <c r="O805" s="36"/>
      <c r="P805" s="36"/>
      <c r="Q805" s="36"/>
      <c r="R805" s="36"/>
      <c r="S805" s="36"/>
      <c r="T805" s="36"/>
    </row>
    <row r="806" spans="1:20" ht="15.75">
      <c r="A806" s="13">
        <v>66050</v>
      </c>
      <c r="B806" s="44">
        <f t="shared" si="3"/>
        <v>31</v>
      </c>
      <c r="C806" s="35">
        <v>131.881</v>
      </c>
      <c r="D806" s="35">
        <v>277.16699999999997</v>
      </c>
      <c r="E806" s="41">
        <v>829.952</v>
      </c>
      <c r="F806" s="35">
        <v>1239</v>
      </c>
      <c r="G806" s="35">
        <v>75</v>
      </c>
      <c r="H806" s="43">
        <v>600</v>
      </c>
      <c r="I806" s="35">
        <v>695</v>
      </c>
      <c r="J806" s="35">
        <v>0</v>
      </c>
      <c r="K806" s="36"/>
      <c r="L806" s="36"/>
      <c r="M806" s="36"/>
      <c r="N806" s="36"/>
      <c r="O806" s="36"/>
      <c r="P806" s="36"/>
      <c r="Q806" s="36"/>
      <c r="R806" s="36"/>
      <c r="S806" s="36"/>
      <c r="T806" s="36"/>
    </row>
    <row r="807" spans="1:20" ht="15.75">
      <c r="A807" s="13">
        <v>66080</v>
      </c>
      <c r="B807" s="44">
        <f t="shared" si="3"/>
        <v>30</v>
      </c>
      <c r="C807" s="35">
        <v>122.58</v>
      </c>
      <c r="D807" s="35">
        <v>297.94099999999997</v>
      </c>
      <c r="E807" s="41">
        <v>729.47900000000004</v>
      </c>
      <c r="F807" s="35">
        <v>1150</v>
      </c>
      <c r="G807" s="35">
        <v>100</v>
      </c>
      <c r="H807" s="43">
        <v>600</v>
      </c>
      <c r="I807" s="35">
        <v>695</v>
      </c>
      <c r="J807" s="35">
        <v>50</v>
      </c>
      <c r="K807" s="36"/>
      <c r="L807" s="36"/>
      <c r="M807" s="36"/>
      <c r="N807" s="36"/>
      <c r="O807" s="36"/>
      <c r="P807" s="36"/>
      <c r="Q807" s="36"/>
      <c r="R807" s="36"/>
      <c r="S807" s="36"/>
      <c r="T807" s="36"/>
    </row>
    <row r="808" spans="1:20" ht="15.75">
      <c r="A808" s="13">
        <v>66111</v>
      </c>
      <c r="B808" s="44">
        <f t="shared" si="3"/>
        <v>31</v>
      </c>
      <c r="C808" s="35">
        <v>122.58</v>
      </c>
      <c r="D808" s="35">
        <v>297.94099999999997</v>
      </c>
      <c r="E808" s="41">
        <v>729.47900000000004</v>
      </c>
      <c r="F808" s="35">
        <v>1150</v>
      </c>
      <c r="G808" s="35">
        <v>100</v>
      </c>
      <c r="H808" s="43">
        <v>600</v>
      </c>
      <c r="I808" s="35">
        <v>695</v>
      </c>
      <c r="J808" s="35">
        <v>50</v>
      </c>
      <c r="K808" s="36"/>
      <c r="L808" s="36"/>
      <c r="M808" s="36"/>
      <c r="N808" s="36"/>
      <c r="O808" s="36"/>
      <c r="P808" s="36"/>
      <c r="Q808" s="36"/>
      <c r="R808" s="36"/>
      <c r="S808" s="36"/>
      <c r="T808" s="36"/>
    </row>
    <row r="809" spans="1:20" ht="15.75">
      <c r="A809" s="13">
        <v>66142</v>
      </c>
      <c r="B809" s="44">
        <f t="shared" si="3"/>
        <v>31</v>
      </c>
      <c r="C809" s="35">
        <v>122.58</v>
      </c>
      <c r="D809" s="35">
        <v>297.94099999999997</v>
      </c>
      <c r="E809" s="41">
        <v>729.47900000000004</v>
      </c>
      <c r="F809" s="35">
        <v>1150</v>
      </c>
      <c r="G809" s="35">
        <v>100</v>
      </c>
      <c r="H809" s="43">
        <v>600</v>
      </c>
      <c r="I809" s="35">
        <v>695</v>
      </c>
      <c r="J809" s="35">
        <v>50</v>
      </c>
      <c r="K809" s="36"/>
      <c r="L809" s="36"/>
      <c r="M809" s="36"/>
      <c r="N809" s="36"/>
      <c r="O809" s="36"/>
      <c r="P809" s="36"/>
      <c r="Q809" s="36"/>
      <c r="R809" s="36"/>
      <c r="S809" s="36"/>
      <c r="T809" s="36"/>
    </row>
    <row r="810" spans="1:20" ht="15.75">
      <c r="A810" s="13">
        <v>66170</v>
      </c>
      <c r="B810" s="44">
        <f t="shared" si="3"/>
        <v>28</v>
      </c>
      <c r="C810" s="35">
        <v>122.58</v>
      </c>
      <c r="D810" s="35">
        <v>297.94099999999997</v>
      </c>
      <c r="E810" s="41">
        <v>729.47900000000004</v>
      </c>
      <c r="F810" s="35">
        <v>1150</v>
      </c>
      <c r="G810" s="35">
        <v>100</v>
      </c>
      <c r="H810" s="43">
        <v>600</v>
      </c>
      <c r="I810" s="35">
        <v>695</v>
      </c>
      <c r="J810" s="35">
        <v>50</v>
      </c>
      <c r="K810" s="36"/>
      <c r="L810" s="36"/>
      <c r="M810" s="36"/>
      <c r="N810" s="36"/>
      <c r="O810" s="36"/>
      <c r="P810" s="36"/>
      <c r="Q810" s="36"/>
      <c r="R810" s="36"/>
      <c r="S810" s="36"/>
      <c r="T810" s="36"/>
    </row>
    <row r="811" spans="1:20" ht="15.75">
      <c r="A811" s="13">
        <v>66201</v>
      </c>
      <c r="B811" s="44">
        <f t="shared" si="3"/>
        <v>31</v>
      </c>
      <c r="C811" s="35">
        <v>122.58</v>
      </c>
      <c r="D811" s="35">
        <v>297.94099999999997</v>
      </c>
      <c r="E811" s="41">
        <v>729.47900000000004</v>
      </c>
      <c r="F811" s="35">
        <v>1150</v>
      </c>
      <c r="G811" s="35">
        <v>100</v>
      </c>
      <c r="H811" s="43">
        <v>600</v>
      </c>
      <c r="I811" s="35">
        <v>695</v>
      </c>
      <c r="J811" s="35">
        <v>50</v>
      </c>
      <c r="K811" s="36"/>
      <c r="L811" s="36"/>
      <c r="M811" s="36"/>
      <c r="N811" s="36"/>
      <c r="O811" s="36"/>
      <c r="P811" s="36"/>
      <c r="Q811" s="36"/>
      <c r="R811" s="36"/>
      <c r="S811" s="36"/>
      <c r="T811" s="36"/>
    </row>
    <row r="812" spans="1:20" ht="15.75">
      <c r="A812" s="13">
        <v>66231</v>
      </c>
      <c r="B812" s="44">
        <f t="shared" si="3"/>
        <v>30</v>
      </c>
      <c r="C812" s="35">
        <v>141.29300000000001</v>
      </c>
      <c r="D812" s="35">
        <v>267.99299999999999</v>
      </c>
      <c r="E812" s="41">
        <v>829.71400000000006</v>
      </c>
      <c r="F812" s="35">
        <v>1239</v>
      </c>
      <c r="G812" s="35">
        <v>100</v>
      </c>
      <c r="H812" s="43">
        <v>600</v>
      </c>
      <c r="I812" s="35">
        <v>695</v>
      </c>
      <c r="J812" s="35">
        <v>50</v>
      </c>
      <c r="K812" s="36"/>
      <c r="L812" s="36"/>
      <c r="M812" s="36"/>
      <c r="N812" s="36"/>
      <c r="O812" s="36"/>
      <c r="P812" s="36"/>
      <c r="Q812" s="36"/>
      <c r="R812" s="36"/>
      <c r="S812" s="36"/>
      <c r="T812" s="36"/>
    </row>
    <row r="813" spans="1:20" ht="15.75">
      <c r="A813" s="13">
        <v>66262</v>
      </c>
      <c r="B813" s="44">
        <f t="shared" si="3"/>
        <v>31</v>
      </c>
      <c r="C813" s="35">
        <v>194.20500000000001</v>
      </c>
      <c r="D813" s="35">
        <v>267.46600000000001</v>
      </c>
      <c r="E813" s="41">
        <v>812.32899999999995</v>
      </c>
      <c r="F813" s="35">
        <v>1274</v>
      </c>
      <c r="G813" s="35">
        <v>75</v>
      </c>
      <c r="H813" s="43">
        <v>600</v>
      </c>
      <c r="I813" s="35">
        <v>695</v>
      </c>
      <c r="J813" s="35">
        <v>50</v>
      </c>
      <c r="K813" s="36"/>
      <c r="L813" s="36"/>
      <c r="M813" s="36"/>
      <c r="N813" s="36"/>
      <c r="O813" s="36"/>
      <c r="P813" s="36"/>
      <c r="Q813" s="36"/>
      <c r="R813" s="36"/>
      <c r="S813" s="36"/>
      <c r="T813" s="36"/>
    </row>
    <row r="814" spans="1:20" ht="15.75">
      <c r="A814" s="13">
        <v>66292</v>
      </c>
      <c r="B814" s="44">
        <f t="shared" si="3"/>
        <v>30</v>
      </c>
      <c r="C814" s="35">
        <v>194.20500000000001</v>
      </c>
      <c r="D814" s="35">
        <v>267.46600000000001</v>
      </c>
      <c r="E814" s="41">
        <v>812.32899999999995</v>
      </c>
      <c r="F814" s="35">
        <v>1274</v>
      </c>
      <c r="G814" s="35">
        <v>50</v>
      </c>
      <c r="H814" s="43">
        <v>600</v>
      </c>
      <c r="I814" s="35">
        <v>695</v>
      </c>
      <c r="J814" s="35">
        <v>50</v>
      </c>
      <c r="K814" s="36"/>
      <c r="L814" s="36"/>
      <c r="M814" s="36"/>
      <c r="N814" s="36"/>
      <c r="O814" s="36"/>
      <c r="P814" s="36"/>
      <c r="Q814" s="36"/>
      <c r="R814" s="36"/>
      <c r="S814" s="36"/>
      <c r="T814" s="36"/>
    </row>
    <row r="815" spans="1:20" ht="15.75">
      <c r="A815" s="13">
        <v>66323</v>
      </c>
      <c r="B815" s="44">
        <f t="shared" si="3"/>
        <v>31</v>
      </c>
      <c r="C815" s="35">
        <v>194.20500000000001</v>
      </c>
      <c r="D815" s="35">
        <v>267.46600000000001</v>
      </c>
      <c r="E815" s="41">
        <v>812.32899999999995</v>
      </c>
      <c r="F815" s="35">
        <v>1274</v>
      </c>
      <c r="G815" s="35">
        <v>50</v>
      </c>
      <c r="H815" s="43">
        <v>600</v>
      </c>
      <c r="I815" s="35">
        <v>695</v>
      </c>
      <c r="J815" s="35">
        <v>0</v>
      </c>
      <c r="K815" s="36"/>
      <c r="L815" s="36"/>
      <c r="M815" s="36"/>
      <c r="N815" s="36"/>
      <c r="O815" s="36"/>
      <c r="P815" s="36"/>
      <c r="Q815" s="36"/>
      <c r="R815" s="36"/>
      <c r="S815" s="36"/>
      <c r="T815" s="36"/>
    </row>
    <row r="816" spans="1:20" ht="15.75">
      <c r="A816" s="13">
        <v>66354</v>
      </c>
      <c r="B816" s="44">
        <f t="shared" si="3"/>
        <v>31</v>
      </c>
      <c r="C816" s="35">
        <v>194.20500000000001</v>
      </c>
      <c r="D816" s="35">
        <v>267.46600000000001</v>
      </c>
      <c r="E816" s="41">
        <v>812.32899999999995</v>
      </c>
      <c r="F816" s="35">
        <v>1274</v>
      </c>
      <c r="G816" s="35">
        <v>50</v>
      </c>
      <c r="H816" s="43">
        <v>600</v>
      </c>
      <c r="I816" s="35">
        <v>695</v>
      </c>
      <c r="J816" s="35">
        <v>0</v>
      </c>
      <c r="K816" s="36"/>
      <c r="L816" s="36"/>
      <c r="M816" s="36"/>
      <c r="N816" s="36"/>
      <c r="O816" s="36"/>
      <c r="P816" s="36"/>
      <c r="Q816" s="36"/>
      <c r="R816" s="36"/>
      <c r="S816" s="36"/>
      <c r="T816" s="36"/>
    </row>
    <row r="817" spans="1:20" ht="15.75">
      <c r="A817" s="13">
        <v>66384</v>
      </c>
      <c r="B817" s="44">
        <f t="shared" si="3"/>
        <v>30</v>
      </c>
      <c r="C817" s="35">
        <v>194.20500000000001</v>
      </c>
      <c r="D817" s="35">
        <v>267.46600000000001</v>
      </c>
      <c r="E817" s="41">
        <v>812.32899999999995</v>
      </c>
      <c r="F817" s="35">
        <v>1274</v>
      </c>
      <c r="G817" s="35">
        <v>50</v>
      </c>
      <c r="H817" s="43">
        <v>600</v>
      </c>
      <c r="I817" s="35">
        <v>695</v>
      </c>
      <c r="J817" s="35">
        <v>0</v>
      </c>
      <c r="K817" s="36"/>
      <c r="L817" s="36"/>
      <c r="M817" s="36"/>
      <c r="N817" s="36"/>
      <c r="O817" s="36"/>
      <c r="P817" s="36"/>
      <c r="Q817" s="36"/>
      <c r="R817" s="36"/>
      <c r="S817" s="36"/>
      <c r="T817" s="36"/>
    </row>
    <row r="818" spans="1:20" ht="15.75">
      <c r="A818" s="13">
        <v>66415</v>
      </c>
      <c r="B818" s="44">
        <f t="shared" si="3"/>
        <v>31</v>
      </c>
      <c r="C818" s="35">
        <v>131.881</v>
      </c>
      <c r="D818" s="35">
        <v>277.16699999999997</v>
      </c>
      <c r="E818" s="41">
        <v>829.952</v>
      </c>
      <c r="F818" s="35">
        <v>1239</v>
      </c>
      <c r="G818" s="35">
        <v>75</v>
      </c>
      <c r="H818" s="43">
        <v>600</v>
      </c>
      <c r="I818" s="35">
        <v>695</v>
      </c>
      <c r="J818" s="35">
        <v>0</v>
      </c>
      <c r="K818" s="36"/>
      <c r="L818" s="36"/>
      <c r="M818" s="36"/>
      <c r="N818" s="36"/>
      <c r="O818" s="36"/>
      <c r="P818" s="36"/>
      <c r="Q818" s="36"/>
      <c r="R818" s="36"/>
      <c r="S818" s="36"/>
      <c r="T818" s="36"/>
    </row>
    <row r="819" spans="1:20" ht="15.75">
      <c r="A819" s="13">
        <v>66445</v>
      </c>
      <c r="B819" s="44">
        <f t="shared" si="3"/>
        <v>30</v>
      </c>
      <c r="C819" s="35">
        <v>122.58</v>
      </c>
      <c r="D819" s="35">
        <v>297.94099999999997</v>
      </c>
      <c r="E819" s="41">
        <v>729.47900000000004</v>
      </c>
      <c r="F819" s="35">
        <v>1150</v>
      </c>
      <c r="G819" s="35">
        <v>100</v>
      </c>
      <c r="H819" s="43">
        <v>600</v>
      </c>
      <c r="I819" s="35">
        <v>695</v>
      </c>
      <c r="J819" s="35">
        <v>50</v>
      </c>
      <c r="K819" s="36"/>
      <c r="L819" s="36"/>
      <c r="M819" s="36"/>
      <c r="N819" s="36"/>
      <c r="O819" s="36"/>
      <c r="P819" s="36"/>
      <c r="Q819" s="36"/>
      <c r="R819" s="36"/>
      <c r="S819" s="36"/>
      <c r="T819" s="36"/>
    </row>
    <row r="820" spans="1:20" ht="15.75">
      <c r="A820" s="13">
        <v>66476</v>
      </c>
      <c r="B820" s="44">
        <f t="shared" si="3"/>
        <v>31</v>
      </c>
      <c r="C820" s="35">
        <v>122.58</v>
      </c>
      <c r="D820" s="35">
        <v>297.94099999999997</v>
      </c>
      <c r="E820" s="41">
        <v>729.47900000000004</v>
      </c>
      <c r="F820" s="35">
        <v>1150</v>
      </c>
      <c r="G820" s="35">
        <v>100</v>
      </c>
      <c r="H820" s="43">
        <v>600</v>
      </c>
      <c r="I820" s="35">
        <v>695</v>
      </c>
      <c r="J820" s="35">
        <v>50</v>
      </c>
      <c r="K820" s="36"/>
      <c r="L820" s="36"/>
      <c r="M820" s="36"/>
      <c r="N820" s="36"/>
      <c r="O820" s="36"/>
      <c r="P820" s="36"/>
      <c r="Q820" s="36"/>
      <c r="R820" s="36"/>
      <c r="S820" s="36"/>
      <c r="T820" s="36"/>
    </row>
    <row r="821" spans="1:20" ht="15.75">
      <c r="A821" s="13">
        <v>66507</v>
      </c>
      <c r="B821" s="44">
        <f t="shared" si="3"/>
        <v>31</v>
      </c>
      <c r="C821" s="35">
        <v>122.58</v>
      </c>
      <c r="D821" s="35">
        <v>297.94099999999997</v>
      </c>
      <c r="E821" s="41">
        <v>729.47900000000004</v>
      </c>
      <c r="F821" s="35">
        <v>1150</v>
      </c>
      <c r="G821" s="35">
        <v>100</v>
      </c>
      <c r="H821" s="43">
        <v>600</v>
      </c>
      <c r="I821" s="35">
        <v>695</v>
      </c>
      <c r="J821" s="35">
        <v>50</v>
      </c>
      <c r="K821" s="36"/>
      <c r="L821" s="36"/>
      <c r="M821" s="36"/>
      <c r="N821" s="36"/>
      <c r="O821" s="36"/>
      <c r="P821" s="36"/>
      <c r="Q821" s="36"/>
      <c r="R821" s="36"/>
      <c r="S821" s="36"/>
      <c r="T821" s="36"/>
    </row>
    <row r="822" spans="1:20" ht="15.75">
      <c r="A822" s="13">
        <v>66535</v>
      </c>
      <c r="B822" s="44">
        <f t="shared" si="3"/>
        <v>28</v>
      </c>
      <c r="C822" s="35">
        <v>122.58</v>
      </c>
      <c r="D822" s="35">
        <v>297.94099999999997</v>
      </c>
      <c r="E822" s="41">
        <v>729.47900000000004</v>
      </c>
      <c r="F822" s="35">
        <v>1150</v>
      </c>
      <c r="G822" s="35">
        <v>100</v>
      </c>
      <c r="H822" s="43">
        <v>600</v>
      </c>
      <c r="I822" s="35">
        <v>695</v>
      </c>
      <c r="J822" s="35">
        <v>50</v>
      </c>
      <c r="K822" s="36"/>
      <c r="L822" s="36"/>
      <c r="M822" s="36"/>
      <c r="N822" s="36"/>
      <c r="O822" s="36"/>
      <c r="P822" s="36"/>
      <c r="Q822" s="36"/>
      <c r="R822" s="36"/>
      <c r="S822" s="36"/>
      <c r="T822" s="36"/>
    </row>
    <row r="823" spans="1:20" ht="15.75">
      <c r="A823" s="13">
        <v>66566</v>
      </c>
      <c r="B823" s="44">
        <f t="shared" si="3"/>
        <v>31</v>
      </c>
      <c r="C823" s="35">
        <v>122.58</v>
      </c>
      <c r="D823" s="35">
        <v>297.94099999999997</v>
      </c>
      <c r="E823" s="41">
        <v>729.47900000000004</v>
      </c>
      <c r="F823" s="35">
        <v>1150</v>
      </c>
      <c r="G823" s="35">
        <v>100</v>
      </c>
      <c r="H823" s="43">
        <v>600</v>
      </c>
      <c r="I823" s="35">
        <v>695</v>
      </c>
      <c r="J823" s="35">
        <v>50</v>
      </c>
      <c r="K823" s="36"/>
      <c r="L823" s="36"/>
      <c r="M823" s="36"/>
      <c r="N823" s="36"/>
      <c r="O823" s="36"/>
      <c r="P823" s="36"/>
      <c r="Q823" s="36"/>
      <c r="R823" s="36"/>
      <c r="S823" s="36"/>
      <c r="T823" s="36"/>
    </row>
    <row r="824" spans="1:20" ht="15.75">
      <c r="A824" s="13">
        <v>66596</v>
      </c>
      <c r="B824" s="44">
        <f t="shared" si="3"/>
        <v>30</v>
      </c>
      <c r="C824" s="35">
        <v>141.29300000000001</v>
      </c>
      <c r="D824" s="35">
        <v>267.99299999999999</v>
      </c>
      <c r="E824" s="41">
        <v>829.71400000000006</v>
      </c>
      <c r="F824" s="35">
        <v>1239</v>
      </c>
      <c r="G824" s="35">
        <v>100</v>
      </c>
      <c r="H824" s="43">
        <v>600</v>
      </c>
      <c r="I824" s="35">
        <v>695</v>
      </c>
      <c r="J824" s="35">
        <v>50</v>
      </c>
      <c r="K824" s="36"/>
      <c r="L824" s="36"/>
      <c r="M824" s="36"/>
      <c r="N824" s="36"/>
      <c r="O824" s="36"/>
      <c r="P824" s="36"/>
      <c r="Q824" s="36"/>
      <c r="R824" s="36"/>
      <c r="S824" s="36"/>
      <c r="T824" s="36"/>
    </row>
    <row r="825" spans="1:20" ht="15.75">
      <c r="A825" s="13">
        <v>66627</v>
      </c>
      <c r="B825" s="44">
        <f t="shared" si="3"/>
        <v>31</v>
      </c>
      <c r="C825" s="35">
        <v>194.20500000000001</v>
      </c>
      <c r="D825" s="35">
        <v>267.46600000000001</v>
      </c>
      <c r="E825" s="41">
        <v>812.32899999999995</v>
      </c>
      <c r="F825" s="35">
        <v>1274</v>
      </c>
      <c r="G825" s="35">
        <v>75</v>
      </c>
      <c r="H825" s="43">
        <v>600</v>
      </c>
      <c r="I825" s="35">
        <v>695</v>
      </c>
      <c r="J825" s="35">
        <v>50</v>
      </c>
      <c r="K825" s="36"/>
      <c r="L825" s="36"/>
      <c r="M825" s="36"/>
      <c r="N825" s="36"/>
      <c r="O825" s="36"/>
      <c r="P825" s="36"/>
      <c r="Q825" s="36"/>
      <c r="R825" s="36"/>
      <c r="S825" s="36"/>
      <c r="T825" s="36"/>
    </row>
    <row r="826" spans="1:20" ht="15.75">
      <c r="A826" s="13">
        <v>66657</v>
      </c>
      <c r="B826" s="44">
        <f t="shared" si="3"/>
        <v>30</v>
      </c>
      <c r="C826" s="35">
        <v>194.20500000000001</v>
      </c>
      <c r="D826" s="35">
        <v>267.46600000000001</v>
      </c>
      <c r="E826" s="41">
        <v>812.32899999999995</v>
      </c>
      <c r="F826" s="35">
        <v>1274</v>
      </c>
      <c r="G826" s="35">
        <v>50</v>
      </c>
      <c r="H826" s="43">
        <v>600</v>
      </c>
      <c r="I826" s="35">
        <v>695</v>
      </c>
      <c r="J826" s="35">
        <v>50</v>
      </c>
      <c r="K826" s="36"/>
      <c r="L826" s="36"/>
      <c r="M826" s="36"/>
      <c r="N826" s="36"/>
      <c r="O826" s="36"/>
      <c r="P826" s="36"/>
      <c r="Q826" s="36"/>
      <c r="R826" s="36"/>
      <c r="S826" s="36"/>
      <c r="T826" s="36"/>
    </row>
    <row r="827" spans="1:20" ht="15.75">
      <c r="A827" s="13">
        <v>66688</v>
      </c>
      <c r="B827" s="44">
        <f t="shared" si="3"/>
        <v>31</v>
      </c>
      <c r="C827" s="35">
        <v>194.20500000000001</v>
      </c>
      <c r="D827" s="35">
        <v>267.46600000000001</v>
      </c>
      <c r="E827" s="41">
        <v>812.32899999999995</v>
      </c>
      <c r="F827" s="35">
        <v>1274</v>
      </c>
      <c r="G827" s="35">
        <v>50</v>
      </c>
      <c r="H827" s="43">
        <v>600</v>
      </c>
      <c r="I827" s="35">
        <v>695</v>
      </c>
      <c r="J827" s="35">
        <v>0</v>
      </c>
      <c r="K827" s="36"/>
      <c r="L827" s="36"/>
      <c r="M827" s="36"/>
      <c r="N827" s="36"/>
      <c r="O827" s="36"/>
      <c r="P827" s="36"/>
      <c r="Q827" s="36"/>
      <c r="R827" s="36"/>
      <c r="S827" s="36"/>
      <c r="T827" s="36"/>
    </row>
    <row r="828" spans="1:20" ht="15.75">
      <c r="A828" s="13">
        <v>66719</v>
      </c>
      <c r="B828" s="44">
        <f t="shared" si="3"/>
        <v>31</v>
      </c>
      <c r="C828" s="35">
        <v>194.20500000000001</v>
      </c>
      <c r="D828" s="35">
        <v>267.46600000000001</v>
      </c>
      <c r="E828" s="41">
        <v>812.32899999999995</v>
      </c>
      <c r="F828" s="35">
        <v>1274</v>
      </c>
      <c r="G828" s="35">
        <v>50</v>
      </c>
      <c r="H828" s="43">
        <v>600</v>
      </c>
      <c r="I828" s="35">
        <v>695</v>
      </c>
      <c r="J828" s="35">
        <v>0</v>
      </c>
      <c r="K828" s="36"/>
      <c r="L828" s="36"/>
      <c r="M828" s="36"/>
      <c r="N828" s="36"/>
      <c r="O828" s="36"/>
      <c r="P828" s="36"/>
      <c r="Q828" s="36"/>
      <c r="R828" s="36"/>
      <c r="S828" s="36"/>
      <c r="T828" s="36"/>
    </row>
    <row r="829" spans="1:20" ht="15.75">
      <c r="A829" s="13">
        <v>66749</v>
      </c>
      <c r="B829" s="44">
        <f t="shared" si="3"/>
        <v>30</v>
      </c>
      <c r="C829" s="35">
        <v>194.20500000000001</v>
      </c>
      <c r="D829" s="35">
        <v>267.46600000000001</v>
      </c>
      <c r="E829" s="41">
        <v>812.32899999999995</v>
      </c>
      <c r="F829" s="35">
        <v>1274</v>
      </c>
      <c r="G829" s="35">
        <v>50</v>
      </c>
      <c r="H829" s="43">
        <v>600</v>
      </c>
      <c r="I829" s="35">
        <v>695</v>
      </c>
      <c r="J829" s="35">
        <v>0</v>
      </c>
      <c r="K829" s="36"/>
      <c r="L829" s="36"/>
      <c r="M829" s="36"/>
      <c r="N829" s="36"/>
      <c r="O829" s="36"/>
      <c r="P829" s="36"/>
      <c r="Q829" s="36"/>
      <c r="R829" s="36"/>
      <c r="S829" s="36"/>
      <c r="T829" s="36"/>
    </row>
    <row r="830" spans="1:20" ht="15.75">
      <c r="A830" s="13">
        <v>66780</v>
      </c>
      <c r="B830" s="44">
        <f t="shared" si="3"/>
        <v>31</v>
      </c>
      <c r="C830" s="35">
        <v>131.881</v>
      </c>
      <c r="D830" s="35">
        <v>277.16699999999997</v>
      </c>
      <c r="E830" s="41">
        <v>829.952</v>
      </c>
      <c r="F830" s="35">
        <v>1239</v>
      </c>
      <c r="G830" s="35">
        <v>75</v>
      </c>
      <c r="H830" s="43">
        <v>600</v>
      </c>
      <c r="I830" s="35">
        <v>695</v>
      </c>
      <c r="J830" s="35">
        <v>0</v>
      </c>
      <c r="K830" s="36"/>
      <c r="L830" s="36"/>
      <c r="M830" s="36"/>
      <c r="N830" s="36"/>
      <c r="O830" s="36"/>
      <c r="P830" s="36"/>
      <c r="Q830" s="36"/>
      <c r="R830" s="36"/>
      <c r="S830" s="36"/>
      <c r="T830" s="36"/>
    </row>
    <row r="831" spans="1:20" ht="15.75">
      <c r="A831" s="13">
        <v>66810</v>
      </c>
      <c r="B831" s="44">
        <f t="shared" si="3"/>
        <v>30</v>
      </c>
      <c r="C831" s="35">
        <v>122.58</v>
      </c>
      <c r="D831" s="35">
        <v>297.94099999999997</v>
      </c>
      <c r="E831" s="41">
        <v>729.47900000000004</v>
      </c>
      <c r="F831" s="35">
        <v>1150</v>
      </c>
      <c r="G831" s="35">
        <v>100</v>
      </c>
      <c r="H831" s="43">
        <v>600</v>
      </c>
      <c r="I831" s="35">
        <v>695</v>
      </c>
      <c r="J831" s="35">
        <v>50</v>
      </c>
      <c r="K831" s="36"/>
      <c r="L831" s="36"/>
      <c r="M831" s="36"/>
      <c r="N831" s="36"/>
      <c r="O831" s="36"/>
      <c r="P831" s="36"/>
      <c r="Q831" s="36"/>
      <c r="R831" s="36"/>
      <c r="S831" s="36"/>
      <c r="T831" s="36"/>
    </row>
    <row r="832" spans="1:20" ht="15.75">
      <c r="A832" s="13">
        <v>66841</v>
      </c>
      <c r="B832" s="44">
        <f t="shared" si="3"/>
        <v>31</v>
      </c>
      <c r="C832" s="35">
        <v>122.58</v>
      </c>
      <c r="D832" s="35">
        <v>297.94099999999997</v>
      </c>
      <c r="E832" s="41">
        <v>729.47900000000004</v>
      </c>
      <c r="F832" s="35">
        <v>1150</v>
      </c>
      <c r="G832" s="35">
        <v>100</v>
      </c>
      <c r="H832" s="43">
        <v>600</v>
      </c>
      <c r="I832" s="35">
        <v>695</v>
      </c>
      <c r="J832" s="35">
        <v>50</v>
      </c>
      <c r="K832" s="36"/>
      <c r="L832" s="36"/>
      <c r="M832" s="36"/>
      <c r="N832" s="36"/>
      <c r="O832" s="36"/>
      <c r="P832" s="36"/>
      <c r="Q832" s="36"/>
      <c r="R832" s="36"/>
      <c r="S832" s="36"/>
      <c r="T832" s="36"/>
    </row>
    <row r="833" spans="1:20" ht="15.75">
      <c r="A833" s="13">
        <v>66872</v>
      </c>
      <c r="B833" s="44">
        <f t="shared" si="3"/>
        <v>31</v>
      </c>
      <c r="C833" s="35">
        <v>122.58</v>
      </c>
      <c r="D833" s="35">
        <v>297.94099999999997</v>
      </c>
      <c r="E833" s="41">
        <v>729.47900000000004</v>
      </c>
      <c r="F833" s="35">
        <v>1150</v>
      </c>
      <c r="G833" s="35">
        <v>100</v>
      </c>
      <c r="H833" s="43">
        <v>600</v>
      </c>
      <c r="I833" s="35">
        <v>695</v>
      </c>
      <c r="J833" s="35">
        <v>50</v>
      </c>
      <c r="K833" s="36"/>
      <c r="L833" s="36"/>
      <c r="M833" s="36"/>
      <c r="N833" s="36"/>
      <c r="O833" s="36"/>
      <c r="P833" s="36"/>
      <c r="Q833" s="36"/>
      <c r="R833" s="36"/>
      <c r="S833" s="36"/>
      <c r="T833" s="36"/>
    </row>
    <row r="834" spans="1:20" ht="15.75">
      <c r="A834" s="13">
        <v>66900</v>
      </c>
      <c r="B834" s="44">
        <f t="shared" si="3"/>
        <v>28</v>
      </c>
      <c r="C834" s="35">
        <v>122.58</v>
      </c>
      <c r="D834" s="35">
        <v>297.94099999999997</v>
      </c>
      <c r="E834" s="41">
        <v>729.47900000000004</v>
      </c>
      <c r="F834" s="35">
        <v>1150</v>
      </c>
      <c r="G834" s="35">
        <v>100</v>
      </c>
      <c r="H834" s="43">
        <v>600</v>
      </c>
      <c r="I834" s="35">
        <v>695</v>
      </c>
      <c r="J834" s="35">
        <v>50</v>
      </c>
      <c r="K834" s="36"/>
      <c r="L834" s="36"/>
      <c r="M834" s="36"/>
      <c r="N834" s="36"/>
      <c r="O834" s="36"/>
      <c r="P834" s="36"/>
      <c r="Q834" s="36"/>
      <c r="R834" s="36"/>
      <c r="S834" s="36"/>
      <c r="T834" s="36"/>
    </row>
    <row r="835" spans="1:20" ht="15.75">
      <c r="A835" s="13">
        <v>66931</v>
      </c>
      <c r="B835" s="44">
        <f t="shared" si="3"/>
        <v>31</v>
      </c>
      <c r="C835" s="35">
        <v>122.58</v>
      </c>
      <c r="D835" s="35">
        <v>297.94099999999997</v>
      </c>
      <c r="E835" s="41">
        <v>729.47900000000004</v>
      </c>
      <c r="F835" s="35">
        <v>1150</v>
      </c>
      <c r="G835" s="35">
        <v>100</v>
      </c>
      <c r="H835" s="43">
        <v>600</v>
      </c>
      <c r="I835" s="35">
        <v>695</v>
      </c>
      <c r="J835" s="35">
        <v>50</v>
      </c>
      <c r="K835" s="36"/>
      <c r="L835" s="36"/>
      <c r="M835" s="36"/>
      <c r="N835" s="36"/>
      <c r="O835" s="36"/>
      <c r="P835" s="36"/>
      <c r="Q835" s="36"/>
      <c r="R835" s="36"/>
      <c r="S835" s="36"/>
      <c r="T835" s="36"/>
    </row>
    <row r="836" spans="1:20" ht="15.75">
      <c r="A836" s="13">
        <v>66961</v>
      </c>
      <c r="B836" s="44">
        <f t="shared" si="3"/>
        <v>30</v>
      </c>
      <c r="C836" s="35">
        <v>141.29300000000001</v>
      </c>
      <c r="D836" s="35">
        <v>267.99299999999999</v>
      </c>
      <c r="E836" s="41">
        <v>829.71400000000006</v>
      </c>
      <c r="F836" s="35">
        <v>1239</v>
      </c>
      <c r="G836" s="35">
        <v>100</v>
      </c>
      <c r="H836" s="43">
        <v>600</v>
      </c>
      <c r="I836" s="35">
        <v>695</v>
      </c>
      <c r="J836" s="35">
        <v>50</v>
      </c>
      <c r="K836" s="36"/>
      <c r="L836" s="36"/>
      <c r="M836" s="36"/>
      <c r="N836" s="36"/>
      <c r="O836" s="36"/>
      <c r="P836" s="36"/>
      <c r="Q836" s="36"/>
      <c r="R836" s="36"/>
      <c r="S836" s="36"/>
      <c r="T836" s="36"/>
    </row>
    <row r="837" spans="1:20" ht="15.75">
      <c r="A837" s="13">
        <v>66992</v>
      </c>
      <c r="B837" s="44">
        <f t="shared" ref="B837:B900" si="4">EOMONTH(A837,0)-EOMONTH(A837,-1)</f>
        <v>31</v>
      </c>
      <c r="C837" s="35">
        <v>194.20500000000001</v>
      </c>
      <c r="D837" s="35">
        <v>267.46600000000001</v>
      </c>
      <c r="E837" s="41">
        <v>812.32899999999995</v>
      </c>
      <c r="F837" s="35">
        <v>1274</v>
      </c>
      <c r="G837" s="35">
        <v>75</v>
      </c>
      <c r="H837" s="43">
        <v>600</v>
      </c>
      <c r="I837" s="35">
        <v>695</v>
      </c>
      <c r="J837" s="35">
        <v>50</v>
      </c>
      <c r="K837" s="36"/>
      <c r="L837" s="36"/>
      <c r="M837" s="36"/>
      <c r="N837" s="36"/>
      <c r="O837" s="36"/>
      <c r="P837" s="36"/>
      <c r="Q837" s="36"/>
      <c r="R837" s="36"/>
      <c r="S837" s="36"/>
      <c r="T837" s="36"/>
    </row>
    <row r="838" spans="1:20" ht="15.75">
      <c r="A838" s="13">
        <v>67022</v>
      </c>
      <c r="B838" s="44">
        <f t="shared" si="4"/>
        <v>30</v>
      </c>
      <c r="C838" s="35">
        <v>194.20500000000001</v>
      </c>
      <c r="D838" s="35">
        <v>267.46600000000001</v>
      </c>
      <c r="E838" s="41">
        <v>812.32899999999995</v>
      </c>
      <c r="F838" s="35">
        <v>1274</v>
      </c>
      <c r="G838" s="35">
        <v>50</v>
      </c>
      <c r="H838" s="43">
        <v>600</v>
      </c>
      <c r="I838" s="35">
        <v>695</v>
      </c>
      <c r="J838" s="35">
        <v>50</v>
      </c>
      <c r="K838" s="36"/>
      <c r="L838" s="36"/>
      <c r="M838" s="36"/>
      <c r="N838" s="36"/>
      <c r="O838" s="36"/>
      <c r="P838" s="36"/>
      <c r="Q838" s="36"/>
      <c r="R838" s="36"/>
      <c r="S838" s="36"/>
      <c r="T838" s="36"/>
    </row>
    <row r="839" spans="1:20" ht="15.75">
      <c r="A839" s="13">
        <v>67053</v>
      </c>
      <c r="B839" s="44">
        <f t="shared" si="4"/>
        <v>31</v>
      </c>
      <c r="C839" s="35">
        <v>194.20500000000001</v>
      </c>
      <c r="D839" s="35">
        <v>267.46600000000001</v>
      </c>
      <c r="E839" s="41">
        <v>812.32899999999995</v>
      </c>
      <c r="F839" s="35">
        <v>1274</v>
      </c>
      <c r="G839" s="35">
        <v>50</v>
      </c>
      <c r="H839" s="43">
        <v>600</v>
      </c>
      <c r="I839" s="35">
        <v>695</v>
      </c>
      <c r="J839" s="35">
        <v>0</v>
      </c>
      <c r="K839" s="36"/>
      <c r="L839" s="36"/>
      <c r="M839" s="36"/>
      <c r="N839" s="36"/>
      <c r="O839" s="36"/>
      <c r="P839" s="36"/>
      <c r="Q839" s="36"/>
      <c r="R839" s="36"/>
      <c r="S839" s="36"/>
      <c r="T839" s="36"/>
    </row>
    <row r="840" spans="1:20" ht="15.75">
      <c r="A840" s="13">
        <v>67084</v>
      </c>
      <c r="B840" s="44">
        <f t="shared" si="4"/>
        <v>31</v>
      </c>
      <c r="C840" s="35">
        <v>194.20500000000001</v>
      </c>
      <c r="D840" s="35">
        <v>267.46600000000001</v>
      </c>
      <c r="E840" s="41">
        <v>812.32899999999995</v>
      </c>
      <c r="F840" s="35">
        <v>1274</v>
      </c>
      <c r="G840" s="35">
        <v>50</v>
      </c>
      <c r="H840" s="43">
        <v>600</v>
      </c>
      <c r="I840" s="35">
        <v>695</v>
      </c>
      <c r="J840" s="35">
        <v>0</v>
      </c>
      <c r="K840" s="36"/>
      <c r="L840" s="36"/>
      <c r="M840" s="36"/>
      <c r="N840" s="36"/>
      <c r="O840" s="36"/>
      <c r="P840" s="36"/>
      <c r="Q840" s="36"/>
      <c r="R840" s="36"/>
      <c r="S840" s="36"/>
      <c r="T840" s="36"/>
    </row>
    <row r="841" spans="1:20" ht="15.75">
      <c r="A841" s="13">
        <v>67114</v>
      </c>
      <c r="B841" s="44">
        <f t="shared" si="4"/>
        <v>30</v>
      </c>
      <c r="C841" s="35">
        <v>194.20500000000001</v>
      </c>
      <c r="D841" s="35">
        <v>267.46600000000001</v>
      </c>
      <c r="E841" s="41">
        <v>812.32899999999995</v>
      </c>
      <c r="F841" s="35">
        <v>1274</v>
      </c>
      <c r="G841" s="35">
        <v>50</v>
      </c>
      <c r="H841" s="43">
        <v>600</v>
      </c>
      <c r="I841" s="35">
        <v>695</v>
      </c>
      <c r="J841" s="35">
        <v>0</v>
      </c>
      <c r="K841" s="36"/>
      <c r="L841" s="36"/>
      <c r="M841" s="36"/>
      <c r="N841" s="36"/>
      <c r="O841" s="36"/>
      <c r="P841" s="36"/>
      <c r="Q841" s="36"/>
      <c r="R841" s="36"/>
      <c r="S841" s="36"/>
      <c r="T841" s="36"/>
    </row>
    <row r="842" spans="1:20" ht="15.75">
      <c r="A842" s="13">
        <v>67145</v>
      </c>
      <c r="B842" s="44">
        <f t="shared" si="4"/>
        <v>31</v>
      </c>
      <c r="C842" s="35">
        <v>131.881</v>
      </c>
      <c r="D842" s="35">
        <v>277.16699999999997</v>
      </c>
      <c r="E842" s="41">
        <v>829.952</v>
      </c>
      <c r="F842" s="35">
        <v>1239</v>
      </c>
      <c r="G842" s="35">
        <v>75</v>
      </c>
      <c r="H842" s="43">
        <v>600</v>
      </c>
      <c r="I842" s="35">
        <v>695</v>
      </c>
      <c r="J842" s="35">
        <v>0</v>
      </c>
      <c r="K842" s="36"/>
      <c r="L842" s="36"/>
      <c r="M842" s="36"/>
      <c r="N842" s="36"/>
      <c r="O842" s="36"/>
      <c r="P842" s="36"/>
      <c r="Q842" s="36"/>
      <c r="R842" s="36"/>
      <c r="S842" s="36"/>
      <c r="T842" s="36"/>
    </row>
    <row r="843" spans="1:20" ht="15.75">
      <c r="A843" s="13">
        <v>67175</v>
      </c>
      <c r="B843" s="44">
        <f t="shared" si="4"/>
        <v>30</v>
      </c>
      <c r="C843" s="35">
        <v>122.58</v>
      </c>
      <c r="D843" s="35">
        <v>297.94099999999997</v>
      </c>
      <c r="E843" s="41">
        <v>729.47900000000004</v>
      </c>
      <c r="F843" s="35">
        <v>1150</v>
      </c>
      <c r="G843" s="35">
        <v>100</v>
      </c>
      <c r="H843" s="43">
        <v>600</v>
      </c>
      <c r="I843" s="35">
        <v>695</v>
      </c>
      <c r="J843" s="35">
        <v>50</v>
      </c>
      <c r="K843" s="36"/>
      <c r="L843" s="36"/>
      <c r="M843" s="36"/>
      <c r="N843" s="36"/>
      <c r="O843" s="36"/>
      <c r="P843" s="36"/>
      <c r="Q843" s="36"/>
      <c r="R843" s="36"/>
      <c r="S843" s="36"/>
      <c r="T843" s="36"/>
    </row>
    <row r="844" spans="1:20" ht="15.75">
      <c r="A844" s="13">
        <v>67206</v>
      </c>
      <c r="B844" s="44">
        <f t="shared" si="4"/>
        <v>31</v>
      </c>
      <c r="C844" s="35">
        <v>122.58</v>
      </c>
      <c r="D844" s="35">
        <v>297.94099999999997</v>
      </c>
      <c r="E844" s="41">
        <v>729.47900000000004</v>
      </c>
      <c r="F844" s="35">
        <v>1150</v>
      </c>
      <c r="G844" s="35">
        <v>100</v>
      </c>
      <c r="H844" s="43">
        <v>600</v>
      </c>
      <c r="I844" s="35">
        <v>695</v>
      </c>
      <c r="J844" s="35">
        <v>50</v>
      </c>
      <c r="K844" s="36"/>
      <c r="L844" s="36"/>
      <c r="M844" s="36"/>
      <c r="N844" s="36"/>
      <c r="O844" s="36"/>
      <c r="P844" s="36"/>
      <c r="Q844" s="36"/>
      <c r="R844" s="36"/>
      <c r="S844" s="36"/>
      <c r="T844" s="36"/>
    </row>
    <row r="845" spans="1:20" ht="15.75">
      <c r="A845" s="13">
        <v>67237</v>
      </c>
      <c r="B845" s="44">
        <f t="shared" si="4"/>
        <v>31</v>
      </c>
      <c r="C845" s="35">
        <v>122.58</v>
      </c>
      <c r="D845" s="35">
        <v>297.94099999999997</v>
      </c>
      <c r="E845" s="41">
        <v>729.47900000000004</v>
      </c>
      <c r="F845" s="35">
        <v>1150</v>
      </c>
      <c r="G845" s="35">
        <v>100</v>
      </c>
      <c r="H845" s="43">
        <v>600</v>
      </c>
      <c r="I845" s="35">
        <v>695</v>
      </c>
      <c r="J845" s="35">
        <v>50</v>
      </c>
      <c r="K845" s="36"/>
      <c r="L845" s="36"/>
      <c r="M845" s="36"/>
      <c r="N845" s="36"/>
      <c r="O845" s="36"/>
      <c r="P845" s="36"/>
      <c r="Q845" s="36"/>
      <c r="R845" s="36"/>
      <c r="S845" s="36"/>
      <c r="T845" s="36"/>
    </row>
    <row r="846" spans="1:20" ht="15.75">
      <c r="A846" s="13">
        <v>67266</v>
      </c>
      <c r="B846" s="44">
        <f t="shared" si="4"/>
        <v>29</v>
      </c>
      <c r="C846" s="35">
        <v>122.58</v>
      </c>
      <c r="D846" s="35">
        <v>297.94099999999997</v>
      </c>
      <c r="E846" s="41">
        <v>729.47900000000004</v>
      </c>
      <c r="F846" s="35">
        <v>1150</v>
      </c>
      <c r="G846" s="35">
        <v>100</v>
      </c>
      <c r="H846" s="43">
        <v>600</v>
      </c>
      <c r="I846" s="35">
        <v>695</v>
      </c>
      <c r="J846" s="35">
        <v>50</v>
      </c>
      <c r="K846" s="36"/>
      <c r="L846" s="36"/>
      <c r="M846" s="36"/>
      <c r="N846" s="36"/>
      <c r="O846" s="36"/>
      <c r="P846" s="36"/>
      <c r="Q846" s="36"/>
      <c r="R846" s="36"/>
      <c r="S846" s="36"/>
      <c r="T846" s="36"/>
    </row>
    <row r="847" spans="1:20" ht="15.75">
      <c r="A847" s="13">
        <v>67297</v>
      </c>
      <c r="B847" s="44">
        <f t="shared" si="4"/>
        <v>31</v>
      </c>
      <c r="C847" s="35">
        <v>122.58</v>
      </c>
      <c r="D847" s="35">
        <v>297.94099999999997</v>
      </c>
      <c r="E847" s="41">
        <v>729.47900000000004</v>
      </c>
      <c r="F847" s="35">
        <v>1150</v>
      </c>
      <c r="G847" s="35">
        <v>100</v>
      </c>
      <c r="H847" s="43">
        <v>600</v>
      </c>
      <c r="I847" s="35">
        <v>695</v>
      </c>
      <c r="J847" s="35">
        <v>50</v>
      </c>
      <c r="K847" s="36"/>
      <c r="L847" s="36"/>
      <c r="M847" s="36"/>
      <c r="N847" s="36"/>
      <c r="O847" s="36"/>
      <c r="P847" s="36"/>
      <c r="Q847" s="36"/>
      <c r="R847" s="36"/>
      <c r="S847" s="36"/>
      <c r="T847" s="36"/>
    </row>
    <row r="848" spans="1:20" ht="15.75">
      <c r="A848" s="13">
        <v>67327</v>
      </c>
      <c r="B848" s="44">
        <f t="shared" si="4"/>
        <v>30</v>
      </c>
      <c r="C848" s="35">
        <v>141.29300000000001</v>
      </c>
      <c r="D848" s="35">
        <v>267.99299999999999</v>
      </c>
      <c r="E848" s="41">
        <v>829.71400000000006</v>
      </c>
      <c r="F848" s="35">
        <v>1239</v>
      </c>
      <c r="G848" s="35">
        <v>100</v>
      </c>
      <c r="H848" s="43">
        <v>600</v>
      </c>
      <c r="I848" s="35">
        <v>695</v>
      </c>
      <c r="J848" s="35">
        <v>50</v>
      </c>
      <c r="K848" s="36"/>
      <c r="L848" s="36"/>
      <c r="M848" s="36"/>
      <c r="N848" s="36"/>
      <c r="O848" s="36"/>
      <c r="P848" s="36"/>
      <c r="Q848" s="36"/>
      <c r="R848" s="36"/>
      <c r="S848" s="36"/>
      <c r="T848" s="36"/>
    </row>
    <row r="849" spans="1:20" ht="15.75">
      <c r="A849" s="13">
        <v>67358</v>
      </c>
      <c r="B849" s="44">
        <f t="shared" si="4"/>
        <v>31</v>
      </c>
      <c r="C849" s="35">
        <v>194.20500000000001</v>
      </c>
      <c r="D849" s="35">
        <v>267.46600000000001</v>
      </c>
      <c r="E849" s="41">
        <v>812.32899999999995</v>
      </c>
      <c r="F849" s="35">
        <v>1274</v>
      </c>
      <c r="G849" s="35">
        <v>75</v>
      </c>
      <c r="H849" s="43">
        <v>600</v>
      </c>
      <c r="I849" s="35">
        <v>695</v>
      </c>
      <c r="J849" s="35">
        <v>50</v>
      </c>
      <c r="K849" s="36"/>
      <c r="L849" s="36"/>
      <c r="M849" s="36"/>
      <c r="N849" s="36"/>
      <c r="O849" s="36"/>
      <c r="P849" s="36"/>
      <c r="Q849" s="36"/>
      <c r="R849" s="36"/>
      <c r="S849" s="36"/>
      <c r="T849" s="36"/>
    </row>
    <row r="850" spans="1:20" ht="15.75">
      <c r="A850" s="13">
        <v>67388</v>
      </c>
      <c r="B850" s="44">
        <f t="shared" si="4"/>
        <v>30</v>
      </c>
      <c r="C850" s="35">
        <v>194.20500000000001</v>
      </c>
      <c r="D850" s="35">
        <v>267.46600000000001</v>
      </c>
      <c r="E850" s="41">
        <v>812.32899999999995</v>
      </c>
      <c r="F850" s="35">
        <v>1274</v>
      </c>
      <c r="G850" s="35">
        <v>50</v>
      </c>
      <c r="H850" s="43">
        <v>600</v>
      </c>
      <c r="I850" s="35">
        <v>695</v>
      </c>
      <c r="J850" s="35">
        <v>50</v>
      </c>
      <c r="K850" s="36"/>
      <c r="L850" s="36"/>
      <c r="M850" s="36"/>
      <c r="N850" s="36"/>
      <c r="O850" s="36"/>
      <c r="P850" s="36"/>
      <c r="Q850" s="36"/>
      <c r="R850" s="36"/>
      <c r="S850" s="36"/>
      <c r="T850" s="36"/>
    </row>
    <row r="851" spans="1:20" ht="15.75">
      <c r="A851" s="13">
        <v>67419</v>
      </c>
      <c r="B851" s="44">
        <f t="shared" si="4"/>
        <v>31</v>
      </c>
      <c r="C851" s="35">
        <v>194.20500000000001</v>
      </c>
      <c r="D851" s="35">
        <v>267.46600000000001</v>
      </c>
      <c r="E851" s="41">
        <v>812.32899999999995</v>
      </c>
      <c r="F851" s="35">
        <v>1274</v>
      </c>
      <c r="G851" s="35">
        <v>50</v>
      </c>
      <c r="H851" s="43">
        <v>600</v>
      </c>
      <c r="I851" s="35">
        <v>695</v>
      </c>
      <c r="J851" s="35">
        <v>0</v>
      </c>
      <c r="K851" s="36"/>
      <c r="L851" s="36"/>
      <c r="M851" s="36"/>
      <c r="N851" s="36"/>
      <c r="O851" s="36"/>
      <c r="P851" s="36"/>
      <c r="Q851" s="36"/>
      <c r="R851" s="36"/>
      <c r="S851" s="36"/>
      <c r="T851" s="36"/>
    </row>
    <row r="852" spans="1:20" ht="15.75">
      <c r="A852" s="13">
        <v>67450</v>
      </c>
      <c r="B852" s="44">
        <f t="shared" si="4"/>
        <v>31</v>
      </c>
      <c r="C852" s="35">
        <v>194.20500000000001</v>
      </c>
      <c r="D852" s="35">
        <v>267.46600000000001</v>
      </c>
      <c r="E852" s="41">
        <v>812.32899999999995</v>
      </c>
      <c r="F852" s="35">
        <v>1274</v>
      </c>
      <c r="G852" s="35">
        <v>50</v>
      </c>
      <c r="H852" s="43">
        <v>600</v>
      </c>
      <c r="I852" s="35">
        <v>695</v>
      </c>
      <c r="J852" s="35">
        <v>0</v>
      </c>
      <c r="K852" s="36"/>
      <c r="L852" s="36"/>
      <c r="M852" s="36"/>
      <c r="N852" s="36"/>
      <c r="O852" s="36"/>
      <c r="P852" s="36"/>
      <c r="Q852" s="36"/>
      <c r="R852" s="36"/>
      <c r="S852" s="36"/>
      <c r="T852" s="36"/>
    </row>
    <row r="853" spans="1:20" ht="15.75">
      <c r="A853" s="13">
        <v>67480</v>
      </c>
      <c r="B853" s="44">
        <f t="shared" si="4"/>
        <v>30</v>
      </c>
      <c r="C853" s="35">
        <v>194.20500000000001</v>
      </c>
      <c r="D853" s="35">
        <v>267.46600000000001</v>
      </c>
      <c r="E853" s="41">
        <v>812.32899999999995</v>
      </c>
      <c r="F853" s="35">
        <v>1274</v>
      </c>
      <c r="G853" s="35">
        <v>50</v>
      </c>
      <c r="H853" s="43">
        <v>600</v>
      </c>
      <c r="I853" s="35">
        <v>695</v>
      </c>
      <c r="J853" s="35">
        <v>0</v>
      </c>
      <c r="K853" s="36"/>
      <c r="L853" s="36"/>
      <c r="M853" s="36"/>
      <c r="N853" s="36"/>
      <c r="O853" s="36"/>
      <c r="P853" s="36"/>
      <c r="Q853" s="36"/>
      <c r="R853" s="36"/>
      <c r="S853" s="36"/>
      <c r="T853" s="36"/>
    </row>
    <row r="854" spans="1:20" ht="15.75">
      <c r="A854" s="13">
        <v>67511</v>
      </c>
      <c r="B854" s="44">
        <f t="shared" si="4"/>
        <v>31</v>
      </c>
      <c r="C854" s="35">
        <v>131.881</v>
      </c>
      <c r="D854" s="35">
        <v>277.16699999999997</v>
      </c>
      <c r="E854" s="41">
        <v>829.952</v>
      </c>
      <c r="F854" s="35">
        <v>1239</v>
      </c>
      <c r="G854" s="35">
        <v>75</v>
      </c>
      <c r="H854" s="43">
        <v>600</v>
      </c>
      <c r="I854" s="35">
        <v>695</v>
      </c>
      <c r="J854" s="35">
        <v>0</v>
      </c>
      <c r="K854" s="36"/>
      <c r="L854" s="36"/>
      <c r="M854" s="36"/>
      <c r="N854" s="36"/>
      <c r="O854" s="36"/>
      <c r="P854" s="36"/>
      <c r="Q854" s="36"/>
      <c r="R854" s="36"/>
      <c r="S854" s="36"/>
      <c r="T854" s="36"/>
    </row>
    <row r="855" spans="1:20" ht="15.75">
      <c r="A855" s="13">
        <v>67541</v>
      </c>
      <c r="B855" s="44">
        <f t="shared" si="4"/>
        <v>30</v>
      </c>
      <c r="C855" s="35">
        <v>122.58</v>
      </c>
      <c r="D855" s="35">
        <v>297.94099999999997</v>
      </c>
      <c r="E855" s="41">
        <v>729.47900000000004</v>
      </c>
      <c r="F855" s="35">
        <v>1150</v>
      </c>
      <c r="G855" s="35">
        <v>100</v>
      </c>
      <c r="H855" s="43">
        <v>600</v>
      </c>
      <c r="I855" s="35">
        <v>695</v>
      </c>
      <c r="J855" s="35">
        <v>50</v>
      </c>
      <c r="K855" s="36"/>
      <c r="L855" s="36"/>
      <c r="M855" s="36"/>
      <c r="N855" s="36"/>
      <c r="O855" s="36"/>
      <c r="P855" s="36"/>
      <c r="Q855" s="36"/>
      <c r="R855" s="36"/>
      <c r="S855" s="36"/>
      <c r="T855" s="36"/>
    </row>
    <row r="856" spans="1:20" ht="15.75">
      <c r="A856" s="13">
        <v>67572</v>
      </c>
      <c r="B856" s="44">
        <f t="shared" si="4"/>
        <v>31</v>
      </c>
      <c r="C856" s="35">
        <v>122.58</v>
      </c>
      <c r="D856" s="35">
        <v>297.94099999999997</v>
      </c>
      <c r="E856" s="41">
        <v>729.47900000000004</v>
      </c>
      <c r="F856" s="35">
        <v>1150</v>
      </c>
      <c r="G856" s="35">
        <v>100</v>
      </c>
      <c r="H856" s="43">
        <v>600</v>
      </c>
      <c r="I856" s="35">
        <v>695</v>
      </c>
      <c r="J856" s="35">
        <v>50</v>
      </c>
      <c r="K856" s="36"/>
      <c r="L856" s="36"/>
      <c r="M856" s="36"/>
      <c r="N856" s="36"/>
      <c r="O856" s="36"/>
      <c r="P856" s="36"/>
      <c r="Q856" s="36"/>
      <c r="R856" s="36"/>
      <c r="S856" s="36"/>
      <c r="T856" s="36"/>
    </row>
    <row r="857" spans="1:20" ht="15.75">
      <c r="A857" s="13">
        <v>67603</v>
      </c>
      <c r="B857" s="44">
        <f t="shared" si="4"/>
        <v>31</v>
      </c>
      <c r="C857" s="35">
        <v>122.58</v>
      </c>
      <c r="D857" s="35">
        <v>297.94099999999997</v>
      </c>
      <c r="E857" s="41">
        <v>729.47900000000004</v>
      </c>
      <c r="F857" s="35">
        <v>1150</v>
      </c>
      <c r="G857" s="35">
        <v>100</v>
      </c>
      <c r="H857" s="43">
        <v>600</v>
      </c>
      <c r="I857" s="35">
        <v>695</v>
      </c>
      <c r="J857" s="35">
        <v>50</v>
      </c>
      <c r="K857" s="36"/>
      <c r="L857" s="36"/>
      <c r="M857" s="36"/>
      <c r="N857" s="36"/>
      <c r="O857" s="36"/>
      <c r="P857" s="36"/>
      <c r="Q857" s="36"/>
      <c r="R857" s="36"/>
      <c r="S857" s="36"/>
      <c r="T857" s="36"/>
    </row>
    <row r="858" spans="1:20" ht="15.75">
      <c r="A858" s="13">
        <v>67631</v>
      </c>
      <c r="B858" s="44">
        <f t="shared" si="4"/>
        <v>28</v>
      </c>
      <c r="C858" s="35">
        <v>122.58</v>
      </c>
      <c r="D858" s="35">
        <v>297.94099999999997</v>
      </c>
      <c r="E858" s="41">
        <v>729.47900000000004</v>
      </c>
      <c r="F858" s="35">
        <v>1150</v>
      </c>
      <c r="G858" s="35">
        <v>100</v>
      </c>
      <c r="H858" s="43">
        <v>600</v>
      </c>
      <c r="I858" s="35">
        <v>695</v>
      </c>
      <c r="J858" s="35">
        <v>50</v>
      </c>
      <c r="K858" s="36"/>
      <c r="L858" s="36"/>
      <c r="M858" s="36"/>
      <c r="N858" s="36"/>
      <c r="O858" s="36"/>
      <c r="P858" s="36"/>
      <c r="Q858" s="36"/>
      <c r="R858" s="36"/>
      <c r="S858" s="36"/>
      <c r="T858" s="36"/>
    </row>
    <row r="859" spans="1:20" ht="15.75">
      <c r="A859" s="13">
        <v>67662</v>
      </c>
      <c r="B859" s="44">
        <f t="shared" si="4"/>
        <v>31</v>
      </c>
      <c r="C859" s="35">
        <v>122.58</v>
      </c>
      <c r="D859" s="35">
        <v>297.94099999999997</v>
      </c>
      <c r="E859" s="41">
        <v>729.47900000000004</v>
      </c>
      <c r="F859" s="35">
        <v>1150</v>
      </c>
      <c r="G859" s="35">
        <v>100</v>
      </c>
      <c r="H859" s="43">
        <v>600</v>
      </c>
      <c r="I859" s="35">
        <v>695</v>
      </c>
      <c r="J859" s="35">
        <v>50</v>
      </c>
      <c r="K859" s="36"/>
      <c r="L859" s="36"/>
      <c r="M859" s="36"/>
      <c r="N859" s="36"/>
      <c r="O859" s="36"/>
      <c r="P859" s="36"/>
      <c r="Q859" s="36"/>
      <c r="R859" s="36"/>
      <c r="S859" s="36"/>
      <c r="T859" s="36"/>
    </row>
    <row r="860" spans="1:20" ht="15.75">
      <c r="A860" s="13">
        <v>67692</v>
      </c>
      <c r="B860" s="44">
        <f t="shared" si="4"/>
        <v>30</v>
      </c>
      <c r="C860" s="35">
        <v>141.29300000000001</v>
      </c>
      <c r="D860" s="35">
        <v>267.99299999999999</v>
      </c>
      <c r="E860" s="41">
        <v>829.71400000000006</v>
      </c>
      <c r="F860" s="35">
        <v>1239</v>
      </c>
      <c r="G860" s="35">
        <v>100</v>
      </c>
      <c r="H860" s="43">
        <v>600</v>
      </c>
      <c r="I860" s="35">
        <v>695</v>
      </c>
      <c r="J860" s="35">
        <v>50</v>
      </c>
      <c r="K860" s="36"/>
      <c r="L860" s="36"/>
      <c r="M860" s="36"/>
      <c r="N860" s="36"/>
      <c r="O860" s="36"/>
      <c r="P860" s="36"/>
      <c r="Q860" s="36"/>
      <c r="R860" s="36"/>
      <c r="S860" s="36"/>
      <c r="T860" s="36"/>
    </row>
    <row r="861" spans="1:20" ht="15.75">
      <c r="A861" s="13">
        <v>67723</v>
      </c>
      <c r="B861" s="44">
        <f t="shared" si="4"/>
        <v>31</v>
      </c>
      <c r="C861" s="35">
        <v>194.20500000000001</v>
      </c>
      <c r="D861" s="35">
        <v>267.46600000000001</v>
      </c>
      <c r="E861" s="41">
        <v>812.32899999999995</v>
      </c>
      <c r="F861" s="35">
        <v>1274</v>
      </c>
      <c r="G861" s="35">
        <v>75</v>
      </c>
      <c r="H861" s="43">
        <v>600</v>
      </c>
      <c r="I861" s="35">
        <v>695</v>
      </c>
      <c r="J861" s="35">
        <v>50</v>
      </c>
      <c r="K861" s="36"/>
      <c r="L861" s="36"/>
      <c r="M861" s="36"/>
      <c r="N861" s="36"/>
      <c r="O861" s="36"/>
      <c r="P861" s="36"/>
      <c r="Q861" s="36"/>
      <c r="R861" s="36"/>
      <c r="S861" s="36"/>
      <c r="T861" s="36"/>
    </row>
    <row r="862" spans="1:20" ht="15.75">
      <c r="A862" s="13">
        <v>67753</v>
      </c>
      <c r="B862" s="44">
        <f t="shared" si="4"/>
        <v>30</v>
      </c>
      <c r="C862" s="35">
        <v>194.20500000000001</v>
      </c>
      <c r="D862" s="35">
        <v>267.46600000000001</v>
      </c>
      <c r="E862" s="41">
        <v>812.32899999999995</v>
      </c>
      <c r="F862" s="35">
        <v>1274</v>
      </c>
      <c r="G862" s="35">
        <v>50</v>
      </c>
      <c r="H862" s="43">
        <v>600</v>
      </c>
      <c r="I862" s="35">
        <v>695</v>
      </c>
      <c r="J862" s="35">
        <v>50</v>
      </c>
      <c r="K862" s="36"/>
      <c r="L862" s="36"/>
      <c r="M862" s="36"/>
      <c r="N862" s="36"/>
      <c r="O862" s="36"/>
      <c r="P862" s="36"/>
      <c r="Q862" s="36"/>
      <c r="R862" s="36"/>
      <c r="S862" s="36"/>
      <c r="T862" s="36"/>
    </row>
    <row r="863" spans="1:20" ht="15.75">
      <c r="A863" s="13">
        <v>67784</v>
      </c>
      <c r="B863" s="44">
        <f t="shared" si="4"/>
        <v>31</v>
      </c>
      <c r="C863" s="35">
        <v>194.20500000000001</v>
      </c>
      <c r="D863" s="35">
        <v>267.46600000000001</v>
      </c>
      <c r="E863" s="41">
        <v>812.32899999999995</v>
      </c>
      <c r="F863" s="35">
        <v>1274</v>
      </c>
      <c r="G863" s="35">
        <v>50</v>
      </c>
      <c r="H863" s="43">
        <v>600</v>
      </c>
      <c r="I863" s="35">
        <v>695</v>
      </c>
      <c r="J863" s="35">
        <v>0</v>
      </c>
      <c r="K863" s="36"/>
      <c r="L863" s="36"/>
      <c r="M863" s="36"/>
      <c r="N863" s="36"/>
      <c r="O863" s="36"/>
      <c r="P863" s="36"/>
      <c r="Q863" s="36"/>
      <c r="R863" s="36"/>
      <c r="S863" s="36"/>
      <c r="T863" s="36"/>
    </row>
    <row r="864" spans="1:20" ht="15.75">
      <c r="A864" s="13">
        <v>67815</v>
      </c>
      <c r="B864" s="44">
        <f t="shared" si="4"/>
        <v>31</v>
      </c>
      <c r="C864" s="35">
        <v>194.20500000000001</v>
      </c>
      <c r="D864" s="35">
        <v>267.46600000000001</v>
      </c>
      <c r="E864" s="41">
        <v>812.32899999999995</v>
      </c>
      <c r="F864" s="35">
        <v>1274</v>
      </c>
      <c r="G864" s="35">
        <v>50</v>
      </c>
      <c r="H864" s="43">
        <v>600</v>
      </c>
      <c r="I864" s="35">
        <v>695</v>
      </c>
      <c r="J864" s="35">
        <v>0</v>
      </c>
      <c r="K864" s="36"/>
      <c r="L864" s="36"/>
      <c r="M864" s="36"/>
      <c r="N864" s="36"/>
      <c r="O864" s="36"/>
      <c r="P864" s="36"/>
      <c r="Q864" s="36"/>
      <c r="R864" s="36"/>
      <c r="S864" s="36"/>
      <c r="T864" s="36"/>
    </row>
    <row r="865" spans="1:20" ht="15.75">
      <c r="A865" s="13">
        <v>67845</v>
      </c>
      <c r="B865" s="44">
        <f t="shared" si="4"/>
        <v>30</v>
      </c>
      <c r="C865" s="35">
        <v>194.20500000000001</v>
      </c>
      <c r="D865" s="35">
        <v>267.46600000000001</v>
      </c>
      <c r="E865" s="41">
        <v>812.32899999999995</v>
      </c>
      <c r="F865" s="35">
        <v>1274</v>
      </c>
      <c r="G865" s="35">
        <v>50</v>
      </c>
      <c r="H865" s="43">
        <v>600</v>
      </c>
      <c r="I865" s="35">
        <v>695</v>
      </c>
      <c r="J865" s="35">
        <v>0</v>
      </c>
      <c r="K865" s="36"/>
      <c r="L865" s="36"/>
      <c r="M865" s="36"/>
      <c r="N865" s="36"/>
      <c r="O865" s="36"/>
      <c r="P865" s="36"/>
      <c r="Q865" s="36"/>
      <c r="R865" s="36"/>
      <c r="S865" s="36"/>
      <c r="T865" s="36"/>
    </row>
    <row r="866" spans="1:20" ht="15.75">
      <c r="A866" s="13">
        <v>67876</v>
      </c>
      <c r="B866" s="44">
        <f t="shared" si="4"/>
        <v>31</v>
      </c>
      <c r="C866" s="35">
        <v>131.881</v>
      </c>
      <c r="D866" s="35">
        <v>277.16699999999997</v>
      </c>
      <c r="E866" s="41">
        <v>829.952</v>
      </c>
      <c r="F866" s="35">
        <v>1239</v>
      </c>
      <c r="G866" s="35">
        <v>75</v>
      </c>
      <c r="H866" s="43">
        <v>600</v>
      </c>
      <c r="I866" s="35">
        <v>695</v>
      </c>
      <c r="J866" s="35">
        <v>0</v>
      </c>
      <c r="K866" s="36"/>
      <c r="L866" s="36"/>
      <c r="M866" s="36"/>
      <c r="N866" s="36"/>
      <c r="O866" s="36"/>
      <c r="P866" s="36"/>
      <c r="Q866" s="36"/>
      <c r="R866" s="36"/>
      <c r="S866" s="36"/>
      <c r="T866" s="36"/>
    </row>
    <row r="867" spans="1:20" ht="15.75">
      <c r="A867" s="13">
        <v>67906</v>
      </c>
      <c r="B867" s="44">
        <f t="shared" si="4"/>
        <v>30</v>
      </c>
      <c r="C867" s="35">
        <v>122.58</v>
      </c>
      <c r="D867" s="35">
        <v>297.94099999999997</v>
      </c>
      <c r="E867" s="41">
        <v>729.47900000000004</v>
      </c>
      <c r="F867" s="35">
        <v>1150</v>
      </c>
      <c r="G867" s="35">
        <v>100</v>
      </c>
      <c r="H867" s="43">
        <v>600</v>
      </c>
      <c r="I867" s="35">
        <v>695</v>
      </c>
      <c r="J867" s="35">
        <v>50</v>
      </c>
      <c r="K867" s="36"/>
      <c r="L867" s="36"/>
      <c r="M867" s="36"/>
      <c r="N867" s="36"/>
      <c r="O867" s="36"/>
      <c r="P867" s="36"/>
      <c r="Q867" s="36"/>
      <c r="R867" s="36"/>
      <c r="S867" s="36"/>
      <c r="T867" s="36"/>
    </row>
    <row r="868" spans="1:20" ht="15.75">
      <c r="A868" s="13">
        <v>67937</v>
      </c>
      <c r="B868" s="44">
        <f t="shared" si="4"/>
        <v>31</v>
      </c>
      <c r="C868" s="35">
        <v>122.58</v>
      </c>
      <c r="D868" s="35">
        <v>297.94099999999997</v>
      </c>
      <c r="E868" s="41">
        <v>729.47900000000004</v>
      </c>
      <c r="F868" s="35">
        <v>1150</v>
      </c>
      <c r="G868" s="35">
        <v>100</v>
      </c>
      <c r="H868" s="43">
        <v>600</v>
      </c>
      <c r="I868" s="35">
        <v>695</v>
      </c>
      <c r="J868" s="35">
        <v>50</v>
      </c>
      <c r="K868" s="36"/>
      <c r="L868" s="36"/>
      <c r="M868" s="36"/>
      <c r="N868" s="36"/>
      <c r="O868" s="36"/>
      <c r="P868" s="36"/>
      <c r="Q868" s="36"/>
      <c r="R868" s="36"/>
      <c r="S868" s="36"/>
      <c r="T868" s="36"/>
    </row>
    <row r="869" spans="1:20" ht="15.75">
      <c r="A869" s="13">
        <v>67968</v>
      </c>
      <c r="B869" s="44">
        <f t="shared" si="4"/>
        <v>31</v>
      </c>
      <c r="C869" s="35">
        <v>122.58</v>
      </c>
      <c r="D869" s="35">
        <v>297.94099999999997</v>
      </c>
      <c r="E869" s="41">
        <v>729.47900000000004</v>
      </c>
      <c r="F869" s="35">
        <v>1150</v>
      </c>
      <c r="G869" s="35">
        <v>100</v>
      </c>
      <c r="H869" s="43">
        <v>600</v>
      </c>
      <c r="I869" s="35">
        <v>695</v>
      </c>
      <c r="J869" s="35">
        <v>50</v>
      </c>
      <c r="K869" s="36"/>
      <c r="L869" s="36"/>
      <c r="M869" s="36"/>
      <c r="N869" s="36"/>
      <c r="O869" s="36"/>
      <c r="P869" s="36"/>
      <c r="Q869" s="36"/>
      <c r="R869" s="36"/>
      <c r="S869" s="36"/>
      <c r="T869" s="36"/>
    </row>
    <row r="870" spans="1:20" ht="15.75">
      <c r="A870" s="13">
        <v>67996</v>
      </c>
      <c r="B870" s="44">
        <f t="shared" si="4"/>
        <v>28</v>
      </c>
      <c r="C870" s="35">
        <v>122.58</v>
      </c>
      <c r="D870" s="35">
        <v>297.94099999999997</v>
      </c>
      <c r="E870" s="41">
        <v>729.47900000000004</v>
      </c>
      <c r="F870" s="35">
        <v>1150</v>
      </c>
      <c r="G870" s="35">
        <v>100</v>
      </c>
      <c r="H870" s="43">
        <v>600</v>
      </c>
      <c r="I870" s="35">
        <v>695</v>
      </c>
      <c r="J870" s="35">
        <v>50</v>
      </c>
      <c r="K870" s="36"/>
      <c r="L870" s="36"/>
      <c r="M870" s="36"/>
      <c r="N870" s="36"/>
      <c r="O870" s="36"/>
      <c r="P870" s="36"/>
      <c r="Q870" s="36"/>
      <c r="R870" s="36"/>
      <c r="S870" s="36"/>
      <c r="T870" s="36"/>
    </row>
    <row r="871" spans="1:20" ht="15.75">
      <c r="A871" s="13">
        <v>68027</v>
      </c>
      <c r="B871" s="44">
        <f t="shared" si="4"/>
        <v>31</v>
      </c>
      <c r="C871" s="35">
        <v>122.58</v>
      </c>
      <c r="D871" s="35">
        <v>297.94099999999997</v>
      </c>
      <c r="E871" s="41">
        <v>729.47900000000004</v>
      </c>
      <c r="F871" s="35">
        <v>1150</v>
      </c>
      <c r="G871" s="35">
        <v>100</v>
      </c>
      <c r="H871" s="43">
        <v>600</v>
      </c>
      <c r="I871" s="35">
        <v>695</v>
      </c>
      <c r="J871" s="35">
        <v>50</v>
      </c>
      <c r="K871" s="36"/>
      <c r="L871" s="36"/>
      <c r="M871" s="36"/>
      <c r="N871" s="36"/>
      <c r="O871" s="36"/>
      <c r="P871" s="36"/>
      <c r="Q871" s="36"/>
      <c r="R871" s="36"/>
      <c r="S871" s="36"/>
      <c r="T871" s="36"/>
    </row>
    <row r="872" spans="1:20" ht="15.75">
      <c r="A872" s="13">
        <v>68057</v>
      </c>
      <c r="B872" s="44">
        <f t="shared" si="4"/>
        <v>30</v>
      </c>
      <c r="C872" s="35">
        <v>141.29300000000001</v>
      </c>
      <c r="D872" s="35">
        <v>267.99299999999999</v>
      </c>
      <c r="E872" s="41">
        <v>829.71400000000006</v>
      </c>
      <c r="F872" s="35">
        <v>1239</v>
      </c>
      <c r="G872" s="35">
        <v>100</v>
      </c>
      <c r="H872" s="43">
        <v>600</v>
      </c>
      <c r="I872" s="35">
        <v>695</v>
      </c>
      <c r="J872" s="35">
        <v>50</v>
      </c>
      <c r="K872" s="36"/>
      <c r="L872" s="36"/>
      <c r="M872" s="36"/>
      <c r="N872" s="36"/>
      <c r="O872" s="36"/>
      <c r="P872" s="36"/>
      <c r="Q872" s="36"/>
      <c r="R872" s="36"/>
      <c r="S872" s="36"/>
      <c r="T872" s="36"/>
    </row>
    <row r="873" spans="1:20" ht="15.75">
      <c r="A873" s="13">
        <v>68088</v>
      </c>
      <c r="B873" s="44">
        <f t="shared" si="4"/>
        <v>31</v>
      </c>
      <c r="C873" s="35">
        <v>194.20500000000001</v>
      </c>
      <c r="D873" s="35">
        <v>267.46600000000001</v>
      </c>
      <c r="E873" s="41">
        <v>812.32899999999995</v>
      </c>
      <c r="F873" s="35">
        <v>1274</v>
      </c>
      <c r="G873" s="35">
        <v>75</v>
      </c>
      <c r="H873" s="43">
        <v>600</v>
      </c>
      <c r="I873" s="35">
        <v>695</v>
      </c>
      <c r="J873" s="35">
        <v>50</v>
      </c>
      <c r="K873" s="36"/>
      <c r="L873" s="36"/>
      <c r="M873" s="36"/>
      <c r="N873" s="36"/>
      <c r="O873" s="36"/>
      <c r="P873" s="36"/>
      <c r="Q873" s="36"/>
      <c r="R873" s="36"/>
      <c r="S873" s="36"/>
      <c r="T873" s="36"/>
    </row>
    <row r="874" spans="1:20" ht="15.75">
      <c r="A874" s="13">
        <v>68118</v>
      </c>
      <c r="B874" s="44">
        <f t="shared" si="4"/>
        <v>30</v>
      </c>
      <c r="C874" s="35">
        <v>194.20500000000001</v>
      </c>
      <c r="D874" s="35">
        <v>267.46600000000001</v>
      </c>
      <c r="E874" s="41">
        <v>812.32899999999995</v>
      </c>
      <c r="F874" s="35">
        <v>1274</v>
      </c>
      <c r="G874" s="35">
        <v>50</v>
      </c>
      <c r="H874" s="43">
        <v>600</v>
      </c>
      <c r="I874" s="35">
        <v>695</v>
      </c>
      <c r="J874" s="35">
        <v>50</v>
      </c>
      <c r="K874" s="36"/>
      <c r="L874" s="36"/>
      <c r="M874" s="36"/>
      <c r="N874" s="36"/>
      <c r="O874" s="36"/>
      <c r="P874" s="36"/>
      <c r="Q874" s="36"/>
      <c r="R874" s="36"/>
      <c r="S874" s="36"/>
      <c r="T874" s="36"/>
    </row>
    <row r="875" spans="1:20" ht="15.75">
      <c r="A875" s="13">
        <v>68149</v>
      </c>
      <c r="B875" s="44">
        <f t="shared" si="4"/>
        <v>31</v>
      </c>
      <c r="C875" s="35">
        <v>194.20500000000001</v>
      </c>
      <c r="D875" s="35">
        <v>267.46600000000001</v>
      </c>
      <c r="E875" s="41">
        <v>812.32899999999995</v>
      </c>
      <c r="F875" s="35">
        <v>1274</v>
      </c>
      <c r="G875" s="35">
        <v>50</v>
      </c>
      <c r="H875" s="43">
        <v>600</v>
      </c>
      <c r="I875" s="35">
        <v>695</v>
      </c>
      <c r="J875" s="35">
        <v>0</v>
      </c>
      <c r="K875" s="36"/>
      <c r="L875" s="36"/>
      <c r="M875" s="36"/>
      <c r="N875" s="36"/>
      <c r="O875" s="36"/>
      <c r="P875" s="36"/>
      <c r="Q875" s="36"/>
      <c r="R875" s="36"/>
      <c r="S875" s="36"/>
      <c r="T875" s="36"/>
    </row>
    <row r="876" spans="1:20" ht="15.75">
      <c r="A876" s="13">
        <v>68180</v>
      </c>
      <c r="B876" s="44">
        <f t="shared" si="4"/>
        <v>31</v>
      </c>
      <c r="C876" s="35">
        <v>194.20500000000001</v>
      </c>
      <c r="D876" s="35">
        <v>267.46600000000001</v>
      </c>
      <c r="E876" s="41">
        <v>812.32899999999995</v>
      </c>
      <c r="F876" s="35">
        <v>1274</v>
      </c>
      <c r="G876" s="35">
        <v>50</v>
      </c>
      <c r="H876" s="43">
        <v>600</v>
      </c>
      <c r="I876" s="35">
        <v>695</v>
      </c>
      <c r="J876" s="35">
        <v>0</v>
      </c>
      <c r="K876" s="36"/>
      <c r="L876" s="36"/>
      <c r="M876" s="36"/>
      <c r="N876" s="36"/>
      <c r="O876" s="36"/>
      <c r="P876" s="36"/>
      <c r="Q876" s="36"/>
      <c r="R876" s="36"/>
      <c r="S876" s="36"/>
      <c r="T876" s="36"/>
    </row>
    <row r="877" spans="1:20" ht="15.75">
      <c r="A877" s="13">
        <v>68210</v>
      </c>
      <c r="B877" s="44">
        <f t="shared" si="4"/>
        <v>30</v>
      </c>
      <c r="C877" s="35">
        <v>194.20500000000001</v>
      </c>
      <c r="D877" s="35">
        <v>267.46600000000001</v>
      </c>
      <c r="E877" s="41">
        <v>812.32899999999995</v>
      </c>
      <c r="F877" s="35">
        <v>1274</v>
      </c>
      <c r="G877" s="35">
        <v>50</v>
      </c>
      <c r="H877" s="43">
        <v>600</v>
      </c>
      <c r="I877" s="35">
        <v>695</v>
      </c>
      <c r="J877" s="35">
        <v>0</v>
      </c>
      <c r="K877" s="36"/>
      <c r="L877" s="36"/>
      <c r="M877" s="36"/>
      <c r="N877" s="36"/>
      <c r="O877" s="36"/>
      <c r="P877" s="36"/>
      <c r="Q877" s="36"/>
      <c r="R877" s="36"/>
      <c r="S877" s="36"/>
      <c r="T877" s="36"/>
    </row>
    <row r="878" spans="1:20" ht="15.75">
      <c r="A878" s="13">
        <v>68241</v>
      </c>
      <c r="B878" s="44">
        <f t="shared" si="4"/>
        <v>31</v>
      </c>
      <c r="C878" s="35">
        <v>131.881</v>
      </c>
      <c r="D878" s="35">
        <v>277.16699999999997</v>
      </c>
      <c r="E878" s="41">
        <v>829.952</v>
      </c>
      <c r="F878" s="35">
        <v>1239</v>
      </c>
      <c r="G878" s="35">
        <v>75</v>
      </c>
      <c r="H878" s="43">
        <v>600</v>
      </c>
      <c r="I878" s="35">
        <v>695</v>
      </c>
      <c r="J878" s="35">
        <v>0</v>
      </c>
      <c r="K878" s="36"/>
      <c r="L878" s="36"/>
      <c r="M878" s="36"/>
      <c r="N878" s="36"/>
      <c r="O878" s="36"/>
      <c r="P878" s="36"/>
      <c r="Q878" s="36"/>
      <c r="R878" s="36"/>
      <c r="S878" s="36"/>
      <c r="T878" s="36"/>
    </row>
    <row r="879" spans="1:20" ht="15.75">
      <c r="A879" s="13">
        <v>68271</v>
      </c>
      <c r="B879" s="44">
        <f t="shared" si="4"/>
        <v>30</v>
      </c>
      <c r="C879" s="35">
        <v>122.58</v>
      </c>
      <c r="D879" s="35">
        <v>297.94099999999997</v>
      </c>
      <c r="E879" s="41">
        <v>729.47900000000004</v>
      </c>
      <c r="F879" s="35">
        <v>1150</v>
      </c>
      <c r="G879" s="35">
        <v>100</v>
      </c>
      <c r="H879" s="43">
        <v>600</v>
      </c>
      <c r="I879" s="35">
        <v>695</v>
      </c>
      <c r="J879" s="35">
        <v>50</v>
      </c>
      <c r="K879" s="36"/>
      <c r="L879" s="36"/>
      <c r="M879" s="36"/>
      <c r="N879" s="36"/>
      <c r="O879" s="36"/>
      <c r="P879" s="36"/>
      <c r="Q879" s="36"/>
      <c r="R879" s="36"/>
      <c r="S879" s="36"/>
      <c r="T879" s="36"/>
    </row>
    <row r="880" spans="1:20" ht="15.75">
      <c r="A880" s="13">
        <v>68302</v>
      </c>
      <c r="B880" s="44">
        <f t="shared" si="4"/>
        <v>31</v>
      </c>
      <c r="C880" s="35">
        <v>122.58</v>
      </c>
      <c r="D880" s="35">
        <v>297.94099999999997</v>
      </c>
      <c r="E880" s="41">
        <v>729.47900000000004</v>
      </c>
      <c r="F880" s="35">
        <v>1150</v>
      </c>
      <c r="G880" s="35">
        <v>100</v>
      </c>
      <c r="H880" s="43">
        <v>600</v>
      </c>
      <c r="I880" s="35">
        <v>695</v>
      </c>
      <c r="J880" s="35">
        <v>50</v>
      </c>
      <c r="K880" s="36"/>
      <c r="L880" s="36"/>
      <c r="M880" s="36"/>
      <c r="N880" s="36"/>
      <c r="O880" s="36"/>
      <c r="P880" s="36"/>
      <c r="Q880" s="36"/>
      <c r="R880" s="36"/>
      <c r="S880" s="36"/>
      <c r="T880" s="36"/>
    </row>
    <row r="881" spans="1:20" ht="15.75">
      <c r="A881" s="13">
        <v>68333</v>
      </c>
      <c r="B881" s="44">
        <f t="shared" si="4"/>
        <v>31</v>
      </c>
      <c r="C881" s="35">
        <v>122.58</v>
      </c>
      <c r="D881" s="35">
        <v>297.94099999999997</v>
      </c>
      <c r="E881" s="41">
        <v>729.47900000000004</v>
      </c>
      <c r="F881" s="35">
        <v>1150</v>
      </c>
      <c r="G881" s="35">
        <v>100</v>
      </c>
      <c r="H881" s="43">
        <v>600</v>
      </c>
      <c r="I881" s="35">
        <v>695</v>
      </c>
      <c r="J881" s="35">
        <v>50</v>
      </c>
      <c r="K881" s="36"/>
      <c r="L881" s="36"/>
      <c r="M881" s="36"/>
      <c r="N881" s="36"/>
      <c r="O881" s="36"/>
      <c r="P881" s="36"/>
      <c r="Q881" s="36"/>
      <c r="R881" s="36"/>
      <c r="S881" s="36"/>
      <c r="T881" s="36"/>
    </row>
    <row r="882" spans="1:20" ht="15.75">
      <c r="A882" s="13">
        <v>68361</v>
      </c>
      <c r="B882" s="44">
        <f t="shared" si="4"/>
        <v>28</v>
      </c>
      <c r="C882" s="35">
        <v>122.58</v>
      </c>
      <c r="D882" s="35">
        <v>297.94099999999997</v>
      </c>
      <c r="E882" s="41">
        <v>729.47900000000004</v>
      </c>
      <c r="F882" s="35">
        <v>1150</v>
      </c>
      <c r="G882" s="35">
        <v>100</v>
      </c>
      <c r="H882" s="43">
        <v>600</v>
      </c>
      <c r="I882" s="35">
        <v>695</v>
      </c>
      <c r="J882" s="35">
        <v>50</v>
      </c>
      <c r="K882" s="36"/>
      <c r="L882" s="36"/>
      <c r="M882" s="36"/>
      <c r="N882" s="36"/>
      <c r="O882" s="36"/>
      <c r="P882" s="36"/>
      <c r="Q882" s="36"/>
      <c r="R882" s="36"/>
      <c r="S882" s="36"/>
      <c r="T882" s="36"/>
    </row>
    <row r="883" spans="1:20" ht="15.75">
      <c r="A883" s="13">
        <v>68392</v>
      </c>
      <c r="B883" s="44">
        <f t="shared" si="4"/>
        <v>31</v>
      </c>
      <c r="C883" s="35">
        <v>122.58</v>
      </c>
      <c r="D883" s="35">
        <v>297.94099999999997</v>
      </c>
      <c r="E883" s="41">
        <v>729.47900000000004</v>
      </c>
      <c r="F883" s="35">
        <v>1150</v>
      </c>
      <c r="G883" s="35">
        <v>100</v>
      </c>
      <c r="H883" s="43">
        <v>600</v>
      </c>
      <c r="I883" s="35">
        <v>695</v>
      </c>
      <c r="J883" s="35">
        <v>50</v>
      </c>
      <c r="K883" s="36"/>
      <c r="L883" s="36"/>
      <c r="M883" s="36"/>
      <c r="N883" s="36"/>
      <c r="O883" s="36"/>
      <c r="P883" s="36"/>
      <c r="Q883" s="36"/>
      <c r="R883" s="36"/>
      <c r="S883" s="36"/>
      <c r="T883" s="36"/>
    </row>
    <row r="884" spans="1:20" ht="15.75">
      <c r="A884" s="13">
        <v>68422</v>
      </c>
      <c r="B884" s="44">
        <f t="shared" si="4"/>
        <v>30</v>
      </c>
      <c r="C884" s="35">
        <v>141.29300000000001</v>
      </c>
      <c r="D884" s="35">
        <v>267.99299999999999</v>
      </c>
      <c r="E884" s="41">
        <v>829.71400000000006</v>
      </c>
      <c r="F884" s="35">
        <v>1239</v>
      </c>
      <c r="G884" s="35">
        <v>100</v>
      </c>
      <c r="H884" s="43">
        <v>600</v>
      </c>
      <c r="I884" s="35">
        <v>695</v>
      </c>
      <c r="J884" s="35">
        <v>50</v>
      </c>
      <c r="K884" s="36"/>
      <c r="L884" s="36"/>
      <c r="M884" s="36"/>
      <c r="N884" s="36"/>
      <c r="O884" s="36"/>
      <c r="P884" s="36"/>
      <c r="Q884" s="36"/>
      <c r="R884" s="36"/>
      <c r="S884" s="36"/>
      <c r="T884" s="36"/>
    </row>
    <row r="885" spans="1:20" ht="15.75">
      <c r="A885" s="13">
        <v>68453</v>
      </c>
      <c r="B885" s="44">
        <f t="shared" si="4"/>
        <v>31</v>
      </c>
      <c r="C885" s="35">
        <v>194.20500000000001</v>
      </c>
      <c r="D885" s="35">
        <v>267.46600000000001</v>
      </c>
      <c r="E885" s="41">
        <v>812.32899999999995</v>
      </c>
      <c r="F885" s="35">
        <v>1274</v>
      </c>
      <c r="G885" s="35">
        <v>75</v>
      </c>
      <c r="H885" s="43">
        <v>600</v>
      </c>
      <c r="I885" s="35">
        <v>695</v>
      </c>
      <c r="J885" s="35">
        <v>50</v>
      </c>
      <c r="K885" s="36"/>
      <c r="L885" s="36"/>
      <c r="M885" s="36"/>
      <c r="N885" s="36"/>
      <c r="O885" s="36"/>
      <c r="P885" s="36"/>
      <c r="Q885" s="36"/>
      <c r="R885" s="36"/>
      <c r="S885" s="36"/>
      <c r="T885" s="36"/>
    </row>
    <row r="886" spans="1:20" ht="15.75">
      <c r="A886" s="13">
        <v>68483</v>
      </c>
      <c r="B886" s="44">
        <f t="shared" si="4"/>
        <v>30</v>
      </c>
      <c r="C886" s="35">
        <v>194.20500000000001</v>
      </c>
      <c r="D886" s="35">
        <v>267.46600000000001</v>
      </c>
      <c r="E886" s="41">
        <v>812.32899999999995</v>
      </c>
      <c r="F886" s="35">
        <v>1274</v>
      </c>
      <c r="G886" s="35">
        <v>50</v>
      </c>
      <c r="H886" s="43">
        <v>600</v>
      </c>
      <c r="I886" s="35">
        <v>695</v>
      </c>
      <c r="J886" s="35">
        <v>50</v>
      </c>
      <c r="K886" s="36"/>
      <c r="L886" s="36"/>
      <c r="M886" s="36"/>
      <c r="N886" s="36"/>
      <c r="O886" s="36"/>
      <c r="P886" s="36"/>
      <c r="Q886" s="36"/>
      <c r="R886" s="36"/>
      <c r="S886" s="36"/>
      <c r="T886" s="36"/>
    </row>
    <row r="887" spans="1:20" ht="15.75">
      <c r="A887" s="13">
        <v>68514</v>
      </c>
      <c r="B887" s="44">
        <f t="shared" si="4"/>
        <v>31</v>
      </c>
      <c r="C887" s="35">
        <v>194.20500000000001</v>
      </c>
      <c r="D887" s="35">
        <v>267.46600000000001</v>
      </c>
      <c r="E887" s="41">
        <v>812.32899999999995</v>
      </c>
      <c r="F887" s="35">
        <v>1274</v>
      </c>
      <c r="G887" s="35">
        <v>50</v>
      </c>
      <c r="H887" s="43">
        <v>600</v>
      </c>
      <c r="I887" s="35">
        <v>695</v>
      </c>
      <c r="J887" s="35">
        <v>0</v>
      </c>
      <c r="K887" s="36"/>
      <c r="L887" s="36"/>
      <c r="M887" s="36"/>
      <c r="N887" s="36"/>
      <c r="O887" s="36"/>
      <c r="P887" s="36"/>
      <c r="Q887" s="36"/>
      <c r="R887" s="36"/>
      <c r="S887" s="36"/>
      <c r="T887" s="36"/>
    </row>
    <row r="888" spans="1:20" ht="15.75">
      <c r="A888" s="13">
        <v>68545</v>
      </c>
      <c r="B888" s="44">
        <f t="shared" si="4"/>
        <v>31</v>
      </c>
      <c r="C888" s="35">
        <v>194.20500000000001</v>
      </c>
      <c r="D888" s="35">
        <v>267.46600000000001</v>
      </c>
      <c r="E888" s="41">
        <v>812.32899999999995</v>
      </c>
      <c r="F888" s="35">
        <v>1274</v>
      </c>
      <c r="G888" s="35">
        <v>50</v>
      </c>
      <c r="H888" s="43">
        <v>600</v>
      </c>
      <c r="I888" s="35">
        <v>695</v>
      </c>
      <c r="J888" s="35">
        <v>0</v>
      </c>
      <c r="K888" s="36"/>
      <c r="L888" s="36"/>
      <c r="M888" s="36"/>
      <c r="N888" s="36"/>
      <c r="O888" s="36"/>
      <c r="P888" s="36"/>
      <c r="Q888" s="36"/>
      <c r="R888" s="36"/>
      <c r="S888" s="36"/>
      <c r="T888" s="36"/>
    </row>
    <row r="889" spans="1:20" ht="15.75">
      <c r="A889" s="13">
        <v>68575</v>
      </c>
      <c r="B889" s="44">
        <f t="shared" si="4"/>
        <v>30</v>
      </c>
      <c r="C889" s="35">
        <v>194.20500000000001</v>
      </c>
      <c r="D889" s="35">
        <v>267.46600000000001</v>
      </c>
      <c r="E889" s="41">
        <v>812.32899999999995</v>
      </c>
      <c r="F889" s="35">
        <v>1274</v>
      </c>
      <c r="G889" s="35">
        <v>50</v>
      </c>
      <c r="H889" s="43">
        <v>600</v>
      </c>
      <c r="I889" s="35">
        <v>695</v>
      </c>
      <c r="J889" s="35">
        <v>0</v>
      </c>
      <c r="K889" s="36"/>
      <c r="L889" s="36"/>
      <c r="M889" s="36"/>
      <c r="N889" s="36"/>
      <c r="O889" s="36"/>
      <c r="P889" s="36"/>
      <c r="Q889" s="36"/>
      <c r="R889" s="36"/>
      <c r="S889" s="36"/>
      <c r="T889" s="36"/>
    </row>
    <row r="890" spans="1:20" ht="15.75">
      <c r="A890" s="13">
        <v>68606</v>
      </c>
      <c r="B890" s="44">
        <f t="shared" si="4"/>
        <v>31</v>
      </c>
      <c r="C890" s="35">
        <v>131.881</v>
      </c>
      <c r="D890" s="35">
        <v>277.16699999999997</v>
      </c>
      <c r="E890" s="41">
        <v>829.952</v>
      </c>
      <c r="F890" s="35">
        <v>1239</v>
      </c>
      <c r="G890" s="35">
        <v>75</v>
      </c>
      <c r="H890" s="43">
        <v>600</v>
      </c>
      <c r="I890" s="35">
        <v>695</v>
      </c>
      <c r="J890" s="35">
        <v>0</v>
      </c>
      <c r="K890" s="36"/>
      <c r="L890" s="36"/>
      <c r="M890" s="36"/>
      <c r="N890" s="36"/>
      <c r="O890" s="36"/>
      <c r="P890" s="36"/>
      <c r="Q890" s="36"/>
      <c r="R890" s="36"/>
      <c r="S890" s="36"/>
      <c r="T890" s="36"/>
    </row>
    <row r="891" spans="1:20" ht="15.75">
      <c r="A891" s="13">
        <v>68636</v>
      </c>
      <c r="B891" s="44">
        <f t="shared" si="4"/>
        <v>30</v>
      </c>
      <c r="C891" s="35">
        <v>122.58</v>
      </c>
      <c r="D891" s="35">
        <v>297.94099999999997</v>
      </c>
      <c r="E891" s="41">
        <v>729.47900000000004</v>
      </c>
      <c r="F891" s="35">
        <v>1150</v>
      </c>
      <c r="G891" s="35">
        <v>100</v>
      </c>
      <c r="H891" s="43">
        <v>600</v>
      </c>
      <c r="I891" s="35">
        <v>695</v>
      </c>
      <c r="J891" s="35">
        <v>50</v>
      </c>
      <c r="K891" s="36"/>
      <c r="L891" s="36"/>
      <c r="M891" s="36"/>
      <c r="N891" s="36"/>
      <c r="O891" s="36"/>
      <c r="P891" s="36"/>
      <c r="Q891" s="36"/>
      <c r="R891" s="36"/>
      <c r="S891" s="36"/>
      <c r="T891" s="36"/>
    </row>
    <row r="892" spans="1:20" ht="15.75">
      <c r="A892" s="13">
        <v>68667</v>
      </c>
      <c r="B892" s="44">
        <f t="shared" si="4"/>
        <v>31</v>
      </c>
      <c r="C892" s="35">
        <v>122.58</v>
      </c>
      <c r="D892" s="35">
        <v>297.94099999999997</v>
      </c>
      <c r="E892" s="41">
        <v>729.47900000000004</v>
      </c>
      <c r="F892" s="35">
        <v>1150</v>
      </c>
      <c r="G892" s="35">
        <v>100</v>
      </c>
      <c r="H892" s="43">
        <v>600</v>
      </c>
      <c r="I892" s="35">
        <v>695</v>
      </c>
      <c r="J892" s="35">
        <v>50</v>
      </c>
      <c r="K892" s="36"/>
      <c r="L892" s="36"/>
      <c r="M892" s="36"/>
      <c r="N892" s="36"/>
      <c r="O892" s="36"/>
      <c r="P892" s="36"/>
      <c r="Q892" s="36"/>
      <c r="R892" s="36"/>
      <c r="S892" s="36"/>
      <c r="T892" s="36"/>
    </row>
    <row r="893" spans="1:20" ht="15.75">
      <c r="A893" s="13">
        <v>68698</v>
      </c>
      <c r="B893" s="44">
        <f t="shared" si="4"/>
        <v>31</v>
      </c>
      <c r="C893" s="35">
        <v>122.58</v>
      </c>
      <c r="D893" s="35">
        <v>297.94099999999997</v>
      </c>
      <c r="E893" s="41">
        <v>729.47900000000004</v>
      </c>
      <c r="F893" s="35">
        <v>1150</v>
      </c>
      <c r="G893" s="35">
        <v>100</v>
      </c>
      <c r="H893" s="43">
        <v>600</v>
      </c>
      <c r="I893" s="35">
        <v>695</v>
      </c>
      <c r="J893" s="35">
        <v>50</v>
      </c>
      <c r="K893" s="36"/>
      <c r="L893" s="36"/>
      <c r="M893" s="36"/>
      <c r="N893" s="36"/>
      <c r="O893" s="36"/>
      <c r="P893" s="36"/>
      <c r="Q893" s="36"/>
      <c r="R893" s="36"/>
      <c r="S893" s="36"/>
      <c r="T893" s="36"/>
    </row>
    <row r="894" spans="1:20" ht="15.75">
      <c r="A894" s="13">
        <v>68727</v>
      </c>
      <c r="B894" s="44">
        <f t="shared" si="4"/>
        <v>29</v>
      </c>
      <c r="C894" s="35">
        <v>122.58</v>
      </c>
      <c r="D894" s="35">
        <v>297.94099999999997</v>
      </c>
      <c r="E894" s="41">
        <v>729.47900000000004</v>
      </c>
      <c r="F894" s="35">
        <v>1150</v>
      </c>
      <c r="G894" s="35">
        <v>100</v>
      </c>
      <c r="H894" s="43">
        <v>600</v>
      </c>
      <c r="I894" s="35">
        <v>695</v>
      </c>
      <c r="J894" s="35">
        <v>50</v>
      </c>
      <c r="K894" s="36"/>
      <c r="L894" s="36"/>
      <c r="M894" s="36"/>
      <c r="N894" s="36"/>
      <c r="O894" s="36"/>
      <c r="P894" s="36"/>
      <c r="Q894" s="36"/>
      <c r="R894" s="36"/>
      <c r="S894" s="36"/>
      <c r="T894" s="36"/>
    </row>
    <row r="895" spans="1:20" ht="15.75">
      <c r="A895" s="13">
        <v>68758</v>
      </c>
      <c r="B895" s="44">
        <f t="shared" si="4"/>
        <v>31</v>
      </c>
      <c r="C895" s="35">
        <v>122.58</v>
      </c>
      <c r="D895" s="35">
        <v>297.94099999999997</v>
      </c>
      <c r="E895" s="41">
        <v>729.47900000000004</v>
      </c>
      <c r="F895" s="35">
        <v>1150</v>
      </c>
      <c r="G895" s="35">
        <v>100</v>
      </c>
      <c r="H895" s="43">
        <v>600</v>
      </c>
      <c r="I895" s="35">
        <v>695</v>
      </c>
      <c r="J895" s="35">
        <v>50</v>
      </c>
      <c r="K895" s="36"/>
      <c r="L895" s="36"/>
      <c r="M895" s="36"/>
      <c r="N895" s="36"/>
      <c r="O895" s="36"/>
      <c r="P895" s="36"/>
      <c r="Q895" s="36"/>
      <c r="R895" s="36"/>
      <c r="S895" s="36"/>
      <c r="T895" s="36"/>
    </row>
    <row r="896" spans="1:20" ht="15.75">
      <c r="A896" s="13">
        <v>68788</v>
      </c>
      <c r="B896" s="44">
        <f t="shared" si="4"/>
        <v>30</v>
      </c>
      <c r="C896" s="35">
        <v>141.29300000000001</v>
      </c>
      <c r="D896" s="35">
        <v>267.99299999999999</v>
      </c>
      <c r="E896" s="41">
        <v>829.71400000000006</v>
      </c>
      <c r="F896" s="35">
        <v>1239</v>
      </c>
      <c r="G896" s="35">
        <v>100</v>
      </c>
      <c r="H896" s="43">
        <v>600</v>
      </c>
      <c r="I896" s="35">
        <v>695</v>
      </c>
      <c r="J896" s="35">
        <v>50</v>
      </c>
      <c r="K896" s="36"/>
      <c r="L896" s="36"/>
      <c r="M896" s="36"/>
      <c r="N896" s="36"/>
      <c r="O896" s="36"/>
      <c r="P896" s="36"/>
      <c r="Q896" s="36"/>
      <c r="R896" s="36"/>
      <c r="S896" s="36"/>
      <c r="T896" s="36"/>
    </row>
    <row r="897" spans="1:20" ht="15.75">
      <c r="A897" s="13">
        <v>68819</v>
      </c>
      <c r="B897" s="44">
        <f t="shared" si="4"/>
        <v>31</v>
      </c>
      <c r="C897" s="35">
        <v>194.20500000000001</v>
      </c>
      <c r="D897" s="35">
        <v>267.46600000000001</v>
      </c>
      <c r="E897" s="41">
        <v>812.32899999999995</v>
      </c>
      <c r="F897" s="35">
        <v>1274</v>
      </c>
      <c r="G897" s="35">
        <v>75</v>
      </c>
      <c r="H897" s="43">
        <v>600</v>
      </c>
      <c r="I897" s="35">
        <v>695</v>
      </c>
      <c r="J897" s="35">
        <v>50</v>
      </c>
      <c r="K897" s="36"/>
      <c r="L897" s="36"/>
      <c r="M897" s="36"/>
      <c r="N897" s="36"/>
      <c r="O897" s="36"/>
      <c r="P897" s="36"/>
      <c r="Q897" s="36"/>
      <c r="R897" s="36"/>
      <c r="S897" s="36"/>
      <c r="T897" s="36"/>
    </row>
    <row r="898" spans="1:20" ht="15.75">
      <c r="A898" s="13">
        <v>68849</v>
      </c>
      <c r="B898" s="44">
        <f t="shared" si="4"/>
        <v>30</v>
      </c>
      <c r="C898" s="35">
        <v>194.20500000000001</v>
      </c>
      <c r="D898" s="35">
        <v>267.46600000000001</v>
      </c>
      <c r="E898" s="41">
        <v>812.32899999999995</v>
      </c>
      <c r="F898" s="35">
        <v>1274</v>
      </c>
      <c r="G898" s="35">
        <v>50</v>
      </c>
      <c r="H898" s="43">
        <v>600</v>
      </c>
      <c r="I898" s="35">
        <v>695</v>
      </c>
      <c r="J898" s="35">
        <v>50</v>
      </c>
      <c r="K898" s="36"/>
      <c r="L898" s="36"/>
      <c r="M898" s="36"/>
      <c r="N898" s="36"/>
      <c r="O898" s="36"/>
      <c r="P898" s="36"/>
      <c r="Q898" s="36"/>
      <c r="R898" s="36"/>
      <c r="S898" s="36"/>
      <c r="T898" s="36"/>
    </row>
    <row r="899" spans="1:20" ht="15.75">
      <c r="A899" s="13">
        <v>68880</v>
      </c>
      <c r="B899" s="44">
        <f t="shared" si="4"/>
        <v>31</v>
      </c>
      <c r="C899" s="35">
        <v>194.20500000000001</v>
      </c>
      <c r="D899" s="35">
        <v>267.46600000000001</v>
      </c>
      <c r="E899" s="41">
        <v>812.32899999999995</v>
      </c>
      <c r="F899" s="35">
        <v>1274</v>
      </c>
      <c r="G899" s="35">
        <v>50</v>
      </c>
      <c r="H899" s="43">
        <v>600</v>
      </c>
      <c r="I899" s="35">
        <v>695</v>
      </c>
      <c r="J899" s="35">
        <v>0</v>
      </c>
      <c r="K899" s="36"/>
      <c r="L899" s="36"/>
      <c r="M899" s="36"/>
      <c r="N899" s="36"/>
      <c r="O899" s="36"/>
      <c r="P899" s="36"/>
      <c r="Q899" s="36"/>
      <c r="R899" s="36"/>
      <c r="S899" s="36"/>
      <c r="T899" s="36"/>
    </row>
    <row r="900" spans="1:20" ht="15.75">
      <c r="A900" s="13">
        <v>68911</v>
      </c>
      <c r="B900" s="44">
        <f t="shared" si="4"/>
        <v>31</v>
      </c>
      <c r="C900" s="35">
        <v>194.20500000000001</v>
      </c>
      <c r="D900" s="35">
        <v>267.46600000000001</v>
      </c>
      <c r="E900" s="41">
        <v>812.32899999999995</v>
      </c>
      <c r="F900" s="35">
        <v>1274</v>
      </c>
      <c r="G900" s="35">
        <v>50</v>
      </c>
      <c r="H900" s="43">
        <v>600</v>
      </c>
      <c r="I900" s="35">
        <v>695</v>
      </c>
      <c r="J900" s="35">
        <v>0</v>
      </c>
      <c r="K900" s="36"/>
      <c r="L900" s="36"/>
      <c r="M900" s="36"/>
      <c r="N900" s="36"/>
      <c r="O900" s="36"/>
      <c r="P900" s="36"/>
      <c r="Q900" s="36"/>
      <c r="R900" s="36"/>
      <c r="S900" s="36"/>
      <c r="T900" s="36"/>
    </row>
    <row r="901" spans="1:20" ht="15.75">
      <c r="A901" s="13">
        <v>68941</v>
      </c>
      <c r="B901" s="44">
        <f t="shared" ref="B901:B964" si="5">EOMONTH(A901,0)-EOMONTH(A901,-1)</f>
        <v>30</v>
      </c>
      <c r="C901" s="35">
        <v>194.20500000000001</v>
      </c>
      <c r="D901" s="35">
        <v>267.46600000000001</v>
      </c>
      <c r="E901" s="41">
        <v>812.32899999999995</v>
      </c>
      <c r="F901" s="35">
        <v>1274</v>
      </c>
      <c r="G901" s="35">
        <v>50</v>
      </c>
      <c r="H901" s="43">
        <v>600</v>
      </c>
      <c r="I901" s="35">
        <v>695</v>
      </c>
      <c r="J901" s="35">
        <v>0</v>
      </c>
      <c r="K901" s="36"/>
      <c r="L901" s="36"/>
      <c r="M901" s="36"/>
      <c r="N901" s="36"/>
      <c r="O901" s="36"/>
      <c r="P901" s="36"/>
      <c r="Q901" s="36"/>
      <c r="R901" s="36"/>
      <c r="S901" s="36"/>
      <c r="T901" s="36"/>
    </row>
    <row r="902" spans="1:20" ht="15.75">
      <c r="A902" s="13">
        <v>68972</v>
      </c>
      <c r="B902" s="44">
        <f t="shared" si="5"/>
        <v>31</v>
      </c>
      <c r="C902" s="35">
        <v>131.881</v>
      </c>
      <c r="D902" s="35">
        <v>277.16699999999997</v>
      </c>
      <c r="E902" s="41">
        <v>829.952</v>
      </c>
      <c r="F902" s="35">
        <v>1239</v>
      </c>
      <c r="G902" s="35">
        <v>75</v>
      </c>
      <c r="H902" s="43">
        <v>600</v>
      </c>
      <c r="I902" s="35">
        <v>695</v>
      </c>
      <c r="J902" s="35">
        <v>0</v>
      </c>
      <c r="K902" s="36"/>
      <c r="L902" s="36"/>
      <c r="M902" s="36"/>
      <c r="N902" s="36"/>
      <c r="O902" s="36"/>
      <c r="P902" s="36"/>
      <c r="Q902" s="36"/>
      <c r="R902" s="36"/>
      <c r="S902" s="36"/>
      <c r="T902" s="36"/>
    </row>
    <row r="903" spans="1:20" ht="15.75">
      <c r="A903" s="13">
        <v>69002</v>
      </c>
      <c r="B903" s="44">
        <f t="shared" si="5"/>
        <v>30</v>
      </c>
      <c r="C903" s="35">
        <v>122.58</v>
      </c>
      <c r="D903" s="35">
        <v>297.94099999999997</v>
      </c>
      <c r="E903" s="41">
        <v>729.47900000000004</v>
      </c>
      <c r="F903" s="35">
        <v>1150</v>
      </c>
      <c r="G903" s="35">
        <v>100</v>
      </c>
      <c r="H903" s="43">
        <v>600</v>
      </c>
      <c r="I903" s="35">
        <v>695</v>
      </c>
      <c r="J903" s="35">
        <v>50</v>
      </c>
      <c r="K903" s="36"/>
      <c r="L903" s="36"/>
      <c r="M903" s="36"/>
      <c r="N903" s="36"/>
      <c r="O903" s="36"/>
      <c r="P903" s="36"/>
      <c r="Q903" s="36"/>
      <c r="R903" s="36"/>
      <c r="S903" s="36"/>
      <c r="T903" s="36"/>
    </row>
    <row r="904" spans="1:20" ht="15.75">
      <c r="A904" s="13">
        <v>69033</v>
      </c>
      <c r="B904" s="44">
        <f t="shared" si="5"/>
        <v>31</v>
      </c>
      <c r="C904" s="35">
        <v>122.58</v>
      </c>
      <c r="D904" s="35">
        <v>297.94099999999997</v>
      </c>
      <c r="E904" s="41">
        <v>729.47900000000004</v>
      </c>
      <c r="F904" s="35">
        <v>1150</v>
      </c>
      <c r="G904" s="35">
        <v>100</v>
      </c>
      <c r="H904" s="43">
        <v>600</v>
      </c>
      <c r="I904" s="35">
        <v>695</v>
      </c>
      <c r="J904" s="35">
        <v>50</v>
      </c>
      <c r="K904" s="36"/>
      <c r="L904" s="36"/>
      <c r="M904" s="36"/>
      <c r="N904" s="36"/>
      <c r="O904" s="36"/>
      <c r="P904" s="36"/>
      <c r="Q904" s="36"/>
      <c r="R904" s="36"/>
      <c r="S904" s="36"/>
      <c r="T904" s="36"/>
    </row>
    <row r="905" spans="1:20" ht="15.75">
      <c r="A905" s="13">
        <v>69064</v>
      </c>
      <c r="B905" s="44">
        <f t="shared" si="5"/>
        <v>31</v>
      </c>
      <c r="C905" s="35">
        <v>122.58</v>
      </c>
      <c r="D905" s="35">
        <v>297.94099999999997</v>
      </c>
      <c r="E905" s="41">
        <v>729.47900000000004</v>
      </c>
      <c r="F905" s="35">
        <v>1150</v>
      </c>
      <c r="G905" s="35">
        <v>100</v>
      </c>
      <c r="H905" s="43">
        <v>600</v>
      </c>
      <c r="I905" s="35">
        <v>695</v>
      </c>
      <c r="J905" s="35">
        <v>50</v>
      </c>
      <c r="K905" s="36"/>
      <c r="L905" s="36"/>
      <c r="M905" s="36"/>
      <c r="N905" s="36"/>
      <c r="O905" s="36"/>
      <c r="P905" s="36"/>
      <c r="Q905" s="36"/>
      <c r="R905" s="36"/>
      <c r="S905" s="36"/>
      <c r="T905" s="36"/>
    </row>
    <row r="906" spans="1:20" ht="15.75">
      <c r="A906" s="13">
        <v>69092</v>
      </c>
      <c r="B906" s="44">
        <f t="shared" si="5"/>
        <v>28</v>
      </c>
      <c r="C906" s="35">
        <v>122.58</v>
      </c>
      <c r="D906" s="35">
        <v>297.94099999999997</v>
      </c>
      <c r="E906" s="41">
        <v>729.47900000000004</v>
      </c>
      <c r="F906" s="35">
        <v>1150</v>
      </c>
      <c r="G906" s="35">
        <v>100</v>
      </c>
      <c r="H906" s="43">
        <v>600</v>
      </c>
      <c r="I906" s="35">
        <v>695</v>
      </c>
      <c r="J906" s="35">
        <v>50</v>
      </c>
      <c r="K906" s="36"/>
      <c r="L906" s="36"/>
      <c r="M906" s="36"/>
      <c r="N906" s="36"/>
      <c r="O906" s="36"/>
      <c r="P906" s="36"/>
      <c r="Q906" s="36"/>
      <c r="R906" s="36"/>
      <c r="S906" s="36"/>
      <c r="T906" s="36"/>
    </row>
    <row r="907" spans="1:20" ht="15.75">
      <c r="A907" s="13">
        <v>69123</v>
      </c>
      <c r="B907" s="44">
        <f t="shared" si="5"/>
        <v>31</v>
      </c>
      <c r="C907" s="35">
        <v>122.58</v>
      </c>
      <c r="D907" s="35">
        <v>297.94099999999997</v>
      </c>
      <c r="E907" s="41">
        <v>729.47900000000004</v>
      </c>
      <c r="F907" s="35">
        <v>1150</v>
      </c>
      <c r="G907" s="35">
        <v>100</v>
      </c>
      <c r="H907" s="43">
        <v>600</v>
      </c>
      <c r="I907" s="35">
        <v>695</v>
      </c>
      <c r="J907" s="35">
        <v>50</v>
      </c>
      <c r="K907" s="36"/>
      <c r="L907" s="36"/>
      <c r="M907" s="36"/>
      <c r="N907" s="36"/>
      <c r="O907" s="36"/>
      <c r="P907" s="36"/>
      <c r="Q907" s="36"/>
      <c r="R907" s="36"/>
      <c r="S907" s="36"/>
      <c r="T907" s="36"/>
    </row>
    <row r="908" spans="1:20" ht="15.75">
      <c r="A908" s="13">
        <v>69153</v>
      </c>
      <c r="B908" s="44">
        <f t="shared" si="5"/>
        <v>30</v>
      </c>
      <c r="C908" s="35">
        <v>141.29300000000001</v>
      </c>
      <c r="D908" s="35">
        <v>267.99299999999999</v>
      </c>
      <c r="E908" s="41">
        <v>829.71400000000006</v>
      </c>
      <c r="F908" s="35">
        <v>1239</v>
      </c>
      <c r="G908" s="35">
        <v>100</v>
      </c>
      <c r="H908" s="43">
        <v>600</v>
      </c>
      <c r="I908" s="35">
        <v>695</v>
      </c>
      <c r="J908" s="35">
        <v>50</v>
      </c>
      <c r="K908" s="36"/>
      <c r="L908" s="36"/>
      <c r="M908" s="36"/>
      <c r="N908" s="36"/>
      <c r="O908" s="36"/>
      <c r="P908" s="36"/>
      <c r="Q908" s="36"/>
      <c r="R908" s="36"/>
      <c r="S908" s="36"/>
      <c r="T908" s="36"/>
    </row>
    <row r="909" spans="1:20" ht="15.75">
      <c r="A909" s="13">
        <v>69184</v>
      </c>
      <c r="B909" s="44">
        <f t="shared" si="5"/>
        <v>31</v>
      </c>
      <c r="C909" s="35">
        <v>194.20500000000001</v>
      </c>
      <c r="D909" s="35">
        <v>267.46600000000001</v>
      </c>
      <c r="E909" s="41">
        <v>812.32899999999995</v>
      </c>
      <c r="F909" s="35">
        <v>1274</v>
      </c>
      <c r="G909" s="35">
        <v>75</v>
      </c>
      <c r="H909" s="43">
        <v>600</v>
      </c>
      <c r="I909" s="35">
        <v>695</v>
      </c>
      <c r="J909" s="35">
        <v>50</v>
      </c>
      <c r="K909" s="36"/>
      <c r="L909" s="36"/>
      <c r="M909" s="36"/>
      <c r="N909" s="36"/>
      <c r="O909" s="36"/>
      <c r="P909" s="36"/>
      <c r="Q909" s="36"/>
      <c r="R909" s="36"/>
      <c r="S909" s="36"/>
      <c r="T909" s="36"/>
    </row>
    <row r="910" spans="1:20" ht="15.75">
      <c r="A910" s="13">
        <v>69214</v>
      </c>
      <c r="B910" s="44">
        <f t="shared" si="5"/>
        <v>30</v>
      </c>
      <c r="C910" s="35">
        <v>194.20500000000001</v>
      </c>
      <c r="D910" s="35">
        <v>267.46600000000001</v>
      </c>
      <c r="E910" s="41">
        <v>812.32899999999995</v>
      </c>
      <c r="F910" s="35">
        <v>1274</v>
      </c>
      <c r="G910" s="35">
        <v>50</v>
      </c>
      <c r="H910" s="43">
        <v>600</v>
      </c>
      <c r="I910" s="35">
        <v>695</v>
      </c>
      <c r="J910" s="35">
        <v>50</v>
      </c>
      <c r="K910" s="36"/>
      <c r="L910" s="36"/>
      <c r="M910" s="36"/>
      <c r="N910" s="36"/>
      <c r="O910" s="36"/>
      <c r="P910" s="36"/>
      <c r="Q910" s="36"/>
      <c r="R910" s="36"/>
      <c r="S910" s="36"/>
      <c r="T910" s="36"/>
    </row>
    <row r="911" spans="1:20" ht="15.75">
      <c r="A911" s="13">
        <v>69245</v>
      </c>
      <c r="B911" s="44">
        <f t="shared" si="5"/>
        <v>31</v>
      </c>
      <c r="C911" s="35">
        <v>194.20500000000001</v>
      </c>
      <c r="D911" s="35">
        <v>267.46600000000001</v>
      </c>
      <c r="E911" s="41">
        <v>812.32899999999995</v>
      </c>
      <c r="F911" s="35">
        <v>1274</v>
      </c>
      <c r="G911" s="35">
        <v>50</v>
      </c>
      <c r="H911" s="43">
        <v>600</v>
      </c>
      <c r="I911" s="35">
        <v>695</v>
      </c>
      <c r="J911" s="35">
        <v>0</v>
      </c>
      <c r="K911" s="36"/>
      <c r="L911" s="36"/>
      <c r="M911" s="36"/>
      <c r="N911" s="36"/>
      <c r="O911" s="36"/>
      <c r="P911" s="36"/>
      <c r="Q911" s="36"/>
      <c r="R911" s="36"/>
      <c r="S911" s="36"/>
      <c r="T911" s="36"/>
    </row>
    <row r="912" spans="1:20" ht="15.75">
      <c r="A912" s="13">
        <v>69276</v>
      </c>
      <c r="B912" s="44">
        <f t="shared" si="5"/>
        <v>31</v>
      </c>
      <c r="C912" s="35">
        <v>194.20500000000001</v>
      </c>
      <c r="D912" s="35">
        <v>267.46600000000001</v>
      </c>
      <c r="E912" s="41">
        <v>812.32899999999995</v>
      </c>
      <c r="F912" s="35">
        <v>1274</v>
      </c>
      <c r="G912" s="35">
        <v>50</v>
      </c>
      <c r="H912" s="43">
        <v>600</v>
      </c>
      <c r="I912" s="35">
        <v>695</v>
      </c>
      <c r="J912" s="35">
        <v>0</v>
      </c>
      <c r="K912" s="36"/>
      <c r="L912" s="36"/>
      <c r="M912" s="36"/>
      <c r="N912" s="36"/>
      <c r="O912" s="36"/>
      <c r="P912" s="36"/>
      <c r="Q912" s="36"/>
      <c r="R912" s="36"/>
      <c r="S912" s="36"/>
      <c r="T912" s="36"/>
    </row>
    <row r="913" spans="1:20" ht="15.75">
      <c r="A913" s="13">
        <v>69306</v>
      </c>
      <c r="B913" s="44">
        <f t="shared" si="5"/>
        <v>30</v>
      </c>
      <c r="C913" s="35">
        <v>194.20500000000001</v>
      </c>
      <c r="D913" s="35">
        <v>267.46600000000001</v>
      </c>
      <c r="E913" s="41">
        <v>812.32899999999995</v>
      </c>
      <c r="F913" s="35">
        <v>1274</v>
      </c>
      <c r="G913" s="35">
        <v>50</v>
      </c>
      <c r="H913" s="43">
        <v>600</v>
      </c>
      <c r="I913" s="35">
        <v>695</v>
      </c>
      <c r="J913" s="35">
        <v>0</v>
      </c>
      <c r="K913" s="36"/>
      <c r="L913" s="36"/>
      <c r="M913" s="36"/>
      <c r="N913" s="36"/>
      <c r="O913" s="36"/>
      <c r="P913" s="36"/>
      <c r="Q913" s="36"/>
      <c r="R913" s="36"/>
      <c r="S913" s="36"/>
      <c r="T913" s="36"/>
    </row>
    <row r="914" spans="1:20" ht="15.75">
      <c r="A914" s="13">
        <v>69337</v>
      </c>
      <c r="B914" s="44">
        <f t="shared" si="5"/>
        <v>31</v>
      </c>
      <c r="C914" s="35">
        <v>131.881</v>
      </c>
      <c r="D914" s="35">
        <v>277.16699999999997</v>
      </c>
      <c r="E914" s="41">
        <v>829.952</v>
      </c>
      <c r="F914" s="35">
        <v>1239</v>
      </c>
      <c r="G914" s="35">
        <v>75</v>
      </c>
      <c r="H914" s="43">
        <v>600</v>
      </c>
      <c r="I914" s="35">
        <v>695</v>
      </c>
      <c r="J914" s="35">
        <v>0</v>
      </c>
      <c r="K914" s="36"/>
      <c r="L914" s="36"/>
      <c r="M914" s="36"/>
      <c r="N914" s="36"/>
      <c r="O914" s="36"/>
      <c r="P914" s="36"/>
      <c r="Q914" s="36"/>
      <c r="R914" s="36"/>
      <c r="S914" s="36"/>
      <c r="T914" s="36"/>
    </row>
    <row r="915" spans="1:20" ht="15.75">
      <c r="A915" s="13">
        <v>69367</v>
      </c>
      <c r="B915" s="44">
        <f t="shared" si="5"/>
        <v>30</v>
      </c>
      <c r="C915" s="35">
        <v>122.58</v>
      </c>
      <c r="D915" s="35">
        <v>297.94099999999997</v>
      </c>
      <c r="E915" s="41">
        <v>729.47900000000004</v>
      </c>
      <c r="F915" s="35">
        <v>1150</v>
      </c>
      <c r="G915" s="35">
        <v>100</v>
      </c>
      <c r="H915" s="43">
        <v>600</v>
      </c>
      <c r="I915" s="35">
        <v>695</v>
      </c>
      <c r="J915" s="35">
        <v>50</v>
      </c>
      <c r="K915" s="36"/>
      <c r="L915" s="36"/>
      <c r="M915" s="36"/>
      <c r="N915" s="36"/>
      <c r="O915" s="36"/>
      <c r="P915" s="36"/>
      <c r="Q915" s="36"/>
      <c r="R915" s="36"/>
      <c r="S915" s="36"/>
      <c r="T915" s="36"/>
    </row>
    <row r="916" spans="1:20" ht="15.75">
      <c r="A916" s="13">
        <v>69398</v>
      </c>
      <c r="B916" s="44">
        <f t="shared" si="5"/>
        <v>31</v>
      </c>
      <c r="C916" s="35">
        <v>122.58</v>
      </c>
      <c r="D916" s="35">
        <v>297.94099999999997</v>
      </c>
      <c r="E916" s="41">
        <v>729.47900000000004</v>
      </c>
      <c r="F916" s="35">
        <v>1150</v>
      </c>
      <c r="G916" s="35">
        <v>100</v>
      </c>
      <c r="H916" s="43">
        <v>600</v>
      </c>
      <c r="I916" s="35">
        <v>695</v>
      </c>
      <c r="J916" s="35">
        <v>50</v>
      </c>
      <c r="K916" s="36"/>
      <c r="L916" s="36"/>
      <c r="M916" s="36"/>
      <c r="N916" s="36"/>
      <c r="O916" s="36"/>
      <c r="P916" s="36"/>
      <c r="Q916" s="36"/>
      <c r="R916" s="36"/>
      <c r="S916" s="36"/>
      <c r="T916" s="36"/>
    </row>
    <row r="917" spans="1:20" ht="15.75">
      <c r="A917" s="13">
        <v>69429</v>
      </c>
      <c r="B917" s="44">
        <f t="shared" si="5"/>
        <v>31</v>
      </c>
      <c r="C917" s="35">
        <v>122.58</v>
      </c>
      <c r="D917" s="35">
        <v>297.94099999999997</v>
      </c>
      <c r="E917" s="41">
        <v>729.47900000000004</v>
      </c>
      <c r="F917" s="35">
        <v>1150</v>
      </c>
      <c r="G917" s="35">
        <v>100</v>
      </c>
      <c r="H917" s="43">
        <v>600</v>
      </c>
      <c r="I917" s="35">
        <v>695</v>
      </c>
      <c r="J917" s="35">
        <v>50</v>
      </c>
      <c r="K917" s="36"/>
      <c r="L917" s="36"/>
      <c r="M917" s="36"/>
      <c r="N917" s="36"/>
      <c r="O917" s="36"/>
      <c r="P917" s="36"/>
      <c r="Q917" s="36"/>
      <c r="R917" s="36"/>
      <c r="S917" s="36"/>
      <c r="T917" s="36"/>
    </row>
    <row r="918" spans="1:20" ht="15.75">
      <c r="A918" s="13">
        <v>69457</v>
      </c>
      <c r="B918" s="44">
        <f t="shared" si="5"/>
        <v>28</v>
      </c>
      <c r="C918" s="35">
        <v>122.58</v>
      </c>
      <c r="D918" s="35">
        <v>297.94099999999997</v>
      </c>
      <c r="E918" s="41">
        <v>729.47900000000004</v>
      </c>
      <c r="F918" s="35">
        <v>1150</v>
      </c>
      <c r="G918" s="35">
        <v>100</v>
      </c>
      <c r="H918" s="43">
        <v>600</v>
      </c>
      <c r="I918" s="35">
        <v>695</v>
      </c>
      <c r="J918" s="35">
        <v>50</v>
      </c>
      <c r="K918" s="36"/>
      <c r="L918" s="36"/>
      <c r="M918" s="36"/>
      <c r="N918" s="36"/>
      <c r="O918" s="36"/>
      <c r="P918" s="36"/>
      <c r="Q918" s="36"/>
      <c r="R918" s="36"/>
      <c r="S918" s="36"/>
      <c r="T918" s="36"/>
    </row>
    <row r="919" spans="1:20" ht="15.75">
      <c r="A919" s="13">
        <v>69488</v>
      </c>
      <c r="B919" s="44">
        <f t="shared" si="5"/>
        <v>31</v>
      </c>
      <c r="C919" s="35">
        <v>122.58</v>
      </c>
      <c r="D919" s="35">
        <v>297.94099999999997</v>
      </c>
      <c r="E919" s="41">
        <v>729.47900000000004</v>
      </c>
      <c r="F919" s="35">
        <v>1150</v>
      </c>
      <c r="G919" s="35">
        <v>100</v>
      </c>
      <c r="H919" s="43">
        <v>600</v>
      </c>
      <c r="I919" s="35">
        <v>695</v>
      </c>
      <c r="J919" s="35">
        <v>50</v>
      </c>
      <c r="K919" s="36"/>
      <c r="L919" s="36"/>
      <c r="M919" s="36"/>
      <c r="N919" s="36"/>
      <c r="O919" s="36"/>
      <c r="P919" s="36"/>
      <c r="Q919" s="36"/>
      <c r="R919" s="36"/>
      <c r="S919" s="36"/>
      <c r="T919" s="36"/>
    </row>
    <row r="920" spans="1:20" ht="15.75">
      <c r="A920" s="13">
        <v>69518</v>
      </c>
      <c r="B920" s="44">
        <f t="shared" si="5"/>
        <v>30</v>
      </c>
      <c r="C920" s="35">
        <v>141.29300000000001</v>
      </c>
      <c r="D920" s="35">
        <v>267.99299999999999</v>
      </c>
      <c r="E920" s="41">
        <v>829.71400000000006</v>
      </c>
      <c r="F920" s="35">
        <v>1239</v>
      </c>
      <c r="G920" s="35">
        <v>100</v>
      </c>
      <c r="H920" s="43">
        <v>600</v>
      </c>
      <c r="I920" s="35">
        <v>695</v>
      </c>
      <c r="J920" s="35">
        <v>50</v>
      </c>
      <c r="K920" s="36"/>
      <c r="L920" s="36"/>
      <c r="M920" s="36"/>
      <c r="N920" s="36"/>
      <c r="O920" s="36"/>
      <c r="P920" s="36"/>
      <c r="Q920" s="36"/>
      <c r="R920" s="36"/>
      <c r="S920" s="36"/>
      <c r="T920" s="36"/>
    </row>
    <row r="921" spans="1:20" ht="15.75">
      <c r="A921" s="13">
        <v>69549</v>
      </c>
      <c r="B921" s="44">
        <f t="shared" si="5"/>
        <v>31</v>
      </c>
      <c r="C921" s="35">
        <v>194.20500000000001</v>
      </c>
      <c r="D921" s="35">
        <v>267.46600000000001</v>
      </c>
      <c r="E921" s="41">
        <v>812.32899999999995</v>
      </c>
      <c r="F921" s="35">
        <v>1274</v>
      </c>
      <c r="G921" s="35">
        <v>75</v>
      </c>
      <c r="H921" s="43">
        <v>600</v>
      </c>
      <c r="I921" s="35">
        <v>695</v>
      </c>
      <c r="J921" s="35">
        <v>50</v>
      </c>
      <c r="K921" s="36"/>
      <c r="L921" s="36"/>
      <c r="M921" s="36"/>
      <c r="N921" s="36"/>
      <c r="O921" s="36"/>
      <c r="P921" s="36"/>
      <c r="Q921" s="36"/>
      <c r="R921" s="36"/>
      <c r="S921" s="36"/>
      <c r="T921" s="36"/>
    </row>
    <row r="922" spans="1:20" ht="15.75">
      <c r="A922" s="13">
        <v>69579</v>
      </c>
      <c r="B922" s="44">
        <f t="shared" si="5"/>
        <v>30</v>
      </c>
      <c r="C922" s="35">
        <v>194.20500000000001</v>
      </c>
      <c r="D922" s="35">
        <v>267.46600000000001</v>
      </c>
      <c r="E922" s="41">
        <v>812.32899999999995</v>
      </c>
      <c r="F922" s="35">
        <v>1274</v>
      </c>
      <c r="G922" s="35">
        <v>50</v>
      </c>
      <c r="H922" s="43">
        <v>600</v>
      </c>
      <c r="I922" s="35">
        <v>695</v>
      </c>
      <c r="J922" s="35">
        <v>50</v>
      </c>
      <c r="K922" s="36"/>
      <c r="L922" s="36"/>
      <c r="M922" s="36"/>
      <c r="N922" s="36"/>
      <c r="O922" s="36"/>
      <c r="P922" s="36"/>
      <c r="Q922" s="36"/>
      <c r="R922" s="36"/>
      <c r="S922" s="36"/>
      <c r="T922" s="36"/>
    </row>
    <row r="923" spans="1:20" ht="15.75">
      <c r="A923" s="13">
        <v>69610</v>
      </c>
      <c r="B923" s="44">
        <f t="shared" si="5"/>
        <v>31</v>
      </c>
      <c r="C923" s="35">
        <v>194.20500000000001</v>
      </c>
      <c r="D923" s="35">
        <v>267.46600000000001</v>
      </c>
      <c r="E923" s="41">
        <v>812.32899999999995</v>
      </c>
      <c r="F923" s="35">
        <v>1274</v>
      </c>
      <c r="G923" s="35">
        <v>50</v>
      </c>
      <c r="H923" s="43">
        <v>600</v>
      </c>
      <c r="I923" s="35">
        <v>695</v>
      </c>
      <c r="J923" s="35">
        <v>0</v>
      </c>
      <c r="K923" s="36"/>
      <c r="L923" s="36"/>
      <c r="M923" s="36"/>
      <c r="N923" s="36"/>
      <c r="O923" s="36"/>
      <c r="P923" s="36"/>
      <c r="Q923" s="36"/>
      <c r="R923" s="36"/>
      <c r="S923" s="36"/>
      <c r="T923" s="36"/>
    </row>
    <row r="924" spans="1:20" ht="15.75">
      <c r="A924" s="13">
        <v>69641</v>
      </c>
      <c r="B924" s="44">
        <f t="shared" si="5"/>
        <v>31</v>
      </c>
      <c r="C924" s="35">
        <v>194.20500000000001</v>
      </c>
      <c r="D924" s="35">
        <v>267.46600000000001</v>
      </c>
      <c r="E924" s="41">
        <v>812.32899999999995</v>
      </c>
      <c r="F924" s="35">
        <v>1274</v>
      </c>
      <c r="G924" s="35">
        <v>50</v>
      </c>
      <c r="H924" s="43">
        <v>600</v>
      </c>
      <c r="I924" s="35">
        <v>695</v>
      </c>
      <c r="J924" s="35">
        <v>0</v>
      </c>
      <c r="K924" s="36"/>
      <c r="L924" s="36"/>
      <c r="M924" s="36"/>
      <c r="N924" s="36"/>
      <c r="O924" s="36"/>
      <c r="P924" s="36"/>
      <c r="Q924" s="36"/>
      <c r="R924" s="36"/>
      <c r="S924" s="36"/>
      <c r="T924" s="36"/>
    </row>
    <row r="925" spans="1:20" ht="15.75">
      <c r="A925" s="13">
        <v>69671</v>
      </c>
      <c r="B925" s="44">
        <f t="shared" si="5"/>
        <v>30</v>
      </c>
      <c r="C925" s="35">
        <v>194.20500000000001</v>
      </c>
      <c r="D925" s="35">
        <v>267.46600000000001</v>
      </c>
      <c r="E925" s="41">
        <v>812.32899999999995</v>
      </c>
      <c r="F925" s="35">
        <v>1274</v>
      </c>
      <c r="G925" s="35">
        <v>50</v>
      </c>
      <c r="H925" s="43">
        <v>600</v>
      </c>
      <c r="I925" s="35">
        <v>695</v>
      </c>
      <c r="J925" s="35">
        <v>0</v>
      </c>
      <c r="K925" s="36"/>
      <c r="L925" s="36"/>
      <c r="M925" s="36"/>
      <c r="N925" s="36"/>
      <c r="O925" s="36"/>
      <c r="P925" s="36"/>
      <c r="Q925" s="36"/>
      <c r="R925" s="36"/>
      <c r="S925" s="36"/>
      <c r="T925" s="36"/>
    </row>
    <row r="926" spans="1:20" ht="15.75">
      <c r="A926" s="13">
        <v>69702</v>
      </c>
      <c r="B926" s="44">
        <f t="shared" si="5"/>
        <v>31</v>
      </c>
      <c r="C926" s="35">
        <v>131.881</v>
      </c>
      <c r="D926" s="35">
        <v>277.16699999999997</v>
      </c>
      <c r="E926" s="41">
        <v>829.952</v>
      </c>
      <c r="F926" s="35">
        <v>1239</v>
      </c>
      <c r="G926" s="35">
        <v>75</v>
      </c>
      <c r="H926" s="43">
        <v>600</v>
      </c>
      <c r="I926" s="35">
        <v>695</v>
      </c>
      <c r="J926" s="35">
        <v>0</v>
      </c>
      <c r="K926" s="36"/>
      <c r="L926" s="36"/>
      <c r="M926" s="36"/>
      <c r="N926" s="36"/>
      <c r="O926" s="36"/>
      <c r="P926" s="36"/>
      <c r="Q926" s="36"/>
      <c r="R926" s="36"/>
      <c r="S926" s="36"/>
      <c r="T926" s="36"/>
    </row>
    <row r="927" spans="1:20" ht="15.75">
      <c r="A927" s="13">
        <v>69732</v>
      </c>
      <c r="B927" s="44">
        <f t="shared" si="5"/>
        <v>30</v>
      </c>
      <c r="C927" s="35">
        <v>122.58</v>
      </c>
      <c r="D927" s="35">
        <v>297.94099999999997</v>
      </c>
      <c r="E927" s="41">
        <v>729.47900000000004</v>
      </c>
      <c r="F927" s="35">
        <v>1150</v>
      </c>
      <c r="G927" s="35">
        <v>100</v>
      </c>
      <c r="H927" s="43">
        <v>600</v>
      </c>
      <c r="I927" s="35">
        <v>695</v>
      </c>
      <c r="J927" s="35">
        <v>50</v>
      </c>
      <c r="K927" s="36"/>
      <c r="L927" s="36"/>
      <c r="M927" s="36"/>
      <c r="N927" s="36"/>
      <c r="O927" s="36"/>
      <c r="P927" s="36"/>
      <c r="Q927" s="36"/>
      <c r="R927" s="36"/>
      <c r="S927" s="36"/>
      <c r="T927" s="36"/>
    </row>
    <row r="928" spans="1:20" ht="15.75">
      <c r="A928" s="13">
        <v>69763</v>
      </c>
      <c r="B928" s="44">
        <f t="shared" si="5"/>
        <v>31</v>
      </c>
      <c r="C928" s="35">
        <v>122.58</v>
      </c>
      <c r="D928" s="35">
        <v>297.94099999999997</v>
      </c>
      <c r="E928" s="41">
        <v>729.47900000000004</v>
      </c>
      <c r="F928" s="35">
        <v>1150</v>
      </c>
      <c r="G928" s="35">
        <v>100</v>
      </c>
      <c r="H928" s="43">
        <v>600</v>
      </c>
      <c r="I928" s="35">
        <v>695</v>
      </c>
      <c r="J928" s="35">
        <v>50</v>
      </c>
      <c r="K928" s="36"/>
      <c r="L928" s="36"/>
      <c r="M928" s="36"/>
      <c r="N928" s="36"/>
      <c r="O928" s="36"/>
      <c r="P928" s="36"/>
      <c r="Q928" s="36"/>
      <c r="R928" s="36"/>
      <c r="S928" s="36"/>
      <c r="T928" s="36"/>
    </row>
    <row r="929" spans="1:20" ht="15.75">
      <c r="A929" s="13">
        <v>69794</v>
      </c>
      <c r="B929" s="44">
        <f t="shared" si="5"/>
        <v>31</v>
      </c>
      <c r="C929" s="35">
        <v>122.58</v>
      </c>
      <c r="D929" s="35">
        <v>297.94099999999997</v>
      </c>
      <c r="E929" s="41">
        <v>729.47900000000004</v>
      </c>
      <c r="F929" s="35">
        <v>1150</v>
      </c>
      <c r="G929" s="35">
        <v>100</v>
      </c>
      <c r="H929" s="43">
        <v>600</v>
      </c>
      <c r="I929" s="35">
        <v>695</v>
      </c>
      <c r="J929" s="35">
        <v>50</v>
      </c>
      <c r="K929" s="36"/>
      <c r="L929" s="36"/>
      <c r="M929" s="36"/>
      <c r="N929" s="36"/>
      <c r="O929" s="36"/>
      <c r="P929" s="36"/>
      <c r="Q929" s="36"/>
      <c r="R929" s="36"/>
      <c r="S929" s="36"/>
      <c r="T929" s="36"/>
    </row>
    <row r="930" spans="1:20" ht="15.75">
      <c r="A930" s="13">
        <v>69822</v>
      </c>
      <c r="B930" s="44">
        <f t="shared" si="5"/>
        <v>28</v>
      </c>
      <c r="C930" s="35">
        <v>122.58</v>
      </c>
      <c r="D930" s="35">
        <v>297.94099999999997</v>
      </c>
      <c r="E930" s="41">
        <v>729.47900000000004</v>
      </c>
      <c r="F930" s="35">
        <v>1150</v>
      </c>
      <c r="G930" s="35">
        <v>100</v>
      </c>
      <c r="H930" s="43">
        <v>600</v>
      </c>
      <c r="I930" s="35">
        <v>695</v>
      </c>
      <c r="J930" s="35">
        <v>50</v>
      </c>
      <c r="K930" s="36"/>
      <c r="L930" s="36"/>
      <c r="M930" s="36"/>
      <c r="N930" s="36"/>
      <c r="O930" s="36"/>
      <c r="P930" s="36"/>
      <c r="Q930" s="36"/>
      <c r="R930" s="36"/>
      <c r="S930" s="36"/>
      <c r="T930" s="36"/>
    </row>
    <row r="931" spans="1:20" ht="15.75">
      <c r="A931" s="13">
        <v>69853</v>
      </c>
      <c r="B931" s="44">
        <f t="shared" si="5"/>
        <v>31</v>
      </c>
      <c r="C931" s="35">
        <v>122.58</v>
      </c>
      <c r="D931" s="35">
        <v>297.94099999999997</v>
      </c>
      <c r="E931" s="41">
        <v>729.47900000000004</v>
      </c>
      <c r="F931" s="35">
        <v>1150</v>
      </c>
      <c r="G931" s="35">
        <v>100</v>
      </c>
      <c r="H931" s="43">
        <v>600</v>
      </c>
      <c r="I931" s="35">
        <v>695</v>
      </c>
      <c r="J931" s="35">
        <v>50</v>
      </c>
      <c r="K931" s="36"/>
      <c r="L931" s="36"/>
      <c r="M931" s="36"/>
      <c r="N931" s="36"/>
      <c r="O931" s="36"/>
      <c r="P931" s="36"/>
      <c r="Q931" s="36"/>
      <c r="R931" s="36"/>
      <c r="S931" s="36"/>
      <c r="T931" s="36"/>
    </row>
    <row r="932" spans="1:20" ht="15.75">
      <c r="A932" s="13">
        <v>69883</v>
      </c>
      <c r="B932" s="44">
        <f t="shared" si="5"/>
        <v>30</v>
      </c>
      <c r="C932" s="35">
        <v>141.29300000000001</v>
      </c>
      <c r="D932" s="35">
        <v>267.99299999999999</v>
      </c>
      <c r="E932" s="41">
        <v>829.71400000000006</v>
      </c>
      <c r="F932" s="35">
        <v>1239</v>
      </c>
      <c r="G932" s="35">
        <v>100</v>
      </c>
      <c r="H932" s="43">
        <v>600</v>
      </c>
      <c r="I932" s="35">
        <v>695</v>
      </c>
      <c r="J932" s="35">
        <v>50</v>
      </c>
      <c r="K932" s="36"/>
      <c r="L932" s="36"/>
      <c r="M932" s="36"/>
      <c r="N932" s="36"/>
      <c r="O932" s="36"/>
      <c r="P932" s="36"/>
      <c r="Q932" s="36"/>
      <c r="R932" s="36"/>
      <c r="S932" s="36"/>
      <c r="T932" s="36"/>
    </row>
    <row r="933" spans="1:20" ht="15.75">
      <c r="A933" s="13">
        <v>69914</v>
      </c>
      <c r="B933" s="44">
        <f t="shared" si="5"/>
        <v>31</v>
      </c>
      <c r="C933" s="35">
        <v>194.20500000000001</v>
      </c>
      <c r="D933" s="35">
        <v>267.46600000000001</v>
      </c>
      <c r="E933" s="41">
        <v>812.32899999999995</v>
      </c>
      <c r="F933" s="35">
        <v>1274</v>
      </c>
      <c r="G933" s="35">
        <v>75</v>
      </c>
      <c r="H933" s="43">
        <v>600</v>
      </c>
      <c r="I933" s="35">
        <v>695</v>
      </c>
      <c r="J933" s="35">
        <v>50</v>
      </c>
      <c r="K933" s="36"/>
      <c r="L933" s="36"/>
      <c r="M933" s="36"/>
      <c r="N933" s="36"/>
      <c r="O933" s="36"/>
      <c r="P933" s="36"/>
      <c r="Q933" s="36"/>
      <c r="R933" s="36"/>
      <c r="S933" s="36"/>
      <c r="T933" s="36"/>
    </row>
    <row r="934" spans="1:20" ht="15.75">
      <c r="A934" s="13">
        <v>69944</v>
      </c>
      <c r="B934" s="44">
        <f t="shared" si="5"/>
        <v>30</v>
      </c>
      <c r="C934" s="35">
        <v>194.20500000000001</v>
      </c>
      <c r="D934" s="35">
        <v>267.46600000000001</v>
      </c>
      <c r="E934" s="41">
        <v>812.32899999999995</v>
      </c>
      <c r="F934" s="35">
        <v>1274</v>
      </c>
      <c r="G934" s="35">
        <v>50</v>
      </c>
      <c r="H934" s="43">
        <v>600</v>
      </c>
      <c r="I934" s="35">
        <v>695</v>
      </c>
      <c r="J934" s="35">
        <v>50</v>
      </c>
      <c r="K934" s="36"/>
      <c r="L934" s="36"/>
      <c r="M934" s="36"/>
      <c r="N934" s="36"/>
      <c r="O934" s="36"/>
      <c r="P934" s="36"/>
      <c r="Q934" s="36"/>
      <c r="R934" s="36"/>
      <c r="S934" s="36"/>
      <c r="T934" s="36"/>
    </row>
    <row r="935" spans="1:20" ht="15.75">
      <c r="A935" s="13">
        <v>69975</v>
      </c>
      <c r="B935" s="44">
        <f t="shared" si="5"/>
        <v>31</v>
      </c>
      <c r="C935" s="35">
        <v>194.20500000000001</v>
      </c>
      <c r="D935" s="35">
        <v>267.46600000000001</v>
      </c>
      <c r="E935" s="41">
        <v>812.32899999999995</v>
      </c>
      <c r="F935" s="35">
        <v>1274</v>
      </c>
      <c r="G935" s="35">
        <v>50</v>
      </c>
      <c r="H935" s="43">
        <v>600</v>
      </c>
      <c r="I935" s="35">
        <v>695</v>
      </c>
      <c r="J935" s="35">
        <v>0</v>
      </c>
      <c r="K935" s="36"/>
      <c r="L935" s="36"/>
      <c r="M935" s="36"/>
      <c r="N935" s="36"/>
      <c r="O935" s="36"/>
      <c r="P935" s="36"/>
      <c r="Q935" s="36"/>
      <c r="R935" s="36"/>
      <c r="S935" s="36"/>
      <c r="T935" s="36"/>
    </row>
    <row r="936" spans="1:20" ht="15.75">
      <c r="A936" s="13">
        <v>70006</v>
      </c>
      <c r="B936" s="44">
        <f t="shared" si="5"/>
        <v>31</v>
      </c>
      <c r="C936" s="35">
        <v>194.20500000000001</v>
      </c>
      <c r="D936" s="35">
        <v>267.46600000000001</v>
      </c>
      <c r="E936" s="41">
        <v>812.32899999999995</v>
      </c>
      <c r="F936" s="35">
        <v>1274</v>
      </c>
      <c r="G936" s="35">
        <v>50</v>
      </c>
      <c r="H936" s="43">
        <v>600</v>
      </c>
      <c r="I936" s="35">
        <v>695</v>
      </c>
      <c r="J936" s="35">
        <v>0</v>
      </c>
      <c r="K936" s="36"/>
      <c r="L936" s="36"/>
      <c r="M936" s="36"/>
      <c r="N936" s="36"/>
      <c r="O936" s="36"/>
      <c r="P936" s="36"/>
      <c r="Q936" s="36"/>
      <c r="R936" s="36"/>
      <c r="S936" s="36"/>
      <c r="T936" s="36"/>
    </row>
    <row r="937" spans="1:20" ht="15.75">
      <c r="A937" s="13">
        <v>70036</v>
      </c>
      <c r="B937" s="44">
        <f t="shared" si="5"/>
        <v>30</v>
      </c>
      <c r="C937" s="35">
        <v>194.20500000000001</v>
      </c>
      <c r="D937" s="35">
        <v>267.46600000000001</v>
      </c>
      <c r="E937" s="41">
        <v>812.32899999999995</v>
      </c>
      <c r="F937" s="35">
        <v>1274</v>
      </c>
      <c r="G937" s="35">
        <v>50</v>
      </c>
      <c r="H937" s="43">
        <v>600</v>
      </c>
      <c r="I937" s="35">
        <v>695</v>
      </c>
      <c r="J937" s="35">
        <v>0</v>
      </c>
      <c r="K937" s="36"/>
      <c r="L937" s="36"/>
      <c r="M937" s="36"/>
      <c r="N937" s="36"/>
      <c r="O937" s="36"/>
      <c r="P937" s="36"/>
      <c r="Q937" s="36"/>
      <c r="R937" s="36"/>
      <c r="S937" s="36"/>
      <c r="T937" s="36"/>
    </row>
    <row r="938" spans="1:20" ht="15.75">
      <c r="A938" s="13">
        <v>70067</v>
      </c>
      <c r="B938" s="44">
        <f t="shared" si="5"/>
        <v>31</v>
      </c>
      <c r="C938" s="35">
        <v>131.881</v>
      </c>
      <c r="D938" s="35">
        <v>277.16699999999997</v>
      </c>
      <c r="E938" s="41">
        <v>829.952</v>
      </c>
      <c r="F938" s="35">
        <v>1239</v>
      </c>
      <c r="G938" s="35">
        <v>75</v>
      </c>
      <c r="H938" s="43">
        <v>600</v>
      </c>
      <c r="I938" s="35">
        <v>695</v>
      </c>
      <c r="J938" s="35">
        <v>0</v>
      </c>
      <c r="K938" s="36"/>
      <c r="L938" s="36"/>
      <c r="M938" s="36"/>
      <c r="N938" s="36"/>
      <c r="O938" s="36"/>
      <c r="P938" s="36"/>
      <c r="Q938" s="36"/>
      <c r="R938" s="36"/>
      <c r="S938" s="36"/>
      <c r="T938" s="36"/>
    </row>
    <row r="939" spans="1:20" ht="15.75">
      <c r="A939" s="13">
        <v>70097</v>
      </c>
      <c r="B939" s="44">
        <f t="shared" si="5"/>
        <v>30</v>
      </c>
      <c r="C939" s="35">
        <v>122.58</v>
      </c>
      <c r="D939" s="35">
        <v>297.94099999999997</v>
      </c>
      <c r="E939" s="41">
        <v>729.47900000000004</v>
      </c>
      <c r="F939" s="35">
        <v>1150</v>
      </c>
      <c r="G939" s="35">
        <v>100</v>
      </c>
      <c r="H939" s="43">
        <v>600</v>
      </c>
      <c r="I939" s="35">
        <v>695</v>
      </c>
      <c r="J939" s="35">
        <v>50</v>
      </c>
      <c r="K939" s="36"/>
      <c r="L939" s="36"/>
      <c r="M939" s="36"/>
      <c r="N939" s="36"/>
      <c r="O939" s="36"/>
      <c r="P939" s="36"/>
      <c r="Q939" s="36"/>
      <c r="R939" s="36"/>
      <c r="S939" s="36"/>
      <c r="T939" s="36"/>
    </row>
    <row r="940" spans="1:20" ht="15.75">
      <c r="A940" s="13">
        <v>70128</v>
      </c>
      <c r="B940" s="44">
        <f t="shared" si="5"/>
        <v>31</v>
      </c>
      <c r="C940" s="35">
        <v>122.58</v>
      </c>
      <c r="D940" s="35">
        <v>297.94099999999997</v>
      </c>
      <c r="E940" s="41">
        <v>729.47900000000004</v>
      </c>
      <c r="F940" s="35">
        <v>1150</v>
      </c>
      <c r="G940" s="35">
        <v>100</v>
      </c>
      <c r="H940" s="43">
        <v>600</v>
      </c>
      <c r="I940" s="35">
        <v>695</v>
      </c>
      <c r="J940" s="35">
        <v>50</v>
      </c>
      <c r="K940" s="36"/>
      <c r="L940" s="36"/>
      <c r="M940" s="36"/>
      <c r="N940" s="36"/>
      <c r="O940" s="36"/>
      <c r="P940" s="36"/>
      <c r="Q940" s="36"/>
      <c r="R940" s="36"/>
      <c r="S940" s="36"/>
      <c r="T940" s="36"/>
    </row>
    <row r="941" spans="1:20" ht="15.75">
      <c r="A941" s="13">
        <v>70159</v>
      </c>
      <c r="B941" s="44">
        <f t="shared" si="5"/>
        <v>31</v>
      </c>
      <c r="C941" s="35">
        <v>122.58</v>
      </c>
      <c r="D941" s="35">
        <v>297.94099999999997</v>
      </c>
      <c r="E941" s="41">
        <v>729.47900000000004</v>
      </c>
      <c r="F941" s="35">
        <v>1150</v>
      </c>
      <c r="G941" s="35">
        <v>100</v>
      </c>
      <c r="H941" s="43">
        <v>600</v>
      </c>
      <c r="I941" s="35">
        <v>695</v>
      </c>
      <c r="J941" s="35">
        <v>50</v>
      </c>
      <c r="K941" s="36"/>
      <c r="L941" s="36"/>
      <c r="M941" s="36"/>
      <c r="N941" s="36"/>
      <c r="O941" s="36"/>
      <c r="P941" s="36"/>
      <c r="Q941" s="36"/>
      <c r="R941" s="36"/>
      <c r="S941" s="36"/>
      <c r="T941" s="36"/>
    </row>
    <row r="942" spans="1:20" ht="15.75">
      <c r="A942" s="13">
        <v>70188</v>
      </c>
      <c r="B942" s="44">
        <f t="shared" si="5"/>
        <v>29</v>
      </c>
      <c r="C942" s="35">
        <v>122.58</v>
      </c>
      <c r="D942" s="35">
        <v>297.94099999999997</v>
      </c>
      <c r="E942" s="41">
        <v>729.47900000000004</v>
      </c>
      <c r="F942" s="35">
        <v>1150</v>
      </c>
      <c r="G942" s="35">
        <v>100</v>
      </c>
      <c r="H942" s="43">
        <v>600</v>
      </c>
      <c r="I942" s="35">
        <v>695</v>
      </c>
      <c r="J942" s="35">
        <v>50</v>
      </c>
      <c r="K942" s="36"/>
      <c r="L942" s="36"/>
      <c r="M942" s="36"/>
      <c r="N942" s="36"/>
      <c r="O942" s="36"/>
      <c r="P942" s="36"/>
      <c r="Q942" s="36"/>
      <c r="R942" s="36"/>
      <c r="S942" s="36"/>
      <c r="T942" s="36"/>
    </row>
    <row r="943" spans="1:20" ht="15.75">
      <c r="A943" s="13">
        <v>70219</v>
      </c>
      <c r="B943" s="44">
        <f t="shared" si="5"/>
        <v>31</v>
      </c>
      <c r="C943" s="35">
        <v>122.58</v>
      </c>
      <c r="D943" s="35">
        <v>297.94099999999997</v>
      </c>
      <c r="E943" s="41">
        <v>729.47900000000004</v>
      </c>
      <c r="F943" s="35">
        <v>1150</v>
      </c>
      <c r="G943" s="35">
        <v>100</v>
      </c>
      <c r="H943" s="43">
        <v>600</v>
      </c>
      <c r="I943" s="35">
        <v>695</v>
      </c>
      <c r="J943" s="35">
        <v>50</v>
      </c>
      <c r="K943" s="36"/>
      <c r="L943" s="36"/>
      <c r="M943" s="36"/>
      <c r="N943" s="36"/>
      <c r="O943" s="36"/>
      <c r="P943" s="36"/>
      <c r="Q943" s="36"/>
      <c r="R943" s="36"/>
      <c r="S943" s="36"/>
      <c r="T943" s="36"/>
    </row>
    <row r="944" spans="1:20" ht="15.75">
      <c r="A944" s="13">
        <v>70249</v>
      </c>
      <c r="B944" s="44">
        <f t="shared" si="5"/>
        <v>30</v>
      </c>
      <c r="C944" s="35">
        <v>141.29300000000001</v>
      </c>
      <c r="D944" s="35">
        <v>267.99299999999999</v>
      </c>
      <c r="E944" s="41">
        <v>829.71400000000006</v>
      </c>
      <c r="F944" s="35">
        <v>1239</v>
      </c>
      <c r="G944" s="35">
        <v>100</v>
      </c>
      <c r="H944" s="43">
        <v>600</v>
      </c>
      <c r="I944" s="35">
        <v>695</v>
      </c>
      <c r="J944" s="35">
        <v>50</v>
      </c>
      <c r="K944" s="36"/>
      <c r="L944" s="36"/>
      <c r="M944" s="36"/>
      <c r="N944" s="36"/>
      <c r="O944" s="36"/>
      <c r="P944" s="36"/>
      <c r="Q944" s="36"/>
      <c r="R944" s="36"/>
      <c r="S944" s="36"/>
      <c r="T944" s="36"/>
    </row>
    <row r="945" spans="1:20" ht="15.75">
      <c r="A945" s="13">
        <v>70280</v>
      </c>
      <c r="B945" s="44">
        <f t="shared" si="5"/>
        <v>31</v>
      </c>
      <c r="C945" s="35">
        <v>194.20500000000001</v>
      </c>
      <c r="D945" s="35">
        <v>267.46600000000001</v>
      </c>
      <c r="E945" s="41">
        <v>812.32899999999995</v>
      </c>
      <c r="F945" s="35">
        <v>1274</v>
      </c>
      <c r="G945" s="35">
        <v>75</v>
      </c>
      <c r="H945" s="43">
        <v>600</v>
      </c>
      <c r="I945" s="35">
        <v>695</v>
      </c>
      <c r="J945" s="35">
        <v>50</v>
      </c>
      <c r="K945" s="36"/>
      <c r="L945" s="36"/>
      <c r="M945" s="36"/>
      <c r="N945" s="36"/>
      <c r="O945" s="36"/>
      <c r="P945" s="36"/>
      <c r="Q945" s="36"/>
      <c r="R945" s="36"/>
      <c r="S945" s="36"/>
      <c r="T945" s="36"/>
    </row>
    <row r="946" spans="1:20" ht="15.75">
      <c r="A946" s="13">
        <v>70310</v>
      </c>
      <c r="B946" s="44">
        <f t="shared" si="5"/>
        <v>30</v>
      </c>
      <c r="C946" s="35">
        <v>194.20500000000001</v>
      </c>
      <c r="D946" s="35">
        <v>267.46600000000001</v>
      </c>
      <c r="E946" s="41">
        <v>812.32899999999995</v>
      </c>
      <c r="F946" s="35">
        <v>1274</v>
      </c>
      <c r="G946" s="35">
        <v>50</v>
      </c>
      <c r="H946" s="43">
        <v>600</v>
      </c>
      <c r="I946" s="35">
        <v>695</v>
      </c>
      <c r="J946" s="35">
        <v>50</v>
      </c>
      <c r="K946" s="36"/>
      <c r="L946" s="36"/>
      <c r="M946" s="36"/>
      <c r="N946" s="36"/>
      <c r="O946" s="36"/>
      <c r="P946" s="36"/>
      <c r="Q946" s="36"/>
      <c r="R946" s="36"/>
      <c r="S946" s="36"/>
      <c r="T946" s="36"/>
    </row>
    <row r="947" spans="1:20" ht="15.75">
      <c r="A947" s="13">
        <v>70341</v>
      </c>
      <c r="B947" s="44">
        <f t="shared" si="5"/>
        <v>31</v>
      </c>
      <c r="C947" s="35">
        <v>194.20500000000001</v>
      </c>
      <c r="D947" s="35">
        <v>267.46600000000001</v>
      </c>
      <c r="E947" s="41">
        <v>812.32899999999995</v>
      </c>
      <c r="F947" s="35">
        <v>1274</v>
      </c>
      <c r="G947" s="35">
        <v>50</v>
      </c>
      <c r="H947" s="43">
        <v>600</v>
      </c>
      <c r="I947" s="35">
        <v>695</v>
      </c>
      <c r="J947" s="35">
        <v>0</v>
      </c>
      <c r="K947" s="36"/>
      <c r="L947" s="36"/>
      <c r="M947" s="36"/>
      <c r="N947" s="36"/>
      <c r="O947" s="36"/>
      <c r="P947" s="36"/>
      <c r="Q947" s="36"/>
      <c r="R947" s="36"/>
      <c r="S947" s="36"/>
      <c r="T947" s="36"/>
    </row>
    <row r="948" spans="1:20" ht="15.75">
      <c r="A948" s="13">
        <v>70372</v>
      </c>
      <c r="B948" s="44">
        <f t="shared" si="5"/>
        <v>31</v>
      </c>
      <c r="C948" s="35">
        <v>194.20500000000001</v>
      </c>
      <c r="D948" s="35">
        <v>267.46600000000001</v>
      </c>
      <c r="E948" s="41">
        <v>812.32899999999995</v>
      </c>
      <c r="F948" s="35">
        <v>1274</v>
      </c>
      <c r="G948" s="35">
        <v>50</v>
      </c>
      <c r="H948" s="43">
        <v>600</v>
      </c>
      <c r="I948" s="35">
        <v>695</v>
      </c>
      <c r="J948" s="35">
        <v>0</v>
      </c>
      <c r="K948" s="36"/>
      <c r="L948" s="36"/>
      <c r="M948" s="36"/>
      <c r="N948" s="36"/>
      <c r="O948" s="36"/>
      <c r="P948" s="36"/>
      <c r="Q948" s="36"/>
      <c r="R948" s="36"/>
      <c r="S948" s="36"/>
      <c r="T948" s="36"/>
    </row>
    <row r="949" spans="1:20" ht="15.75">
      <c r="A949" s="13">
        <v>70402</v>
      </c>
      <c r="B949" s="44">
        <f t="shared" si="5"/>
        <v>30</v>
      </c>
      <c r="C949" s="35">
        <v>194.20500000000001</v>
      </c>
      <c r="D949" s="35">
        <v>267.46600000000001</v>
      </c>
      <c r="E949" s="41">
        <v>812.32899999999995</v>
      </c>
      <c r="F949" s="35">
        <v>1274</v>
      </c>
      <c r="G949" s="35">
        <v>50</v>
      </c>
      <c r="H949" s="43">
        <v>600</v>
      </c>
      <c r="I949" s="35">
        <v>695</v>
      </c>
      <c r="J949" s="35">
        <v>0</v>
      </c>
      <c r="K949" s="36"/>
      <c r="L949" s="36"/>
      <c r="M949" s="36"/>
      <c r="N949" s="36"/>
      <c r="O949" s="36"/>
      <c r="P949" s="36"/>
      <c r="Q949" s="36"/>
      <c r="R949" s="36"/>
      <c r="S949" s="36"/>
      <c r="T949" s="36"/>
    </row>
    <row r="950" spans="1:20" ht="15.75">
      <c r="A950" s="13">
        <v>70433</v>
      </c>
      <c r="B950" s="44">
        <f t="shared" si="5"/>
        <v>31</v>
      </c>
      <c r="C950" s="35">
        <v>131.881</v>
      </c>
      <c r="D950" s="35">
        <v>277.16699999999997</v>
      </c>
      <c r="E950" s="41">
        <v>829.952</v>
      </c>
      <c r="F950" s="35">
        <v>1239</v>
      </c>
      <c r="G950" s="35">
        <v>75</v>
      </c>
      <c r="H950" s="43">
        <v>600</v>
      </c>
      <c r="I950" s="35">
        <v>695</v>
      </c>
      <c r="J950" s="35">
        <v>0</v>
      </c>
      <c r="K950" s="36"/>
      <c r="L950" s="36"/>
      <c r="M950" s="36"/>
      <c r="N950" s="36"/>
      <c r="O950" s="36"/>
      <c r="P950" s="36"/>
      <c r="Q950" s="36"/>
      <c r="R950" s="36"/>
      <c r="S950" s="36"/>
      <c r="T950" s="36"/>
    </row>
    <row r="951" spans="1:20" ht="15.75">
      <c r="A951" s="13">
        <v>70463</v>
      </c>
      <c r="B951" s="44">
        <f t="shared" si="5"/>
        <v>30</v>
      </c>
      <c r="C951" s="35">
        <v>122.58</v>
      </c>
      <c r="D951" s="35">
        <v>297.94099999999997</v>
      </c>
      <c r="E951" s="41">
        <v>729.47900000000004</v>
      </c>
      <c r="F951" s="35">
        <v>1150</v>
      </c>
      <c r="G951" s="35">
        <v>100</v>
      </c>
      <c r="H951" s="43">
        <v>600</v>
      </c>
      <c r="I951" s="35">
        <v>695</v>
      </c>
      <c r="J951" s="35">
        <v>50</v>
      </c>
      <c r="K951" s="36"/>
      <c r="L951" s="36"/>
      <c r="M951" s="36"/>
      <c r="N951" s="36"/>
      <c r="O951" s="36"/>
      <c r="P951" s="36"/>
      <c r="Q951" s="36"/>
      <c r="R951" s="36"/>
      <c r="S951" s="36"/>
      <c r="T951" s="36"/>
    </row>
    <row r="952" spans="1:20" ht="15.75">
      <c r="A952" s="13">
        <v>70494</v>
      </c>
      <c r="B952" s="44">
        <f t="shared" si="5"/>
        <v>31</v>
      </c>
      <c r="C952" s="35">
        <v>122.58</v>
      </c>
      <c r="D952" s="35">
        <v>297.94099999999997</v>
      </c>
      <c r="E952" s="41">
        <v>729.47900000000004</v>
      </c>
      <c r="F952" s="35">
        <v>1150</v>
      </c>
      <c r="G952" s="35">
        <v>100</v>
      </c>
      <c r="H952" s="43">
        <v>600</v>
      </c>
      <c r="I952" s="35">
        <v>695</v>
      </c>
      <c r="J952" s="35">
        <v>50</v>
      </c>
      <c r="K952" s="36"/>
      <c r="L952" s="36"/>
      <c r="M952" s="36"/>
      <c r="N952" s="36"/>
      <c r="O952" s="36"/>
      <c r="P952" s="36"/>
      <c r="Q952" s="36"/>
      <c r="R952" s="36"/>
      <c r="S952" s="36"/>
      <c r="T952" s="36"/>
    </row>
    <row r="953" spans="1:20" ht="15.75">
      <c r="A953" s="13">
        <v>70525</v>
      </c>
      <c r="B953" s="44">
        <f t="shared" si="5"/>
        <v>31</v>
      </c>
      <c r="C953" s="35">
        <v>122.58</v>
      </c>
      <c r="D953" s="35">
        <v>297.94099999999997</v>
      </c>
      <c r="E953" s="41">
        <v>729.47900000000004</v>
      </c>
      <c r="F953" s="35">
        <v>1150</v>
      </c>
      <c r="G953" s="35">
        <v>100</v>
      </c>
      <c r="H953" s="43">
        <v>600</v>
      </c>
      <c r="I953" s="35">
        <v>695</v>
      </c>
      <c r="J953" s="35">
        <v>50</v>
      </c>
      <c r="K953" s="36"/>
      <c r="L953" s="36"/>
      <c r="M953" s="36"/>
      <c r="N953" s="36"/>
      <c r="O953" s="36"/>
      <c r="P953" s="36"/>
      <c r="Q953" s="36"/>
      <c r="R953" s="36"/>
      <c r="S953" s="36"/>
      <c r="T953" s="36"/>
    </row>
    <row r="954" spans="1:20" ht="15.75">
      <c r="A954" s="13">
        <v>70553</v>
      </c>
      <c r="B954" s="44">
        <f t="shared" si="5"/>
        <v>28</v>
      </c>
      <c r="C954" s="35">
        <v>122.58</v>
      </c>
      <c r="D954" s="35">
        <v>297.94099999999997</v>
      </c>
      <c r="E954" s="41">
        <v>729.47900000000004</v>
      </c>
      <c r="F954" s="35">
        <v>1150</v>
      </c>
      <c r="G954" s="35">
        <v>100</v>
      </c>
      <c r="H954" s="43">
        <v>600</v>
      </c>
      <c r="I954" s="35">
        <v>695</v>
      </c>
      <c r="J954" s="35">
        <v>50</v>
      </c>
      <c r="K954" s="36"/>
      <c r="L954" s="36"/>
      <c r="M954" s="36"/>
      <c r="N954" s="36"/>
      <c r="O954" s="36"/>
      <c r="P954" s="36"/>
      <c r="Q954" s="36"/>
      <c r="R954" s="36"/>
      <c r="S954" s="36"/>
      <c r="T954" s="36"/>
    </row>
    <row r="955" spans="1:20" ht="15.75">
      <c r="A955" s="13">
        <v>70584</v>
      </c>
      <c r="B955" s="44">
        <f t="shared" si="5"/>
        <v>31</v>
      </c>
      <c r="C955" s="35">
        <v>122.58</v>
      </c>
      <c r="D955" s="35">
        <v>297.94099999999997</v>
      </c>
      <c r="E955" s="41">
        <v>729.47900000000004</v>
      </c>
      <c r="F955" s="35">
        <v>1150</v>
      </c>
      <c r="G955" s="35">
        <v>100</v>
      </c>
      <c r="H955" s="43">
        <v>600</v>
      </c>
      <c r="I955" s="35">
        <v>695</v>
      </c>
      <c r="J955" s="35">
        <v>50</v>
      </c>
      <c r="K955" s="36"/>
      <c r="L955" s="36"/>
      <c r="M955" s="36"/>
      <c r="N955" s="36"/>
      <c r="O955" s="36"/>
      <c r="P955" s="36"/>
      <c r="Q955" s="36"/>
      <c r="R955" s="36"/>
      <c r="S955" s="36"/>
      <c r="T955" s="36"/>
    </row>
    <row r="956" spans="1:20" ht="15.75">
      <c r="A956" s="13">
        <v>70614</v>
      </c>
      <c r="B956" s="44">
        <f t="shared" si="5"/>
        <v>30</v>
      </c>
      <c r="C956" s="35">
        <v>141.29300000000001</v>
      </c>
      <c r="D956" s="35">
        <v>267.99299999999999</v>
      </c>
      <c r="E956" s="41">
        <v>829.71400000000006</v>
      </c>
      <c r="F956" s="35">
        <v>1239</v>
      </c>
      <c r="G956" s="35">
        <v>100</v>
      </c>
      <c r="H956" s="43">
        <v>600</v>
      </c>
      <c r="I956" s="35">
        <v>695</v>
      </c>
      <c r="J956" s="35">
        <v>50</v>
      </c>
      <c r="K956" s="36"/>
      <c r="L956" s="36"/>
      <c r="M956" s="36"/>
      <c r="N956" s="36"/>
      <c r="O956" s="36"/>
      <c r="P956" s="36"/>
      <c r="Q956" s="36"/>
      <c r="R956" s="36"/>
      <c r="S956" s="36"/>
      <c r="T956" s="36"/>
    </row>
    <row r="957" spans="1:20" ht="15.75">
      <c r="A957" s="13">
        <v>70645</v>
      </c>
      <c r="B957" s="44">
        <f t="shared" si="5"/>
        <v>31</v>
      </c>
      <c r="C957" s="35">
        <v>194.20500000000001</v>
      </c>
      <c r="D957" s="35">
        <v>267.46600000000001</v>
      </c>
      <c r="E957" s="41">
        <v>812.32899999999995</v>
      </c>
      <c r="F957" s="35">
        <v>1274</v>
      </c>
      <c r="G957" s="35">
        <v>75</v>
      </c>
      <c r="H957" s="43">
        <v>600</v>
      </c>
      <c r="I957" s="35">
        <v>695</v>
      </c>
      <c r="J957" s="35">
        <v>50</v>
      </c>
      <c r="K957" s="36"/>
      <c r="L957" s="36"/>
      <c r="M957" s="36"/>
      <c r="N957" s="36"/>
      <c r="O957" s="36"/>
      <c r="P957" s="36"/>
      <c r="Q957" s="36"/>
      <c r="R957" s="36"/>
      <c r="S957" s="36"/>
      <c r="T957" s="36"/>
    </row>
    <row r="958" spans="1:20" ht="15.75">
      <c r="A958" s="13">
        <v>70675</v>
      </c>
      <c r="B958" s="44">
        <f t="shared" si="5"/>
        <v>30</v>
      </c>
      <c r="C958" s="35">
        <v>194.20500000000001</v>
      </c>
      <c r="D958" s="35">
        <v>267.46600000000001</v>
      </c>
      <c r="E958" s="41">
        <v>812.32899999999995</v>
      </c>
      <c r="F958" s="35">
        <v>1274</v>
      </c>
      <c r="G958" s="35">
        <v>50</v>
      </c>
      <c r="H958" s="43">
        <v>600</v>
      </c>
      <c r="I958" s="35">
        <v>695</v>
      </c>
      <c r="J958" s="35">
        <v>50</v>
      </c>
      <c r="K958" s="36"/>
      <c r="L958" s="36"/>
      <c r="M958" s="36"/>
      <c r="N958" s="36"/>
      <c r="O958" s="36"/>
      <c r="P958" s="36"/>
      <c r="Q958" s="36"/>
      <c r="R958" s="36"/>
      <c r="S958" s="36"/>
      <c r="T958" s="36"/>
    </row>
    <row r="959" spans="1:20" ht="15.75">
      <c r="A959" s="13">
        <v>70706</v>
      </c>
      <c r="B959" s="44">
        <f t="shared" si="5"/>
        <v>31</v>
      </c>
      <c r="C959" s="35">
        <v>194.20500000000001</v>
      </c>
      <c r="D959" s="35">
        <v>267.46600000000001</v>
      </c>
      <c r="E959" s="41">
        <v>812.32899999999995</v>
      </c>
      <c r="F959" s="35">
        <v>1274</v>
      </c>
      <c r="G959" s="35">
        <v>50</v>
      </c>
      <c r="H959" s="43">
        <v>600</v>
      </c>
      <c r="I959" s="35">
        <v>695</v>
      </c>
      <c r="J959" s="35">
        <v>0</v>
      </c>
      <c r="K959" s="36"/>
      <c r="L959" s="36"/>
      <c r="M959" s="36"/>
      <c r="N959" s="36"/>
      <c r="O959" s="36"/>
      <c r="P959" s="36"/>
      <c r="Q959" s="36"/>
      <c r="R959" s="36"/>
      <c r="S959" s="36"/>
      <c r="T959" s="36"/>
    </row>
    <row r="960" spans="1:20" ht="15.75">
      <c r="A960" s="13">
        <v>70737</v>
      </c>
      <c r="B960" s="44">
        <f t="shared" si="5"/>
        <v>31</v>
      </c>
      <c r="C960" s="35">
        <v>194.20500000000001</v>
      </c>
      <c r="D960" s="35">
        <v>267.46600000000001</v>
      </c>
      <c r="E960" s="41">
        <v>812.32899999999995</v>
      </c>
      <c r="F960" s="35">
        <v>1274</v>
      </c>
      <c r="G960" s="35">
        <v>50</v>
      </c>
      <c r="H960" s="43">
        <v>600</v>
      </c>
      <c r="I960" s="35">
        <v>695</v>
      </c>
      <c r="J960" s="35">
        <v>0</v>
      </c>
      <c r="K960" s="36"/>
      <c r="L960" s="36"/>
      <c r="M960" s="36"/>
      <c r="N960" s="36"/>
      <c r="O960" s="36"/>
      <c r="P960" s="36"/>
      <c r="Q960" s="36"/>
      <c r="R960" s="36"/>
      <c r="S960" s="36"/>
      <c r="T960" s="36"/>
    </row>
    <row r="961" spans="1:20" ht="15.75">
      <c r="A961" s="13">
        <v>70767</v>
      </c>
      <c r="B961" s="44">
        <f t="shared" si="5"/>
        <v>30</v>
      </c>
      <c r="C961" s="35">
        <v>194.20500000000001</v>
      </c>
      <c r="D961" s="35">
        <v>267.46600000000001</v>
      </c>
      <c r="E961" s="41">
        <v>812.32899999999995</v>
      </c>
      <c r="F961" s="35">
        <v>1274</v>
      </c>
      <c r="G961" s="35">
        <v>50</v>
      </c>
      <c r="H961" s="43">
        <v>600</v>
      </c>
      <c r="I961" s="35">
        <v>695</v>
      </c>
      <c r="J961" s="35">
        <v>0</v>
      </c>
      <c r="K961" s="36"/>
      <c r="L961" s="36"/>
      <c r="M961" s="36"/>
      <c r="N961" s="36"/>
      <c r="O961" s="36"/>
      <c r="P961" s="36"/>
      <c r="Q961" s="36"/>
      <c r="R961" s="36"/>
      <c r="S961" s="36"/>
      <c r="T961" s="36"/>
    </row>
    <row r="962" spans="1:20" ht="15.75">
      <c r="A962" s="13">
        <v>70798</v>
      </c>
      <c r="B962" s="44">
        <f t="shared" si="5"/>
        <v>31</v>
      </c>
      <c r="C962" s="35">
        <v>131.881</v>
      </c>
      <c r="D962" s="35">
        <v>277.16699999999997</v>
      </c>
      <c r="E962" s="41">
        <v>829.952</v>
      </c>
      <c r="F962" s="35">
        <v>1239</v>
      </c>
      <c r="G962" s="35">
        <v>75</v>
      </c>
      <c r="H962" s="43">
        <v>600</v>
      </c>
      <c r="I962" s="35">
        <v>695</v>
      </c>
      <c r="J962" s="35">
        <v>0</v>
      </c>
      <c r="K962" s="36"/>
      <c r="L962" s="36"/>
      <c r="M962" s="36"/>
      <c r="N962" s="36"/>
      <c r="O962" s="36"/>
      <c r="P962" s="36"/>
      <c r="Q962" s="36"/>
      <c r="R962" s="36"/>
      <c r="S962" s="36"/>
      <c r="T962" s="36"/>
    </row>
    <row r="963" spans="1:20" ht="15.75">
      <c r="A963" s="13">
        <v>70828</v>
      </c>
      <c r="B963" s="44">
        <f t="shared" si="5"/>
        <v>30</v>
      </c>
      <c r="C963" s="35">
        <v>122.58</v>
      </c>
      <c r="D963" s="35">
        <v>297.94099999999997</v>
      </c>
      <c r="E963" s="41">
        <v>729.47900000000004</v>
      </c>
      <c r="F963" s="35">
        <v>1150</v>
      </c>
      <c r="G963" s="35">
        <v>100</v>
      </c>
      <c r="H963" s="43">
        <v>600</v>
      </c>
      <c r="I963" s="35">
        <v>695</v>
      </c>
      <c r="J963" s="35">
        <v>50</v>
      </c>
      <c r="K963" s="36"/>
      <c r="L963" s="36"/>
      <c r="M963" s="36"/>
      <c r="N963" s="36"/>
      <c r="O963" s="36"/>
      <c r="P963" s="36"/>
      <c r="Q963" s="36"/>
      <c r="R963" s="36"/>
      <c r="S963" s="36"/>
      <c r="T963" s="36"/>
    </row>
    <row r="964" spans="1:20" ht="15.75">
      <c r="A964" s="13">
        <v>70859</v>
      </c>
      <c r="B964" s="44">
        <f t="shared" si="5"/>
        <v>31</v>
      </c>
      <c r="C964" s="35">
        <v>122.58</v>
      </c>
      <c r="D964" s="35">
        <v>297.94099999999997</v>
      </c>
      <c r="E964" s="41">
        <v>729.47900000000004</v>
      </c>
      <c r="F964" s="35">
        <v>1150</v>
      </c>
      <c r="G964" s="35">
        <v>100</v>
      </c>
      <c r="H964" s="43">
        <v>600</v>
      </c>
      <c r="I964" s="35">
        <v>695</v>
      </c>
      <c r="J964" s="35">
        <v>50</v>
      </c>
      <c r="K964" s="36"/>
      <c r="L964" s="36"/>
      <c r="M964" s="36"/>
      <c r="N964" s="36"/>
      <c r="O964" s="36"/>
      <c r="P964" s="36"/>
      <c r="Q964" s="36"/>
      <c r="R964" s="36"/>
      <c r="S964" s="36"/>
      <c r="T964" s="36"/>
    </row>
    <row r="965" spans="1:20" ht="15.75">
      <c r="A965" s="13">
        <v>70890</v>
      </c>
      <c r="B965" s="44">
        <f t="shared" ref="B965:B1028" si="6">EOMONTH(A965,0)-EOMONTH(A965,-1)</f>
        <v>31</v>
      </c>
      <c r="C965" s="35">
        <v>122.58</v>
      </c>
      <c r="D965" s="35">
        <v>297.94099999999997</v>
      </c>
      <c r="E965" s="41">
        <v>729.47900000000004</v>
      </c>
      <c r="F965" s="35">
        <v>1150</v>
      </c>
      <c r="G965" s="35">
        <v>100</v>
      </c>
      <c r="H965" s="43">
        <v>600</v>
      </c>
      <c r="I965" s="35">
        <v>695</v>
      </c>
      <c r="J965" s="35">
        <v>50</v>
      </c>
      <c r="K965" s="36"/>
      <c r="L965" s="36"/>
      <c r="M965" s="36"/>
      <c r="N965" s="36"/>
      <c r="O965" s="36"/>
      <c r="P965" s="36"/>
      <c r="Q965" s="36"/>
      <c r="R965" s="36"/>
      <c r="S965" s="36"/>
      <c r="T965" s="36"/>
    </row>
    <row r="966" spans="1:20" ht="15.75">
      <c r="A966" s="13">
        <v>70918</v>
      </c>
      <c r="B966" s="44">
        <f t="shared" si="6"/>
        <v>28</v>
      </c>
      <c r="C966" s="35">
        <v>122.58</v>
      </c>
      <c r="D966" s="35">
        <v>297.94099999999997</v>
      </c>
      <c r="E966" s="41">
        <v>729.47900000000004</v>
      </c>
      <c r="F966" s="35">
        <v>1150</v>
      </c>
      <c r="G966" s="35">
        <v>100</v>
      </c>
      <c r="H966" s="43">
        <v>600</v>
      </c>
      <c r="I966" s="35">
        <v>695</v>
      </c>
      <c r="J966" s="35">
        <v>50</v>
      </c>
      <c r="K966" s="36"/>
      <c r="L966" s="36"/>
      <c r="M966" s="36"/>
      <c r="N966" s="36"/>
      <c r="O966" s="36"/>
      <c r="P966" s="36"/>
      <c r="Q966" s="36"/>
      <c r="R966" s="36"/>
      <c r="S966" s="36"/>
      <c r="T966" s="36"/>
    </row>
    <row r="967" spans="1:20" ht="15.75">
      <c r="A967" s="13">
        <v>70949</v>
      </c>
      <c r="B967" s="44">
        <f t="shared" si="6"/>
        <v>31</v>
      </c>
      <c r="C967" s="35">
        <v>122.58</v>
      </c>
      <c r="D967" s="35">
        <v>297.94099999999997</v>
      </c>
      <c r="E967" s="41">
        <v>729.47900000000004</v>
      </c>
      <c r="F967" s="35">
        <v>1150</v>
      </c>
      <c r="G967" s="35">
        <v>100</v>
      </c>
      <c r="H967" s="43">
        <v>600</v>
      </c>
      <c r="I967" s="35">
        <v>695</v>
      </c>
      <c r="J967" s="35">
        <v>50</v>
      </c>
      <c r="K967" s="36"/>
      <c r="L967" s="36"/>
      <c r="M967" s="36"/>
      <c r="N967" s="36"/>
      <c r="O967" s="36"/>
      <c r="P967" s="36"/>
      <c r="Q967" s="36"/>
      <c r="R967" s="36"/>
      <c r="S967" s="36"/>
      <c r="T967" s="36"/>
    </row>
    <row r="968" spans="1:20" ht="15.75">
      <c r="A968" s="13">
        <v>70979</v>
      </c>
      <c r="B968" s="44">
        <f t="shared" si="6"/>
        <v>30</v>
      </c>
      <c r="C968" s="35">
        <v>141.29300000000001</v>
      </c>
      <c r="D968" s="35">
        <v>267.99299999999999</v>
      </c>
      <c r="E968" s="41">
        <v>829.71400000000006</v>
      </c>
      <c r="F968" s="35">
        <v>1239</v>
      </c>
      <c r="G968" s="35">
        <v>100</v>
      </c>
      <c r="H968" s="43">
        <v>600</v>
      </c>
      <c r="I968" s="35">
        <v>695</v>
      </c>
      <c r="J968" s="35">
        <v>50</v>
      </c>
      <c r="K968" s="36"/>
      <c r="L968" s="36"/>
      <c r="M968" s="36"/>
      <c r="N968" s="36"/>
      <c r="O968" s="36"/>
      <c r="P968" s="36"/>
      <c r="Q968" s="36"/>
      <c r="R968" s="36"/>
      <c r="S968" s="36"/>
      <c r="T968" s="36"/>
    </row>
    <row r="969" spans="1:20" ht="15.75">
      <c r="A969" s="13">
        <v>71010</v>
      </c>
      <c r="B969" s="44">
        <f t="shared" si="6"/>
        <v>31</v>
      </c>
      <c r="C969" s="35">
        <v>194.20500000000001</v>
      </c>
      <c r="D969" s="35">
        <v>267.46600000000001</v>
      </c>
      <c r="E969" s="41">
        <v>812.32899999999995</v>
      </c>
      <c r="F969" s="35">
        <v>1274</v>
      </c>
      <c r="G969" s="35">
        <v>75</v>
      </c>
      <c r="H969" s="43">
        <v>600</v>
      </c>
      <c r="I969" s="35">
        <v>695</v>
      </c>
      <c r="J969" s="35">
        <v>50</v>
      </c>
      <c r="K969" s="36"/>
      <c r="L969" s="36"/>
      <c r="M969" s="36"/>
      <c r="N969" s="36"/>
      <c r="O969" s="36"/>
      <c r="P969" s="36"/>
      <c r="Q969" s="36"/>
      <c r="R969" s="36"/>
      <c r="S969" s="36"/>
      <c r="T969" s="36"/>
    </row>
    <row r="970" spans="1:20" ht="15.75">
      <c r="A970" s="13">
        <v>71040</v>
      </c>
      <c r="B970" s="44">
        <f t="shared" si="6"/>
        <v>30</v>
      </c>
      <c r="C970" s="35">
        <v>194.20500000000001</v>
      </c>
      <c r="D970" s="35">
        <v>267.46600000000001</v>
      </c>
      <c r="E970" s="41">
        <v>812.32899999999995</v>
      </c>
      <c r="F970" s="35">
        <v>1274</v>
      </c>
      <c r="G970" s="35">
        <v>50</v>
      </c>
      <c r="H970" s="43">
        <v>600</v>
      </c>
      <c r="I970" s="35">
        <v>695</v>
      </c>
      <c r="J970" s="35">
        <v>50</v>
      </c>
      <c r="K970" s="36"/>
      <c r="L970" s="36"/>
      <c r="M970" s="36"/>
      <c r="N970" s="36"/>
      <c r="O970" s="36"/>
      <c r="P970" s="36"/>
      <c r="Q970" s="36"/>
      <c r="R970" s="36"/>
      <c r="S970" s="36"/>
      <c r="T970" s="36"/>
    </row>
    <row r="971" spans="1:20" ht="15.75">
      <c r="A971" s="13">
        <v>71071</v>
      </c>
      <c r="B971" s="44">
        <f t="shared" si="6"/>
        <v>31</v>
      </c>
      <c r="C971" s="35">
        <v>194.20500000000001</v>
      </c>
      <c r="D971" s="35">
        <v>267.46600000000001</v>
      </c>
      <c r="E971" s="41">
        <v>812.32899999999995</v>
      </c>
      <c r="F971" s="35">
        <v>1274</v>
      </c>
      <c r="G971" s="35">
        <v>50</v>
      </c>
      <c r="H971" s="43">
        <v>600</v>
      </c>
      <c r="I971" s="35">
        <v>695</v>
      </c>
      <c r="J971" s="35">
        <v>0</v>
      </c>
      <c r="K971" s="36"/>
      <c r="L971" s="36"/>
      <c r="M971" s="36"/>
      <c r="N971" s="36"/>
      <c r="O971" s="36"/>
      <c r="P971" s="36"/>
      <c r="Q971" s="36"/>
      <c r="R971" s="36"/>
      <c r="S971" s="36"/>
      <c r="T971" s="36"/>
    </row>
    <row r="972" spans="1:20" ht="15.75">
      <c r="A972" s="13">
        <v>71102</v>
      </c>
      <c r="B972" s="44">
        <f t="shared" si="6"/>
        <v>31</v>
      </c>
      <c r="C972" s="35">
        <v>194.20500000000001</v>
      </c>
      <c r="D972" s="35">
        <v>267.46600000000001</v>
      </c>
      <c r="E972" s="41">
        <v>812.32899999999995</v>
      </c>
      <c r="F972" s="35">
        <v>1274</v>
      </c>
      <c r="G972" s="35">
        <v>50</v>
      </c>
      <c r="H972" s="43">
        <v>600</v>
      </c>
      <c r="I972" s="35">
        <v>695</v>
      </c>
      <c r="J972" s="35">
        <v>0</v>
      </c>
      <c r="K972" s="36"/>
      <c r="L972" s="36"/>
      <c r="M972" s="36"/>
      <c r="N972" s="36"/>
      <c r="O972" s="36"/>
      <c r="P972" s="36"/>
      <c r="Q972" s="36"/>
      <c r="R972" s="36"/>
      <c r="S972" s="36"/>
      <c r="T972" s="36"/>
    </row>
    <row r="973" spans="1:20" ht="15.75">
      <c r="A973" s="13">
        <v>71132</v>
      </c>
      <c r="B973" s="44">
        <f t="shared" si="6"/>
        <v>30</v>
      </c>
      <c r="C973" s="35">
        <v>194.20500000000001</v>
      </c>
      <c r="D973" s="35">
        <v>267.46600000000001</v>
      </c>
      <c r="E973" s="41">
        <v>812.32899999999995</v>
      </c>
      <c r="F973" s="35">
        <v>1274</v>
      </c>
      <c r="G973" s="35">
        <v>50</v>
      </c>
      <c r="H973" s="43">
        <v>600</v>
      </c>
      <c r="I973" s="35">
        <v>695</v>
      </c>
      <c r="J973" s="35">
        <v>0</v>
      </c>
      <c r="K973" s="36"/>
      <c r="L973" s="36"/>
      <c r="M973" s="36"/>
      <c r="N973" s="36"/>
      <c r="O973" s="36"/>
      <c r="P973" s="36"/>
      <c r="Q973" s="36"/>
      <c r="R973" s="36"/>
      <c r="S973" s="36"/>
      <c r="T973" s="36"/>
    </row>
    <row r="974" spans="1:20" ht="15.75">
      <c r="A974" s="13">
        <v>71163</v>
      </c>
      <c r="B974" s="44">
        <f t="shared" si="6"/>
        <v>31</v>
      </c>
      <c r="C974" s="35">
        <v>131.881</v>
      </c>
      <c r="D974" s="35">
        <v>277.16699999999997</v>
      </c>
      <c r="E974" s="41">
        <v>829.952</v>
      </c>
      <c r="F974" s="35">
        <v>1239</v>
      </c>
      <c r="G974" s="35">
        <v>75</v>
      </c>
      <c r="H974" s="43">
        <v>600</v>
      </c>
      <c r="I974" s="35">
        <v>695</v>
      </c>
      <c r="J974" s="35">
        <v>0</v>
      </c>
      <c r="K974" s="36"/>
      <c r="L974" s="36"/>
      <c r="M974" s="36"/>
      <c r="N974" s="36"/>
      <c r="O974" s="36"/>
      <c r="P974" s="36"/>
      <c r="Q974" s="36"/>
      <c r="R974" s="36"/>
      <c r="S974" s="36"/>
      <c r="T974" s="36"/>
    </row>
    <row r="975" spans="1:20" ht="15.75">
      <c r="A975" s="13">
        <v>71193</v>
      </c>
      <c r="B975" s="44">
        <f t="shared" si="6"/>
        <v>30</v>
      </c>
      <c r="C975" s="35">
        <v>122.58</v>
      </c>
      <c r="D975" s="35">
        <v>297.94099999999997</v>
      </c>
      <c r="E975" s="41">
        <v>729.47900000000004</v>
      </c>
      <c r="F975" s="35">
        <v>1150</v>
      </c>
      <c r="G975" s="35">
        <v>100</v>
      </c>
      <c r="H975" s="43">
        <v>600</v>
      </c>
      <c r="I975" s="35">
        <v>695</v>
      </c>
      <c r="J975" s="35">
        <v>50</v>
      </c>
      <c r="K975" s="36"/>
      <c r="L975" s="36"/>
      <c r="M975" s="36"/>
      <c r="N975" s="36"/>
      <c r="O975" s="36"/>
      <c r="P975" s="36"/>
      <c r="Q975" s="36"/>
      <c r="R975" s="36"/>
      <c r="S975" s="36"/>
      <c r="T975" s="36"/>
    </row>
    <row r="976" spans="1:20" ht="15.75">
      <c r="A976" s="13">
        <v>71224</v>
      </c>
      <c r="B976" s="44">
        <f t="shared" si="6"/>
        <v>31</v>
      </c>
      <c r="C976" s="35">
        <v>122.58</v>
      </c>
      <c r="D976" s="35">
        <v>297.94099999999997</v>
      </c>
      <c r="E976" s="41">
        <v>729.47900000000004</v>
      </c>
      <c r="F976" s="35">
        <v>1150</v>
      </c>
      <c r="G976" s="35">
        <v>100</v>
      </c>
      <c r="H976" s="43">
        <v>600</v>
      </c>
      <c r="I976" s="35">
        <v>695</v>
      </c>
      <c r="J976" s="35">
        <v>50</v>
      </c>
      <c r="K976" s="36"/>
      <c r="L976" s="36"/>
      <c r="M976" s="36"/>
      <c r="N976" s="36"/>
      <c r="O976" s="36"/>
      <c r="P976" s="36"/>
      <c r="Q976" s="36"/>
      <c r="R976" s="36"/>
      <c r="S976" s="36"/>
      <c r="T976" s="36"/>
    </row>
    <row r="977" spans="1:20" ht="15.75">
      <c r="A977" s="13">
        <v>71255</v>
      </c>
      <c r="B977" s="44">
        <f t="shared" si="6"/>
        <v>31</v>
      </c>
      <c r="C977" s="35">
        <v>122.58</v>
      </c>
      <c r="D977" s="35">
        <v>297.94099999999997</v>
      </c>
      <c r="E977" s="41">
        <v>729.47900000000004</v>
      </c>
      <c r="F977" s="35">
        <v>1150</v>
      </c>
      <c r="G977" s="35">
        <v>100</v>
      </c>
      <c r="H977" s="43">
        <v>600</v>
      </c>
      <c r="I977" s="35">
        <v>695</v>
      </c>
      <c r="J977" s="35">
        <v>50</v>
      </c>
      <c r="K977" s="36"/>
      <c r="L977" s="36"/>
      <c r="M977" s="36"/>
      <c r="N977" s="36"/>
      <c r="O977" s="36"/>
      <c r="P977" s="36"/>
      <c r="Q977" s="36"/>
      <c r="R977" s="36"/>
      <c r="S977" s="36"/>
      <c r="T977" s="36"/>
    </row>
    <row r="978" spans="1:20" ht="15.75">
      <c r="A978" s="13">
        <v>71283</v>
      </c>
      <c r="B978" s="44">
        <f t="shared" si="6"/>
        <v>28</v>
      </c>
      <c r="C978" s="35">
        <v>122.58</v>
      </c>
      <c r="D978" s="35">
        <v>297.94099999999997</v>
      </c>
      <c r="E978" s="41">
        <v>729.47900000000004</v>
      </c>
      <c r="F978" s="35">
        <v>1150</v>
      </c>
      <c r="G978" s="35">
        <v>100</v>
      </c>
      <c r="H978" s="43">
        <v>600</v>
      </c>
      <c r="I978" s="35">
        <v>695</v>
      </c>
      <c r="J978" s="35">
        <v>50</v>
      </c>
      <c r="K978" s="36"/>
      <c r="L978" s="36"/>
      <c r="M978" s="36"/>
      <c r="N978" s="36"/>
      <c r="O978" s="36"/>
      <c r="P978" s="36"/>
      <c r="Q978" s="36"/>
      <c r="R978" s="36"/>
      <c r="S978" s="36"/>
      <c r="T978" s="36"/>
    </row>
    <row r="979" spans="1:20" ht="15.75">
      <c r="A979" s="13">
        <v>71314</v>
      </c>
      <c r="B979" s="44">
        <f t="shared" si="6"/>
        <v>31</v>
      </c>
      <c r="C979" s="35">
        <v>122.58</v>
      </c>
      <c r="D979" s="35">
        <v>297.94099999999997</v>
      </c>
      <c r="E979" s="41">
        <v>729.47900000000004</v>
      </c>
      <c r="F979" s="35">
        <v>1150</v>
      </c>
      <c r="G979" s="35">
        <v>100</v>
      </c>
      <c r="H979" s="43">
        <v>600</v>
      </c>
      <c r="I979" s="35">
        <v>695</v>
      </c>
      <c r="J979" s="35">
        <v>50</v>
      </c>
      <c r="K979" s="36"/>
      <c r="L979" s="36"/>
      <c r="M979" s="36"/>
      <c r="N979" s="36"/>
      <c r="O979" s="36"/>
      <c r="P979" s="36"/>
      <c r="Q979" s="36"/>
      <c r="R979" s="36"/>
      <c r="S979" s="36"/>
      <c r="T979" s="36"/>
    </row>
    <row r="980" spans="1:20" ht="15.75">
      <c r="A980" s="13">
        <v>71344</v>
      </c>
      <c r="B980" s="44">
        <f t="shared" si="6"/>
        <v>30</v>
      </c>
      <c r="C980" s="35">
        <v>141.29300000000001</v>
      </c>
      <c r="D980" s="35">
        <v>267.99299999999999</v>
      </c>
      <c r="E980" s="41">
        <v>829.71400000000006</v>
      </c>
      <c r="F980" s="35">
        <v>1239</v>
      </c>
      <c r="G980" s="35">
        <v>100</v>
      </c>
      <c r="H980" s="43">
        <v>600</v>
      </c>
      <c r="I980" s="35">
        <v>695</v>
      </c>
      <c r="J980" s="35">
        <v>50</v>
      </c>
      <c r="K980" s="36"/>
      <c r="L980" s="36"/>
      <c r="M980" s="36"/>
      <c r="N980" s="36"/>
      <c r="O980" s="36"/>
      <c r="P980" s="36"/>
      <c r="Q980" s="36"/>
      <c r="R980" s="36"/>
      <c r="S980" s="36"/>
      <c r="T980" s="36"/>
    </row>
    <row r="981" spans="1:20" ht="15.75">
      <c r="A981" s="13">
        <v>71375</v>
      </c>
      <c r="B981" s="44">
        <f t="shared" si="6"/>
        <v>31</v>
      </c>
      <c r="C981" s="35">
        <v>194.20500000000001</v>
      </c>
      <c r="D981" s="35">
        <v>267.46600000000001</v>
      </c>
      <c r="E981" s="41">
        <v>812.32899999999995</v>
      </c>
      <c r="F981" s="35">
        <v>1274</v>
      </c>
      <c r="G981" s="35">
        <v>75</v>
      </c>
      <c r="H981" s="43">
        <v>600</v>
      </c>
      <c r="I981" s="35">
        <v>695</v>
      </c>
      <c r="J981" s="35">
        <v>50</v>
      </c>
      <c r="K981" s="36"/>
      <c r="L981" s="36"/>
      <c r="M981" s="36"/>
      <c r="N981" s="36"/>
      <c r="O981" s="36"/>
      <c r="P981" s="36"/>
      <c r="Q981" s="36"/>
      <c r="R981" s="36"/>
      <c r="S981" s="36"/>
      <c r="T981" s="36"/>
    </row>
    <row r="982" spans="1:20" ht="15.75">
      <c r="A982" s="13">
        <v>71405</v>
      </c>
      <c r="B982" s="44">
        <f t="shared" si="6"/>
        <v>30</v>
      </c>
      <c r="C982" s="35">
        <v>194.20500000000001</v>
      </c>
      <c r="D982" s="35">
        <v>267.46600000000001</v>
      </c>
      <c r="E982" s="41">
        <v>812.32899999999995</v>
      </c>
      <c r="F982" s="35">
        <v>1274</v>
      </c>
      <c r="G982" s="35">
        <v>50</v>
      </c>
      <c r="H982" s="43">
        <v>600</v>
      </c>
      <c r="I982" s="35">
        <v>695</v>
      </c>
      <c r="J982" s="35">
        <v>50</v>
      </c>
      <c r="K982" s="36"/>
      <c r="L982" s="36"/>
      <c r="M982" s="36"/>
      <c r="N982" s="36"/>
      <c r="O982" s="36"/>
      <c r="P982" s="36"/>
      <c r="Q982" s="36"/>
      <c r="R982" s="36"/>
      <c r="S982" s="36"/>
      <c r="T982" s="36"/>
    </row>
    <row r="983" spans="1:20" ht="15.75">
      <c r="A983" s="13">
        <v>71436</v>
      </c>
      <c r="B983" s="44">
        <f t="shared" si="6"/>
        <v>31</v>
      </c>
      <c r="C983" s="35">
        <v>194.20500000000001</v>
      </c>
      <c r="D983" s="35">
        <v>267.46600000000001</v>
      </c>
      <c r="E983" s="41">
        <v>812.32899999999995</v>
      </c>
      <c r="F983" s="35">
        <v>1274</v>
      </c>
      <c r="G983" s="35">
        <v>50</v>
      </c>
      <c r="H983" s="43">
        <v>600</v>
      </c>
      <c r="I983" s="35">
        <v>695</v>
      </c>
      <c r="J983" s="35">
        <v>0</v>
      </c>
      <c r="K983" s="36"/>
      <c r="L983" s="36"/>
      <c r="M983" s="36"/>
      <c r="N983" s="36"/>
      <c r="O983" s="36"/>
      <c r="P983" s="36"/>
      <c r="Q983" s="36"/>
      <c r="R983" s="36"/>
      <c r="S983" s="36"/>
      <c r="T983" s="36"/>
    </row>
    <row r="984" spans="1:20" ht="15.75">
      <c r="A984" s="13">
        <v>71467</v>
      </c>
      <c r="B984" s="44">
        <f t="shared" si="6"/>
        <v>31</v>
      </c>
      <c r="C984" s="35">
        <v>194.20500000000001</v>
      </c>
      <c r="D984" s="35">
        <v>267.46600000000001</v>
      </c>
      <c r="E984" s="41">
        <v>812.32899999999995</v>
      </c>
      <c r="F984" s="35">
        <v>1274</v>
      </c>
      <c r="G984" s="35">
        <v>50</v>
      </c>
      <c r="H984" s="43">
        <v>600</v>
      </c>
      <c r="I984" s="35">
        <v>695</v>
      </c>
      <c r="J984" s="35">
        <v>0</v>
      </c>
      <c r="K984" s="36"/>
      <c r="L984" s="36"/>
      <c r="M984" s="36"/>
      <c r="N984" s="36"/>
      <c r="O984" s="36"/>
      <c r="P984" s="36"/>
      <c r="Q984" s="36"/>
      <c r="R984" s="36"/>
      <c r="S984" s="36"/>
      <c r="T984" s="36"/>
    </row>
    <row r="985" spans="1:20" ht="15.75">
      <c r="A985" s="13">
        <v>71497</v>
      </c>
      <c r="B985" s="44">
        <f t="shared" si="6"/>
        <v>30</v>
      </c>
      <c r="C985" s="35">
        <v>194.20500000000001</v>
      </c>
      <c r="D985" s="35">
        <v>267.46600000000001</v>
      </c>
      <c r="E985" s="41">
        <v>812.32899999999995</v>
      </c>
      <c r="F985" s="35">
        <v>1274</v>
      </c>
      <c r="G985" s="35">
        <v>50</v>
      </c>
      <c r="H985" s="43">
        <v>600</v>
      </c>
      <c r="I985" s="35">
        <v>695</v>
      </c>
      <c r="J985" s="35">
        <v>0</v>
      </c>
      <c r="K985" s="36"/>
      <c r="L985" s="36"/>
      <c r="M985" s="36"/>
      <c r="N985" s="36"/>
      <c r="O985" s="36"/>
      <c r="P985" s="36"/>
      <c r="Q985" s="36"/>
      <c r="R985" s="36"/>
      <c r="S985" s="36"/>
      <c r="T985" s="36"/>
    </row>
    <row r="986" spans="1:20" ht="15.75">
      <c r="A986" s="13">
        <v>71528</v>
      </c>
      <c r="B986" s="44">
        <f t="shared" si="6"/>
        <v>31</v>
      </c>
      <c r="C986" s="35">
        <v>131.881</v>
      </c>
      <c r="D986" s="35">
        <v>277.16699999999997</v>
      </c>
      <c r="E986" s="41">
        <v>829.952</v>
      </c>
      <c r="F986" s="35">
        <v>1239</v>
      </c>
      <c r="G986" s="35">
        <v>75</v>
      </c>
      <c r="H986" s="43">
        <v>600</v>
      </c>
      <c r="I986" s="35">
        <v>695</v>
      </c>
      <c r="J986" s="35">
        <v>0</v>
      </c>
      <c r="K986" s="36"/>
      <c r="L986" s="36"/>
      <c r="M986" s="36"/>
      <c r="N986" s="36"/>
      <c r="O986" s="36"/>
      <c r="P986" s="36"/>
      <c r="Q986" s="36"/>
      <c r="R986" s="36"/>
      <c r="S986" s="36"/>
      <c r="T986" s="36"/>
    </row>
    <row r="987" spans="1:20" ht="15.75">
      <c r="A987" s="13">
        <v>71558</v>
      </c>
      <c r="B987" s="44">
        <f t="shared" si="6"/>
        <v>30</v>
      </c>
      <c r="C987" s="35">
        <v>122.58</v>
      </c>
      <c r="D987" s="35">
        <v>297.94099999999997</v>
      </c>
      <c r="E987" s="41">
        <v>729.47900000000004</v>
      </c>
      <c r="F987" s="35">
        <v>1150</v>
      </c>
      <c r="G987" s="35">
        <v>100</v>
      </c>
      <c r="H987" s="43">
        <v>600</v>
      </c>
      <c r="I987" s="35">
        <v>695</v>
      </c>
      <c r="J987" s="35">
        <v>50</v>
      </c>
      <c r="K987" s="36"/>
      <c r="L987" s="36"/>
      <c r="M987" s="36"/>
      <c r="N987" s="36"/>
      <c r="O987" s="36"/>
      <c r="P987" s="36"/>
      <c r="Q987" s="36"/>
      <c r="R987" s="36"/>
      <c r="S987" s="36"/>
      <c r="T987" s="36"/>
    </row>
    <row r="988" spans="1:20" ht="15.75">
      <c r="A988" s="13">
        <v>71589</v>
      </c>
      <c r="B988" s="44">
        <f t="shared" si="6"/>
        <v>31</v>
      </c>
      <c r="C988" s="35">
        <v>122.58</v>
      </c>
      <c r="D988" s="35">
        <v>297.94099999999997</v>
      </c>
      <c r="E988" s="41">
        <v>729.47900000000004</v>
      </c>
      <c r="F988" s="35">
        <v>1150</v>
      </c>
      <c r="G988" s="35">
        <v>100</v>
      </c>
      <c r="H988" s="43">
        <v>600</v>
      </c>
      <c r="I988" s="35">
        <v>695</v>
      </c>
      <c r="J988" s="35">
        <v>50</v>
      </c>
      <c r="K988" s="36"/>
      <c r="L988" s="36"/>
      <c r="M988" s="36"/>
      <c r="N988" s="36"/>
      <c r="O988" s="36"/>
      <c r="P988" s="36"/>
      <c r="Q988" s="36"/>
      <c r="R988" s="36"/>
      <c r="S988" s="36"/>
      <c r="T988" s="36"/>
    </row>
    <row r="989" spans="1:20" ht="15.75">
      <c r="A989" s="13">
        <v>71620</v>
      </c>
      <c r="B989" s="44">
        <f t="shared" si="6"/>
        <v>31</v>
      </c>
      <c r="C989" s="35">
        <v>122.58</v>
      </c>
      <c r="D989" s="35">
        <v>297.94099999999997</v>
      </c>
      <c r="E989" s="41">
        <v>729.47900000000004</v>
      </c>
      <c r="F989" s="35">
        <v>1150</v>
      </c>
      <c r="G989" s="35">
        <v>100</v>
      </c>
      <c r="H989" s="43">
        <v>600</v>
      </c>
      <c r="I989" s="35">
        <v>695</v>
      </c>
      <c r="J989" s="35">
        <v>50</v>
      </c>
      <c r="K989" s="36"/>
      <c r="L989" s="36"/>
      <c r="M989" s="36"/>
      <c r="N989" s="36"/>
      <c r="O989" s="36"/>
      <c r="P989" s="36"/>
      <c r="Q989" s="36"/>
      <c r="R989" s="36"/>
      <c r="S989" s="36"/>
      <c r="T989" s="36"/>
    </row>
    <row r="990" spans="1:20" ht="15.75">
      <c r="A990" s="13">
        <v>71649</v>
      </c>
      <c r="B990" s="44">
        <f t="shared" si="6"/>
        <v>29</v>
      </c>
      <c r="C990" s="35">
        <v>122.58</v>
      </c>
      <c r="D990" s="35">
        <v>297.94099999999997</v>
      </c>
      <c r="E990" s="41">
        <v>729.47900000000004</v>
      </c>
      <c r="F990" s="35">
        <v>1150</v>
      </c>
      <c r="G990" s="35">
        <v>100</v>
      </c>
      <c r="H990" s="43">
        <v>600</v>
      </c>
      <c r="I990" s="35">
        <v>695</v>
      </c>
      <c r="J990" s="35">
        <v>50</v>
      </c>
      <c r="K990" s="36"/>
      <c r="L990" s="36"/>
      <c r="M990" s="36"/>
      <c r="N990" s="36"/>
      <c r="O990" s="36"/>
      <c r="P990" s="36"/>
      <c r="Q990" s="36"/>
      <c r="R990" s="36"/>
      <c r="S990" s="36"/>
      <c r="T990" s="36"/>
    </row>
    <row r="991" spans="1:20" ht="15.75">
      <c r="A991" s="13">
        <v>71680</v>
      </c>
      <c r="B991" s="44">
        <f t="shared" si="6"/>
        <v>31</v>
      </c>
      <c r="C991" s="35">
        <v>122.58</v>
      </c>
      <c r="D991" s="35">
        <v>297.94099999999997</v>
      </c>
      <c r="E991" s="41">
        <v>729.47900000000004</v>
      </c>
      <c r="F991" s="35">
        <v>1150</v>
      </c>
      <c r="G991" s="35">
        <v>100</v>
      </c>
      <c r="H991" s="43">
        <v>600</v>
      </c>
      <c r="I991" s="35">
        <v>695</v>
      </c>
      <c r="J991" s="35">
        <v>50</v>
      </c>
      <c r="K991" s="36"/>
      <c r="L991" s="36"/>
      <c r="M991" s="36"/>
      <c r="N991" s="36"/>
      <c r="O991" s="36"/>
      <c r="P991" s="36"/>
      <c r="Q991" s="36"/>
      <c r="R991" s="36"/>
      <c r="S991" s="36"/>
      <c r="T991" s="36"/>
    </row>
    <row r="992" spans="1:20" ht="15.75">
      <c r="A992" s="13">
        <v>71710</v>
      </c>
      <c r="B992" s="44">
        <f t="shared" si="6"/>
        <v>30</v>
      </c>
      <c r="C992" s="35">
        <v>141.29300000000001</v>
      </c>
      <c r="D992" s="35">
        <v>267.99299999999999</v>
      </c>
      <c r="E992" s="41">
        <v>829.71400000000006</v>
      </c>
      <c r="F992" s="35">
        <v>1239</v>
      </c>
      <c r="G992" s="35">
        <v>100</v>
      </c>
      <c r="H992" s="43">
        <v>600</v>
      </c>
      <c r="I992" s="35">
        <v>695</v>
      </c>
      <c r="J992" s="35">
        <v>50</v>
      </c>
      <c r="K992" s="36"/>
      <c r="L992" s="36"/>
      <c r="M992" s="36"/>
      <c r="N992" s="36"/>
      <c r="O992" s="36"/>
      <c r="P992" s="36"/>
      <c r="Q992" s="36"/>
      <c r="R992" s="36"/>
      <c r="S992" s="36"/>
      <c r="T992" s="36"/>
    </row>
    <row r="993" spans="1:20" ht="15.75">
      <c r="A993" s="13">
        <v>71741</v>
      </c>
      <c r="B993" s="44">
        <f t="shared" si="6"/>
        <v>31</v>
      </c>
      <c r="C993" s="35">
        <v>194.20500000000001</v>
      </c>
      <c r="D993" s="35">
        <v>267.46600000000001</v>
      </c>
      <c r="E993" s="41">
        <v>812.32899999999995</v>
      </c>
      <c r="F993" s="35">
        <v>1274</v>
      </c>
      <c r="G993" s="35">
        <v>75</v>
      </c>
      <c r="H993" s="43">
        <v>600</v>
      </c>
      <c r="I993" s="35">
        <v>695</v>
      </c>
      <c r="J993" s="35">
        <v>50</v>
      </c>
      <c r="K993" s="36"/>
      <c r="L993" s="36"/>
      <c r="M993" s="36"/>
      <c r="N993" s="36"/>
      <c r="O993" s="36"/>
      <c r="P993" s="36"/>
      <c r="Q993" s="36"/>
      <c r="R993" s="36"/>
      <c r="S993" s="36"/>
      <c r="T993" s="36"/>
    </row>
    <row r="994" spans="1:20" ht="15.75">
      <c r="A994" s="13">
        <v>71771</v>
      </c>
      <c r="B994" s="44">
        <f t="shared" si="6"/>
        <v>30</v>
      </c>
      <c r="C994" s="35">
        <v>194.20500000000001</v>
      </c>
      <c r="D994" s="35">
        <v>267.46600000000001</v>
      </c>
      <c r="E994" s="41">
        <v>812.32899999999995</v>
      </c>
      <c r="F994" s="35">
        <v>1274</v>
      </c>
      <c r="G994" s="35">
        <v>50</v>
      </c>
      <c r="H994" s="43">
        <v>600</v>
      </c>
      <c r="I994" s="35">
        <v>695</v>
      </c>
      <c r="J994" s="35">
        <v>50</v>
      </c>
      <c r="K994" s="36"/>
      <c r="L994" s="36"/>
      <c r="M994" s="36"/>
      <c r="N994" s="36"/>
      <c r="O994" s="36"/>
      <c r="P994" s="36"/>
      <c r="Q994" s="36"/>
      <c r="R994" s="36"/>
      <c r="S994" s="36"/>
      <c r="T994" s="36"/>
    </row>
    <row r="995" spans="1:20" ht="15.75">
      <c r="A995" s="13">
        <v>71802</v>
      </c>
      <c r="B995" s="44">
        <f t="shared" si="6"/>
        <v>31</v>
      </c>
      <c r="C995" s="35">
        <v>194.20500000000001</v>
      </c>
      <c r="D995" s="35">
        <v>267.46600000000001</v>
      </c>
      <c r="E995" s="41">
        <v>812.32899999999995</v>
      </c>
      <c r="F995" s="35">
        <v>1274</v>
      </c>
      <c r="G995" s="35">
        <v>50</v>
      </c>
      <c r="H995" s="43">
        <v>600</v>
      </c>
      <c r="I995" s="35">
        <v>695</v>
      </c>
      <c r="J995" s="35">
        <v>0</v>
      </c>
      <c r="K995" s="36"/>
      <c r="L995" s="36"/>
      <c r="M995" s="36"/>
      <c r="N995" s="36"/>
      <c r="O995" s="36"/>
      <c r="P995" s="36"/>
      <c r="Q995" s="36"/>
      <c r="R995" s="36"/>
      <c r="S995" s="36"/>
      <c r="T995" s="36"/>
    </row>
    <row r="996" spans="1:20" ht="15.75">
      <c r="A996" s="13">
        <v>71833</v>
      </c>
      <c r="B996" s="44">
        <f t="shared" si="6"/>
        <v>31</v>
      </c>
      <c r="C996" s="35">
        <v>194.20500000000001</v>
      </c>
      <c r="D996" s="35">
        <v>267.46600000000001</v>
      </c>
      <c r="E996" s="41">
        <v>812.32899999999995</v>
      </c>
      <c r="F996" s="35">
        <v>1274</v>
      </c>
      <c r="G996" s="35">
        <v>50</v>
      </c>
      <c r="H996" s="43">
        <v>600</v>
      </c>
      <c r="I996" s="35">
        <v>695</v>
      </c>
      <c r="J996" s="35">
        <v>0</v>
      </c>
      <c r="K996" s="36"/>
      <c r="L996" s="36"/>
      <c r="M996" s="36"/>
      <c r="N996" s="36"/>
      <c r="O996" s="36"/>
      <c r="P996" s="36"/>
      <c r="Q996" s="36"/>
      <c r="R996" s="36"/>
      <c r="S996" s="36"/>
      <c r="T996" s="36"/>
    </row>
    <row r="997" spans="1:20" ht="15.75">
      <c r="A997" s="13">
        <v>71863</v>
      </c>
      <c r="B997" s="44">
        <f t="shared" si="6"/>
        <v>30</v>
      </c>
      <c r="C997" s="35">
        <v>194.20500000000001</v>
      </c>
      <c r="D997" s="35">
        <v>267.46600000000001</v>
      </c>
      <c r="E997" s="41">
        <v>812.32899999999995</v>
      </c>
      <c r="F997" s="35">
        <v>1274</v>
      </c>
      <c r="G997" s="35">
        <v>50</v>
      </c>
      <c r="H997" s="43">
        <v>600</v>
      </c>
      <c r="I997" s="35">
        <v>695</v>
      </c>
      <c r="J997" s="35">
        <v>0</v>
      </c>
      <c r="K997" s="36"/>
      <c r="L997" s="36"/>
      <c r="M997" s="36"/>
      <c r="N997" s="36"/>
      <c r="O997" s="36"/>
      <c r="P997" s="36"/>
      <c r="Q997" s="36"/>
      <c r="R997" s="36"/>
      <c r="S997" s="36"/>
      <c r="T997" s="36"/>
    </row>
    <row r="998" spans="1:20" ht="15.75">
      <c r="A998" s="13">
        <v>71894</v>
      </c>
      <c r="B998" s="44">
        <f t="shared" si="6"/>
        <v>31</v>
      </c>
      <c r="C998" s="35">
        <v>131.881</v>
      </c>
      <c r="D998" s="35">
        <v>277.16699999999997</v>
      </c>
      <c r="E998" s="41">
        <v>829.952</v>
      </c>
      <c r="F998" s="35">
        <v>1239</v>
      </c>
      <c r="G998" s="35">
        <v>75</v>
      </c>
      <c r="H998" s="43">
        <v>600</v>
      </c>
      <c r="I998" s="35">
        <v>695</v>
      </c>
      <c r="J998" s="35">
        <v>0</v>
      </c>
      <c r="K998" s="36"/>
      <c r="L998" s="36"/>
      <c r="M998" s="36"/>
      <c r="N998" s="36"/>
      <c r="O998" s="36"/>
      <c r="P998" s="36"/>
      <c r="Q998" s="36"/>
      <c r="R998" s="36"/>
      <c r="S998" s="36"/>
      <c r="T998" s="36"/>
    </row>
    <row r="999" spans="1:20" ht="15.75">
      <c r="A999" s="13">
        <v>71924</v>
      </c>
      <c r="B999" s="44">
        <f t="shared" si="6"/>
        <v>30</v>
      </c>
      <c r="C999" s="35">
        <v>122.58</v>
      </c>
      <c r="D999" s="35">
        <v>297.94099999999997</v>
      </c>
      <c r="E999" s="41">
        <v>729.47900000000004</v>
      </c>
      <c r="F999" s="35">
        <v>1150</v>
      </c>
      <c r="G999" s="35">
        <v>100</v>
      </c>
      <c r="H999" s="43">
        <v>600</v>
      </c>
      <c r="I999" s="35">
        <v>695</v>
      </c>
      <c r="J999" s="35">
        <v>50</v>
      </c>
      <c r="K999" s="36"/>
      <c r="L999" s="36"/>
      <c r="M999" s="36"/>
      <c r="N999" s="36"/>
      <c r="O999" s="36"/>
      <c r="P999" s="36"/>
      <c r="Q999" s="36"/>
      <c r="R999" s="36"/>
      <c r="S999" s="36"/>
      <c r="T999" s="36"/>
    </row>
    <row r="1000" spans="1:20" ht="15.75">
      <c r="A1000" s="13">
        <v>71955</v>
      </c>
      <c r="B1000" s="44">
        <f t="shared" si="6"/>
        <v>31</v>
      </c>
      <c r="C1000" s="35">
        <v>122.58</v>
      </c>
      <c r="D1000" s="35">
        <v>297.94099999999997</v>
      </c>
      <c r="E1000" s="41">
        <v>729.47900000000004</v>
      </c>
      <c r="F1000" s="35">
        <v>1150</v>
      </c>
      <c r="G1000" s="35">
        <v>100</v>
      </c>
      <c r="H1000" s="43">
        <v>600</v>
      </c>
      <c r="I1000" s="35">
        <v>695</v>
      </c>
      <c r="J1000" s="35">
        <v>50</v>
      </c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</row>
    <row r="1001" spans="1:20" ht="15.75">
      <c r="A1001" s="13">
        <v>71986</v>
      </c>
      <c r="B1001" s="44">
        <f t="shared" si="6"/>
        <v>31</v>
      </c>
      <c r="C1001" s="35">
        <v>122.58</v>
      </c>
      <c r="D1001" s="35">
        <v>297.94099999999997</v>
      </c>
      <c r="E1001" s="41">
        <v>729.47900000000004</v>
      </c>
      <c r="F1001" s="35">
        <v>1150</v>
      </c>
      <c r="G1001" s="35">
        <v>100</v>
      </c>
      <c r="H1001" s="43">
        <v>600</v>
      </c>
      <c r="I1001" s="35">
        <v>695</v>
      </c>
      <c r="J1001" s="35">
        <v>50</v>
      </c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</row>
    <row r="1002" spans="1:20" ht="15.75">
      <c r="A1002" s="13">
        <v>72014</v>
      </c>
      <c r="B1002" s="44">
        <f t="shared" si="6"/>
        <v>28</v>
      </c>
      <c r="C1002" s="35">
        <v>122.58</v>
      </c>
      <c r="D1002" s="35">
        <v>297.94099999999997</v>
      </c>
      <c r="E1002" s="41">
        <v>729.47900000000004</v>
      </c>
      <c r="F1002" s="35">
        <v>1150</v>
      </c>
      <c r="G1002" s="35">
        <v>100</v>
      </c>
      <c r="H1002" s="43">
        <v>600</v>
      </c>
      <c r="I1002" s="35">
        <v>695</v>
      </c>
      <c r="J1002" s="35">
        <v>50</v>
      </c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</row>
    <row r="1003" spans="1:20" ht="15.75">
      <c r="A1003" s="13">
        <v>72045</v>
      </c>
      <c r="B1003" s="44">
        <f t="shared" si="6"/>
        <v>31</v>
      </c>
      <c r="C1003" s="35">
        <v>122.58</v>
      </c>
      <c r="D1003" s="35">
        <v>297.94099999999997</v>
      </c>
      <c r="E1003" s="41">
        <v>729.47900000000004</v>
      </c>
      <c r="F1003" s="35">
        <v>1150</v>
      </c>
      <c r="G1003" s="35">
        <v>100</v>
      </c>
      <c r="H1003" s="43">
        <v>600</v>
      </c>
      <c r="I1003" s="35">
        <v>695</v>
      </c>
      <c r="J1003" s="35">
        <v>50</v>
      </c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</row>
    <row r="1004" spans="1:20" ht="15.75">
      <c r="A1004" s="13">
        <v>72075</v>
      </c>
      <c r="B1004" s="44">
        <f t="shared" si="6"/>
        <v>30</v>
      </c>
      <c r="C1004" s="35">
        <v>141.29300000000001</v>
      </c>
      <c r="D1004" s="35">
        <v>267.99299999999999</v>
      </c>
      <c r="E1004" s="41">
        <v>829.71400000000006</v>
      </c>
      <c r="F1004" s="35">
        <v>1239</v>
      </c>
      <c r="G1004" s="35">
        <v>100</v>
      </c>
      <c r="H1004" s="43">
        <v>600</v>
      </c>
      <c r="I1004" s="35">
        <v>695</v>
      </c>
      <c r="J1004" s="35">
        <v>50</v>
      </c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</row>
    <row r="1005" spans="1:20" ht="15.75">
      <c r="A1005" s="13">
        <v>72106</v>
      </c>
      <c r="B1005" s="44">
        <f t="shared" si="6"/>
        <v>31</v>
      </c>
      <c r="C1005" s="35">
        <v>194.20500000000001</v>
      </c>
      <c r="D1005" s="35">
        <v>267.46600000000001</v>
      </c>
      <c r="E1005" s="41">
        <v>812.32899999999995</v>
      </c>
      <c r="F1005" s="35">
        <v>1274</v>
      </c>
      <c r="G1005" s="35">
        <v>75</v>
      </c>
      <c r="H1005" s="43">
        <v>600</v>
      </c>
      <c r="I1005" s="35">
        <v>695</v>
      </c>
      <c r="J1005" s="35">
        <v>50</v>
      </c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</row>
    <row r="1006" spans="1:20" ht="15.75">
      <c r="A1006" s="13">
        <v>72136</v>
      </c>
      <c r="B1006" s="44">
        <f t="shared" si="6"/>
        <v>30</v>
      </c>
      <c r="C1006" s="35">
        <v>194.20500000000001</v>
      </c>
      <c r="D1006" s="35">
        <v>267.46600000000001</v>
      </c>
      <c r="E1006" s="41">
        <v>812.32899999999995</v>
      </c>
      <c r="F1006" s="35">
        <v>1274</v>
      </c>
      <c r="G1006" s="35">
        <v>50</v>
      </c>
      <c r="H1006" s="43">
        <v>600</v>
      </c>
      <c r="I1006" s="35">
        <v>695</v>
      </c>
      <c r="J1006" s="35">
        <v>50</v>
      </c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</row>
    <row r="1007" spans="1:20" ht="15.75">
      <c r="A1007" s="13">
        <v>72167</v>
      </c>
      <c r="B1007" s="44">
        <f t="shared" si="6"/>
        <v>31</v>
      </c>
      <c r="C1007" s="35">
        <v>194.20500000000001</v>
      </c>
      <c r="D1007" s="35">
        <v>267.46600000000001</v>
      </c>
      <c r="E1007" s="41">
        <v>812.32899999999995</v>
      </c>
      <c r="F1007" s="35">
        <v>1274</v>
      </c>
      <c r="G1007" s="35">
        <v>50</v>
      </c>
      <c r="H1007" s="43">
        <v>600</v>
      </c>
      <c r="I1007" s="35">
        <v>695</v>
      </c>
      <c r="J1007" s="35">
        <v>0</v>
      </c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</row>
    <row r="1008" spans="1:20" ht="15.75">
      <c r="A1008" s="13">
        <v>72198</v>
      </c>
      <c r="B1008" s="44">
        <f t="shared" si="6"/>
        <v>31</v>
      </c>
      <c r="C1008" s="35">
        <v>194.20500000000001</v>
      </c>
      <c r="D1008" s="35">
        <v>267.46600000000001</v>
      </c>
      <c r="E1008" s="41">
        <v>812.32899999999995</v>
      </c>
      <c r="F1008" s="35">
        <v>1274</v>
      </c>
      <c r="G1008" s="35">
        <v>50</v>
      </c>
      <c r="H1008" s="43">
        <v>600</v>
      </c>
      <c r="I1008" s="35">
        <v>695</v>
      </c>
      <c r="J1008" s="35">
        <v>0</v>
      </c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</row>
    <row r="1009" spans="1:20" ht="15.75">
      <c r="A1009" s="13">
        <v>72228</v>
      </c>
      <c r="B1009" s="44">
        <f t="shared" si="6"/>
        <v>30</v>
      </c>
      <c r="C1009" s="35">
        <v>194.20500000000001</v>
      </c>
      <c r="D1009" s="35">
        <v>267.46600000000001</v>
      </c>
      <c r="E1009" s="41">
        <v>812.32899999999995</v>
      </c>
      <c r="F1009" s="35">
        <v>1274</v>
      </c>
      <c r="G1009" s="35">
        <v>50</v>
      </c>
      <c r="H1009" s="43">
        <v>600</v>
      </c>
      <c r="I1009" s="35">
        <v>695</v>
      </c>
      <c r="J1009" s="35">
        <v>0</v>
      </c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</row>
    <row r="1010" spans="1:20" ht="15.75">
      <c r="A1010" s="13">
        <v>72259</v>
      </c>
      <c r="B1010" s="44">
        <f t="shared" si="6"/>
        <v>31</v>
      </c>
      <c r="C1010" s="35">
        <v>131.881</v>
      </c>
      <c r="D1010" s="35">
        <v>277.16699999999997</v>
      </c>
      <c r="E1010" s="41">
        <v>829.952</v>
      </c>
      <c r="F1010" s="35">
        <v>1239</v>
      </c>
      <c r="G1010" s="35">
        <v>75</v>
      </c>
      <c r="H1010" s="43">
        <v>600</v>
      </c>
      <c r="I1010" s="35">
        <v>695</v>
      </c>
      <c r="J1010" s="35">
        <v>0</v>
      </c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</row>
    <row r="1011" spans="1:20" ht="15.75">
      <c r="A1011" s="13">
        <v>72289</v>
      </c>
      <c r="B1011" s="44">
        <f t="shared" si="6"/>
        <v>30</v>
      </c>
      <c r="C1011" s="35">
        <v>122.58</v>
      </c>
      <c r="D1011" s="35">
        <v>297.94099999999997</v>
      </c>
      <c r="E1011" s="41">
        <v>729.47900000000004</v>
      </c>
      <c r="F1011" s="35">
        <v>1150</v>
      </c>
      <c r="G1011" s="35">
        <v>100</v>
      </c>
      <c r="H1011" s="43">
        <v>600</v>
      </c>
      <c r="I1011" s="35">
        <v>695</v>
      </c>
      <c r="J1011" s="35">
        <v>50</v>
      </c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</row>
    <row r="1012" spans="1:20" ht="15.75">
      <c r="A1012" s="13">
        <v>72320</v>
      </c>
      <c r="B1012" s="44">
        <f t="shared" si="6"/>
        <v>31</v>
      </c>
      <c r="C1012" s="35">
        <v>122.58</v>
      </c>
      <c r="D1012" s="35">
        <v>297.94099999999997</v>
      </c>
      <c r="E1012" s="41">
        <v>729.47900000000004</v>
      </c>
      <c r="F1012" s="35">
        <v>1150</v>
      </c>
      <c r="G1012" s="35">
        <v>100</v>
      </c>
      <c r="H1012" s="43">
        <v>600</v>
      </c>
      <c r="I1012" s="35">
        <v>695</v>
      </c>
      <c r="J1012" s="35">
        <v>50</v>
      </c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</row>
    <row r="1013" spans="1:20" ht="15.75">
      <c r="A1013" s="13">
        <v>72351</v>
      </c>
      <c r="B1013" s="44">
        <f t="shared" si="6"/>
        <v>31</v>
      </c>
      <c r="C1013" s="35">
        <v>122.58</v>
      </c>
      <c r="D1013" s="35">
        <v>297.94099999999997</v>
      </c>
      <c r="E1013" s="41">
        <v>729.47900000000004</v>
      </c>
      <c r="F1013" s="35">
        <v>1150</v>
      </c>
      <c r="G1013" s="35">
        <v>100</v>
      </c>
      <c r="H1013" s="43">
        <v>600</v>
      </c>
      <c r="I1013" s="35">
        <v>695</v>
      </c>
      <c r="J1013" s="35">
        <v>50</v>
      </c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</row>
    <row r="1014" spans="1:20" ht="15.75">
      <c r="A1014" s="13">
        <v>72379</v>
      </c>
      <c r="B1014" s="44">
        <f t="shared" si="6"/>
        <v>28</v>
      </c>
      <c r="C1014" s="35">
        <v>122.58</v>
      </c>
      <c r="D1014" s="35">
        <v>297.94099999999997</v>
      </c>
      <c r="E1014" s="41">
        <v>729.47900000000004</v>
      </c>
      <c r="F1014" s="35">
        <v>1150</v>
      </c>
      <c r="G1014" s="35">
        <v>100</v>
      </c>
      <c r="H1014" s="43">
        <v>600</v>
      </c>
      <c r="I1014" s="35">
        <v>695</v>
      </c>
      <c r="J1014" s="35">
        <v>50</v>
      </c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</row>
    <row r="1015" spans="1:20" ht="15.75">
      <c r="A1015" s="13">
        <v>72410</v>
      </c>
      <c r="B1015" s="44">
        <f t="shared" si="6"/>
        <v>31</v>
      </c>
      <c r="C1015" s="35">
        <v>122.58</v>
      </c>
      <c r="D1015" s="35">
        <v>297.94099999999997</v>
      </c>
      <c r="E1015" s="41">
        <v>729.47900000000004</v>
      </c>
      <c r="F1015" s="35">
        <v>1150</v>
      </c>
      <c r="G1015" s="35">
        <v>100</v>
      </c>
      <c r="H1015" s="43">
        <v>600</v>
      </c>
      <c r="I1015" s="35">
        <v>695</v>
      </c>
      <c r="J1015" s="35">
        <v>50</v>
      </c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</row>
    <row r="1016" spans="1:20" ht="15.75">
      <c r="A1016" s="13">
        <v>72440</v>
      </c>
      <c r="B1016" s="44">
        <f t="shared" si="6"/>
        <v>30</v>
      </c>
      <c r="C1016" s="35">
        <v>141.29300000000001</v>
      </c>
      <c r="D1016" s="35">
        <v>267.99299999999999</v>
      </c>
      <c r="E1016" s="41">
        <v>829.71400000000006</v>
      </c>
      <c r="F1016" s="35">
        <v>1239</v>
      </c>
      <c r="G1016" s="35">
        <v>100</v>
      </c>
      <c r="H1016" s="43">
        <v>600</v>
      </c>
      <c r="I1016" s="35">
        <v>695</v>
      </c>
      <c r="J1016" s="35">
        <v>50</v>
      </c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</row>
    <row r="1017" spans="1:20" ht="15.75">
      <c r="A1017" s="13">
        <v>72471</v>
      </c>
      <c r="B1017" s="44">
        <f t="shared" si="6"/>
        <v>31</v>
      </c>
      <c r="C1017" s="35">
        <v>194.20500000000001</v>
      </c>
      <c r="D1017" s="35">
        <v>267.46600000000001</v>
      </c>
      <c r="E1017" s="41">
        <v>812.32899999999995</v>
      </c>
      <c r="F1017" s="35">
        <v>1274</v>
      </c>
      <c r="G1017" s="35">
        <v>75</v>
      </c>
      <c r="H1017" s="43">
        <v>600</v>
      </c>
      <c r="I1017" s="35">
        <v>695</v>
      </c>
      <c r="J1017" s="35">
        <v>50</v>
      </c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</row>
    <row r="1018" spans="1:20" ht="15.75">
      <c r="A1018" s="13">
        <v>72501</v>
      </c>
      <c r="B1018" s="44">
        <f t="shared" si="6"/>
        <v>30</v>
      </c>
      <c r="C1018" s="35">
        <v>194.20500000000001</v>
      </c>
      <c r="D1018" s="35">
        <v>267.46600000000001</v>
      </c>
      <c r="E1018" s="41">
        <v>812.32899999999995</v>
      </c>
      <c r="F1018" s="35">
        <v>1274</v>
      </c>
      <c r="G1018" s="35">
        <v>50</v>
      </c>
      <c r="H1018" s="43">
        <v>600</v>
      </c>
      <c r="I1018" s="35">
        <v>695</v>
      </c>
      <c r="J1018" s="35">
        <v>50</v>
      </c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</row>
    <row r="1019" spans="1:20" ht="15.75">
      <c r="A1019" s="13">
        <v>72532</v>
      </c>
      <c r="B1019" s="44">
        <f t="shared" si="6"/>
        <v>31</v>
      </c>
      <c r="C1019" s="35">
        <v>194.20500000000001</v>
      </c>
      <c r="D1019" s="35">
        <v>267.46600000000001</v>
      </c>
      <c r="E1019" s="41">
        <v>812.32899999999995</v>
      </c>
      <c r="F1019" s="35">
        <v>1274</v>
      </c>
      <c r="G1019" s="35">
        <v>50</v>
      </c>
      <c r="H1019" s="43">
        <v>600</v>
      </c>
      <c r="I1019" s="35">
        <v>695</v>
      </c>
      <c r="J1019" s="35">
        <v>0</v>
      </c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</row>
    <row r="1020" spans="1:20" ht="15.75">
      <c r="A1020" s="13">
        <v>72563</v>
      </c>
      <c r="B1020" s="44">
        <f t="shared" si="6"/>
        <v>31</v>
      </c>
      <c r="C1020" s="35">
        <v>194.20500000000001</v>
      </c>
      <c r="D1020" s="35">
        <v>267.46600000000001</v>
      </c>
      <c r="E1020" s="41">
        <v>812.32899999999995</v>
      </c>
      <c r="F1020" s="35">
        <v>1274</v>
      </c>
      <c r="G1020" s="35">
        <v>50</v>
      </c>
      <c r="H1020" s="43">
        <v>600</v>
      </c>
      <c r="I1020" s="35">
        <v>695</v>
      </c>
      <c r="J1020" s="35">
        <v>0</v>
      </c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</row>
    <row r="1021" spans="1:20" ht="15.75">
      <c r="A1021" s="13">
        <v>72593</v>
      </c>
      <c r="B1021" s="44">
        <f t="shared" si="6"/>
        <v>30</v>
      </c>
      <c r="C1021" s="35">
        <v>194.20500000000001</v>
      </c>
      <c r="D1021" s="35">
        <v>267.46600000000001</v>
      </c>
      <c r="E1021" s="41">
        <v>812.32899999999995</v>
      </c>
      <c r="F1021" s="35">
        <v>1274</v>
      </c>
      <c r="G1021" s="35">
        <v>50</v>
      </c>
      <c r="H1021" s="43">
        <v>600</v>
      </c>
      <c r="I1021" s="35">
        <v>695</v>
      </c>
      <c r="J1021" s="35">
        <v>0</v>
      </c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</row>
    <row r="1022" spans="1:20" ht="15.75">
      <c r="A1022" s="13">
        <v>72624</v>
      </c>
      <c r="B1022" s="44">
        <f t="shared" si="6"/>
        <v>31</v>
      </c>
      <c r="C1022" s="35">
        <v>131.881</v>
      </c>
      <c r="D1022" s="35">
        <v>277.16699999999997</v>
      </c>
      <c r="E1022" s="41">
        <v>829.952</v>
      </c>
      <c r="F1022" s="35">
        <v>1239</v>
      </c>
      <c r="G1022" s="35">
        <v>75</v>
      </c>
      <c r="H1022" s="43">
        <v>600</v>
      </c>
      <c r="I1022" s="35">
        <v>695</v>
      </c>
      <c r="J1022" s="35">
        <v>0</v>
      </c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</row>
    <row r="1023" spans="1:20" ht="15.75">
      <c r="A1023" s="13">
        <v>72654</v>
      </c>
      <c r="B1023" s="44">
        <f t="shared" si="6"/>
        <v>30</v>
      </c>
      <c r="C1023" s="35">
        <v>122.58</v>
      </c>
      <c r="D1023" s="35">
        <v>297.94099999999997</v>
      </c>
      <c r="E1023" s="41">
        <v>729.47900000000004</v>
      </c>
      <c r="F1023" s="35">
        <v>1150</v>
      </c>
      <c r="G1023" s="35">
        <v>100</v>
      </c>
      <c r="H1023" s="43">
        <v>600</v>
      </c>
      <c r="I1023" s="35">
        <v>695</v>
      </c>
      <c r="J1023" s="35">
        <v>50</v>
      </c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</row>
    <row r="1024" spans="1:20" ht="15.75">
      <c r="A1024" s="13">
        <v>72685</v>
      </c>
      <c r="B1024" s="44">
        <f t="shared" si="6"/>
        <v>31</v>
      </c>
      <c r="C1024" s="35">
        <v>122.58</v>
      </c>
      <c r="D1024" s="35">
        <v>297.94099999999997</v>
      </c>
      <c r="E1024" s="41">
        <v>729.47900000000004</v>
      </c>
      <c r="F1024" s="35">
        <v>1150</v>
      </c>
      <c r="G1024" s="35">
        <v>100</v>
      </c>
      <c r="H1024" s="43">
        <v>600</v>
      </c>
      <c r="I1024" s="35">
        <v>695</v>
      </c>
      <c r="J1024" s="35">
        <v>50</v>
      </c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</row>
    <row r="1025" spans="1:20" ht="15.75">
      <c r="A1025" s="13">
        <v>72716</v>
      </c>
      <c r="B1025" s="44">
        <f t="shared" si="6"/>
        <v>31</v>
      </c>
      <c r="C1025" s="35">
        <v>122.58</v>
      </c>
      <c r="D1025" s="35">
        <v>297.94099999999997</v>
      </c>
      <c r="E1025" s="41">
        <v>729.47900000000004</v>
      </c>
      <c r="F1025" s="35">
        <v>1150</v>
      </c>
      <c r="G1025" s="35">
        <v>100</v>
      </c>
      <c r="H1025" s="43">
        <v>600</v>
      </c>
      <c r="I1025" s="35">
        <v>695</v>
      </c>
      <c r="J1025" s="35">
        <v>50</v>
      </c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</row>
    <row r="1026" spans="1:20" ht="15.75">
      <c r="A1026" s="13">
        <v>72744</v>
      </c>
      <c r="B1026" s="44">
        <f t="shared" si="6"/>
        <v>28</v>
      </c>
      <c r="C1026" s="35">
        <v>122.58</v>
      </c>
      <c r="D1026" s="35">
        <v>297.94099999999997</v>
      </c>
      <c r="E1026" s="41">
        <v>729.47900000000004</v>
      </c>
      <c r="F1026" s="35">
        <v>1150</v>
      </c>
      <c r="G1026" s="35">
        <v>100</v>
      </c>
      <c r="H1026" s="43">
        <v>600</v>
      </c>
      <c r="I1026" s="35">
        <v>695</v>
      </c>
      <c r="J1026" s="35">
        <v>50</v>
      </c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</row>
    <row r="1027" spans="1:20" ht="15.75">
      <c r="A1027" s="13">
        <v>72775</v>
      </c>
      <c r="B1027" s="44">
        <f t="shared" si="6"/>
        <v>31</v>
      </c>
      <c r="C1027" s="35">
        <v>122.58</v>
      </c>
      <c r="D1027" s="35">
        <v>297.94099999999997</v>
      </c>
      <c r="E1027" s="41">
        <v>729.47900000000004</v>
      </c>
      <c r="F1027" s="35">
        <v>1150</v>
      </c>
      <c r="G1027" s="35">
        <v>100</v>
      </c>
      <c r="H1027" s="43">
        <v>600</v>
      </c>
      <c r="I1027" s="35">
        <v>695</v>
      </c>
      <c r="J1027" s="35">
        <v>50</v>
      </c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</row>
    <row r="1028" spans="1:20" ht="15.75">
      <c r="A1028" s="13">
        <v>72805</v>
      </c>
      <c r="B1028" s="44">
        <f t="shared" si="6"/>
        <v>30</v>
      </c>
      <c r="C1028" s="35">
        <v>141.29300000000001</v>
      </c>
      <c r="D1028" s="35">
        <v>267.99299999999999</v>
      </c>
      <c r="E1028" s="41">
        <v>829.71400000000006</v>
      </c>
      <c r="F1028" s="35">
        <v>1239</v>
      </c>
      <c r="G1028" s="35">
        <v>100</v>
      </c>
      <c r="H1028" s="43">
        <v>600</v>
      </c>
      <c r="I1028" s="35">
        <v>695</v>
      </c>
      <c r="J1028" s="35">
        <v>50</v>
      </c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</row>
    <row r="1029" spans="1:20" ht="15.75">
      <c r="A1029" s="13">
        <v>72836</v>
      </c>
      <c r="B1029" s="44">
        <f t="shared" ref="B1029:B1048" si="7">EOMONTH(A1029,0)-EOMONTH(A1029,-1)</f>
        <v>31</v>
      </c>
      <c r="C1029" s="35">
        <v>194.20500000000001</v>
      </c>
      <c r="D1029" s="35">
        <v>267.46600000000001</v>
      </c>
      <c r="E1029" s="41">
        <v>812.32899999999995</v>
      </c>
      <c r="F1029" s="35">
        <v>1274</v>
      </c>
      <c r="G1029" s="35">
        <v>75</v>
      </c>
      <c r="H1029" s="43">
        <v>600</v>
      </c>
      <c r="I1029" s="35">
        <v>695</v>
      </c>
      <c r="J1029" s="35">
        <v>50</v>
      </c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</row>
    <row r="1030" spans="1:20" ht="15.75">
      <c r="A1030" s="13">
        <v>72866</v>
      </c>
      <c r="B1030" s="44">
        <f t="shared" si="7"/>
        <v>30</v>
      </c>
      <c r="C1030" s="35">
        <v>194.20500000000001</v>
      </c>
      <c r="D1030" s="35">
        <v>267.46600000000001</v>
      </c>
      <c r="E1030" s="41">
        <v>812.32899999999995</v>
      </c>
      <c r="F1030" s="35">
        <v>1274</v>
      </c>
      <c r="G1030" s="35">
        <v>50</v>
      </c>
      <c r="H1030" s="43">
        <v>600</v>
      </c>
      <c r="I1030" s="35">
        <v>695</v>
      </c>
      <c r="J1030" s="35">
        <v>50</v>
      </c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</row>
    <row r="1031" spans="1:20" ht="15.75">
      <c r="A1031" s="13">
        <v>72897</v>
      </c>
      <c r="B1031" s="44">
        <f t="shared" si="7"/>
        <v>31</v>
      </c>
      <c r="C1031" s="35">
        <v>194.20500000000001</v>
      </c>
      <c r="D1031" s="35">
        <v>267.46600000000001</v>
      </c>
      <c r="E1031" s="41">
        <v>812.32899999999995</v>
      </c>
      <c r="F1031" s="35">
        <v>1274</v>
      </c>
      <c r="G1031" s="35">
        <v>50</v>
      </c>
      <c r="H1031" s="43">
        <v>600</v>
      </c>
      <c r="I1031" s="35">
        <v>695</v>
      </c>
      <c r="J1031" s="35">
        <v>0</v>
      </c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</row>
    <row r="1032" spans="1:20" ht="15.75">
      <c r="A1032" s="13">
        <v>72928</v>
      </c>
      <c r="B1032" s="44">
        <f t="shared" si="7"/>
        <v>31</v>
      </c>
      <c r="C1032" s="35">
        <v>194.20500000000001</v>
      </c>
      <c r="D1032" s="35">
        <v>267.46600000000001</v>
      </c>
      <c r="E1032" s="41">
        <v>812.32899999999995</v>
      </c>
      <c r="F1032" s="35">
        <v>1274</v>
      </c>
      <c r="G1032" s="35">
        <v>50</v>
      </c>
      <c r="H1032" s="43">
        <v>600</v>
      </c>
      <c r="I1032" s="35">
        <v>695</v>
      </c>
      <c r="J1032" s="35">
        <v>0</v>
      </c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</row>
    <row r="1033" spans="1:20" ht="15.75">
      <c r="A1033" s="13">
        <v>72958</v>
      </c>
      <c r="B1033" s="44">
        <f t="shared" si="7"/>
        <v>30</v>
      </c>
      <c r="C1033" s="35">
        <v>194.20500000000001</v>
      </c>
      <c r="D1033" s="35">
        <v>267.46600000000001</v>
      </c>
      <c r="E1033" s="41">
        <v>812.32899999999995</v>
      </c>
      <c r="F1033" s="35">
        <v>1274</v>
      </c>
      <c r="G1033" s="35">
        <v>50</v>
      </c>
      <c r="H1033" s="43">
        <v>600</v>
      </c>
      <c r="I1033" s="35">
        <v>695</v>
      </c>
      <c r="J1033" s="35">
        <v>0</v>
      </c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</row>
    <row r="1034" spans="1:20" ht="15.75">
      <c r="A1034" s="13">
        <v>72989</v>
      </c>
      <c r="B1034" s="44">
        <f t="shared" si="7"/>
        <v>31</v>
      </c>
      <c r="C1034" s="35">
        <v>131.881</v>
      </c>
      <c r="D1034" s="35">
        <v>277.16699999999997</v>
      </c>
      <c r="E1034" s="41">
        <v>829.952</v>
      </c>
      <c r="F1034" s="35">
        <v>1239</v>
      </c>
      <c r="G1034" s="35">
        <v>75</v>
      </c>
      <c r="H1034" s="43">
        <v>600</v>
      </c>
      <c r="I1034" s="35">
        <v>695</v>
      </c>
      <c r="J1034" s="35">
        <v>0</v>
      </c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</row>
    <row r="1035" spans="1:20" ht="15.75">
      <c r="A1035" s="13">
        <v>73019</v>
      </c>
      <c r="B1035" s="44">
        <f t="shared" si="7"/>
        <v>30</v>
      </c>
      <c r="C1035" s="35">
        <v>122.58</v>
      </c>
      <c r="D1035" s="35">
        <v>297.94099999999997</v>
      </c>
      <c r="E1035" s="41">
        <v>729.47900000000004</v>
      </c>
      <c r="F1035" s="35">
        <v>1150</v>
      </c>
      <c r="G1035" s="35">
        <v>100</v>
      </c>
      <c r="H1035" s="43">
        <v>600</v>
      </c>
      <c r="I1035" s="35">
        <v>695</v>
      </c>
      <c r="J1035" s="35">
        <v>50</v>
      </c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</row>
    <row r="1036" spans="1:20" ht="15.75">
      <c r="A1036" s="13">
        <v>73050</v>
      </c>
      <c r="B1036" s="44">
        <f t="shared" si="7"/>
        <v>31</v>
      </c>
      <c r="C1036" s="35">
        <v>122.58</v>
      </c>
      <c r="D1036" s="35">
        <v>297.94099999999997</v>
      </c>
      <c r="E1036" s="41">
        <v>729.47900000000004</v>
      </c>
      <c r="F1036" s="35">
        <v>1150</v>
      </c>
      <c r="G1036" s="35">
        <v>100</v>
      </c>
      <c r="H1036" s="43">
        <v>600</v>
      </c>
      <c r="I1036" s="35">
        <v>695</v>
      </c>
      <c r="J1036" s="35">
        <v>50</v>
      </c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</row>
    <row r="1037" spans="1:20" ht="15.75">
      <c r="A1037" s="13">
        <v>73081</v>
      </c>
      <c r="B1037" s="44">
        <f t="shared" si="7"/>
        <v>31</v>
      </c>
      <c r="C1037" s="35">
        <v>122.58</v>
      </c>
      <c r="D1037" s="35">
        <v>297.94099999999997</v>
      </c>
      <c r="E1037" s="41">
        <v>729.47900000000004</v>
      </c>
      <c r="F1037" s="35">
        <v>1150</v>
      </c>
      <c r="G1037" s="35">
        <v>100</v>
      </c>
      <c r="H1037" s="43">
        <v>600</v>
      </c>
      <c r="I1037" s="35">
        <v>695</v>
      </c>
      <c r="J1037" s="35">
        <v>50</v>
      </c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</row>
    <row r="1038" spans="1:20" ht="15.75">
      <c r="A1038" s="13">
        <v>73109</v>
      </c>
      <c r="B1038" s="44">
        <f t="shared" si="7"/>
        <v>28</v>
      </c>
      <c r="C1038" s="35">
        <v>122.58</v>
      </c>
      <c r="D1038" s="35">
        <v>297.94099999999997</v>
      </c>
      <c r="E1038" s="41">
        <v>729.47900000000004</v>
      </c>
      <c r="F1038" s="35">
        <v>1150</v>
      </c>
      <c r="G1038" s="35">
        <v>100</v>
      </c>
      <c r="H1038" s="43">
        <v>600</v>
      </c>
      <c r="I1038" s="35">
        <v>695</v>
      </c>
      <c r="J1038" s="35">
        <v>50</v>
      </c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</row>
    <row r="1039" spans="1:20" ht="15.75">
      <c r="A1039" s="13">
        <v>73140</v>
      </c>
      <c r="B1039" s="44">
        <f t="shared" si="7"/>
        <v>31</v>
      </c>
      <c r="C1039" s="35">
        <v>122.58</v>
      </c>
      <c r="D1039" s="35">
        <v>297.94099999999997</v>
      </c>
      <c r="E1039" s="41">
        <v>729.47900000000004</v>
      </c>
      <c r="F1039" s="35">
        <v>1150</v>
      </c>
      <c r="G1039" s="35">
        <v>100</v>
      </c>
      <c r="H1039" s="43">
        <v>600</v>
      </c>
      <c r="I1039" s="35">
        <v>695</v>
      </c>
      <c r="J1039" s="35">
        <v>50</v>
      </c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</row>
    <row r="1040" spans="1:20" ht="15.75">
      <c r="A1040" s="13">
        <v>73170</v>
      </c>
      <c r="B1040" s="44">
        <f t="shared" si="7"/>
        <v>30</v>
      </c>
      <c r="C1040" s="35">
        <v>141.29300000000001</v>
      </c>
      <c r="D1040" s="35">
        <v>267.99299999999999</v>
      </c>
      <c r="E1040" s="41">
        <v>829.71400000000006</v>
      </c>
      <c r="F1040" s="35">
        <v>1239</v>
      </c>
      <c r="G1040" s="35">
        <v>100</v>
      </c>
      <c r="H1040" s="43">
        <v>600</v>
      </c>
      <c r="I1040" s="35">
        <v>695</v>
      </c>
      <c r="J1040" s="35">
        <v>50</v>
      </c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</row>
    <row r="1041" spans="1:20" ht="15.75">
      <c r="A1041" s="13">
        <v>73201</v>
      </c>
      <c r="B1041" s="44">
        <f t="shared" si="7"/>
        <v>31</v>
      </c>
      <c r="C1041" s="35">
        <v>194.20500000000001</v>
      </c>
      <c r="D1041" s="35">
        <v>267.46600000000001</v>
      </c>
      <c r="E1041" s="41">
        <v>812.32899999999995</v>
      </c>
      <c r="F1041" s="35">
        <v>1274</v>
      </c>
      <c r="G1041" s="35">
        <v>75</v>
      </c>
      <c r="H1041" s="43">
        <v>600</v>
      </c>
      <c r="I1041" s="35">
        <v>695</v>
      </c>
      <c r="J1041" s="35">
        <v>50</v>
      </c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</row>
    <row r="1042" spans="1:20" ht="15.75">
      <c r="A1042" s="13">
        <v>73231</v>
      </c>
      <c r="B1042" s="44">
        <f t="shared" si="7"/>
        <v>30</v>
      </c>
      <c r="C1042" s="35">
        <v>194.20500000000001</v>
      </c>
      <c r="D1042" s="35">
        <v>267.46600000000001</v>
      </c>
      <c r="E1042" s="41">
        <v>812.32899999999995</v>
      </c>
      <c r="F1042" s="35">
        <v>1274</v>
      </c>
      <c r="G1042" s="35">
        <v>50</v>
      </c>
      <c r="H1042" s="43">
        <v>600</v>
      </c>
      <c r="I1042" s="35">
        <v>695</v>
      </c>
      <c r="J1042" s="35">
        <v>50</v>
      </c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</row>
    <row r="1043" spans="1:20" ht="15.75">
      <c r="A1043" s="13">
        <v>73262</v>
      </c>
      <c r="B1043" s="44">
        <f t="shared" si="7"/>
        <v>31</v>
      </c>
      <c r="C1043" s="35">
        <v>194.20500000000001</v>
      </c>
      <c r="D1043" s="35">
        <v>267.46600000000001</v>
      </c>
      <c r="E1043" s="41">
        <v>812.32899999999995</v>
      </c>
      <c r="F1043" s="35">
        <v>1274</v>
      </c>
      <c r="G1043" s="35">
        <v>50</v>
      </c>
      <c r="H1043" s="43">
        <v>600</v>
      </c>
      <c r="I1043" s="35">
        <v>695</v>
      </c>
      <c r="J1043" s="35">
        <v>0</v>
      </c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</row>
    <row r="1044" spans="1:20" ht="15.75">
      <c r="A1044" s="13">
        <v>73293</v>
      </c>
      <c r="B1044" s="44">
        <f t="shared" si="7"/>
        <v>31</v>
      </c>
      <c r="C1044" s="35">
        <v>194.20500000000001</v>
      </c>
      <c r="D1044" s="35">
        <v>267.46600000000001</v>
      </c>
      <c r="E1044" s="41">
        <v>812.32899999999995</v>
      </c>
      <c r="F1044" s="35">
        <v>1274</v>
      </c>
      <c r="G1044" s="35">
        <v>50</v>
      </c>
      <c r="H1044" s="43">
        <v>600</v>
      </c>
      <c r="I1044" s="35">
        <v>695</v>
      </c>
      <c r="J1044" s="35">
        <v>0</v>
      </c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</row>
    <row r="1045" spans="1:20" ht="15.75">
      <c r="A1045" s="13">
        <v>73323</v>
      </c>
      <c r="B1045" s="44">
        <f t="shared" si="7"/>
        <v>30</v>
      </c>
      <c r="C1045" s="35">
        <v>194.20500000000001</v>
      </c>
      <c r="D1045" s="35">
        <v>267.46600000000001</v>
      </c>
      <c r="E1045" s="41">
        <v>812.32899999999995</v>
      </c>
      <c r="F1045" s="35">
        <v>1274</v>
      </c>
      <c r="G1045" s="35">
        <v>50</v>
      </c>
      <c r="H1045" s="43">
        <v>600</v>
      </c>
      <c r="I1045" s="35">
        <v>695</v>
      </c>
      <c r="J1045" s="35">
        <v>0</v>
      </c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</row>
    <row r="1046" spans="1:20" ht="15.75">
      <c r="A1046" s="13">
        <v>73354</v>
      </c>
      <c r="B1046" s="44">
        <f t="shared" si="7"/>
        <v>31</v>
      </c>
      <c r="C1046" s="35">
        <v>131.881</v>
      </c>
      <c r="D1046" s="35">
        <v>277.16699999999997</v>
      </c>
      <c r="E1046" s="41">
        <v>829.952</v>
      </c>
      <c r="F1046" s="35">
        <v>1239</v>
      </c>
      <c r="G1046" s="35">
        <v>75</v>
      </c>
      <c r="H1046" s="43">
        <v>600</v>
      </c>
      <c r="I1046" s="35">
        <v>695</v>
      </c>
      <c r="J1046" s="35">
        <v>0</v>
      </c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</row>
    <row r="1047" spans="1:20" ht="15.75">
      <c r="A1047" s="13">
        <v>73384</v>
      </c>
      <c r="B1047" s="44">
        <f t="shared" si="7"/>
        <v>30</v>
      </c>
      <c r="C1047" s="35">
        <v>122.58</v>
      </c>
      <c r="D1047" s="35">
        <v>297.94099999999997</v>
      </c>
      <c r="E1047" s="41">
        <v>729.47900000000004</v>
      </c>
      <c r="F1047" s="35">
        <v>1150</v>
      </c>
      <c r="G1047" s="35">
        <v>100</v>
      </c>
      <c r="H1047" s="43">
        <v>600</v>
      </c>
      <c r="I1047" s="35">
        <v>695</v>
      </c>
      <c r="J1047" s="35">
        <v>50</v>
      </c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</row>
    <row r="1048" spans="1:20" ht="15.75">
      <c r="A1048" s="13">
        <v>73415</v>
      </c>
      <c r="B1048" s="44">
        <f t="shared" si="7"/>
        <v>31</v>
      </c>
      <c r="C1048" s="35">
        <v>122.58</v>
      </c>
      <c r="D1048" s="35">
        <v>297.94099999999997</v>
      </c>
      <c r="E1048" s="41">
        <v>729.47900000000004</v>
      </c>
      <c r="F1048" s="35">
        <v>1150</v>
      </c>
      <c r="G1048" s="35">
        <v>100</v>
      </c>
      <c r="H1048" s="43">
        <v>600</v>
      </c>
      <c r="I1048" s="35">
        <v>695</v>
      </c>
      <c r="J1048" s="35">
        <v>50</v>
      </c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</row>
    <row r="1049" spans="1:20" ht="15">
      <c r="A1049" s="10"/>
      <c r="B1049" s="42"/>
      <c r="C1049" s="35"/>
      <c r="D1049" s="35"/>
      <c r="E1049" s="41"/>
      <c r="F1049" s="35"/>
      <c r="G1049" s="35"/>
      <c r="H1049" s="35"/>
      <c r="I1049" s="35"/>
      <c r="J1049" s="35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</row>
    <row r="1050" spans="1:20" ht="15.75">
      <c r="A1050" s="3">
        <v>2015</v>
      </c>
      <c r="B1050" s="3">
        <f t="shared" ref="B1050:B1081" si="8">DATE(A1050+1,1,1)-DATE(A1050,1,1)</f>
        <v>365</v>
      </c>
      <c r="C1050" s="38">
        <f>AVERAGE(C17:C28)</f>
        <v>154.75825</v>
      </c>
      <c r="D1050" s="38">
        <f>AVERAGE(D17:D28)</f>
        <v>281.0162499999999</v>
      </c>
      <c r="E1050" s="38">
        <f>AVERAGE(E17:E28)</f>
        <v>822.39216666666641</v>
      </c>
      <c r="F1050" s="38">
        <f>AVERAGE(F17:F28)</f>
        <v>1258.1666666666667</v>
      </c>
      <c r="G1050" s="38">
        <f>AVERAGE(G17:G28)</f>
        <v>79.166666666666671</v>
      </c>
      <c r="H1050" s="40"/>
      <c r="I1050" s="38">
        <f>AVERAGE(I17:I28)</f>
        <v>695</v>
      </c>
      <c r="J1050" s="38">
        <f>AVERAGE(J17:J28)</f>
        <v>33.333333333333336</v>
      </c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</row>
    <row r="1051" spans="1:20" ht="15.75">
      <c r="A1051" s="3">
        <v>2016</v>
      </c>
      <c r="B1051" s="3">
        <f t="shared" si="8"/>
        <v>366</v>
      </c>
      <c r="C1051" s="38">
        <f>AVERAGE(C29:C40)</f>
        <v>154.75825</v>
      </c>
      <c r="D1051" s="38">
        <f>AVERAGE(D29:D40)</f>
        <v>281.0162499999999</v>
      </c>
      <c r="E1051" s="38">
        <f>AVERAGE(E29:E40)</f>
        <v>822.39216666666641</v>
      </c>
      <c r="F1051" s="38">
        <f>AVERAGE(F29:F40)</f>
        <v>1258.1666666666667</v>
      </c>
      <c r="G1051" s="38">
        <f>AVERAGE(G29:G40)</f>
        <v>79.166666666666671</v>
      </c>
      <c r="H1051" s="40"/>
      <c r="I1051" s="38">
        <f>AVERAGE(I29:I40)</f>
        <v>695</v>
      </c>
      <c r="J1051" s="38">
        <f>AVERAGE(J29:J40)</f>
        <v>33.333333333333336</v>
      </c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</row>
    <row r="1052" spans="1:20" ht="15">
      <c r="A1052" s="3">
        <v>2017</v>
      </c>
      <c r="B1052" s="3">
        <f t="shared" si="8"/>
        <v>365</v>
      </c>
      <c r="C1052" s="38">
        <f t="shared" ref="C1052:J1052" si="9">AVERAGE(C41:C52)</f>
        <v>154.75825</v>
      </c>
      <c r="D1052" s="38">
        <f t="shared" si="9"/>
        <v>281.0162499999999</v>
      </c>
      <c r="E1052" s="38">
        <f t="shared" si="9"/>
        <v>780.7254999999999</v>
      </c>
      <c r="F1052" s="38">
        <f t="shared" si="9"/>
        <v>1216.5</v>
      </c>
      <c r="G1052" s="38">
        <f t="shared" si="9"/>
        <v>79.166666666666671</v>
      </c>
      <c r="H1052" s="39">
        <f t="shared" si="9"/>
        <v>400</v>
      </c>
      <c r="I1052" s="38">
        <f t="shared" si="9"/>
        <v>695</v>
      </c>
      <c r="J1052" s="38">
        <f t="shared" si="9"/>
        <v>33.333333333333336</v>
      </c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</row>
    <row r="1053" spans="1:20" ht="15">
      <c r="A1053" s="3">
        <v>2018</v>
      </c>
      <c r="B1053" s="3">
        <f t="shared" si="8"/>
        <v>365</v>
      </c>
      <c r="C1053" s="38">
        <f t="shared" ref="C1053:J1053" si="10">AVERAGE(C53:C64)</f>
        <v>154.75825</v>
      </c>
      <c r="D1053" s="38">
        <f t="shared" si="10"/>
        <v>281.0162499999999</v>
      </c>
      <c r="E1053" s="38">
        <f t="shared" si="10"/>
        <v>780.7254999999999</v>
      </c>
      <c r="F1053" s="38">
        <f t="shared" si="10"/>
        <v>1216.5</v>
      </c>
      <c r="G1053" s="38">
        <f t="shared" si="10"/>
        <v>79.166666666666671</v>
      </c>
      <c r="H1053" s="39">
        <f t="shared" si="10"/>
        <v>400</v>
      </c>
      <c r="I1053" s="38">
        <f t="shared" si="10"/>
        <v>695</v>
      </c>
      <c r="J1053" s="38">
        <f t="shared" si="10"/>
        <v>33.333333333333336</v>
      </c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</row>
    <row r="1054" spans="1:20" ht="15">
      <c r="A1054" s="3">
        <v>2019</v>
      </c>
      <c r="B1054" s="3">
        <f t="shared" si="8"/>
        <v>365</v>
      </c>
      <c r="C1054" s="38">
        <f t="shared" ref="C1054:J1054" si="11">AVERAGE(C65:C76)</f>
        <v>154.75825</v>
      </c>
      <c r="D1054" s="38">
        <f t="shared" si="11"/>
        <v>281.0162499999999</v>
      </c>
      <c r="E1054" s="38">
        <f t="shared" si="11"/>
        <v>780.7254999999999</v>
      </c>
      <c r="F1054" s="38">
        <f t="shared" si="11"/>
        <v>1216.5</v>
      </c>
      <c r="G1054" s="38">
        <f t="shared" si="11"/>
        <v>79.166666666666671</v>
      </c>
      <c r="H1054" s="39">
        <f t="shared" si="11"/>
        <v>400</v>
      </c>
      <c r="I1054" s="38">
        <f t="shared" si="11"/>
        <v>695</v>
      </c>
      <c r="J1054" s="38">
        <f t="shared" si="11"/>
        <v>33.333333333333336</v>
      </c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</row>
    <row r="1055" spans="1:20" ht="15">
      <c r="A1055" s="3">
        <v>2020</v>
      </c>
      <c r="B1055" s="3">
        <f t="shared" si="8"/>
        <v>366</v>
      </c>
      <c r="C1055" s="38">
        <f t="shared" ref="C1055:J1055" si="12">AVERAGE(C77:C88)</f>
        <v>154.75825</v>
      </c>
      <c r="D1055" s="38">
        <f t="shared" si="12"/>
        <v>281.0162499999999</v>
      </c>
      <c r="E1055" s="38">
        <f t="shared" si="12"/>
        <v>780.7254999999999</v>
      </c>
      <c r="F1055" s="38">
        <f t="shared" si="12"/>
        <v>1216.5</v>
      </c>
      <c r="G1055" s="38">
        <f t="shared" si="12"/>
        <v>79.166666666666671</v>
      </c>
      <c r="H1055" s="39">
        <f t="shared" si="12"/>
        <v>533.33333333333337</v>
      </c>
      <c r="I1055" s="38">
        <f t="shared" si="12"/>
        <v>695</v>
      </c>
      <c r="J1055" s="38">
        <f t="shared" si="12"/>
        <v>33.333333333333336</v>
      </c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</row>
    <row r="1056" spans="1:20" ht="15">
      <c r="A1056" s="3">
        <v>2021</v>
      </c>
      <c r="B1056" s="3">
        <f t="shared" si="8"/>
        <v>365</v>
      </c>
      <c r="C1056" s="38">
        <f t="shared" ref="C1056:J1056" si="13">AVERAGE(C89:C100)</f>
        <v>154.75825</v>
      </c>
      <c r="D1056" s="38">
        <f t="shared" si="13"/>
        <v>281.0162499999999</v>
      </c>
      <c r="E1056" s="38">
        <f t="shared" si="13"/>
        <v>780.7254999999999</v>
      </c>
      <c r="F1056" s="38">
        <f t="shared" si="13"/>
        <v>1216.5</v>
      </c>
      <c r="G1056" s="38">
        <f t="shared" si="13"/>
        <v>79.166666666666671</v>
      </c>
      <c r="H1056" s="39">
        <f t="shared" si="13"/>
        <v>600</v>
      </c>
      <c r="I1056" s="38">
        <f t="shared" si="13"/>
        <v>695</v>
      </c>
      <c r="J1056" s="38">
        <f t="shared" si="13"/>
        <v>33.333333333333336</v>
      </c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</row>
    <row r="1057" spans="1:20" ht="15">
      <c r="A1057" s="3">
        <v>2022</v>
      </c>
      <c r="B1057" s="3">
        <f t="shared" si="8"/>
        <v>365</v>
      </c>
      <c r="C1057" s="38">
        <f t="shared" ref="C1057:J1057" si="14">AVERAGE(C101:C112)</f>
        <v>154.75825</v>
      </c>
      <c r="D1057" s="38">
        <f t="shared" si="14"/>
        <v>281.0162499999999</v>
      </c>
      <c r="E1057" s="38">
        <f t="shared" si="14"/>
        <v>780.7254999999999</v>
      </c>
      <c r="F1057" s="38">
        <f t="shared" si="14"/>
        <v>1216.5</v>
      </c>
      <c r="G1057" s="38">
        <f t="shared" si="14"/>
        <v>79.166666666666671</v>
      </c>
      <c r="H1057" s="39">
        <f t="shared" si="14"/>
        <v>600</v>
      </c>
      <c r="I1057" s="38">
        <f t="shared" si="14"/>
        <v>695</v>
      </c>
      <c r="J1057" s="38">
        <f t="shared" si="14"/>
        <v>33.333333333333336</v>
      </c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</row>
    <row r="1058" spans="1:20" ht="15">
      <c r="A1058" s="3">
        <v>2023</v>
      </c>
      <c r="B1058" s="3">
        <f t="shared" si="8"/>
        <v>365</v>
      </c>
      <c r="C1058" s="38">
        <f t="shared" ref="C1058:J1058" si="15">AVERAGE(C113:C124)</f>
        <v>154.75825</v>
      </c>
      <c r="D1058" s="38">
        <f t="shared" si="15"/>
        <v>281.0162499999999</v>
      </c>
      <c r="E1058" s="38">
        <f t="shared" si="15"/>
        <v>780.7254999999999</v>
      </c>
      <c r="F1058" s="38">
        <f t="shared" si="15"/>
        <v>1216.5</v>
      </c>
      <c r="G1058" s="38">
        <f t="shared" si="15"/>
        <v>79.166666666666671</v>
      </c>
      <c r="H1058" s="39">
        <f t="shared" si="15"/>
        <v>600</v>
      </c>
      <c r="I1058" s="38">
        <f t="shared" si="15"/>
        <v>695</v>
      </c>
      <c r="J1058" s="38">
        <f t="shared" si="15"/>
        <v>33.333333333333336</v>
      </c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</row>
    <row r="1059" spans="1:20" ht="15">
      <c r="A1059" s="3">
        <v>2024</v>
      </c>
      <c r="B1059" s="3">
        <f t="shared" si="8"/>
        <v>366</v>
      </c>
      <c r="C1059" s="38">
        <f t="shared" ref="C1059:J1059" si="16">AVERAGE(C125:C136)</f>
        <v>154.75825</v>
      </c>
      <c r="D1059" s="38">
        <f t="shared" si="16"/>
        <v>281.0162499999999</v>
      </c>
      <c r="E1059" s="38">
        <f t="shared" si="16"/>
        <v>780.7254999999999</v>
      </c>
      <c r="F1059" s="38">
        <f t="shared" si="16"/>
        <v>1216.5</v>
      </c>
      <c r="G1059" s="38">
        <f t="shared" si="16"/>
        <v>79.166666666666671</v>
      </c>
      <c r="H1059" s="39">
        <f t="shared" si="16"/>
        <v>600</v>
      </c>
      <c r="I1059" s="38">
        <f t="shared" si="16"/>
        <v>695</v>
      </c>
      <c r="J1059" s="38">
        <f t="shared" si="16"/>
        <v>33.333333333333336</v>
      </c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</row>
    <row r="1060" spans="1:20" ht="15">
      <c r="A1060" s="3">
        <v>2025</v>
      </c>
      <c r="B1060" s="3">
        <f t="shared" si="8"/>
        <v>365</v>
      </c>
      <c r="C1060" s="38">
        <f t="shared" ref="C1060:J1060" si="17">AVERAGE(C137:C148)</f>
        <v>154.75825</v>
      </c>
      <c r="D1060" s="38">
        <f t="shared" si="17"/>
        <v>281.0162499999999</v>
      </c>
      <c r="E1060" s="38">
        <f t="shared" si="17"/>
        <v>780.7254999999999</v>
      </c>
      <c r="F1060" s="38">
        <f t="shared" si="17"/>
        <v>1216.5</v>
      </c>
      <c r="G1060" s="38">
        <f t="shared" si="17"/>
        <v>79.166666666666671</v>
      </c>
      <c r="H1060" s="39">
        <f t="shared" si="17"/>
        <v>600</v>
      </c>
      <c r="I1060" s="38">
        <f t="shared" si="17"/>
        <v>695</v>
      </c>
      <c r="J1060" s="38">
        <f t="shared" si="17"/>
        <v>33.333333333333336</v>
      </c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</row>
    <row r="1061" spans="1:20" ht="15">
      <c r="A1061" s="3">
        <v>2026</v>
      </c>
      <c r="B1061" s="3">
        <f t="shared" si="8"/>
        <v>365</v>
      </c>
      <c r="C1061" s="38">
        <f t="shared" ref="C1061:J1061" si="18">AVERAGE(C149:C160)</f>
        <v>154.75825</v>
      </c>
      <c r="D1061" s="38">
        <f t="shared" si="18"/>
        <v>281.0162499999999</v>
      </c>
      <c r="E1061" s="38">
        <f t="shared" si="18"/>
        <v>780.7254999999999</v>
      </c>
      <c r="F1061" s="38">
        <f t="shared" si="18"/>
        <v>1216.5</v>
      </c>
      <c r="G1061" s="38">
        <f t="shared" si="18"/>
        <v>79.166666666666671</v>
      </c>
      <c r="H1061" s="39">
        <f t="shared" si="18"/>
        <v>600</v>
      </c>
      <c r="I1061" s="38">
        <f t="shared" si="18"/>
        <v>695</v>
      </c>
      <c r="J1061" s="38">
        <f t="shared" si="18"/>
        <v>33.333333333333336</v>
      </c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</row>
    <row r="1062" spans="1:20" ht="15">
      <c r="A1062" s="3">
        <v>2027</v>
      </c>
      <c r="B1062" s="3">
        <f t="shared" si="8"/>
        <v>365</v>
      </c>
      <c r="C1062" s="38">
        <f t="shared" ref="C1062:J1062" si="19">AVERAGE(C161:C172)</f>
        <v>154.75825</v>
      </c>
      <c r="D1062" s="38">
        <f t="shared" si="19"/>
        <v>281.0162499999999</v>
      </c>
      <c r="E1062" s="38">
        <f t="shared" si="19"/>
        <v>780.7254999999999</v>
      </c>
      <c r="F1062" s="38">
        <f t="shared" si="19"/>
        <v>1216.5</v>
      </c>
      <c r="G1062" s="38">
        <f t="shared" si="19"/>
        <v>79.166666666666671</v>
      </c>
      <c r="H1062" s="39">
        <f t="shared" si="19"/>
        <v>600</v>
      </c>
      <c r="I1062" s="38">
        <f t="shared" si="19"/>
        <v>695</v>
      </c>
      <c r="J1062" s="38">
        <f t="shared" si="19"/>
        <v>33.333333333333336</v>
      </c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</row>
    <row r="1063" spans="1:20" ht="15">
      <c r="A1063" s="3">
        <v>2028</v>
      </c>
      <c r="B1063" s="3">
        <f t="shared" si="8"/>
        <v>366</v>
      </c>
      <c r="C1063" s="38">
        <f t="shared" ref="C1063:J1063" si="20">AVERAGE(C173:C184)</f>
        <v>154.75825</v>
      </c>
      <c r="D1063" s="38">
        <f t="shared" si="20"/>
        <v>281.0162499999999</v>
      </c>
      <c r="E1063" s="38">
        <f t="shared" si="20"/>
        <v>780.7254999999999</v>
      </c>
      <c r="F1063" s="38">
        <f t="shared" si="20"/>
        <v>1216.5</v>
      </c>
      <c r="G1063" s="38">
        <f t="shared" si="20"/>
        <v>79.166666666666671</v>
      </c>
      <c r="H1063" s="39">
        <f t="shared" si="20"/>
        <v>600</v>
      </c>
      <c r="I1063" s="38">
        <f t="shared" si="20"/>
        <v>695</v>
      </c>
      <c r="J1063" s="38">
        <f t="shared" si="20"/>
        <v>33.333333333333336</v>
      </c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</row>
    <row r="1064" spans="1:20" ht="15">
      <c r="A1064" s="3">
        <v>2029</v>
      </c>
      <c r="B1064" s="3">
        <f t="shared" si="8"/>
        <v>365</v>
      </c>
      <c r="C1064" s="38">
        <f t="shared" ref="C1064:J1064" si="21">AVERAGE(C185:C196)</f>
        <v>154.75825</v>
      </c>
      <c r="D1064" s="38">
        <f t="shared" si="21"/>
        <v>281.0162499999999</v>
      </c>
      <c r="E1064" s="38">
        <f t="shared" si="21"/>
        <v>780.7254999999999</v>
      </c>
      <c r="F1064" s="38">
        <f t="shared" si="21"/>
        <v>1216.5</v>
      </c>
      <c r="G1064" s="38">
        <f t="shared" si="21"/>
        <v>79.166666666666671</v>
      </c>
      <c r="H1064" s="39">
        <f t="shared" si="21"/>
        <v>600</v>
      </c>
      <c r="I1064" s="38">
        <f t="shared" si="21"/>
        <v>695</v>
      </c>
      <c r="J1064" s="38">
        <f t="shared" si="21"/>
        <v>33.333333333333336</v>
      </c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</row>
    <row r="1065" spans="1:20" ht="15">
      <c r="A1065" s="3">
        <v>2030</v>
      </c>
      <c r="B1065" s="3">
        <f t="shared" si="8"/>
        <v>365</v>
      </c>
      <c r="C1065" s="38">
        <f t="shared" ref="C1065:J1065" si="22">AVERAGE(C197:C208)</f>
        <v>154.75825</v>
      </c>
      <c r="D1065" s="38">
        <f t="shared" si="22"/>
        <v>281.0162499999999</v>
      </c>
      <c r="E1065" s="38">
        <f t="shared" si="22"/>
        <v>780.7254999999999</v>
      </c>
      <c r="F1065" s="38">
        <f t="shared" si="22"/>
        <v>1216.5</v>
      </c>
      <c r="G1065" s="38">
        <f t="shared" si="22"/>
        <v>79.166666666666671</v>
      </c>
      <c r="H1065" s="39">
        <f t="shared" si="22"/>
        <v>600</v>
      </c>
      <c r="I1065" s="38">
        <f t="shared" si="22"/>
        <v>695</v>
      </c>
      <c r="J1065" s="38">
        <f t="shared" si="22"/>
        <v>33.333333333333336</v>
      </c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</row>
    <row r="1066" spans="1:20" ht="15">
      <c r="A1066" s="3">
        <v>2031</v>
      </c>
      <c r="B1066" s="3">
        <f t="shared" si="8"/>
        <v>365</v>
      </c>
      <c r="C1066" s="38">
        <f t="shared" ref="C1066:J1066" si="23">AVERAGE(C209:C220)</f>
        <v>154.75825</v>
      </c>
      <c r="D1066" s="38">
        <f t="shared" si="23"/>
        <v>281.0162499999999</v>
      </c>
      <c r="E1066" s="38">
        <f t="shared" si="23"/>
        <v>780.7254999999999</v>
      </c>
      <c r="F1066" s="38">
        <f t="shared" si="23"/>
        <v>1216.5</v>
      </c>
      <c r="G1066" s="38">
        <f t="shared" si="23"/>
        <v>79.166666666666671</v>
      </c>
      <c r="H1066" s="39">
        <f t="shared" si="23"/>
        <v>600</v>
      </c>
      <c r="I1066" s="38">
        <f t="shared" si="23"/>
        <v>695</v>
      </c>
      <c r="J1066" s="38">
        <f t="shared" si="23"/>
        <v>33.333333333333336</v>
      </c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</row>
    <row r="1067" spans="1:20" ht="15">
      <c r="A1067" s="3">
        <v>2032</v>
      </c>
      <c r="B1067" s="3">
        <f t="shared" si="8"/>
        <v>366</v>
      </c>
      <c r="C1067" s="38">
        <f t="shared" ref="C1067:J1067" si="24">AVERAGE(C221:C232)</f>
        <v>154.75825</v>
      </c>
      <c r="D1067" s="38">
        <f t="shared" si="24"/>
        <v>281.0162499999999</v>
      </c>
      <c r="E1067" s="38">
        <f t="shared" si="24"/>
        <v>780.7254999999999</v>
      </c>
      <c r="F1067" s="38">
        <f t="shared" si="24"/>
        <v>1216.5</v>
      </c>
      <c r="G1067" s="38">
        <f t="shared" si="24"/>
        <v>79.166666666666671</v>
      </c>
      <c r="H1067" s="39">
        <f t="shared" si="24"/>
        <v>600</v>
      </c>
      <c r="I1067" s="38">
        <f t="shared" si="24"/>
        <v>695</v>
      </c>
      <c r="J1067" s="38">
        <f t="shared" si="24"/>
        <v>33.333333333333336</v>
      </c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</row>
    <row r="1068" spans="1:20" ht="15">
      <c r="A1068" s="3">
        <v>2033</v>
      </c>
      <c r="B1068" s="3">
        <f t="shared" si="8"/>
        <v>365</v>
      </c>
      <c r="C1068" s="38">
        <f t="shared" ref="C1068:J1068" si="25">AVERAGE(C233:C244)</f>
        <v>154.75825</v>
      </c>
      <c r="D1068" s="38">
        <f t="shared" si="25"/>
        <v>281.0162499999999</v>
      </c>
      <c r="E1068" s="38">
        <f t="shared" si="25"/>
        <v>780.7254999999999</v>
      </c>
      <c r="F1068" s="38">
        <f t="shared" si="25"/>
        <v>1216.5</v>
      </c>
      <c r="G1068" s="38">
        <f t="shared" si="25"/>
        <v>79.166666666666671</v>
      </c>
      <c r="H1068" s="39">
        <f t="shared" si="25"/>
        <v>600</v>
      </c>
      <c r="I1068" s="38">
        <f t="shared" si="25"/>
        <v>695</v>
      </c>
      <c r="J1068" s="38">
        <f t="shared" si="25"/>
        <v>33.333333333333336</v>
      </c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</row>
    <row r="1069" spans="1:20" ht="15">
      <c r="A1069" s="3">
        <v>2034</v>
      </c>
      <c r="B1069" s="3">
        <f t="shared" si="8"/>
        <v>365</v>
      </c>
      <c r="C1069" s="38">
        <f t="shared" ref="C1069:J1069" si="26">AVERAGE(C245:C256)</f>
        <v>154.75825</v>
      </c>
      <c r="D1069" s="38">
        <f t="shared" si="26"/>
        <v>281.0162499999999</v>
      </c>
      <c r="E1069" s="38">
        <f t="shared" si="26"/>
        <v>780.7254999999999</v>
      </c>
      <c r="F1069" s="38">
        <f t="shared" si="26"/>
        <v>1216.5</v>
      </c>
      <c r="G1069" s="38">
        <f t="shared" si="26"/>
        <v>79.166666666666671</v>
      </c>
      <c r="H1069" s="39">
        <f t="shared" si="26"/>
        <v>600</v>
      </c>
      <c r="I1069" s="38">
        <f t="shared" si="26"/>
        <v>695</v>
      </c>
      <c r="J1069" s="38">
        <f t="shared" si="26"/>
        <v>33.333333333333336</v>
      </c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</row>
    <row r="1070" spans="1:20" ht="15">
      <c r="A1070" s="3">
        <v>2035</v>
      </c>
      <c r="B1070" s="3">
        <f t="shared" si="8"/>
        <v>365</v>
      </c>
      <c r="C1070" s="38">
        <f t="shared" ref="C1070:J1070" si="27">AVERAGE(C257:C268)</f>
        <v>154.75825</v>
      </c>
      <c r="D1070" s="38">
        <f t="shared" si="27"/>
        <v>281.0162499999999</v>
      </c>
      <c r="E1070" s="38">
        <f t="shared" si="27"/>
        <v>780.7254999999999</v>
      </c>
      <c r="F1070" s="38">
        <f t="shared" si="27"/>
        <v>1216.5</v>
      </c>
      <c r="G1070" s="38">
        <f t="shared" si="27"/>
        <v>79.166666666666671</v>
      </c>
      <c r="H1070" s="39">
        <f t="shared" si="27"/>
        <v>600</v>
      </c>
      <c r="I1070" s="38">
        <f t="shared" si="27"/>
        <v>695</v>
      </c>
      <c r="J1070" s="38">
        <f t="shared" si="27"/>
        <v>33.333333333333336</v>
      </c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</row>
    <row r="1071" spans="1:20" ht="15">
      <c r="A1071" s="3">
        <v>2036</v>
      </c>
      <c r="B1071" s="3">
        <f t="shared" si="8"/>
        <v>366</v>
      </c>
      <c r="C1071" s="38">
        <f t="shared" ref="C1071:J1071" si="28">AVERAGE(C269:C280)</f>
        <v>154.75825</v>
      </c>
      <c r="D1071" s="38">
        <f t="shared" si="28"/>
        <v>281.0162499999999</v>
      </c>
      <c r="E1071" s="38">
        <f t="shared" si="28"/>
        <v>780.7254999999999</v>
      </c>
      <c r="F1071" s="38">
        <f t="shared" si="28"/>
        <v>1216.5</v>
      </c>
      <c r="G1071" s="38">
        <f t="shared" si="28"/>
        <v>79.166666666666671</v>
      </c>
      <c r="H1071" s="39">
        <f t="shared" si="28"/>
        <v>600</v>
      </c>
      <c r="I1071" s="38">
        <f t="shared" si="28"/>
        <v>695</v>
      </c>
      <c r="J1071" s="38">
        <f t="shared" si="28"/>
        <v>33.333333333333336</v>
      </c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</row>
    <row r="1072" spans="1:20" ht="15">
      <c r="A1072" s="3">
        <v>2037</v>
      </c>
      <c r="B1072" s="3">
        <f t="shared" si="8"/>
        <v>365</v>
      </c>
      <c r="C1072" s="38">
        <f t="shared" ref="C1072:J1072" si="29">AVERAGE(C281:C292)</f>
        <v>154.75825</v>
      </c>
      <c r="D1072" s="38">
        <f t="shared" si="29"/>
        <v>281.0162499999999</v>
      </c>
      <c r="E1072" s="38">
        <f t="shared" si="29"/>
        <v>780.7254999999999</v>
      </c>
      <c r="F1072" s="38">
        <f t="shared" si="29"/>
        <v>1216.5</v>
      </c>
      <c r="G1072" s="38">
        <f t="shared" si="29"/>
        <v>79.166666666666671</v>
      </c>
      <c r="H1072" s="39">
        <f t="shared" si="29"/>
        <v>600</v>
      </c>
      <c r="I1072" s="38">
        <f t="shared" si="29"/>
        <v>695</v>
      </c>
      <c r="J1072" s="38">
        <f t="shared" si="29"/>
        <v>33.333333333333336</v>
      </c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</row>
    <row r="1073" spans="1:20" ht="15">
      <c r="A1073" s="3">
        <f t="shared" ref="A1073:A1104" si="30">A1072+1</f>
        <v>2038</v>
      </c>
      <c r="B1073" s="3">
        <f t="shared" si="8"/>
        <v>365</v>
      </c>
      <c r="C1073" s="35">
        <f t="shared" ref="C1073:J1073" si="31">AVERAGE(C293:C304)</f>
        <v>154.75825</v>
      </c>
      <c r="D1073" s="35">
        <f t="shared" si="31"/>
        <v>281.0162499999999</v>
      </c>
      <c r="E1073" s="35">
        <f t="shared" si="31"/>
        <v>780.7254999999999</v>
      </c>
      <c r="F1073" s="35">
        <f t="shared" si="31"/>
        <v>1216.5</v>
      </c>
      <c r="G1073" s="35">
        <f t="shared" si="31"/>
        <v>79.166666666666671</v>
      </c>
      <c r="H1073" s="37">
        <f t="shared" si="31"/>
        <v>600</v>
      </c>
      <c r="I1073" s="35">
        <f t="shared" si="31"/>
        <v>695</v>
      </c>
      <c r="J1073" s="35">
        <f t="shared" si="31"/>
        <v>33.333333333333336</v>
      </c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</row>
    <row r="1074" spans="1:20" ht="15">
      <c r="A1074" s="3">
        <f t="shared" si="30"/>
        <v>2039</v>
      </c>
      <c r="B1074" s="3">
        <f t="shared" si="8"/>
        <v>365</v>
      </c>
      <c r="C1074" s="35">
        <f t="shared" ref="C1074:J1074" si="32">AVERAGE(C305:C316)</f>
        <v>154.75825</v>
      </c>
      <c r="D1074" s="35">
        <f t="shared" si="32"/>
        <v>281.0162499999999</v>
      </c>
      <c r="E1074" s="35">
        <f t="shared" si="32"/>
        <v>780.7254999999999</v>
      </c>
      <c r="F1074" s="35">
        <f t="shared" si="32"/>
        <v>1216.5</v>
      </c>
      <c r="G1074" s="35">
        <f t="shared" si="32"/>
        <v>79.166666666666671</v>
      </c>
      <c r="H1074" s="37">
        <f t="shared" si="32"/>
        <v>600</v>
      </c>
      <c r="I1074" s="35">
        <f t="shared" si="32"/>
        <v>695</v>
      </c>
      <c r="J1074" s="35">
        <f t="shared" si="32"/>
        <v>33.333333333333336</v>
      </c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</row>
    <row r="1075" spans="1:20" ht="15">
      <c r="A1075" s="3">
        <f t="shared" si="30"/>
        <v>2040</v>
      </c>
      <c r="B1075" s="3">
        <f t="shared" si="8"/>
        <v>366</v>
      </c>
      <c r="C1075" s="35">
        <f t="shared" ref="C1075:J1075" si="33">AVERAGE(C317:C328)</f>
        <v>154.75825</v>
      </c>
      <c r="D1075" s="35">
        <f t="shared" si="33"/>
        <v>281.0162499999999</v>
      </c>
      <c r="E1075" s="35">
        <f t="shared" si="33"/>
        <v>780.7254999999999</v>
      </c>
      <c r="F1075" s="35">
        <f t="shared" si="33"/>
        <v>1216.5</v>
      </c>
      <c r="G1075" s="35">
        <f t="shared" si="33"/>
        <v>79.166666666666671</v>
      </c>
      <c r="H1075" s="37">
        <f t="shared" si="33"/>
        <v>600</v>
      </c>
      <c r="I1075" s="35">
        <f t="shared" si="33"/>
        <v>695</v>
      </c>
      <c r="J1075" s="35">
        <f t="shared" si="33"/>
        <v>33.333333333333336</v>
      </c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</row>
    <row r="1076" spans="1:20" ht="15">
      <c r="A1076" s="3">
        <f t="shared" si="30"/>
        <v>2041</v>
      </c>
      <c r="B1076" s="3">
        <f t="shared" si="8"/>
        <v>365</v>
      </c>
      <c r="C1076" s="35">
        <f t="shared" ref="C1076:J1076" si="34">AVERAGE(C329:C340)</f>
        <v>154.75825</v>
      </c>
      <c r="D1076" s="35">
        <f t="shared" si="34"/>
        <v>281.0162499999999</v>
      </c>
      <c r="E1076" s="35">
        <f t="shared" si="34"/>
        <v>780.7254999999999</v>
      </c>
      <c r="F1076" s="35">
        <f t="shared" si="34"/>
        <v>1216.5</v>
      </c>
      <c r="G1076" s="35">
        <f t="shared" si="34"/>
        <v>79.166666666666671</v>
      </c>
      <c r="H1076" s="37">
        <f t="shared" si="34"/>
        <v>600</v>
      </c>
      <c r="I1076" s="35">
        <f t="shared" si="34"/>
        <v>695</v>
      </c>
      <c r="J1076" s="35">
        <f t="shared" si="34"/>
        <v>33.333333333333336</v>
      </c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</row>
    <row r="1077" spans="1:20" ht="15">
      <c r="A1077" s="3">
        <f t="shared" si="30"/>
        <v>2042</v>
      </c>
      <c r="B1077" s="3">
        <f t="shared" si="8"/>
        <v>365</v>
      </c>
      <c r="C1077" s="35">
        <f t="shared" ref="C1077:J1077" si="35">AVERAGE(C341:C352)</f>
        <v>154.75825</v>
      </c>
      <c r="D1077" s="35">
        <f t="shared" si="35"/>
        <v>281.0162499999999</v>
      </c>
      <c r="E1077" s="35">
        <f t="shared" si="35"/>
        <v>780.7254999999999</v>
      </c>
      <c r="F1077" s="35">
        <f t="shared" si="35"/>
        <v>1216.5</v>
      </c>
      <c r="G1077" s="35">
        <f t="shared" si="35"/>
        <v>79.166666666666671</v>
      </c>
      <c r="H1077" s="37">
        <f t="shared" si="35"/>
        <v>600</v>
      </c>
      <c r="I1077" s="35">
        <f t="shared" si="35"/>
        <v>695</v>
      </c>
      <c r="J1077" s="35">
        <f t="shared" si="35"/>
        <v>33.333333333333336</v>
      </c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</row>
    <row r="1078" spans="1:20" ht="15">
      <c r="A1078" s="3">
        <f t="shared" si="30"/>
        <v>2043</v>
      </c>
      <c r="B1078" s="3">
        <f t="shared" si="8"/>
        <v>365</v>
      </c>
      <c r="C1078" s="35">
        <f t="shared" ref="C1078:J1078" si="36">AVERAGE(C353:C364)</f>
        <v>154.75825</v>
      </c>
      <c r="D1078" s="35">
        <f t="shared" si="36"/>
        <v>281.0162499999999</v>
      </c>
      <c r="E1078" s="35">
        <f t="shared" si="36"/>
        <v>780.7254999999999</v>
      </c>
      <c r="F1078" s="35">
        <f t="shared" si="36"/>
        <v>1216.5</v>
      </c>
      <c r="G1078" s="35">
        <f t="shared" si="36"/>
        <v>79.166666666666671</v>
      </c>
      <c r="H1078" s="37">
        <f t="shared" si="36"/>
        <v>600</v>
      </c>
      <c r="I1078" s="35">
        <f t="shared" si="36"/>
        <v>695</v>
      </c>
      <c r="J1078" s="35">
        <f t="shared" si="36"/>
        <v>33.333333333333336</v>
      </c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</row>
    <row r="1079" spans="1:20" ht="15">
      <c r="A1079" s="3">
        <f t="shared" si="30"/>
        <v>2044</v>
      </c>
      <c r="B1079" s="3">
        <f t="shared" si="8"/>
        <v>366</v>
      </c>
      <c r="C1079" s="35">
        <f t="shared" ref="C1079:J1079" si="37">AVERAGE(C365:C376)</f>
        <v>154.75825</v>
      </c>
      <c r="D1079" s="35">
        <f t="shared" si="37"/>
        <v>281.0162499999999</v>
      </c>
      <c r="E1079" s="35">
        <f t="shared" si="37"/>
        <v>780.7254999999999</v>
      </c>
      <c r="F1079" s="35">
        <f t="shared" si="37"/>
        <v>1216.5</v>
      </c>
      <c r="G1079" s="35">
        <f t="shared" si="37"/>
        <v>79.166666666666671</v>
      </c>
      <c r="H1079" s="37">
        <f t="shared" si="37"/>
        <v>600</v>
      </c>
      <c r="I1079" s="35">
        <f t="shared" si="37"/>
        <v>695</v>
      </c>
      <c r="J1079" s="35">
        <f t="shared" si="37"/>
        <v>33.333333333333336</v>
      </c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</row>
    <row r="1080" spans="1:20" ht="15">
      <c r="A1080" s="3">
        <f t="shared" si="30"/>
        <v>2045</v>
      </c>
      <c r="B1080" s="3">
        <f t="shared" si="8"/>
        <v>365</v>
      </c>
      <c r="C1080" s="35">
        <f t="shared" ref="C1080:J1080" si="38">AVERAGE(C377:C388)</f>
        <v>154.75825</v>
      </c>
      <c r="D1080" s="35">
        <f t="shared" si="38"/>
        <v>281.0162499999999</v>
      </c>
      <c r="E1080" s="35">
        <f t="shared" si="38"/>
        <v>780.7254999999999</v>
      </c>
      <c r="F1080" s="35">
        <f t="shared" si="38"/>
        <v>1216.5</v>
      </c>
      <c r="G1080" s="35">
        <f t="shared" si="38"/>
        <v>79.166666666666671</v>
      </c>
      <c r="H1080" s="37">
        <f t="shared" si="38"/>
        <v>600</v>
      </c>
      <c r="I1080" s="35">
        <f t="shared" si="38"/>
        <v>695</v>
      </c>
      <c r="J1080" s="35">
        <f t="shared" si="38"/>
        <v>33.333333333333336</v>
      </c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</row>
    <row r="1081" spans="1:20" ht="15">
      <c r="A1081" s="3">
        <f t="shared" si="30"/>
        <v>2046</v>
      </c>
      <c r="B1081" s="3">
        <f t="shared" si="8"/>
        <v>365</v>
      </c>
      <c r="C1081" s="35">
        <f t="shared" ref="C1081:J1081" si="39">AVERAGE(C389:C400)</f>
        <v>154.75825</v>
      </c>
      <c r="D1081" s="35">
        <f t="shared" si="39"/>
        <v>281.0162499999999</v>
      </c>
      <c r="E1081" s="35">
        <f t="shared" si="39"/>
        <v>780.7254999999999</v>
      </c>
      <c r="F1081" s="35">
        <f t="shared" si="39"/>
        <v>1216.5</v>
      </c>
      <c r="G1081" s="35">
        <f t="shared" si="39"/>
        <v>79.166666666666671</v>
      </c>
      <c r="H1081" s="37">
        <f t="shared" si="39"/>
        <v>600</v>
      </c>
      <c r="I1081" s="35">
        <f t="shared" si="39"/>
        <v>695</v>
      </c>
      <c r="J1081" s="35">
        <f t="shared" si="39"/>
        <v>33.333333333333336</v>
      </c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</row>
    <row r="1082" spans="1:20" ht="15">
      <c r="A1082" s="3">
        <f t="shared" si="30"/>
        <v>2047</v>
      </c>
      <c r="B1082" s="3">
        <f t="shared" ref="B1082:B1113" si="40">DATE(A1082+1,1,1)-DATE(A1082,1,1)</f>
        <v>365</v>
      </c>
      <c r="C1082" s="35">
        <f t="shared" ref="C1082:J1082" si="41">AVERAGE(C401:C412)</f>
        <v>154.75825</v>
      </c>
      <c r="D1082" s="35">
        <f t="shared" si="41"/>
        <v>281.0162499999999</v>
      </c>
      <c r="E1082" s="35">
        <f t="shared" si="41"/>
        <v>780.7254999999999</v>
      </c>
      <c r="F1082" s="35">
        <f t="shared" si="41"/>
        <v>1216.5</v>
      </c>
      <c r="G1082" s="35">
        <f t="shared" si="41"/>
        <v>79.166666666666671</v>
      </c>
      <c r="H1082" s="37">
        <f t="shared" si="41"/>
        <v>600</v>
      </c>
      <c r="I1082" s="35">
        <f t="shared" si="41"/>
        <v>695</v>
      </c>
      <c r="J1082" s="35">
        <f t="shared" si="41"/>
        <v>33.333333333333336</v>
      </c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</row>
    <row r="1083" spans="1:20" ht="15">
      <c r="A1083" s="3">
        <f t="shared" si="30"/>
        <v>2048</v>
      </c>
      <c r="B1083" s="3">
        <f t="shared" si="40"/>
        <v>366</v>
      </c>
      <c r="C1083" s="35">
        <f t="shared" ref="C1083:J1083" si="42">AVERAGE(C413:C424)</f>
        <v>154.75825</v>
      </c>
      <c r="D1083" s="35">
        <f t="shared" si="42"/>
        <v>281.0162499999999</v>
      </c>
      <c r="E1083" s="35">
        <f t="shared" si="42"/>
        <v>780.7254999999999</v>
      </c>
      <c r="F1083" s="35">
        <f t="shared" si="42"/>
        <v>1216.5</v>
      </c>
      <c r="G1083" s="35">
        <f t="shared" si="42"/>
        <v>79.166666666666671</v>
      </c>
      <c r="H1083" s="37">
        <f t="shared" si="42"/>
        <v>600</v>
      </c>
      <c r="I1083" s="35">
        <f t="shared" si="42"/>
        <v>695</v>
      </c>
      <c r="J1083" s="35">
        <f t="shared" si="42"/>
        <v>33.333333333333336</v>
      </c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</row>
    <row r="1084" spans="1:20" ht="15">
      <c r="A1084" s="3">
        <f t="shared" si="30"/>
        <v>2049</v>
      </c>
      <c r="B1084" s="3">
        <f t="shared" si="40"/>
        <v>365</v>
      </c>
      <c r="C1084" s="35">
        <f t="shared" ref="C1084:J1084" si="43">AVERAGE(C425:C436)</f>
        <v>154.75825</v>
      </c>
      <c r="D1084" s="35">
        <f t="shared" si="43"/>
        <v>281.0162499999999</v>
      </c>
      <c r="E1084" s="35">
        <f t="shared" si="43"/>
        <v>780.7254999999999</v>
      </c>
      <c r="F1084" s="35">
        <f t="shared" si="43"/>
        <v>1216.5</v>
      </c>
      <c r="G1084" s="35">
        <f t="shared" si="43"/>
        <v>79.166666666666671</v>
      </c>
      <c r="H1084" s="37">
        <f t="shared" si="43"/>
        <v>600</v>
      </c>
      <c r="I1084" s="35">
        <f t="shared" si="43"/>
        <v>695</v>
      </c>
      <c r="J1084" s="35">
        <f t="shared" si="43"/>
        <v>33.333333333333336</v>
      </c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</row>
    <row r="1085" spans="1:20" ht="15">
      <c r="A1085" s="3">
        <f t="shared" si="30"/>
        <v>2050</v>
      </c>
      <c r="B1085" s="3">
        <f t="shared" si="40"/>
        <v>365</v>
      </c>
      <c r="C1085" s="35">
        <f t="shared" ref="C1085:J1085" si="44">AVERAGE(C437:C448)</f>
        <v>154.75825</v>
      </c>
      <c r="D1085" s="35">
        <f t="shared" si="44"/>
        <v>281.0162499999999</v>
      </c>
      <c r="E1085" s="35">
        <f t="shared" si="44"/>
        <v>780.7254999999999</v>
      </c>
      <c r="F1085" s="35">
        <f t="shared" si="44"/>
        <v>1216.5</v>
      </c>
      <c r="G1085" s="35">
        <f t="shared" si="44"/>
        <v>79.166666666666671</v>
      </c>
      <c r="H1085" s="37">
        <f t="shared" si="44"/>
        <v>600</v>
      </c>
      <c r="I1085" s="35">
        <f t="shared" si="44"/>
        <v>695</v>
      </c>
      <c r="J1085" s="35">
        <f t="shared" si="44"/>
        <v>33.333333333333336</v>
      </c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</row>
    <row r="1086" spans="1:20" ht="15">
      <c r="A1086" s="3">
        <f t="shared" si="30"/>
        <v>2051</v>
      </c>
      <c r="B1086" s="3">
        <f t="shared" si="40"/>
        <v>365</v>
      </c>
      <c r="C1086" s="35">
        <f t="shared" ref="C1086:J1086" si="45">AVERAGE(C449:C460)</f>
        <v>154.75825</v>
      </c>
      <c r="D1086" s="35">
        <f t="shared" si="45"/>
        <v>281.0162499999999</v>
      </c>
      <c r="E1086" s="35">
        <f t="shared" si="45"/>
        <v>780.7254999999999</v>
      </c>
      <c r="F1086" s="35">
        <f t="shared" si="45"/>
        <v>1216.5</v>
      </c>
      <c r="G1086" s="35">
        <f t="shared" si="45"/>
        <v>79.166666666666671</v>
      </c>
      <c r="H1086" s="37">
        <f t="shared" si="45"/>
        <v>600</v>
      </c>
      <c r="I1086" s="35">
        <f t="shared" si="45"/>
        <v>695</v>
      </c>
      <c r="J1086" s="35">
        <f t="shared" si="45"/>
        <v>33.333333333333336</v>
      </c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</row>
    <row r="1087" spans="1:20" ht="15">
      <c r="A1087" s="3">
        <f t="shared" si="30"/>
        <v>2052</v>
      </c>
      <c r="B1087" s="3">
        <f t="shared" si="40"/>
        <v>366</v>
      </c>
      <c r="C1087" s="35">
        <f t="shared" ref="C1087:J1087" si="46">AVERAGE(C461:C472)</f>
        <v>154.75825</v>
      </c>
      <c r="D1087" s="35">
        <f t="shared" si="46"/>
        <v>281.0162499999999</v>
      </c>
      <c r="E1087" s="35">
        <f t="shared" si="46"/>
        <v>780.7254999999999</v>
      </c>
      <c r="F1087" s="35">
        <f t="shared" si="46"/>
        <v>1216.5</v>
      </c>
      <c r="G1087" s="35">
        <f t="shared" si="46"/>
        <v>79.166666666666671</v>
      </c>
      <c r="H1087" s="37">
        <f t="shared" si="46"/>
        <v>600</v>
      </c>
      <c r="I1087" s="35">
        <f t="shared" si="46"/>
        <v>695</v>
      </c>
      <c r="J1087" s="35">
        <f t="shared" si="46"/>
        <v>33.333333333333336</v>
      </c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</row>
    <row r="1088" spans="1:20" ht="15">
      <c r="A1088" s="3">
        <f t="shared" si="30"/>
        <v>2053</v>
      </c>
      <c r="B1088" s="3">
        <f t="shared" si="40"/>
        <v>365</v>
      </c>
      <c r="C1088" s="35">
        <f t="shared" ref="C1088:J1088" si="47">AVERAGE(C473:C484)</f>
        <v>154.75825</v>
      </c>
      <c r="D1088" s="35">
        <f t="shared" si="47"/>
        <v>281.0162499999999</v>
      </c>
      <c r="E1088" s="35">
        <f t="shared" si="47"/>
        <v>780.7254999999999</v>
      </c>
      <c r="F1088" s="35">
        <f t="shared" si="47"/>
        <v>1216.5</v>
      </c>
      <c r="G1088" s="35">
        <f t="shared" si="47"/>
        <v>79.166666666666671</v>
      </c>
      <c r="H1088" s="37">
        <f t="shared" si="47"/>
        <v>600</v>
      </c>
      <c r="I1088" s="35">
        <f t="shared" si="47"/>
        <v>695</v>
      </c>
      <c r="J1088" s="35">
        <f t="shared" si="47"/>
        <v>33.333333333333336</v>
      </c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</row>
    <row r="1089" spans="1:20" ht="15">
      <c r="A1089" s="3">
        <f t="shared" si="30"/>
        <v>2054</v>
      </c>
      <c r="B1089" s="3">
        <f t="shared" si="40"/>
        <v>365</v>
      </c>
      <c r="C1089" s="35">
        <f t="shared" ref="C1089:J1096" si="48">AVERAGE(C485:C496)</f>
        <v>154.75825</v>
      </c>
      <c r="D1089" s="35">
        <f t="shared" si="48"/>
        <v>281.0162499999999</v>
      </c>
      <c r="E1089" s="35">
        <f t="shared" si="48"/>
        <v>780.7254999999999</v>
      </c>
      <c r="F1089" s="35">
        <f t="shared" si="48"/>
        <v>1216.5</v>
      </c>
      <c r="G1089" s="35">
        <f t="shared" si="48"/>
        <v>79.166666666666671</v>
      </c>
      <c r="H1089" s="37">
        <f t="shared" si="48"/>
        <v>600</v>
      </c>
      <c r="I1089" s="35">
        <f t="shared" si="48"/>
        <v>695</v>
      </c>
      <c r="J1089" s="35">
        <f t="shared" si="48"/>
        <v>33.333333333333336</v>
      </c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</row>
    <row r="1090" spans="1:20" ht="15">
      <c r="A1090" s="3">
        <f t="shared" si="30"/>
        <v>2055</v>
      </c>
      <c r="B1090" s="3">
        <f t="shared" si="40"/>
        <v>365</v>
      </c>
      <c r="C1090" s="35">
        <f t="shared" si="48"/>
        <v>154.75825</v>
      </c>
      <c r="D1090" s="35">
        <f t="shared" si="48"/>
        <v>281.0162499999999</v>
      </c>
      <c r="E1090" s="35">
        <f t="shared" si="48"/>
        <v>780.7254999999999</v>
      </c>
      <c r="F1090" s="35">
        <f t="shared" si="48"/>
        <v>1216.5</v>
      </c>
      <c r="G1090" s="35">
        <f t="shared" si="48"/>
        <v>79.166666666666671</v>
      </c>
      <c r="H1090" s="37">
        <f t="shared" si="48"/>
        <v>600</v>
      </c>
      <c r="I1090" s="35">
        <f t="shared" si="48"/>
        <v>695</v>
      </c>
      <c r="J1090" s="35">
        <f t="shared" si="48"/>
        <v>33.333333333333336</v>
      </c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</row>
    <row r="1091" spans="1:20" ht="15">
      <c r="A1091" s="3">
        <f t="shared" si="30"/>
        <v>2056</v>
      </c>
      <c r="B1091" s="3">
        <f t="shared" si="40"/>
        <v>366</v>
      </c>
      <c r="C1091" s="35">
        <f t="shared" si="48"/>
        <v>154.75824999999998</v>
      </c>
      <c r="D1091" s="35">
        <f t="shared" si="48"/>
        <v>281.0162499999999</v>
      </c>
      <c r="E1091" s="35">
        <f t="shared" si="48"/>
        <v>780.7254999999999</v>
      </c>
      <c r="F1091" s="35">
        <f t="shared" si="48"/>
        <v>1216.5</v>
      </c>
      <c r="G1091" s="35">
        <f t="shared" si="48"/>
        <v>79.166666666666671</v>
      </c>
      <c r="H1091" s="37">
        <f t="shared" si="48"/>
        <v>600</v>
      </c>
      <c r="I1091" s="35">
        <f t="shared" si="48"/>
        <v>695</v>
      </c>
      <c r="J1091" s="35">
        <f t="shared" si="48"/>
        <v>33.333333333333336</v>
      </c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</row>
    <row r="1092" spans="1:20" ht="15">
      <c r="A1092" s="3">
        <f t="shared" si="30"/>
        <v>2057</v>
      </c>
      <c r="B1092" s="3">
        <f t="shared" si="40"/>
        <v>365</v>
      </c>
      <c r="C1092" s="35">
        <f t="shared" si="48"/>
        <v>154.75825</v>
      </c>
      <c r="D1092" s="35">
        <f t="shared" si="48"/>
        <v>281.0162499999999</v>
      </c>
      <c r="E1092" s="35">
        <f t="shared" si="48"/>
        <v>780.72550000000001</v>
      </c>
      <c r="F1092" s="35">
        <f t="shared" si="48"/>
        <v>1216.5</v>
      </c>
      <c r="G1092" s="35">
        <f t="shared" si="48"/>
        <v>79.166666666666671</v>
      </c>
      <c r="H1092" s="37">
        <f t="shared" si="48"/>
        <v>600</v>
      </c>
      <c r="I1092" s="35">
        <f t="shared" si="48"/>
        <v>695</v>
      </c>
      <c r="J1092" s="35">
        <f t="shared" si="48"/>
        <v>33.333333333333336</v>
      </c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</row>
    <row r="1093" spans="1:20" ht="15">
      <c r="A1093" s="3">
        <f t="shared" si="30"/>
        <v>2058</v>
      </c>
      <c r="B1093" s="3">
        <f t="shared" si="40"/>
        <v>365</v>
      </c>
      <c r="C1093" s="35">
        <f t="shared" si="48"/>
        <v>154.75824999999998</v>
      </c>
      <c r="D1093" s="35">
        <f t="shared" si="48"/>
        <v>281.01624999999996</v>
      </c>
      <c r="E1093" s="35">
        <f t="shared" si="48"/>
        <v>780.72550000000001</v>
      </c>
      <c r="F1093" s="35">
        <f t="shared" si="48"/>
        <v>1216.5</v>
      </c>
      <c r="G1093" s="35">
        <f t="shared" si="48"/>
        <v>79.166666666666671</v>
      </c>
      <c r="H1093" s="37">
        <f t="shared" si="48"/>
        <v>600</v>
      </c>
      <c r="I1093" s="35">
        <f t="shared" si="48"/>
        <v>695</v>
      </c>
      <c r="J1093" s="35">
        <f t="shared" si="48"/>
        <v>33.333333333333336</v>
      </c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</row>
    <row r="1094" spans="1:20" ht="15">
      <c r="A1094" s="3">
        <f t="shared" si="30"/>
        <v>2059</v>
      </c>
      <c r="B1094" s="3">
        <f t="shared" si="40"/>
        <v>365</v>
      </c>
      <c r="C1094" s="35">
        <f t="shared" si="48"/>
        <v>154.75824999999998</v>
      </c>
      <c r="D1094" s="35">
        <f t="shared" si="48"/>
        <v>281.01624999999996</v>
      </c>
      <c r="E1094" s="35">
        <f t="shared" si="48"/>
        <v>780.72550000000012</v>
      </c>
      <c r="F1094" s="35">
        <f t="shared" si="48"/>
        <v>1216.5</v>
      </c>
      <c r="G1094" s="35">
        <f t="shared" si="48"/>
        <v>79.166666666666671</v>
      </c>
      <c r="H1094" s="37">
        <f t="shared" si="48"/>
        <v>600</v>
      </c>
      <c r="I1094" s="35">
        <f t="shared" si="48"/>
        <v>695</v>
      </c>
      <c r="J1094" s="35">
        <f t="shared" si="48"/>
        <v>33.333333333333336</v>
      </c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</row>
    <row r="1095" spans="1:20" ht="15">
      <c r="A1095" s="3">
        <f t="shared" si="30"/>
        <v>2060</v>
      </c>
      <c r="B1095" s="3">
        <f t="shared" si="40"/>
        <v>366</v>
      </c>
      <c r="C1095" s="35">
        <f t="shared" si="48"/>
        <v>154.75824999999998</v>
      </c>
      <c r="D1095" s="35">
        <f t="shared" si="48"/>
        <v>281.01624999999996</v>
      </c>
      <c r="E1095" s="35">
        <f t="shared" si="48"/>
        <v>780.72550000000012</v>
      </c>
      <c r="F1095" s="35">
        <f t="shared" si="48"/>
        <v>1216.5</v>
      </c>
      <c r="G1095" s="35">
        <f t="shared" si="48"/>
        <v>79.166666666666671</v>
      </c>
      <c r="H1095" s="37">
        <f t="shared" si="48"/>
        <v>600</v>
      </c>
      <c r="I1095" s="35">
        <f t="shared" si="48"/>
        <v>695</v>
      </c>
      <c r="J1095" s="35">
        <f t="shared" si="48"/>
        <v>33.333333333333336</v>
      </c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</row>
    <row r="1096" spans="1:20" ht="15">
      <c r="A1096" s="3">
        <f t="shared" si="30"/>
        <v>2061</v>
      </c>
      <c r="B1096" s="3">
        <f t="shared" si="40"/>
        <v>365</v>
      </c>
      <c r="C1096" s="35">
        <f t="shared" si="48"/>
        <v>154.75825</v>
      </c>
      <c r="D1096" s="35">
        <f t="shared" si="48"/>
        <v>281.01624999999996</v>
      </c>
      <c r="E1096" s="35">
        <f t="shared" si="48"/>
        <v>780.72550000000001</v>
      </c>
      <c r="F1096" s="35">
        <f t="shared" si="48"/>
        <v>1216.5</v>
      </c>
      <c r="G1096" s="35">
        <f t="shared" si="48"/>
        <v>79.166666666666671</v>
      </c>
      <c r="H1096" s="37">
        <f t="shared" si="48"/>
        <v>600</v>
      </c>
      <c r="I1096" s="35">
        <f t="shared" si="48"/>
        <v>695</v>
      </c>
      <c r="J1096" s="35">
        <f t="shared" si="48"/>
        <v>33.333333333333336</v>
      </c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</row>
    <row r="1097" spans="1:20" ht="15">
      <c r="A1097" s="3">
        <f t="shared" si="30"/>
        <v>2062</v>
      </c>
      <c r="B1097" s="3">
        <f t="shared" si="40"/>
        <v>365</v>
      </c>
      <c r="C1097" s="35">
        <f t="shared" ref="C1097:J1106" ca="1" si="49">AVERAGE(OFFSET(C$581,($A1097-$A$1097)*12,0,12,1))</f>
        <v>154.75825</v>
      </c>
      <c r="D1097" s="35">
        <f t="shared" ca="1" si="49"/>
        <v>281.0162499999999</v>
      </c>
      <c r="E1097" s="35">
        <f t="shared" ca="1" si="49"/>
        <v>780.7254999999999</v>
      </c>
      <c r="F1097" s="35">
        <f t="shared" ca="1" si="49"/>
        <v>1216.5</v>
      </c>
      <c r="G1097" s="35">
        <f t="shared" ca="1" si="49"/>
        <v>79.166666666666671</v>
      </c>
      <c r="H1097" s="35">
        <f t="shared" ca="1" si="49"/>
        <v>600</v>
      </c>
      <c r="I1097" s="35">
        <f t="shared" ca="1" si="49"/>
        <v>695</v>
      </c>
      <c r="J1097" s="35">
        <f t="shared" ca="1" si="49"/>
        <v>33.333333333333336</v>
      </c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</row>
    <row r="1098" spans="1:20" ht="15">
      <c r="A1098" s="3">
        <f t="shared" si="30"/>
        <v>2063</v>
      </c>
      <c r="B1098" s="3">
        <f t="shared" si="40"/>
        <v>365</v>
      </c>
      <c r="C1098" s="35">
        <f t="shared" ca="1" si="49"/>
        <v>154.75825</v>
      </c>
      <c r="D1098" s="35">
        <f t="shared" ca="1" si="49"/>
        <v>281.0162499999999</v>
      </c>
      <c r="E1098" s="35">
        <f t="shared" ca="1" si="49"/>
        <v>780.7254999999999</v>
      </c>
      <c r="F1098" s="35">
        <f t="shared" ca="1" si="49"/>
        <v>1216.5</v>
      </c>
      <c r="G1098" s="35">
        <f t="shared" ca="1" si="49"/>
        <v>79.166666666666671</v>
      </c>
      <c r="H1098" s="35">
        <f t="shared" ca="1" si="49"/>
        <v>600</v>
      </c>
      <c r="I1098" s="35">
        <f t="shared" ca="1" si="49"/>
        <v>695</v>
      </c>
      <c r="J1098" s="35">
        <f t="shared" ca="1" si="49"/>
        <v>33.333333333333336</v>
      </c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</row>
    <row r="1099" spans="1:20" ht="15">
      <c r="A1099" s="3">
        <f t="shared" si="30"/>
        <v>2064</v>
      </c>
      <c r="B1099" s="3">
        <f t="shared" si="40"/>
        <v>366</v>
      </c>
      <c r="C1099" s="35">
        <f t="shared" ca="1" si="49"/>
        <v>154.75825</v>
      </c>
      <c r="D1099" s="35">
        <f t="shared" ca="1" si="49"/>
        <v>281.0162499999999</v>
      </c>
      <c r="E1099" s="35">
        <f t="shared" ca="1" si="49"/>
        <v>780.7254999999999</v>
      </c>
      <c r="F1099" s="35">
        <f t="shared" ca="1" si="49"/>
        <v>1216.5</v>
      </c>
      <c r="G1099" s="35">
        <f t="shared" ca="1" si="49"/>
        <v>79.166666666666671</v>
      </c>
      <c r="H1099" s="35">
        <f t="shared" ca="1" si="49"/>
        <v>600</v>
      </c>
      <c r="I1099" s="35">
        <f t="shared" ca="1" si="49"/>
        <v>695</v>
      </c>
      <c r="J1099" s="35">
        <f t="shared" ca="1" si="49"/>
        <v>33.333333333333336</v>
      </c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</row>
    <row r="1100" spans="1:20" ht="15">
      <c r="A1100" s="3">
        <f t="shared" si="30"/>
        <v>2065</v>
      </c>
      <c r="B1100" s="3">
        <f t="shared" si="40"/>
        <v>365</v>
      </c>
      <c r="C1100" s="35">
        <f t="shared" ca="1" si="49"/>
        <v>154.75825</v>
      </c>
      <c r="D1100" s="35">
        <f t="shared" ca="1" si="49"/>
        <v>281.0162499999999</v>
      </c>
      <c r="E1100" s="35">
        <f t="shared" ca="1" si="49"/>
        <v>780.7254999999999</v>
      </c>
      <c r="F1100" s="35">
        <f t="shared" ca="1" si="49"/>
        <v>1216.5</v>
      </c>
      <c r="G1100" s="35">
        <f t="shared" ca="1" si="49"/>
        <v>79.166666666666671</v>
      </c>
      <c r="H1100" s="35">
        <f t="shared" ca="1" si="49"/>
        <v>600</v>
      </c>
      <c r="I1100" s="35">
        <f t="shared" ca="1" si="49"/>
        <v>695</v>
      </c>
      <c r="J1100" s="35">
        <f t="shared" ca="1" si="49"/>
        <v>33.333333333333336</v>
      </c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</row>
    <row r="1101" spans="1:20" ht="15">
      <c r="A1101" s="3">
        <f t="shared" si="30"/>
        <v>2066</v>
      </c>
      <c r="B1101" s="3">
        <f t="shared" si="40"/>
        <v>365</v>
      </c>
      <c r="C1101" s="35">
        <f t="shared" ca="1" si="49"/>
        <v>154.75825</v>
      </c>
      <c r="D1101" s="35">
        <f t="shared" ca="1" si="49"/>
        <v>281.0162499999999</v>
      </c>
      <c r="E1101" s="35">
        <f t="shared" ca="1" si="49"/>
        <v>780.7254999999999</v>
      </c>
      <c r="F1101" s="35">
        <f t="shared" ca="1" si="49"/>
        <v>1216.5</v>
      </c>
      <c r="G1101" s="35">
        <f t="shared" ca="1" si="49"/>
        <v>79.166666666666671</v>
      </c>
      <c r="H1101" s="35">
        <f t="shared" ca="1" si="49"/>
        <v>600</v>
      </c>
      <c r="I1101" s="35">
        <f t="shared" ca="1" si="49"/>
        <v>695</v>
      </c>
      <c r="J1101" s="35">
        <f t="shared" ca="1" si="49"/>
        <v>33.333333333333336</v>
      </c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</row>
    <row r="1102" spans="1:20" ht="15">
      <c r="A1102" s="3">
        <f t="shared" si="30"/>
        <v>2067</v>
      </c>
      <c r="B1102" s="3">
        <f t="shared" si="40"/>
        <v>365</v>
      </c>
      <c r="C1102" s="35">
        <f t="shared" ca="1" si="49"/>
        <v>154.75825</v>
      </c>
      <c r="D1102" s="35">
        <f t="shared" ca="1" si="49"/>
        <v>281.0162499999999</v>
      </c>
      <c r="E1102" s="35">
        <f t="shared" ca="1" si="49"/>
        <v>780.7254999999999</v>
      </c>
      <c r="F1102" s="35">
        <f t="shared" ca="1" si="49"/>
        <v>1216.5</v>
      </c>
      <c r="G1102" s="35">
        <f t="shared" ca="1" si="49"/>
        <v>79.166666666666671</v>
      </c>
      <c r="H1102" s="35">
        <f t="shared" ca="1" si="49"/>
        <v>600</v>
      </c>
      <c r="I1102" s="35">
        <f t="shared" ca="1" si="49"/>
        <v>695</v>
      </c>
      <c r="J1102" s="35">
        <f t="shared" ca="1" si="49"/>
        <v>33.333333333333336</v>
      </c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</row>
    <row r="1103" spans="1:20" ht="15">
      <c r="A1103" s="3">
        <f t="shared" si="30"/>
        <v>2068</v>
      </c>
      <c r="B1103" s="3">
        <f t="shared" si="40"/>
        <v>366</v>
      </c>
      <c r="C1103" s="35">
        <f t="shared" ca="1" si="49"/>
        <v>154.75825</v>
      </c>
      <c r="D1103" s="35">
        <f t="shared" ca="1" si="49"/>
        <v>281.0162499999999</v>
      </c>
      <c r="E1103" s="35">
        <f t="shared" ca="1" si="49"/>
        <v>780.7254999999999</v>
      </c>
      <c r="F1103" s="35">
        <f t="shared" ca="1" si="49"/>
        <v>1216.5</v>
      </c>
      <c r="G1103" s="35">
        <f t="shared" ca="1" si="49"/>
        <v>79.166666666666671</v>
      </c>
      <c r="H1103" s="35">
        <f t="shared" ca="1" si="49"/>
        <v>600</v>
      </c>
      <c r="I1103" s="35">
        <f t="shared" ca="1" si="49"/>
        <v>695</v>
      </c>
      <c r="J1103" s="35">
        <f t="shared" ca="1" si="49"/>
        <v>33.333333333333336</v>
      </c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</row>
    <row r="1104" spans="1:20" ht="15">
      <c r="A1104" s="3">
        <f t="shared" si="30"/>
        <v>2069</v>
      </c>
      <c r="B1104" s="3">
        <f t="shared" si="40"/>
        <v>365</v>
      </c>
      <c r="C1104" s="35">
        <f t="shared" ca="1" si="49"/>
        <v>154.75825</v>
      </c>
      <c r="D1104" s="35">
        <f t="shared" ca="1" si="49"/>
        <v>281.0162499999999</v>
      </c>
      <c r="E1104" s="35">
        <f t="shared" ca="1" si="49"/>
        <v>780.7254999999999</v>
      </c>
      <c r="F1104" s="35">
        <f t="shared" ca="1" si="49"/>
        <v>1216.5</v>
      </c>
      <c r="G1104" s="35">
        <f t="shared" ca="1" si="49"/>
        <v>79.166666666666671</v>
      </c>
      <c r="H1104" s="35">
        <f t="shared" ca="1" si="49"/>
        <v>600</v>
      </c>
      <c r="I1104" s="35">
        <f t="shared" ca="1" si="49"/>
        <v>695</v>
      </c>
      <c r="J1104" s="35">
        <f t="shared" ca="1" si="49"/>
        <v>33.333333333333336</v>
      </c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</row>
    <row r="1105" spans="1:20" ht="15">
      <c r="A1105" s="3">
        <f t="shared" ref="A1105:A1135" si="50">A1104+1</f>
        <v>2070</v>
      </c>
      <c r="B1105" s="3">
        <f t="shared" si="40"/>
        <v>365</v>
      </c>
      <c r="C1105" s="35">
        <f t="shared" ca="1" si="49"/>
        <v>154.75825</v>
      </c>
      <c r="D1105" s="35">
        <f t="shared" ca="1" si="49"/>
        <v>281.0162499999999</v>
      </c>
      <c r="E1105" s="35">
        <f t="shared" ca="1" si="49"/>
        <v>780.7254999999999</v>
      </c>
      <c r="F1105" s="35">
        <f t="shared" ca="1" si="49"/>
        <v>1216.5</v>
      </c>
      <c r="G1105" s="35">
        <f t="shared" ca="1" si="49"/>
        <v>79.166666666666671</v>
      </c>
      <c r="H1105" s="35">
        <f t="shared" ca="1" si="49"/>
        <v>600</v>
      </c>
      <c r="I1105" s="35">
        <f t="shared" ca="1" si="49"/>
        <v>695</v>
      </c>
      <c r="J1105" s="35">
        <f t="shared" ca="1" si="49"/>
        <v>33.333333333333336</v>
      </c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</row>
    <row r="1106" spans="1:20" ht="15">
      <c r="A1106" s="3">
        <f t="shared" si="50"/>
        <v>2071</v>
      </c>
      <c r="B1106" s="3">
        <f t="shared" si="40"/>
        <v>365</v>
      </c>
      <c r="C1106" s="35">
        <f t="shared" ca="1" si="49"/>
        <v>154.75825</v>
      </c>
      <c r="D1106" s="35">
        <f t="shared" ca="1" si="49"/>
        <v>281.0162499999999</v>
      </c>
      <c r="E1106" s="35">
        <f t="shared" ca="1" si="49"/>
        <v>780.7254999999999</v>
      </c>
      <c r="F1106" s="35">
        <f t="shared" ca="1" si="49"/>
        <v>1216.5</v>
      </c>
      <c r="G1106" s="35">
        <f t="shared" ca="1" si="49"/>
        <v>79.166666666666671</v>
      </c>
      <c r="H1106" s="35">
        <f t="shared" ca="1" si="49"/>
        <v>600</v>
      </c>
      <c r="I1106" s="35">
        <f t="shared" ca="1" si="49"/>
        <v>695</v>
      </c>
      <c r="J1106" s="35">
        <f t="shared" ca="1" si="49"/>
        <v>33.333333333333336</v>
      </c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</row>
    <row r="1107" spans="1:20" ht="15">
      <c r="A1107" s="3">
        <f t="shared" si="50"/>
        <v>2072</v>
      </c>
      <c r="B1107" s="3">
        <f t="shared" si="40"/>
        <v>366</v>
      </c>
      <c r="C1107" s="35">
        <f t="shared" ref="C1107:J1116" ca="1" si="51">AVERAGE(OFFSET(C$581,($A1107-$A$1097)*12,0,12,1))</f>
        <v>154.75825</v>
      </c>
      <c r="D1107" s="35">
        <f t="shared" ca="1" si="51"/>
        <v>281.0162499999999</v>
      </c>
      <c r="E1107" s="35">
        <f t="shared" ca="1" si="51"/>
        <v>780.7254999999999</v>
      </c>
      <c r="F1107" s="35">
        <f t="shared" ca="1" si="51"/>
        <v>1216.5</v>
      </c>
      <c r="G1107" s="35">
        <f t="shared" ca="1" si="51"/>
        <v>79.166666666666671</v>
      </c>
      <c r="H1107" s="35">
        <f t="shared" ca="1" si="51"/>
        <v>600</v>
      </c>
      <c r="I1107" s="35">
        <f t="shared" ca="1" si="51"/>
        <v>695</v>
      </c>
      <c r="J1107" s="35">
        <f t="shared" ca="1" si="51"/>
        <v>33.333333333333336</v>
      </c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</row>
    <row r="1108" spans="1:20" ht="15">
      <c r="A1108" s="3">
        <f t="shared" si="50"/>
        <v>2073</v>
      </c>
      <c r="B1108" s="3">
        <f t="shared" si="40"/>
        <v>365</v>
      </c>
      <c r="C1108" s="35">
        <f t="shared" ca="1" si="51"/>
        <v>154.75825</v>
      </c>
      <c r="D1108" s="35">
        <f t="shared" ca="1" si="51"/>
        <v>281.0162499999999</v>
      </c>
      <c r="E1108" s="35">
        <f t="shared" ca="1" si="51"/>
        <v>780.7254999999999</v>
      </c>
      <c r="F1108" s="35">
        <f t="shared" ca="1" si="51"/>
        <v>1216.5</v>
      </c>
      <c r="G1108" s="35">
        <f t="shared" ca="1" si="51"/>
        <v>79.166666666666671</v>
      </c>
      <c r="H1108" s="35">
        <f t="shared" ca="1" si="51"/>
        <v>600</v>
      </c>
      <c r="I1108" s="35">
        <f t="shared" ca="1" si="51"/>
        <v>695</v>
      </c>
      <c r="J1108" s="35">
        <f t="shared" ca="1" si="51"/>
        <v>33.333333333333336</v>
      </c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</row>
    <row r="1109" spans="1:20" ht="15">
      <c r="A1109" s="3">
        <f t="shared" si="50"/>
        <v>2074</v>
      </c>
      <c r="B1109" s="3">
        <f t="shared" si="40"/>
        <v>365</v>
      </c>
      <c r="C1109" s="35">
        <f t="shared" ca="1" si="51"/>
        <v>154.75825</v>
      </c>
      <c r="D1109" s="35">
        <f t="shared" ca="1" si="51"/>
        <v>281.0162499999999</v>
      </c>
      <c r="E1109" s="35">
        <f t="shared" ca="1" si="51"/>
        <v>780.7254999999999</v>
      </c>
      <c r="F1109" s="35">
        <f t="shared" ca="1" si="51"/>
        <v>1216.5</v>
      </c>
      <c r="G1109" s="35">
        <f t="shared" ca="1" si="51"/>
        <v>79.166666666666671</v>
      </c>
      <c r="H1109" s="35">
        <f t="shared" ca="1" si="51"/>
        <v>600</v>
      </c>
      <c r="I1109" s="35">
        <f t="shared" ca="1" si="51"/>
        <v>695</v>
      </c>
      <c r="J1109" s="35">
        <f t="shared" ca="1" si="51"/>
        <v>33.333333333333336</v>
      </c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</row>
    <row r="1110" spans="1:20" ht="15">
      <c r="A1110" s="3">
        <f t="shared" si="50"/>
        <v>2075</v>
      </c>
      <c r="B1110" s="3">
        <f t="shared" si="40"/>
        <v>365</v>
      </c>
      <c r="C1110" s="35">
        <f t="shared" ca="1" si="51"/>
        <v>154.75825</v>
      </c>
      <c r="D1110" s="35">
        <f t="shared" ca="1" si="51"/>
        <v>281.0162499999999</v>
      </c>
      <c r="E1110" s="35">
        <f t="shared" ca="1" si="51"/>
        <v>780.7254999999999</v>
      </c>
      <c r="F1110" s="35">
        <f t="shared" ca="1" si="51"/>
        <v>1216.5</v>
      </c>
      <c r="G1110" s="35">
        <f t="shared" ca="1" si="51"/>
        <v>79.166666666666671</v>
      </c>
      <c r="H1110" s="35">
        <f t="shared" ca="1" si="51"/>
        <v>600</v>
      </c>
      <c r="I1110" s="35">
        <f t="shared" ca="1" si="51"/>
        <v>695</v>
      </c>
      <c r="J1110" s="35">
        <f t="shared" ca="1" si="51"/>
        <v>33.333333333333336</v>
      </c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</row>
    <row r="1111" spans="1:20" ht="15">
      <c r="A1111" s="3">
        <f t="shared" si="50"/>
        <v>2076</v>
      </c>
      <c r="B1111" s="3">
        <f t="shared" si="40"/>
        <v>366</v>
      </c>
      <c r="C1111" s="35">
        <f t="shared" ca="1" si="51"/>
        <v>154.75825</v>
      </c>
      <c r="D1111" s="35">
        <f t="shared" ca="1" si="51"/>
        <v>281.0162499999999</v>
      </c>
      <c r="E1111" s="35">
        <f t="shared" ca="1" si="51"/>
        <v>780.7254999999999</v>
      </c>
      <c r="F1111" s="35">
        <f t="shared" ca="1" si="51"/>
        <v>1216.5</v>
      </c>
      <c r="G1111" s="35">
        <f t="shared" ca="1" si="51"/>
        <v>79.166666666666671</v>
      </c>
      <c r="H1111" s="35">
        <f t="shared" ca="1" si="51"/>
        <v>600</v>
      </c>
      <c r="I1111" s="35">
        <f t="shared" ca="1" si="51"/>
        <v>695</v>
      </c>
      <c r="J1111" s="35">
        <f t="shared" ca="1" si="51"/>
        <v>33.333333333333336</v>
      </c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</row>
    <row r="1112" spans="1:20" ht="15">
      <c r="A1112" s="3">
        <f t="shared" si="50"/>
        <v>2077</v>
      </c>
      <c r="B1112" s="3">
        <f t="shared" si="40"/>
        <v>365</v>
      </c>
      <c r="C1112" s="35">
        <f t="shared" ca="1" si="51"/>
        <v>154.75825</v>
      </c>
      <c r="D1112" s="35">
        <f t="shared" ca="1" si="51"/>
        <v>281.0162499999999</v>
      </c>
      <c r="E1112" s="35">
        <f t="shared" ca="1" si="51"/>
        <v>780.7254999999999</v>
      </c>
      <c r="F1112" s="35">
        <f t="shared" ca="1" si="51"/>
        <v>1216.5</v>
      </c>
      <c r="G1112" s="35">
        <f t="shared" ca="1" si="51"/>
        <v>79.166666666666671</v>
      </c>
      <c r="H1112" s="35">
        <f t="shared" ca="1" si="51"/>
        <v>600</v>
      </c>
      <c r="I1112" s="35">
        <f t="shared" ca="1" si="51"/>
        <v>695</v>
      </c>
      <c r="J1112" s="35">
        <f t="shared" ca="1" si="51"/>
        <v>33.333333333333336</v>
      </c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</row>
    <row r="1113" spans="1:20" ht="15">
      <c r="A1113" s="3">
        <f t="shared" si="50"/>
        <v>2078</v>
      </c>
      <c r="B1113" s="3">
        <f t="shared" si="40"/>
        <v>365</v>
      </c>
      <c r="C1113" s="35">
        <f t="shared" ca="1" si="51"/>
        <v>154.75825</v>
      </c>
      <c r="D1113" s="35">
        <f t="shared" ca="1" si="51"/>
        <v>281.0162499999999</v>
      </c>
      <c r="E1113" s="35">
        <f t="shared" ca="1" si="51"/>
        <v>780.7254999999999</v>
      </c>
      <c r="F1113" s="35">
        <f t="shared" ca="1" si="51"/>
        <v>1216.5</v>
      </c>
      <c r="G1113" s="35">
        <f t="shared" ca="1" si="51"/>
        <v>79.166666666666671</v>
      </c>
      <c r="H1113" s="35">
        <f t="shared" ca="1" si="51"/>
        <v>600</v>
      </c>
      <c r="I1113" s="35">
        <f t="shared" ca="1" si="51"/>
        <v>695</v>
      </c>
      <c r="J1113" s="35">
        <f t="shared" ca="1" si="51"/>
        <v>33.333333333333336</v>
      </c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</row>
    <row r="1114" spans="1:20" ht="15">
      <c r="A1114" s="3">
        <f t="shared" si="50"/>
        <v>2079</v>
      </c>
      <c r="B1114" s="3">
        <f t="shared" ref="B1114:B1135" si="52">DATE(A1114+1,1,1)-DATE(A1114,1,1)</f>
        <v>365</v>
      </c>
      <c r="C1114" s="35">
        <f t="shared" ca="1" si="51"/>
        <v>154.75825</v>
      </c>
      <c r="D1114" s="35">
        <f t="shared" ca="1" si="51"/>
        <v>281.0162499999999</v>
      </c>
      <c r="E1114" s="35">
        <f t="shared" ca="1" si="51"/>
        <v>780.7254999999999</v>
      </c>
      <c r="F1114" s="35">
        <f t="shared" ca="1" si="51"/>
        <v>1216.5</v>
      </c>
      <c r="G1114" s="35">
        <f t="shared" ca="1" si="51"/>
        <v>79.166666666666671</v>
      </c>
      <c r="H1114" s="35">
        <f t="shared" ca="1" si="51"/>
        <v>600</v>
      </c>
      <c r="I1114" s="35">
        <f t="shared" ca="1" si="51"/>
        <v>695</v>
      </c>
      <c r="J1114" s="35">
        <f t="shared" ca="1" si="51"/>
        <v>33.333333333333336</v>
      </c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</row>
    <row r="1115" spans="1:20" ht="15">
      <c r="A1115" s="3">
        <f t="shared" si="50"/>
        <v>2080</v>
      </c>
      <c r="B1115" s="3">
        <f t="shared" si="52"/>
        <v>366</v>
      </c>
      <c r="C1115" s="35">
        <f t="shared" ca="1" si="51"/>
        <v>154.75825</v>
      </c>
      <c r="D1115" s="35">
        <f t="shared" ca="1" si="51"/>
        <v>281.0162499999999</v>
      </c>
      <c r="E1115" s="35">
        <f t="shared" ca="1" si="51"/>
        <v>780.7254999999999</v>
      </c>
      <c r="F1115" s="35">
        <f t="shared" ca="1" si="51"/>
        <v>1216.5</v>
      </c>
      <c r="G1115" s="35">
        <f t="shared" ca="1" si="51"/>
        <v>79.166666666666671</v>
      </c>
      <c r="H1115" s="35">
        <f t="shared" ca="1" si="51"/>
        <v>600</v>
      </c>
      <c r="I1115" s="35">
        <f t="shared" ca="1" si="51"/>
        <v>695</v>
      </c>
      <c r="J1115" s="35">
        <f t="shared" ca="1" si="51"/>
        <v>33.333333333333336</v>
      </c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</row>
    <row r="1116" spans="1:20" ht="15">
      <c r="A1116" s="3">
        <f t="shared" si="50"/>
        <v>2081</v>
      </c>
      <c r="B1116" s="3">
        <f t="shared" si="52"/>
        <v>365</v>
      </c>
      <c r="C1116" s="35">
        <f t="shared" ca="1" si="51"/>
        <v>154.75825</v>
      </c>
      <c r="D1116" s="35">
        <f t="shared" ca="1" si="51"/>
        <v>281.0162499999999</v>
      </c>
      <c r="E1116" s="35">
        <f t="shared" ca="1" si="51"/>
        <v>780.7254999999999</v>
      </c>
      <c r="F1116" s="35">
        <f t="shared" ca="1" si="51"/>
        <v>1216.5</v>
      </c>
      <c r="G1116" s="35">
        <f t="shared" ca="1" si="51"/>
        <v>79.166666666666671</v>
      </c>
      <c r="H1116" s="35">
        <f t="shared" ca="1" si="51"/>
        <v>600</v>
      </c>
      <c r="I1116" s="35">
        <f t="shared" ca="1" si="51"/>
        <v>695</v>
      </c>
      <c r="J1116" s="35">
        <f t="shared" ca="1" si="51"/>
        <v>33.333333333333336</v>
      </c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</row>
    <row r="1117" spans="1:20" ht="15">
      <c r="A1117" s="3">
        <f t="shared" si="50"/>
        <v>2082</v>
      </c>
      <c r="B1117" s="3">
        <f t="shared" si="52"/>
        <v>365</v>
      </c>
      <c r="C1117" s="35">
        <f t="shared" ref="C1117:J1126" ca="1" si="53">AVERAGE(OFFSET(C$581,($A1117-$A$1097)*12,0,12,1))</f>
        <v>154.75825</v>
      </c>
      <c r="D1117" s="35">
        <f t="shared" ca="1" si="53"/>
        <v>281.0162499999999</v>
      </c>
      <c r="E1117" s="35">
        <f t="shared" ca="1" si="53"/>
        <v>780.7254999999999</v>
      </c>
      <c r="F1117" s="35">
        <f t="shared" ca="1" si="53"/>
        <v>1216.5</v>
      </c>
      <c r="G1117" s="35">
        <f t="shared" ca="1" si="53"/>
        <v>79.166666666666671</v>
      </c>
      <c r="H1117" s="35">
        <f t="shared" ca="1" si="53"/>
        <v>600</v>
      </c>
      <c r="I1117" s="35">
        <f t="shared" ca="1" si="53"/>
        <v>695</v>
      </c>
      <c r="J1117" s="35">
        <f t="shared" ca="1" si="53"/>
        <v>33.333333333333336</v>
      </c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</row>
    <row r="1118" spans="1:20" ht="15">
      <c r="A1118" s="3">
        <f t="shared" si="50"/>
        <v>2083</v>
      </c>
      <c r="B1118" s="3">
        <f t="shared" si="52"/>
        <v>365</v>
      </c>
      <c r="C1118" s="35">
        <f t="shared" ca="1" si="53"/>
        <v>154.75825</v>
      </c>
      <c r="D1118" s="35">
        <f t="shared" ca="1" si="53"/>
        <v>281.0162499999999</v>
      </c>
      <c r="E1118" s="35">
        <f t="shared" ca="1" si="53"/>
        <v>780.7254999999999</v>
      </c>
      <c r="F1118" s="35">
        <f t="shared" ca="1" si="53"/>
        <v>1216.5</v>
      </c>
      <c r="G1118" s="35">
        <f t="shared" ca="1" si="53"/>
        <v>79.166666666666671</v>
      </c>
      <c r="H1118" s="35">
        <f t="shared" ca="1" si="53"/>
        <v>600</v>
      </c>
      <c r="I1118" s="35">
        <f t="shared" ca="1" si="53"/>
        <v>695</v>
      </c>
      <c r="J1118" s="35">
        <f t="shared" ca="1" si="53"/>
        <v>33.333333333333336</v>
      </c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</row>
    <row r="1119" spans="1:20" ht="15">
      <c r="A1119" s="3">
        <f t="shared" si="50"/>
        <v>2084</v>
      </c>
      <c r="B1119" s="3">
        <f t="shared" si="52"/>
        <v>366</v>
      </c>
      <c r="C1119" s="35">
        <f t="shared" ca="1" si="53"/>
        <v>154.75825</v>
      </c>
      <c r="D1119" s="35">
        <f t="shared" ca="1" si="53"/>
        <v>281.0162499999999</v>
      </c>
      <c r="E1119" s="35">
        <f t="shared" ca="1" si="53"/>
        <v>780.7254999999999</v>
      </c>
      <c r="F1119" s="35">
        <f t="shared" ca="1" si="53"/>
        <v>1216.5</v>
      </c>
      <c r="G1119" s="35">
        <f t="shared" ca="1" si="53"/>
        <v>79.166666666666671</v>
      </c>
      <c r="H1119" s="35">
        <f t="shared" ca="1" si="53"/>
        <v>600</v>
      </c>
      <c r="I1119" s="35">
        <f t="shared" ca="1" si="53"/>
        <v>695</v>
      </c>
      <c r="J1119" s="35">
        <f t="shared" ca="1" si="53"/>
        <v>33.333333333333336</v>
      </c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</row>
    <row r="1120" spans="1:20" ht="15">
      <c r="A1120" s="3">
        <f t="shared" si="50"/>
        <v>2085</v>
      </c>
      <c r="B1120" s="3">
        <f t="shared" si="52"/>
        <v>365</v>
      </c>
      <c r="C1120" s="35">
        <f t="shared" ca="1" si="53"/>
        <v>154.75825</v>
      </c>
      <c r="D1120" s="35">
        <f t="shared" ca="1" si="53"/>
        <v>281.0162499999999</v>
      </c>
      <c r="E1120" s="35">
        <f t="shared" ca="1" si="53"/>
        <v>780.7254999999999</v>
      </c>
      <c r="F1120" s="35">
        <f t="shared" ca="1" si="53"/>
        <v>1216.5</v>
      </c>
      <c r="G1120" s="35">
        <f t="shared" ca="1" si="53"/>
        <v>79.166666666666671</v>
      </c>
      <c r="H1120" s="35">
        <f t="shared" ca="1" si="53"/>
        <v>600</v>
      </c>
      <c r="I1120" s="35">
        <f t="shared" ca="1" si="53"/>
        <v>695</v>
      </c>
      <c r="J1120" s="35">
        <f t="shared" ca="1" si="53"/>
        <v>33.333333333333336</v>
      </c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</row>
    <row r="1121" spans="1:20" ht="15">
      <c r="A1121" s="3">
        <f t="shared" si="50"/>
        <v>2086</v>
      </c>
      <c r="B1121" s="3">
        <f t="shared" si="52"/>
        <v>365</v>
      </c>
      <c r="C1121" s="35">
        <f t="shared" ca="1" si="53"/>
        <v>154.75825</v>
      </c>
      <c r="D1121" s="35">
        <f t="shared" ca="1" si="53"/>
        <v>281.0162499999999</v>
      </c>
      <c r="E1121" s="35">
        <f t="shared" ca="1" si="53"/>
        <v>780.7254999999999</v>
      </c>
      <c r="F1121" s="35">
        <f t="shared" ca="1" si="53"/>
        <v>1216.5</v>
      </c>
      <c r="G1121" s="35">
        <f t="shared" ca="1" si="53"/>
        <v>79.166666666666671</v>
      </c>
      <c r="H1121" s="35">
        <f t="shared" ca="1" si="53"/>
        <v>600</v>
      </c>
      <c r="I1121" s="35">
        <f t="shared" ca="1" si="53"/>
        <v>695</v>
      </c>
      <c r="J1121" s="35">
        <f t="shared" ca="1" si="53"/>
        <v>33.333333333333336</v>
      </c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</row>
    <row r="1122" spans="1:20" ht="15">
      <c r="A1122" s="3">
        <f t="shared" si="50"/>
        <v>2087</v>
      </c>
      <c r="B1122" s="3">
        <f t="shared" si="52"/>
        <v>365</v>
      </c>
      <c r="C1122" s="35">
        <f t="shared" ca="1" si="53"/>
        <v>154.75825</v>
      </c>
      <c r="D1122" s="35">
        <f t="shared" ca="1" si="53"/>
        <v>281.0162499999999</v>
      </c>
      <c r="E1122" s="35">
        <f t="shared" ca="1" si="53"/>
        <v>780.7254999999999</v>
      </c>
      <c r="F1122" s="35">
        <f t="shared" ca="1" si="53"/>
        <v>1216.5</v>
      </c>
      <c r="G1122" s="35">
        <f t="shared" ca="1" si="53"/>
        <v>79.166666666666671</v>
      </c>
      <c r="H1122" s="35">
        <f t="shared" ca="1" si="53"/>
        <v>600</v>
      </c>
      <c r="I1122" s="35">
        <f t="shared" ca="1" si="53"/>
        <v>695</v>
      </c>
      <c r="J1122" s="35">
        <f t="shared" ca="1" si="53"/>
        <v>33.333333333333336</v>
      </c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</row>
    <row r="1123" spans="1:20" ht="15">
      <c r="A1123" s="3">
        <f t="shared" si="50"/>
        <v>2088</v>
      </c>
      <c r="B1123" s="3">
        <f t="shared" si="52"/>
        <v>366</v>
      </c>
      <c r="C1123" s="35">
        <f t="shared" ca="1" si="53"/>
        <v>154.75825</v>
      </c>
      <c r="D1123" s="35">
        <f t="shared" ca="1" si="53"/>
        <v>281.0162499999999</v>
      </c>
      <c r="E1123" s="35">
        <f t="shared" ca="1" si="53"/>
        <v>780.7254999999999</v>
      </c>
      <c r="F1123" s="35">
        <f t="shared" ca="1" si="53"/>
        <v>1216.5</v>
      </c>
      <c r="G1123" s="35">
        <f t="shared" ca="1" si="53"/>
        <v>79.166666666666671</v>
      </c>
      <c r="H1123" s="35">
        <f t="shared" ca="1" si="53"/>
        <v>600</v>
      </c>
      <c r="I1123" s="35">
        <f t="shared" ca="1" si="53"/>
        <v>695</v>
      </c>
      <c r="J1123" s="35">
        <f t="shared" ca="1" si="53"/>
        <v>33.333333333333336</v>
      </c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</row>
    <row r="1124" spans="1:20" ht="15">
      <c r="A1124" s="3">
        <f t="shared" si="50"/>
        <v>2089</v>
      </c>
      <c r="B1124" s="3">
        <f t="shared" si="52"/>
        <v>365</v>
      </c>
      <c r="C1124" s="35">
        <f t="shared" ca="1" si="53"/>
        <v>154.75825</v>
      </c>
      <c r="D1124" s="35">
        <f t="shared" ca="1" si="53"/>
        <v>281.0162499999999</v>
      </c>
      <c r="E1124" s="35">
        <f t="shared" ca="1" si="53"/>
        <v>780.7254999999999</v>
      </c>
      <c r="F1124" s="35">
        <f t="shared" ca="1" si="53"/>
        <v>1216.5</v>
      </c>
      <c r="G1124" s="35">
        <f t="shared" ca="1" si="53"/>
        <v>79.166666666666671</v>
      </c>
      <c r="H1124" s="35">
        <f t="shared" ca="1" si="53"/>
        <v>600</v>
      </c>
      <c r="I1124" s="35">
        <f t="shared" ca="1" si="53"/>
        <v>695</v>
      </c>
      <c r="J1124" s="35">
        <f t="shared" ca="1" si="53"/>
        <v>33.333333333333336</v>
      </c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</row>
    <row r="1125" spans="1:20" ht="15">
      <c r="A1125" s="3">
        <f t="shared" si="50"/>
        <v>2090</v>
      </c>
      <c r="B1125" s="3">
        <f t="shared" si="52"/>
        <v>365</v>
      </c>
      <c r="C1125" s="35">
        <f t="shared" ca="1" si="53"/>
        <v>154.75825</v>
      </c>
      <c r="D1125" s="35">
        <f t="shared" ca="1" si="53"/>
        <v>281.0162499999999</v>
      </c>
      <c r="E1125" s="35">
        <f t="shared" ca="1" si="53"/>
        <v>780.7254999999999</v>
      </c>
      <c r="F1125" s="35">
        <f t="shared" ca="1" si="53"/>
        <v>1216.5</v>
      </c>
      <c r="G1125" s="35">
        <f t="shared" ca="1" si="53"/>
        <v>79.166666666666671</v>
      </c>
      <c r="H1125" s="35">
        <f t="shared" ca="1" si="53"/>
        <v>600</v>
      </c>
      <c r="I1125" s="35">
        <f t="shared" ca="1" si="53"/>
        <v>695</v>
      </c>
      <c r="J1125" s="35">
        <f t="shared" ca="1" si="53"/>
        <v>33.333333333333336</v>
      </c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</row>
    <row r="1126" spans="1:20" ht="15">
      <c r="A1126" s="3">
        <f t="shared" si="50"/>
        <v>2091</v>
      </c>
      <c r="B1126" s="3">
        <f t="shared" si="52"/>
        <v>365</v>
      </c>
      <c r="C1126" s="35">
        <f t="shared" ca="1" si="53"/>
        <v>154.75825</v>
      </c>
      <c r="D1126" s="35">
        <f t="shared" ca="1" si="53"/>
        <v>281.0162499999999</v>
      </c>
      <c r="E1126" s="35">
        <f t="shared" ca="1" si="53"/>
        <v>780.7254999999999</v>
      </c>
      <c r="F1126" s="35">
        <f t="shared" ca="1" si="53"/>
        <v>1216.5</v>
      </c>
      <c r="G1126" s="35">
        <f t="shared" ca="1" si="53"/>
        <v>79.166666666666671</v>
      </c>
      <c r="H1126" s="35">
        <f t="shared" ca="1" si="53"/>
        <v>600</v>
      </c>
      <c r="I1126" s="35">
        <f t="shared" ca="1" si="53"/>
        <v>695</v>
      </c>
      <c r="J1126" s="35">
        <f t="shared" ca="1" si="53"/>
        <v>33.333333333333336</v>
      </c>
    </row>
    <row r="1127" spans="1:20" ht="15">
      <c r="A1127" s="3">
        <f t="shared" si="50"/>
        <v>2092</v>
      </c>
      <c r="B1127" s="3">
        <f t="shared" si="52"/>
        <v>366</v>
      </c>
      <c r="C1127" s="35">
        <f t="shared" ref="C1127:J1135" ca="1" si="54">AVERAGE(OFFSET(C$581,($A1127-$A$1097)*12,0,12,1))</f>
        <v>154.75825</v>
      </c>
      <c r="D1127" s="35">
        <f t="shared" ca="1" si="54"/>
        <v>281.0162499999999</v>
      </c>
      <c r="E1127" s="35">
        <f t="shared" ca="1" si="54"/>
        <v>780.7254999999999</v>
      </c>
      <c r="F1127" s="35">
        <f t="shared" ca="1" si="54"/>
        <v>1216.5</v>
      </c>
      <c r="G1127" s="35">
        <f t="shared" ca="1" si="54"/>
        <v>79.166666666666671</v>
      </c>
      <c r="H1127" s="35">
        <f t="shared" ca="1" si="54"/>
        <v>600</v>
      </c>
      <c r="I1127" s="35">
        <f t="shared" ca="1" si="54"/>
        <v>695</v>
      </c>
      <c r="J1127" s="35">
        <f t="shared" ca="1" si="54"/>
        <v>33.333333333333336</v>
      </c>
    </row>
    <row r="1128" spans="1:20" ht="15">
      <c r="A1128" s="3">
        <f t="shared" si="50"/>
        <v>2093</v>
      </c>
      <c r="B1128" s="3">
        <f t="shared" si="52"/>
        <v>365</v>
      </c>
      <c r="C1128" s="35">
        <f t="shared" ca="1" si="54"/>
        <v>154.75825</v>
      </c>
      <c r="D1128" s="35">
        <f t="shared" ca="1" si="54"/>
        <v>281.0162499999999</v>
      </c>
      <c r="E1128" s="35">
        <f t="shared" ca="1" si="54"/>
        <v>780.7254999999999</v>
      </c>
      <c r="F1128" s="35">
        <f t="shared" ca="1" si="54"/>
        <v>1216.5</v>
      </c>
      <c r="G1128" s="35">
        <f t="shared" ca="1" si="54"/>
        <v>79.166666666666671</v>
      </c>
      <c r="H1128" s="35">
        <f t="shared" ca="1" si="54"/>
        <v>600</v>
      </c>
      <c r="I1128" s="35">
        <f t="shared" ca="1" si="54"/>
        <v>695</v>
      </c>
      <c r="J1128" s="35">
        <f t="shared" ca="1" si="54"/>
        <v>33.333333333333336</v>
      </c>
    </row>
    <row r="1129" spans="1:20" ht="15">
      <c r="A1129" s="3">
        <f t="shared" si="50"/>
        <v>2094</v>
      </c>
      <c r="B1129" s="3">
        <f t="shared" si="52"/>
        <v>365</v>
      </c>
      <c r="C1129" s="35">
        <f t="shared" ca="1" si="54"/>
        <v>154.75825</v>
      </c>
      <c r="D1129" s="35">
        <f t="shared" ca="1" si="54"/>
        <v>281.0162499999999</v>
      </c>
      <c r="E1129" s="35">
        <f t="shared" ca="1" si="54"/>
        <v>780.7254999999999</v>
      </c>
      <c r="F1129" s="35">
        <f t="shared" ca="1" si="54"/>
        <v>1216.5</v>
      </c>
      <c r="G1129" s="35">
        <f t="shared" ca="1" si="54"/>
        <v>79.166666666666671</v>
      </c>
      <c r="H1129" s="35">
        <f t="shared" ca="1" si="54"/>
        <v>600</v>
      </c>
      <c r="I1129" s="35">
        <f t="shared" ca="1" si="54"/>
        <v>695</v>
      </c>
      <c r="J1129" s="35">
        <f t="shared" ca="1" si="54"/>
        <v>33.333333333333336</v>
      </c>
    </row>
    <row r="1130" spans="1:20" ht="15">
      <c r="A1130" s="3">
        <f t="shared" si="50"/>
        <v>2095</v>
      </c>
      <c r="B1130" s="3">
        <f t="shared" si="52"/>
        <v>365</v>
      </c>
      <c r="C1130" s="35">
        <f t="shared" ca="1" si="54"/>
        <v>154.75825</v>
      </c>
      <c r="D1130" s="35">
        <f t="shared" ca="1" si="54"/>
        <v>281.0162499999999</v>
      </c>
      <c r="E1130" s="35">
        <f t="shared" ca="1" si="54"/>
        <v>780.7254999999999</v>
      </c>
      <c r="F1130" s="35">
        <f t="shared" ca="1" si="54"/>
        <v>1216.5</v>
      </c>
      <c r="G1130" s="35">
        <f t="shared" ca="1" si="54"/>
        <v>79.166666666666671</v>
      </c>
      <c r="H1130" s="35">
        <f t="shared" ca="1" si="54"/>
        <v>600</v>
      </c>
      <c r="I1130" s="35">
        <f t="shared" ca="1" si="54"/>
        <v>695</v>
      </c>
      <c r="J1130" s="35">
        <f t="shared" ca="1" si="54"/>
        <v>33.333333333333336</v>
      </c>
    </row>
    <row r="1131" spans="1:20" ht="15">
      <c r="A1131" s="3">
        <f t="shared" si="50"/>
        <v>2096</v>
      </c>
      <c r="B1131" s="3">
        <f t="shared" si="52"/>
        <v>366</v>
      </c>
      <c r="C1131" s="35">
        <f t="shared" ca="1" si="54"/>
        <v>154.75825</v>
      </c>
      <c r="D1131" s="35">
        <f t="shared" ca="1" si="54"/>
        <v>281.0162499999999</v>
      </c>
      <c r="E1131" s="35">
        <f t="shared" ca="1" si="54"/>
        <v>780.7254999999999</v>
      </c>
      <c r="F1131" s="35">
        <f t="shared" ca="1" si="54"/>
        <v>1216.5</v>
      </c>
      <c r="G1131" s="35">
        <f t="shared" ca="1" si="54"/>
        <v>79.166666666666671</v>
      </c>
      <c r="H1131" s="35">
        <f t="shared" ca="1" si="54"/>
        <v>600</v>
      </c>
      <c r="I1131" s="35">
        <f t="shared" ca="1" si="54"/>
        <v>695</v>
      </c>
      <c r="J1131" s="35">
        <f t="shared" ca="1" si="54"/>
        <v>33.333333333333336</v>
      </c>
    </row>
    <row r="1132" spans="1:20" ht="15">
      <c r="A1132" s="3">
        <f t="shared" si="50"/>
        <v>2097</v>
      </c>
      <c r="B1132" s="3">
        <f t="shared" si="52"/>
        <v>365</v>
      </c>
      <c r="C1132" s="35">
        <f t="shared" ca="1" si="54"/>
        <v>154.75825</v>
      </c>
      <c r="D1132" s="35">
        <f t="shared" ca="1" si="54"/>
        <v>281.0162499999999</v>
      </c>
      <c r="E1132" s="35">
        <f t="shared" ca="1" si="54"/>
        <v>780.7254999999999</v>
      </c>
      <c r="F1132" s="35">
        <f t="shared" ca="1" si="54"/>
        <v>1216.5</v>
      </c>
      <c r="G1132" s="35">
        <f t="shared" ca="1" si="54"/>
        <v>79.166666666666671</v>
      </c>
      <c r="H1132" s="35">
        <f t="shared" ca="1" si="54"/>
        <v>600</v>
      </c>
      <c r="I1132" s="35">
        <f t="shared" ca="1" si="54"/>
        <v>695</v>
      </c>
      <c r="J1132" s="35">
        <f t="shared" ca="1" si="54"/>
        <v>33.333333333333336</v>
      </c>
    </row>
    <row r="1133" spans="1:20" ht="15">
      <c r="A1133" s="3">
        <f t="shared" si="50"/>
        <v>2098</v>
      </c>
      <c r="B1133" s="3">
        <f t="shared" si="52"/>
        <v>365</v>
      </c>
      <c r="C1133" s="35">
        <f t="shared" ca="1" si="54"/>
        <v>154.75825</v>
      </c>
      <c r="D1133" s="35">
        <f t="shared" ca="1" si="54"/>
        <v>281.0162499999999</v>
      </c>
      <c r="E1133" s="35">
        <f t="shared" ca="1" si="54"/>
        <v>780.7254999999999</v>
      </c>
      <c r="F1133" s="35">
        <f t="shared" ca="1" si="54"/>
        <v>1216.5</v>
      </c>
      <c r="G1133" s="35">
        <f t="shared" ca="1" si="54"/>
        <v>79.166666666666671</v>
      </c>
      <c r="H1133" s="35">
        <f t="shared" ca="1" si="54"/>
        <v>600</v>
      </c>
      <c r="I1133" s="35">
        <f t="shared" ca="1" si="54"/>
        <v>695</v>
      </c>
      <c r="J1133" s="35">
        <f t="shared" ca="1" si="54"/>
        <v>33.333333333333336</v>
      </c>
    </row>
    <row r="1134" spans="1:20" ht="15">
      <c r="A1134" s="3">
        <f t="shared" si="50"/>
        <v>2099</v>
      </c>
      <c r="B1134" s="3">
        <f t="shared" si="52"/>
        <v>365</v>
      </c>
      <c r="C1134" s="35">
        <f t="shared" ca="1" si="54"/>
        <v>154.75825</v>
      </c>
      <c r="D1134" s="35">
        <f t="shared" ca="1" si="54"/>
        <v>281.0162499999999</v>
      </c>
      <c r="E1134" s="35">
        <f t="shared" ca="1" si="54"/>
        <v>780.7254999999999</v>
      </c>
      <c r="F1134" s="35">
        <f t="shared" ca="1" si="54"/>
        <v>1216.5</v>
      </c>
      <c r="G1134" s="35">
        <f t="shared" ca="1" si="54"/>
        <v>79.166666666666671</v>
      </c>
      <c r="H1134" s="35">
        <f t="shared" ca="1" si="54"/>
        <v>600</v>
      </c>
      <c r="I1134" s="35">
        <f t="shared" ca="1" si="54"/>
        <v>695</v>
      </c>
      <c r="J1134" s="35">
        <f t="shared" ca="1" si="54"/>
        <v>33.333333333333336</v>
      </c>
    </row>
    <row r="1135" spans="1:20" ht="15">
      <c r="A1135" s="3">
        <f t="shared" si="50"/>
        <v>2100</v>
      </c>
      <c r="B1135" s="3">
        <f t="shared" si="52"/>
        <v>365</v>
      </c>
      <c r="C1135" s="35">
        <f t="shared" ca="1" si="54"/>
        <v>154.75825</v>
      </c>
      <c r="D1135" s="35">
        <f t="shared" ca="1" si="54"/>
        <v>281.0162499999999</v>
      </c>
      <c r="E1135" s="35">
        <f t="shared" ca="1" si="54"/>
        <v>780.7254999999999</v>
      </c>
      <c r="F1135" s="35">
        <f t="shared" ca="1" si="54"/>
        <v>1216.5</v>
      </c>
      <c r="G1135" s="35">
        <f t="shared" ca="1" si="54"/>
        <v>79.166666666666671</v>
      </c>
      <c r="H1135" s="35">
        <f t="shared" ca="1" si="54"/>
        <v>600</v>
      </c>
      <c r="I1135" s="35">
        <f t="shared" ca="1" si="54"/>
        <v>695</v>
      </c>
      <c r="J1135" s="35">
        <f t="shared" ca="1" si="54"/>
        <v>33.333333333333336</v>
      </c>
    </row>
    <row r="1136" spans="1:20">
      <c r="A1136" s="32"/>
      <c r="B1136" s="32"/>
      <c r="C1136" s="34"/>
      <c r="D1136" s="34"/>
      <c r="E1136" s="34"/>
      <c r="F1136" s="34"/>
      <c r="G1136" s="34"/>
    </row>
    <row r="1137" spans="1:2">
      <c r="A1137" s="32"/>
      <c r="B1137" s="32"/>
    </row>
    <row r="1138" spans="1:2">
      <c r="A1138" s="32"/>
      <c r="B1138" s="32"/>
    </row>
    <row r="1139" spans="1:2">
      <c r="A1139" s="32"/>
      <c r="B1139" s="32"/>
    </row>
    <row r="1140" spans="1:2">
      <c r="A1140" s="32"/>
      <c r="B1140" s="32"/>
    </row>
    <row r="1141" spans="1:2">
      <c r="A1141" s="32"/>
      <c r="B1141" s="32"/>
    </row>
    <row r="1142" spans="1:2">
      <c r="A1142" s="32"/>
      <c r="B1142" s="32"/>
    </row>
    <row r="1143" spans="1:2">
      <c r="A1143" s="32"/>
      <c r="B1143" s="32"/>
    </row>
    <row r="1144" spans="1:2">
      <c r="A1144" s="32"/>
      <c r="B1144" s="32"/>
    </row>
    <row r="1145" spans="1:2">
      <c r="A1145" s="32"/>
      <c r="B1145" s="32"/>
    </row>
    <row r="1146" spans="1:2">
      <c r="A1146" s="32"/>
      <c r="B1146" s="32"/>
    </row>
    <row r="1147" spans="1:2">
      <c r="A1147" s="32"/>
      <c r="B1147" s="32"/>
    </row>
    <row r="1148" spans="1:2">
      <c r="A1148" s="32"/>
      <c r="B1148" s="32"/>
    </row>
    <row r="1149" spans="1:2">
      <c r="A1149" s="32"/>
      <c r="B1149" s="32"/>
    </row>
    <row r="1150" spans="1:2">
      <c r="A1150" s="32"/>
      <c r="B1150" s="32"/>
    </row>
    <row r="1151" spans="1:2">
      <c r="A1151" s="32"/>
      <c r="B1151" s="32"/>
    </row>
    <row r="1152" spans="1:2">
      <c r="A1152" s="32"/>
      <c r="B1152" s="32"/>
    </row>
    <row r="1153" spans="1:2">
      <c r="A1153" s="32"/>
      <c r="B1153" s="32"/>
    </row>
    <row r="1154" spans="1:2">
      <c r="A1154" s="32"/>
      <c r="B1154" s="32"/>
    </row>
    <row r="1155" spans="1:2">
      <c r="A1155" s="32"/>
      <c r="B1155" s="32"/>
    </row>
  </sheetData>
  <mergeCells count="1">
    <mergeCell ref="C14:E14"/>
  </mergeCells>
  <pageMargins left="0.25" right="0.25" top="0.5" bottom="0.5" header="0.25" footer="0.25"/>
  <pageSetup scale="75" orientation="portrait" horizontalDpi="1200" verticalDpi="1200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55"/>
  <sheetViews>
    <sheetView zoomScale="70" zoomScaleNormal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10" style="33" customWidth="1"/>
    <col min="3" max="3" width="12" style="33" customWidth="1"/>
    <col min="4" max="4" width="12.109375" style="33" bestFit="1" customWidth="1"/>
    <col min="5" max="5" width="10.109375" style="33" bestFit="1" customWidth="1"/>
    <col min="6" max="16384" width="7.109375" style="32"/>
  </cols>
  <sheetData>
    <row r="1" spans="1:7" ht="15.75">
      <c r="A1" s="84" t="s">
        <v>64</v>
      </c>
    </row>
    <row r="2" spans="1:7" ht="15.75">
      <c r="A2" s="84" t="s">
        <v>65</v>
      </c>
    </row>
    <row r="3" spans="1:7" ht="15.75">
      <c r="A3" s="84" t="s">
        <v>66</v>
      </c>
    </row>
    <row r="4" spans="1:7" ht="15.75">
      <c r="A4" s="84" t="s">
        <v>67</v>
      </c>
    </row>
    <row r="5" spans="1:7" ht="15.75">
      <c r="A5" s="84" t="s">
        <v>69</v>
      </c>
    </row>
    <row r="6" spans="1:7" ht="15.75">
      <c r="A6" s="84" t="s">
        <v>71</v>
      </c>
    </row>
    <row r="8" spans="1:7" ht="20.25">
      <c r="A8" s="31" t="s">
        <v>43</v>
      </c>
    </row>
    <row r="9" spans="1:7" ht="15" customHeight="1">
      <c r="A9" s="57" t="s">
        <v>25</v>
      </c>
    </row>
    <row r="10" spans="1:7" ht="15" customHeight="1">
      <c r="A10" s="62"/>
      <c r="F10" s="60"/>
      <c r="G10" s="60"/>
    </row>
    <row r="11" spans="1:7" ht="15" customHeight="1">
      <c r="A11" s="62"/>
      <c r="B11" s="61"/>
      <c r="C11" s="61"/>
      <c r="D11" s="61"/>
      <c r="E11" s="61"/>
      <c r="F11" s="60"/>
      <c r="G11" s="60"/>
    </row>
    <row r="12" spans="1:7" ht="15" customHeight="1"/>
    <row r="13" spans="1:7" ht="15" customHeight="1">
      <c r="B13" s="59" t="s">
        <v>24</v>
      </c>
      <c r="C13" s="58">
        <f>1-0.261</f>
        <v>0.73899999999999999</v>
      </c>
      <c r="D13" s="59" t="s">
        <v>23</v>
      </c>
      <c r="E13" s="58">
        <f>1+0.261</f>
        <v>1.2610000000000001</v>
      </c>
    </row>
    <row r="14" spans="1:7" ht="15" customHeight="1">
      <c r="A14" s="57"/>
      <c r="B14" s="87" t="s">
        <v>42</v>
      </c>
      <c r="C14" s="87"/>
      <c r="D14" s="56" t="s">
        <v>41</v>
      </c>
      <c r="E14" s="51"/>
    </row>
    <row r="15" spans="1:7" s="54" customFormat="1" ht="63">
      <c r="B15" s="55" t="s">
        <v>40</v>
      </c>
      <c r="C15" s="55" t="s">
        <v>39</v>
      </c>
      <c r="D15" s="55" t="s">
        <v>38</v>
      </c>
      <c r="E15" s="23" t="s">
        <v>37</v>
      </c>
    </row>
    <row r="16" spans="1:7" s="54" customFormat="1" ht="21" customHeight="1">
      <c r="A16" s="20" t="s">
        <v>2</v>
      </c>
      <c r="B16" s="46" t="s">
        <v>1</v>
      </c>
      <c r="C16" s="46" t="s">
        <v>1</v>
      </c>
      <c r="D16" s="46" t="s">
        <v>1</v>
      </c>
      <c r="E16" s="20" t="s">
        <v>36</v>
      </c>
    </row>
    <row r="17" spans="1:5" ht="15">
      <c r="A17" s="13">
        <v>42005</v>
      </c>
      <c r="B17" s="4">
        <f>9.1422 * CHOOSE(CONTROL!$C$9, $C$13, 100%, $E$13) + CHOOSE(CONTROL!$C$28, 0.0003, 0)</f>
        <v>9.1425000000000001</v>
      </c>
      <c r="C17" s="4">
        <f>8.8297 * CHOOSE(CONTROL!$C$9, $C$13, 100%, $E$13) + CHOOSE(CONTROL!$C$28, 0.0003, 0)</f>
        <v>8.83</v>
      </c>
      <c r="D17" s="4">
        <f>14.894 * CHOOSE(CONTROL!$C$9, $C$13, 100%, $E$13) + CHOOSE(CONTROL!$C$28, 0, 0)</f>
        <v>14.894</v>
      </c>
      <c r="E17" s="4">
        <f>56.52 * CHOOSE(CONTROL!$C$9, $C$13, 100%, $E$13) + CHOOSE(CONTROL!$C$28, 0, 0)</f>
        <v>56.52</v>
      </c>
    </row>
    <row r="18" spans="1:5" ht="15">
      <c r="A18" s="13">
        <v>42036</v>
      </c>
      <c r="B18" s="4">
        <f>10.6266 * CHOOSE(CONTROL!$C$9, $C$13, 100%, $E$13) + CHOOSE(CONTROL!$C$28, 0.0003, 0)</f>
        <v>10.626899999999999</v>
      </c>
      <c r="C18" s="4">
        <f>10.3141 * CHOOSE(CONTROL!$C$9, $C$13, 100%, $E$13) + CHOOSE(CONTROL!$C$28, 0.0003, 0)</f>
        <v>10.314399999999999</v>
      </c>
      <c r="D18" s="4">
        <f>13.7392 * CHOOSE(CONTROL!$C$9, $C$13, 100%, $E$13) + CHOOSE(CONTROL!$C$28, 0, 0)</f>
        <v>13.7392</v>
      </c>
      <c r="E18" s="4">
        <f>46.39 * CHOOSE(CONTROL!$C$9, $C$13, 100%, $E$13) + CHOOSE(CONTROL!$C$28, 0, 0)</f>
        <v>46.39</v>
      </c>
    </row>
    <row r="19" spans="1:5" ht="15">
      <c r="A19" s="13">
        <v>42064</v>
      </c>
      <c r="B19" s="4">
        <f>9.5922 * CHOOSE(CONTROL!$C$9, $C$13, 100%, $E$13) + CHOOSE(CONTROL!$C$28, 0.0003, 0)</f>
        <v>9.5924999999999994</v>
      </c>
      <c r="C19" s="4">
        <f>9.2797 * CHOOSE(CONTROL!$C$9, $C$13, 100%, $E$13) + CHOOSE(CONTROL!$C$28, 0.0003, 0)</f>
        <v>9.2799999999999994</v>
      </c>
      <c r="D19" s="4">
        <f>18.1524 * CHOOSE(CONTROL!$C$9, $C$13, 100%, $E$13) + CHOOSE(CONTROL!$C$28, 0, 0)</f>
        <v>18.1524</v>
      </c>
      <c r="E19" s="4">
        <f>50.34 * CHOOSE(CONTROL!$C$9, $C$13, 100%, $E$13) + CHOOSE(CONTROL!$C$28, 0, 0)</f>
        <v>50.34</v>
      </c>
    </row>
    <row r="20" spans="1:5" ht="15">
      <c r="A20" s="13">
        <v>42095</v>
      </c>
      <c r="B20" s="4">
        <f>9.7828 * CHOOSE(CONTROL!$C$9, $C$13, 100%, $E$13) + CHOOSE(CONTROL!$C$28, 0.0003, 0)</f>
        <v>9.7830999999999992</v>
      </c>
      <c r="C20" s="4">
        <f>9.4703 * CHOOSE(CONTROL!$C$9, $C$13, 100%, $E$13) + CHOOSE(CONTROL!$C$28, 0.0003, 0)</f>
        <v>9.4705999999999992</v>
      </c>
      <c r="D20" s="4">
        <f>13.9668 * CHOOSE(CONTROL!$C$9, $C$13, 100%, $E$13) + CHOOSE(CONTROL!$C$28, 0, 0)</f>
        <v>13.966799999999999</v>
      </c>
      <c r="E20" s="4">
        <f>45.72 * CHOOSE(CONTROL!$C$9, $C$13, 100%, $E$13) + CHOOSE(CONTROL!$C$28, 0, 0)</f>
        <v>45.72</v>
      </c>
    </row>
    <row r="21" spans="1:5" ht="15">
      <c r="A21" s="13">
        <v>42125</v>
      </c>
      <c r="B21" s="4">
        <f>10.2906 * CHOOSE(CONTROL!$C$9, $C$13, 100%, $E$13) + CHOOSE(CONTROL!$C$28, 0.0181, 0)</f>
        <v>10.3087</v>
      </c>
      <c r="C21" s="4">
        <f>9.9781 * CHOOSE(CONTROL!$C$9, $C$13, 100%, $E$13) + CHOOSE(CONTROL!$C$28, 0.0181, 0)</f>
        <v>9.9962</v>
      </c>
      <c r="D21" s="4">
        <f>15.8283 * CHOOSE(CONTROL!$C$9, $C$13, 100%, $E$13) + CHOOSE(CONTROL!$C$28, 0, 0)</f>
        <v>15.8283</v>
      </c>
      <c r="E21" s="4">
        <f>55.26 * CHOOSE(CONTROL!$C$9, $C$13, 100%, $E$13) + CHOOSE(CONTROL!$C$28, 0, 0)</f>
        <v>55.26</v>
      </c>
    </row>
    <row r="22" spans="1:5" ht="15">
      <c r="A22" s="13">
        <v>42156</v>
      </c>
      <c r="B22" s="4">
        <f>10.0641 * CHOOSE(CONTROL!$C$9, $C$13, 100%, $E$13) + CHOOSE(CONTROL!$C$28, 0.0181, 0)</f>
        <v>10.0822</v>
      </c>
      <c r="C22" s="4">
        <f>9.7516 * CHOOSE(CONTROL!$C$9, $C$13, 100%, $E$13) + CHOOSE(CONTROL!$C$28, 0.0181, 0)</f>
        <v>9.7697000000000003</v>
      </c>
      <c r="D22" s="4">
        <f>15.6771 * CHOOSE(CONTROL!$C$9, $C$13, 100%, $E$13) + CHOOSE(CONTROL!$C$28, 0, 0)</f>
        <v>15.677099999999999</v>
      </c>
      <c r="E22" s="4">
        <f>57.26 * CHOOSE(CONTROL!$C$9, $C$13, 100%, $E$13) + CHOOSE(CONTROL!$C$28, 0, 0)</f>
        <v>57.26</v>
      </c>
    </row>
    <row r="23" spans="1:5" ht="15">
      <c r="A23" s="13">
        <v>42186</v>
      </c>
      <c r="B23" s="4">
        <f>8.9219 * CHOOSE(CONTROL!$C$9, $C$13, 100%, $E$13) + CHOOSE(CONTROL!$C$28, 0.0181, 0)</f>
        <v>8.9400000000000013</v>
      </c>
      <c r="C23" s="4">
        <f>8.6094 * CHOOSE(CONTROL!$C$9, $C$13, 100%, $E$13) + CHOOSE(CONTROL!$C$28, 0.0181, 0)</f>
        <v>8.6275000000000013</v>
      </c>
      <c r="D23" s="4">
        <f>15.1821 * CHOOSE(CONTROL!$C$9, $C$13, 100%, $E$13) + CHOOSE(CONTROL!$C$28, 0, 0)</f>
        <v>15.1821</v>
      </c>
      <c r="E23" s="4">
        <f>59.68 * CHOOSE(CONTROL!$C$9, $C$13, 100%, $E$13) + CHOOSE(CONTROL!$C$28, 0, 0)</f>
        <v>59.68</v>
      </c>
    </row>
    <row r="24" spans="1:5" ht="15">
      <c r="A24" s="13">
        <v>42217</v>
      </c>
      <c r="B24" s="4">
        <f>7.7438 * CHOOSE(CONTROL!$C$9, $C$13, 100%, $E$13) + CHOOSE(CONTROL!$C$28, 0.0181, 0)</f>
        <v>7.7618999999999998</v>
      </c>
      <c r="C24" s="4">
        <f>7.4313 * CHOOSE(CONTROL!$C$9, $C$13, 100%, $E$13) + CHOOSE(CONTROL!$C$28, 0.0181, 0)</f>
        <v>7.4493999999999998</v>
      </c>
      <c r="D24" s="4">
        <f>13.0022 * CHOOSE(CONTROL!$C$9, $C$13, 100%, $E$13) + CHOOSE(CONTROL!$C$28, 0, 0)</f>
        <v>13.0022</v>
      </c>
      <c r="E24" s="4">
        <f>50.36 * CHOOSE(CONTROL!$C$9, $C$13, 100%, $E$13) + CHOOSE(CONTROL!$C$28, 0, 0)</f>
        <v>50.36</v>
      </c>
    </row>
    <row r="25" spans="1:5" ht="15">
      <c r="A25" s="13">
        <v>42248</v>
      </c>
      <c r="B25" s="4">
        <f>7.5641 * CHOOSE(CONTROL!$C$9, $C$13, 100%, $E$13) + CHOOSE(CONTROL!$C$28, 0.0181, 0)</f>
        <v>7.5821999999999994</v>
      </c>
      <c r="C25" s="4">
        <f>7.2516 * CHOOSE(CONTROL!$C$9, $C$13, 100%, $E$13) + CHOOSE(CONTROL!$C$28, 0.0181, 0)</f>
        <v>7.2696999999999994</v>
      </c>
      <c r="D25" s="4">
        <f>13.6477 * CHOOSE(CONTROL!$C$9, $C$13, 100%, $E$13) + CHOOSE(CONTROL!$C$28, 0, 0)</f>
        <v>13.6477</v>
      </c>
      <c r="E25" s="4">
        <f>41.14 * CHOOSE(CONTROL!$C$9, $C$13, 100%, $E$13) + CHOOSE(CONTROL!$C$28, 0, 0)</f>
        <v>41.14</v>
      </c>
    </row>
    <row r="26" spans="1:5" ht="15">
      <c r="A26" s="13">
        <v>42278</v>
      </c>
      <c r="B26" s="4">
        <f>7.9016 * CHOOSE(CONTROL!$C$9, $C$13, 100%, $E$13) + CHOOSE(CONTROL!$C$28, 0.0003, 0)</f>
        <v>7.9019000000000004</v>
      </c>
      <c r="C26" s="4">
        <f>7.5891 * CHOOSE(CONTROL!$C$9, $C$13, 100%, $E$13) + CHOOSE(CONTROL!$C$28, 0.0003, 0)</f>
        <v>7.5894000000000004</v>
      </c>
      <c r="D26" s="4">
        <f>12.4878 * CHOOSE(CONTROL!$C$9, $C$13, 100%, $E$13) + CHOOSE(CONTROL!$C$28, 0, 0)</f>
        <v>12.4878</v>
      </c>
      <c r="E26" s="4">
        <f>45.83 * CHOOSE(CONTROL!$C$9, $C$13, 100%, $E$13) + CHOOSE(CONTROL!$C$28, 0, 0)</f>
        <v>45.83</v>
      </c>
    </row>
    <row r="27" spans="1:5" ht="15">
      <c r="A27" s="13">
        <v>42309</v>
      </c>
      <c r="B27" s="4">
        <f>7.5094 * CHOOSE(CONTROL!$C$9, $C$13, 100%, $E$13) + CHOOSE(CONTROL!$C$28, 0.0003, 0)</f>
        <v>7.5097000000000005</v>
      </c>
      <c r="C27" s="4">
        <f>7.1969 * CHOOSE(CONTROL!$C$9, $C$13, 100%, $E$13) + CHOOSE(CONTROL!$C$28, 0.0003, 0)</f>
        <v>7.1972000000000005</v>
      </c>
      <c r="D27" s="4">
        <f>12.3927 * CHOOSE(CONTROL!$C$9, $C$13, 100%, $E$13) + CHOOSE(CONTROL!$C$28, 0, 0)</f>
        <v>12.3927</v>
      </c>
      <c r="E27" s="4">
        <f>45.55 * CHOOSE(CONTROL!$C$9, $C$13, 100%, $E$13) + CHOOSE(CONTROL!$C$28, 0, 0)</f>
        <v>45.55</v>
      </c>
    </row>
    <row r="28" spans="1:5" ht="15">
      <c r="A28" s="13">
        <v>42339</v>
      </c>
      <c r="B28" s="4">
        <f>6.6719 * CHOOSE(CONTROL!$C$9, $C$13, 100%, $E$13) + CHOOSE(CONTROL!$C$28, 0.0003, 0)</f>
        <v>6.6722000000000001</v>
      </c>
      <c r="C28" s="4">
        <f>6.3594 * CHOOSE(CONTROL!$C$9, $C$13, 100%, $E$13) + CHOOSE(CONTROL!$C$28, 0.0003, 0)</f>
        <v>6.3597000000000001</v>
      </c>
      <c r="D28" s="4">
        <f>11.222 * CHOOSE(CONTROL!$C$9, $C$13, 100%, $E$13) + CHOOSE(CONTROL!$C$28, 0, 0)</f>
        <v>11.222</v>
      </c>
      <c r="E28" s="4">
        <f>40.39 * CHOOSE(CONTROL!$C$9, $C$13, 100%, $E$13) + CHOOSE(CONTROL!$C$28, 0, 0)</f>
        <v>40.39</v>
      </c>
    </row>
    <row r="29" spans="1:5" ht="15">
      <c r="A29" s="13">
        <v>42370</v>
      </c>
      <c r="B29" s="4">
        <f>6.7734 * CHOOSE(CONTROL!$C$9, $C$13, 100%, $E$13) + CHOOSE(CONTROL!$C$28, 0.0003, 0)</f>
        <v>6.7736999999999998</v>
      </c>
      <c r="C29" s="4">
        <f>6.4609 * CHOOSE(CONTROL!$C$9, $C$13, 100%, $E$13) + CHOOSE(CONTROL!$C$28, 0.0003, 0)</f>
        <v>6.4611999999999998</v>
      </c>
      <c r="D29" s="4">
        <f>10.8092 * CHOOSE(CONTROL!$C$9, $C$13, 100%, $E$13) + CHOOSE(CONTROL!$C$28, 0, 0)</f>
        <v>10.809200000000001</v>
      </c>
      <c r="E29" s="4">
        <f>37.65 * CHOOSE(CONTROL!$C$9, $C$13, 100%, $E$13) + CHOOSE(CONTROL!$C$28, 0, 0)</f>
        <v>37.65</v>
      </c>
    </row>
    <row r="30" spans="1:5" ht="15">
      <c r="A30" s="13">
        <v>42401</v>
      </c>
      <c r="B30" s="4">
        <f>6.8672 * CHOOSE(CONTROL!$C$9, $C$13, 100%, $E$13) + CHOOSE(CONTROL!$C$28, 0.0003, 0)</f>
        <v>6.8675000000000006</v>
      </c>
      <c r="C30" s="4">
        <f>6.5547 * CHOOSE(CONTROL!$C$9, $C$13, 100%, $E$13) + CHOOSE(CONTROL!$C$28, 0.0003, 0)</f>
        <v>6.5550000000000006</v>
      </c>
      <c r="D30" s="4">
        <f>10.9908 * CHOOSE(CONTROL!$C$9, $C$13, 100%, $E$13) + CHOOSE(CONTROL!$C$28, 0, 0)</f>
        <v>10.9908</v>
      </c>
      <c r="E30" s="4">
        <f>39.3 * CHOOSE(CONTROL!$C$9, $C$13, 100%, $E$13) + CHOOSE(CONTROL!$C$28, 0, 0)</f>
        <v>39.299999999999997</v>
      </c>
    </row>
    <row r="31" spans="1:5" ht="15">
      <c r="A31" s="13">
        <v>42430</v>
      </c>
      <c r="B31" s="4">
        <f>6.9688 * CHOOSE(CONTROL!$C$9, $C$13, 100%, $E$13) + CHOOSE(CONTROL!$C$28, 0.0003, 0)</f>
        <v>6.9691000000000001</v>
      </c>
      <c r="C31" s="4">
        <f>6.6562 * CHOOSE(CONTROL!$C$9, $C$13, 100%, $E$13) + CHOOSE(CONTROL!$C$28, 0.0003, 0)</f>
        <v>6.6565000000000003</v>
      </c>
      <c r="D31" s="4">
        <f>11.15 * CHOOSE(CONTROL!$C$9, $C$13, 100%, $E$13) + CHOOSE(CONTROL!$C$28, 0, 0)</f>
        <v>11.15</v>
      </c>
      <c r="E31" s="4">
        <f>40.54 * CHOOSE(CONTROL!$C$9, $C$13, 100%, $E$13) + CHOOSE(CONTROL!$C$28, 0, 0)</f>
        <v>40.54</v>
      </c>
    </row>
    <row r="32" spans="1:5" ht="15">
      <c r="A32" s="13">
        <v>42461</v>
      </c>
      <c r="B32" s="4">
        <f>7.0781 * CHOOSE(CONTROL!$C$9, $C$13, 100%, $E$13) + CHOOSE(CONTROL!$C$28, 0.0003, 0)</f>
        <v>7.0784000000000002</v>
      </c>
      <c r="C32" s="4">
        <f>6.7656 * CHOOSE(CONTROL!$C$9, $C$13, 100%, $E$13) + CHOOSE(CONTROL!$C$28, 0.0003, 0)</f>
        <v>6.7659000000000002</v>
      </c>
      <c r="D32" s="4">
        <f>11.2545 * CHOOSE(CONTROL!$C$9, $C$13, 100%, $E$13) + CHOOSE(CONTROL!$C$28, 0, 0)</f>
        <v>11.2545</v>
      </c>
      <c r="E32" s="4">
        <f>41.47 * CHOOSE(CONTROL!$C$9, $C$13, 100%, $E$13) + CHOOSE(CONTROL!$C$28, 0, 0)</f>
        <v>41.47</v>
      </c>
    </row>
    <row r="33" spans="1:5" ht="15">
      <c r="A33" s="13">
        <v>42491</v>
      </c>
      <c r="B33" s="4">
        <f>7.1875 * CHOOSE(CONTROL!$C$9, $C$13, 100%, $E$13) + CHOOSE(CONTROL!$C$28, 0.0181, 0)</f>
        <v>7.2055999999999996</v>
      </c>
      <c r="C33" s="4">
        <f>6.875 * CHOOSE(CONTROL!$C$9, $C$13, 100%, $E$13) + CHOOSE(CONTROL!$C$28, 0.0181, 0)</f>
        <v>6.8930999999999996</v>
      </c>
      <c r="D33" s="4">
        <f>11.3913 * CHOOSE(CONTROL!$C$9, $C$13, 100%, $E$13) + CHOOSE(CONTROL!$C$28, 0, 0)</f>
        <v>11.391299999999999</v>
      </c>
      <c r="E33" s="4">
        <f>42.22 * CHOOSE(CONTROL!$C$9, $C$13, 100%, $E$13) + CHOOSE(CONTROL!$C$28, 0, 0)</f>
        <v>42.22</v>
      </c>
    </row>
    <row r="34" spans="1:5" ht="15">
      <c r="A34" s="13">
        <v>42522</v>
      </c>
      <c r="B34" s="4">
        <f>7.3047 * CHOOSE(CONTROL!$C$9, $C$13, 100%, $E$13) + CHOOSE(CONTROL!$C$28, 0.0181, 0)</f>
        <v>7.3228</v>
      </c>
      <c r="C34" s="4">
        <f>6.9922 * CHOOSE(CONTROL!$C$9, $C$13, 100%, $E$13) + CHOOSE(CONTROL!$C$28, 0.0181, 0)</f>
        <v>7.0103</v>
      </c>
      <c r="D34" s="4">
        <f>11.521 * CHOOSE(CONTROL!$C$9, $C$13, 100%, $E$13) + CHOOSE(CONTROL!$C$28, 0, 0)</f>
        <v>11.521000000000001</v>
      </c>
      <c r="E34" s="4">
        <f>42.8 * CHOOSE(CONTROL!$C$9, $C$13, 100%, $E$13) + CHOOSE(CONTROL!$C$28, 0, 0)</f>
        <v>42.8</v>
      </c>
    </row>
    <row r="35" spans="1:5" ht="15">
      <c r="A35" s="13">
        <v>42552</v>
      </c>
      <c r="B35" s="4">
        <f>7.4219 * CHOOSE(CONTROL!$C$9, $C$13, 100%, $E$13) + CHOOSE(CONTROL!$C$28, 0.0181, 0)</f>
        <v>7.4399999999999995</v>
      </c>
      <c r="C35" s="4">
        <f>7.1094 * CHOOSE(CONTROL!$C$9, $C$13, 100%, $E$13) + CHOOSE(CONTROL!$C$28, 0.0181, 0)</f>
        <v>7.1274999999999995</v>
      </c>
      <c r="D35" s="4">
        <f>11.6593 * CHOOSE(CONTROL!$C$9, $C$13, 100%, $E$13) + CHOOSE(CONTROL!$C$28, 0, 0)</f>
        <v>11.6593</v>
      </c>
      <c r="E35" s="4">
        <f>43.31 * CHOOSE(CONTROL!$C$9, $C$13, 100%, $E$13) + CHOOSE(CONTROL!$C$28, 0, 0)</f>
        <v>43.31</v>
      </c>
    </row>
    <row r="36" spans="1:5" ht="15">
      <c r="A36" s="13">
        <v>42583</v>
      </c>
      <c r="B36" s="4">
        <f>7.5312 * CHOOSE(CONTROL!$C$9, $C$13, 100%, $E$13) + CHOOSE(CONTROL!$C$28, 0.0181, 0)</f>
        <v>7.5492999999999997</v>
      </c>
      <c r="C36" s="4">
        <f>7.2188 * CHOOSE(CONTROL!$C$9, $C$13, 100%, $E$13) + CHOOSE(CONTROL!$C$28, 0.0181, 0)</f>
        <v>7.2368999999999994</v>
      </c>
      <c r="D36" s="4">
        <f>11.8048 * CHOOSE(CONTROL!$C$9, $C$13, 100%, $E$13) + CHOOSE(CONTROL!$C$28, 0, 0)</f>
        <v>11.8048</v>
      </c>
      <c r="E36" s="4">
        <f>43.8 * CHOOSE(CONTROL!$C$9, $C$13, 100%, $E$13) + CHOOSE(CONTROL!$C$28, 0, 0)</f>
        <v>43.8</v>
      </c>
    </row>
    <row r="37" spans="1:5" ht="15">
      <c r="A37" s="13">
        <v>42614</v>
      </c>
      <c r="B37" s="4">
        <f>7.6484 * CHOOSE(CONTROL!$C$9, $C$13, 100%, $E$13) + CHOOSE(CONTROL!$C$28, 0.0181, 0)</f>
        <v>7.6664999999999992</v>
      </c>
      <c r="C37" s="4">
        <f>7.3359 * CHOOSE(CONTROL!$C$9, $C$13, 100%, $E$13) + CHOOSE(CONTROL!$C$28, 0.0181, 0)</f>
        <v>7.3539999999999992</v>
      </c>
      <c r="D37" s="4">
        <f>11.9612 * CHOOSE(CONTROL!$C$9, $C$13, 100%, $E$13) + CHOOSE(CONTROL!$C$28, 0, 0)</f>
        <v>11.9612</v>
      </c>
      <c r="E37" s="4">
        <f>44.3 * CHOOSE(CONTROL!$C$9, $C$13, 100%, $E$13) + CHOOSE(CONTROL!$C$28, 0, 0)</f>
        <v>44.3</v>
      </c>
    </row>
    <row r="38" spans="1:5" ht="15">
      <c r="A38" s="13">
        <v>42644</v>
      </c>
      <c r="B38" s="4">
        <f>7.7578 * CHOOSE(CONTROL!$C$9, $C$13, 100%, $E$13) + CHOOSE(CONTROL!$C$28, 0.0003, 0)</f>
        <v>7.7580999999999998</v>
      </c>
      <c r="C38" s="4">
        <f>7.4453 * CHOOSE(CONTROL!$C$9, $C$13, 100%, $E$13) + CHOOSE(CONTROL!$C$28, 0.0003, 0)</f>
        <v>7.4455999999999998</v>
      </c>
      <c r="D38" s="4">
        <f>12.1161 * CHOOSE(CONTROL!$C$9, $C$13, 100%, $E$13) + CHOOSE(CONTROL!$C$28, 0, 0)</f>
        <v>12.116099999999999</v>
      </c>
      <c r="E38" s="4">
        <f>44.77 * CHOOSE(CONTROL!$C$9, $C$13, 100%, $E$13) + CHOOSE(CONTROL!$C$28, 0, 0)</f>
        <v>44.77</v>
      </c>
    </row>
    <row r="39" spans="1:5" ht="15">
      <c r="A39" s="13">
        <v>42675</v>
      </c>
      <c r="B39" s="4">
        <f>7.8594 * CHOOSE(CONTROL!$C$9, $C$13, 100%, $E$13) + CHOOSE(CONTROL!$C$28, 0.0003, 0)</f>
        <v>7.8597000000000001</v>
      </c>
      <c r="C39" s="4">
        <f>7.5469 * CHOOSE(CONTROL!$C$9, $C$13, 100%, $E$13) + CHOOSE(CONTROL!$C$28, 0.0003, 0)</f>
        <v>7.5472000000000001</v>
      </c>
      <c r="D39" s="4">
        <f>12.2544 * CHOOSE(CONTROL!$C$9, $C$13, 100%, $E$13) + CHOOSE(CONTROL!$C$28, 0, 0)</f>
        <v>12.2544</v>
      </c>
      <c r="E39" s="4">
        <f>45.26 * CHOOSE(CONTROL!$C$9, $C$13, 100%, $E$13) + CHOOSE(CONTROL!$C$28, 0, 0)</f>
        <v>45.26</v>
      </c>
    </row>
    <row r="40" spans="1:5" ht="15">
      <c r="A40" s="13">
        <v>42705</v>
      </c>
      <c r="B40" s="4">
        <f>7.9609 * CHOOSE(CONTROL!$C$9, $C$13, 100%, $E$13) + CHOOSE(CONTROL!$C$28, 0.0003, 0)</f>
        <v>7.9611999999999998</v>
      </c>
      <c r="C40" s="4">
        <f>7.6484 * CHOOSE(CONTROL!$C$9, $C$13, 100%, $E$13) + CHOOSE(CONTROL!$C$28, 0.0003, 0)</f>
        <v>7.6486999999999998</v>
      </c>
      <c r="D40" s="4">
        <f>12.3848 * CHOOSE(CONTROL!$C$9, $C$13, 100%, $E$13) + CHOOSE(CONTROL!$C$28, 0, 0)</f>
        <v>12.3848</v>
      </c>
      <c r="E40" s="4">
        <f>45.75 * CHOOSE(CONTROL!$C$9, $C$13, 100%, $E$13) + CHOOSE(CONTROL!$C$28, 0, 0)</f>
        <v>45.75</v>
      </c>
    </row>
    <row r="41" spans="1:5" ht="15">
      <c r="A41" s="13">
        <v>42736</v>
      </c>
      <c r="B41" s="4">
        <f>8.0469 * CHOOSE(CONTROL!$C$9, $C$13, 100%, $E$13) + CHOOSE(CONTROL!$C$28, 0.0003, 0)</f>
        <v>8.0472000000000001</v>
      </c>
      <c r="C41" s="4">
        <f>7.7344 * CHOOSE(CONTROL!$C$9, $C$13, 100%, $E$13) + CHOOSE(CONTROL!$C$28, 0.0003, 0)</f>
        <v>7.7347000000000001</v>
      </c>
      <c r="D41" s="4">
        <f>12.5195 * CHOOSE(CONTROL!$C$9, $C$13, 100%, $E$13) + CHOOSE(CONTROL!$C$28, 0, 0)</f>
        <v>12.519500000000001</v>
      </c>
      <c r="E41" s="4">
        <f>46.12 * CHOOSE(CONTROL!$C$9, $C$13, 100%, $E$13) + CHOOSE(CONTROL!$C$28, 0, 0)</f>
        <v>46.12</v>
      </c>
    </row>
    <row r="42" spans="1:5" ht="15">
      <c r="A42" s="13">
        <v>42767</v>
      </c>
      <c r="B42" s="4">
        <f>8.1328 * CHOOSE(CONTROL!$C$9, $C$13, 100%, $E$13) + CHOOSE(CONTROL!$C$28, 0.0003, 0)</f>
        <v>8.1330999999999989</v>
      </c>
      <c r="C42" s="4">
        <f>7.8203 * CHOOSE(CONTROL!$C$9, $C$13, 100%, $E$13) + CHOOSE(CONTROL!$C$28, 0.0003, 0)</f>
        <v>7.8205999999999998</v>
      </c>
      <c r="D42" s="4">
        <f>12.6023 * CHOOSE(CONTROL!$C$9, $C$13, 100%, $E$13) + CHOOSE(CONTROL!$C$28, 0, 0)</f>
        <v>12.6023</v>
      </c>
      <c r="E42" s="4">
        <f>46.49 * CHOOSE(CONTROL!$C$9, $C$13, 100%, $E$13) + CHOOSE(CONTROL!$C$28, 0, 0)</f>
        <v>46.49</v>
      </c>
    </row>
    <row r="43" spans="1:5" ht="15">
      <c r="A43" s="13">
        <v>42795</v>
      </c>
      <c r="B43" s="4">
        <f>8.2188 * CHOOSE(CONTROL!$C$9, $C$13, 100%, $E$13) + CHOOSE(CONTROL!$C$28, 0.0003, 0)</f>
        <v>8.2190999999999992</v>
      </c>
      <c r="C43" s="4">
        <f>7.9062 * CHOOSE(CONTROL!$C$9, $C$13, 100%, $E$13) + CHOOSE(CONTROL!$C$28, 0.0003, 0)</f>
        <v>7.9065000000000003</v>
      </c>
      <c r="D43" s="4">
        <f>12.6167 * CHOOSE(CONTROL!$C$9, $C$13, 100%, $E$13) + CHOOSE(CONTROL!$C$28, 0, 0)</f>
        <v>12.6167</v>
      </c>
      <c r="E43" s="4">
        <f>46.86 * CHOOSE(CONTROL!$C$9, $C$13, 100%, $E$13) + CHOOSE(CONTROL!$C$28, 0, 0)</f>
        <v>46.86</v>
      </c>
    </row>
    <row r="44" spans="1:5" ht="15">
      <c r="A44" s="13">
        <v>42826</v>
      </c>
      <c r="B44" s="4">
        <f>8.2969 * CHOOSE(CONTROL!$C$9, $C$13, 100%, $E$13) + CHOOSE(CONTROL!$C$28, 0.0003, 0)</f>
        <v>8.2972000000000001</v>
      </c>
      <c r="C44" s="4">
        <f>7.9844 * CHOOSE(CONTROL!$C$9, $C$13, 100%, $E$13) + CHOOSE(CONTROL!$C$28, 0.0003, 0)</f>
        <v>7.9847000000000001</v>
      </c>
      <c r="D44" s="4">
        <f>12.5908 * CHOOSE(CONTROL!$C$9, $C$13, 100%, $E$13) + CHOOSE(CONTROL!$C$28, 0, 0)</f>
        <v>12.5908</v>
      </c>
      <c r="E44" s="4">
        <f>47.24 * CHOOSE(CONTROL!$C$9, $C$13, 100%, $E$13) + CHOOSE(CONTROL!$C$28, 0, 0)</f>
        <v>47.24</v>
      </c>
    </row>
    <row r="45" spans="1:5" ht="15">
      <c r="A45" s="13">
        <v>42856</v>
      </c>
      <c r="B45" s="4">
        <f>8.375 * CHOOSE(CONTROL!$C$9, $C$13, 100%, $E$13) + CHOOSE(CONTROL!$C$28, 0.0181, 0)</f>
        <v>8.3931000000000004</v>
      </c>
      <c r="C45" s="4">
        <f>8.0625 * CHOOSE(CONTROL!$C$9, $C$13, 100%, $E$13) + CHOOSE(CONTROL!$C$28, 0.0181, 0)</f>
        <v>8.0806000000000004</v>
      </c>
      <c r="D45" s="4">
        <f>12.6405 * CHOOSE(CONTROL!$C$9, $C$13, 100%, $E$13) + CHOOSE(CONTROL!$C$28, 0, 0)</f>
        <v>12.640499999999999</v>
      </c>
      <c r="E45" s="4">
        <f>47.59 * CHOOSE(CONTROL!$C$9, $C$13, 100%, $E$13) + CHOOSE(CONTROL!$C$28, 0, 0)</f>
        <v>47.59</v>
      </c>
    </row>
    <row r="46" spans="1:5" ht="15">
      <c r="A46" s="13">
        <v>42887</v>
      </c>
      <c r="B46" s="4">
        <f>8.4453 * CHOOSE(CONTROL!$C$9, $C$13, 100%, $E$13) + CHOOSE(CONTROL!$C$28, 0.0181, 0)</f>
        <v>8.4634</v>
      </c>
      <c r="C46" s="4">
        <f>8.1328 * CHOOSE(CONTROL!$C$9, $C$13, 100%, $E$13) + CHOOSE(CONTROL!$C$28, 0.0181, 0)</f>
        <v>8.1509</v>
      </c>
      <c r="D46" s="4">
        <f>12.7248 * CHOOSE(CONTROL!$C$9, $C$13, 100%, $E$13) + CHOOSE(CONTROL!$C$28, 0, 0)</f>
        <v>12.7248</v>
      </c>
      <c r="E46" s="4">
        <f>47.94 * CHOOSE(CONTROL!$C$9, $C$13, 100%, $E$13) + CHOOSE(CONTROL!$C$28, 0, 0)</f>
        <v>47.94</v>
      </c>
    </row>
    <row r="47" spans="1:5" ht="15">
      <c r="A47" s="13">
        <v>42917</v>
      </c>
      <c r="B47" s="4">
        <f>8.5078 * CHOOSE(CONTROL!$C$9, $C$13, 100%, $E$13) + CHOOSE(CONTROL!$C$28, 0.0181, 0)</f>
        <v>8.5259</v>
      </c>
      <c r="C47" s="4">
        <f>8.1953 * CHOOSE(CONTROL!$C$9, $C$13, 100%, $E$13) + CHOOSE(CONTROL!$C$28, 0.0181, 0)</f>
        <v>8.2134</v>
      </c>
      <c r="D47" s="4">
        <f>12.8228 * CHOOSE(CONTROL!$C$9, $C$13, 100%, $E$13) + CHOOSE(CONTROL!$C$28, 0, 0)</f>
        <v>12.822800000000001</v>
      </c>
      <c r="E47" s="4">
        <f>48.25 * CHOOSE(CONTROL!$C$9, $C$13, 100%, $E$13) + CHOOSE(CONTROL!$C$28, 0, 0)</f>
        <v>48.25</v>
      </c>
    </row>
    <row r="48" spans="1:5" ht="15">
      <c r="A48" s="13">
        <v>42948</v>
      </c>
      <c r="B48" s="4">
        <f>8.5703 * CHOOSE(CONTROL!$C$9, $C$13, 100%, $E$13) + CHOOSE(CONTROL!$C$28, 0.0181, 0)</f>
        <v>8.5884</v>
      </c>
      <c r="C48" s="4">
        <f>8.2578 * CHOOSE(CONTROL!$C$9, $C$13, 100%, $E$13) + CHOOSE(CONTROL!$C$28, 0.0181, 0)</f>
        <v>8.2759</v>
      </c>
      <c r="D48" s="4">
        <f>12.9366 * CHOOSE(CONTROL!$C$9, $C$13, 100%, $E$13) + CHOOSE(CONTROL!$C$28, 0, 0)</f>
        <v>12.9366</v>
      </c>
      <c r="E48" s="4">
        <f>48.58 * CHOOSE(CONTROL!$C$9, $C$13, 100%, $E$13) + CHOOSE(CONTROL!$C$28, 0, 0)</f>
        <v>48.58</v>
      </c>
    </row>
    <row r="49" spans="1:5" ht="15">
      <c r="A49" s="13">
        <v>42979</v>
      </c>
      <c r="B49" s="4">
        <f>8.6406 * CHOOSE(CONTROL!$C$9, $C$13, 100%, $E$13) + CHOOSE(CONTROL!$C$28, 0.0181, 0)</f>
        <v>8.6586999999999996</v>
      </c>
      <c r="C49" s="4">
        <f>8.3281 * CHOOSE(CONTROL!$C$9, $C$13, 100%, $E$13) + CHOOSE(CONTROL!$C$28, 0.0181, 0)</f>
        <v>8.3461999999999996</v>
      </c>
      <c r="D49" s="4">
        <f>13.0584 * CHOOSE(CONTROL!$C$9, $C$13, 100%, $E$13) + CHOOSE(CONTROL!$C$28, 0, 0)</f>
        <v>13.058400000000001</v>
      </c>
      <c r="E49" s="4">
        <f>48.93 * CHOOSE(CONTROL!$C$9, $C$13, 100%, $E$13) + CHOOSE(CONTROL!$C$28, 0, 0)</f>
        <v>48.93</v>
      </c>
    </row>
    <row r="50" spans="1:5" ht="15">
      <c r="A50" s="13">
        <v>43009</v>
      </c>
      <c r="B50" s="4">
        <f>8.7109 * CHOOSE(CONTROL!$C$9, $C$13, 100%, $E$13) + CHOOSE(CONTROL!$C$28, 0.0003, 0)</f>
        <v>8.7111999999999998</v>
      </c>
      <c r="C50" s="4">
        <f>8.3984 * CHOOSE(CONTROL!$C$9, $C$13, 100%, $E$13) + CHOOSE(CONTROL!$C$28, 0.0003, 0)</f>
        <v>8.3986999999999998</v>
      </c>
      <c r="D50" s="4">
        <f>13.1837 * CHOOSE(CONTROL!$C$9, $C$13, 100%, $E$13) + CHOOSE(CONTROL!$C$28, 0, 0)</f>
        <v>13.1837</v>
      </c>
      <c r="E50" s="4">
        <f>49.29 * CHOOSE(CONTROL!$C$9, $C$13, 100%, $E$13) + CHOOSE(CONTROL!$C$28, 0, 0)</f>
        <v>49.29</v>
      </c>
    </row>
    <row r="51" spans="1:5" ht="15">
      <c r="A51" s="13">
        <v>43040</v>
      </c>
      <c r="B51" s="4">
        <f>8.7734 * CHOOSE(CONTROL!$C$9, $C$13, 100%, $E$13) + CHOOSE(CONTROL!$C$28, 0.0003, 0)</f>
        <v>8.7736999999999998</v>
      </c>
      <c r="C51" s="4">
        <f>8.4609 * CHOOSE(CONTROL!$C$9, $C$13, 100%, $E$13) + CHOOSE(CONTROL!$C$28, 0.0003, 0)</f>
        <v>8.4611999999999998</v>
      </c>
      <c r="D51" s="4">
        <f>13.2903 * CHOOSE(CONTROL!$C$9, $C$13, 100%, $E$13) + CHOOSE(CONTROL!$C$28, 0, 0)</f>
        <v>13.2903</v>
      </c>
      <c r="E51" s="4">
        <f>49.66 * CHOOSE(CONTROL!$C$9, $C$13, 100%, $E$13) + CHOOSE(CONTROL!$C$28, 0, 0)</f>
        <v>49.66</v>
      </c>
    </row>
    <row r="52" spans="1:5" ht="15">
      <c r="A52" s="13">
        <v>43070</v>
      </c>
      <c r="B52" s="4">
        <f>8.8359 * CHOOSE(CONTROL!$C$9, $C$13, 100%, $E$13) + CHOOSE(CONTROL!$C$28, 0.0003, 0)</f>
        <v>8.8361999999999998</v>
      </c>
      <c r="C52" s="4">
        <f>8.5234 * CHOOSE(CONTROL!$C$9, $C$13, 100%, $E$13) + CHOOSE(CONTROL!$C$28, 0.0003, 0)</f>
        <v>8.5236999999999998</v>
      </c>
      <c r="D52" s="4">
        <f>13.3876 * CHOOSE(CONTROL!$C$9, $C$13, 100%, $E$13) + CHOOSE(CONTROL!$C$28, 0, 0)</f>
        <v>13.387600000000001</v>
      </c>
      <c r="E52" s="4">
        <f>50.03 * CHOOSE(CONTROL!$C$9, $C$13, 100%, $E$13) + CHOOSE(CONTROL!$C$28, 0, 0)</f>
        <v>50.03</v>
      </c>
    </row>
    <row r="53" spans="1:5" ht="15">
      <c r="A53" s="13">
        <v>43101</v>
      </c>
      <c r="B53" s="4">
        <f>10.0913 * CHOOSE(CONTROL!$C$9, $C$13, 100%, $E$13) + CHOOSE(CONTROL!$C$28, 0.0003, 0)</f>
        <v>10.0916</v>
      </c>
      <c r="C53" s="4">
        <f>9.7788 * CHOOSE(CONTROL!$C$9, $C$13, 100%, $E$13) + CHOOSE(CONTROL!$C$28, 0.0003, 0)</f>
        <v>9.7790999999999997</v>
      </c>
      <c r="D53" s="4">
        <f>14.5985 * CHOOSE(CONTROL!$C$9, $C$13, 100%, $E$13) + CHOOSE(CONTROL!$C$28, 0, 0)</f>
        <v>14.5985</v>
      </c>
      <c r="E53" s="4">
        <f>57.1619347247005 * CHOOSE(CONTROL!$C$9, $C$13, 100%, $E$13) + CHOOSE(CONTROL!$C$28, 0, 0)</f>
        <v>57.161934724700501</v>
      </c>
    </row>
    <row r="54" spans="1:5" ht="15">
      <c r="A54" s="13">
        <v>43132</v>
      </c>
      <c r="B54" s="4">
        <f>10.2864 * CHOOSE(CONTROL!$C$9, $C$13, 100%, $E$13) + CHOOSE(CONTROL!$C$28, 0.0003, 0)</f>
        <v>10.2867</v>
      </c>
      <c r="C54" s="4">
        <f>9.9739 * CHOOSE(CONTROL!$C$9, $C$13, 100%, $E$13) + CHOOSE(CONTROL!$C$28, 0.0003, 0)</f>
        <v>9.9741999999999997</v>
      </c>
      <c r="D54" s="4">
        <f>15.0576 * CHOOSE(CONTROL!$C$9, $C$13, 100%, $E$13) + CHOOSE(CONTROL!$C$28, 0, 0)</f>
        <v>15.057600000000001</v>
      </c>
      <c r="E54" s="4">
        <f>58.5191843250731 * CHOOSE(CONTROL!$C$9, $C$13, 100%, $E$13) + CHOOSE(CONTROL!$C$28, 0, 0)</f>
        <v>58.519184325073098</v>
      </c>
    </row>
    <row r="55" spans="1:5" ht="15">
      <c r="A55" s="13">
        <v>43160</v>
      </c>
      <c r="B55" s="4">
        <f>10.7987 * CHOOSE(CONTROL!$C$9, $C$13, 100%, $E$13) + CHOOSE(CONTROL!$C$28, 0.0003, 0)</f>
        <v>10.798999999999999</v>
      </c>
      <c r="C55" s="4">
        <f>10.4862 * CHOOSE(CONTROL!$C$9, $C$13, 100%, $E$13) + CHOOSE(CONTROL!$C$28, 0.0003, 0)</f>
        <v>10.486499999999999</v>
      </c>
      <c r="D55" s="4">
        <f>15.7763 * CHOOSE(CONTROL!$C$9, $C$13, 100%, $E$13) + CHOOSE(CONTROL!$C$28, 0, 0)</f>
        <v>15.776300000000001</v>
      </c>
      <c r="E55" s="4">
        <f>62.0833939042758 * CHOOSE(CONTROL!$C$9, $C$13, 100%, $E$13) + CHOOSE(CONTROL!$C$28, 0, 0)</f>
        <v>62.083393904275802</v>
      </c>
    </row>
    <row r="56" spans="1:5" ht="15">
      <c r="A56" s="13">
        <v>43191</v>
      </c>
      <c r="B56" s="4">
        <f>11.1627 * CHOOSE(CONTROL!$C$9, $C$13, 100%, $E$13) + CHOOSE(CONTROL!$C$28, 0.0003, 0)</f>
        <v>11.162999999999998</v>
      </c>
      <c r="C56" s="4">
        <f>10.8502 * CHOOSE(CONTROL!$C$9, $C$13, 100%, $E$13) + CHOOSE(CONTROL!$C$28, 0.0003, 0)</f>
        <v>10.850499999999998</v>
      </c>
      <c r="D56" s="4">
        <f>16.1903 * CHOOSE(CONTROL!$C$9, $C$13, 100%, $E$13) + CHOOSE(CONTROL!$C$28, 0, 0)</f>
        <v>16.190300000000001</v>
      </c>
      <c r="E56" s="4">
        <f>64.6158123096372 * CHOOSE(CONTROL!$C$9, $C$13, 100%, $E$13) + CHOOSE(CONTROL!$C$28, 0, 0)</f>
        <v>64.615812309637207</v>
      </c>
    </row>
    <row r="57" spans="1:5" ht="15">
      <c r="A57" s="13">
        <v>43221</v>
      </c>
      <c r="B57" s="4">
        <f>11.3851 * CHOOSE(CONTROL!$C$9, $C$13, 100%, $E$13) + CHOOSE(CONTROL!$C$28, 0.0181, 0)</f>
        <v>11.4032</v>
      </c>
      <c r="C57" s="4">
        <f>11.0726 * CHOOSE(CONTROL!$C$9, $C$13, 100%, $E$13) + CHOOSE(CONTROL!$C$28, 0.0181, 0)</f>
        <v>11.0907</v>
      </c>
      <c r="D57" s="4">
        <f>16.0267 * CHOOSE(CONTROL!$C$9, $C$13, 100%, $E$13) + CHOOSE(CONTROL!$C$28, 0, 0)</f>
        <v>16.026700000000002</v>
      </c>
      <c r="E57" s="4">
        <f>66.1630592617146 * CHOOSE(CONTROL!$C$9, $C$13, 100%, $E$13) + CHOOSE(CONTROL!$C$28, 0, 0)</f>
        <v>66.163059261714594</v>
      </c>
    </row>
    <row r="58" spans="1:5" ht="15">
      <c r="A58" s="13">
        <v>43252</v>
      </c>
      <c r="B58" s="4">
        <f>11.4152 * CHOOSE(CONTROL!$C$9, $C$13, 100%, $E$13) + CHOOSE(CONTROL!$C$28, 0.0181, 0)</f>
        <v>11.433300000000001</v>
      </c>
      <c r="C58" s="4">
        <f>11.1027 * CHOOSE(CONTROL!$C$9, $C$13, 100%, $E$13) + CHOOSE(CONTROL!$C$28, 0.0181, 0)</f>
        <v>11.120800000000001</v>
      </c>
      <c r="D58" s="4">
        <f>16.1599 * CHOOSE(CONTROL!$C$9, $C$13, 100%, $E$13) + CHOOSE(CONTROL!$C$28, 0, 0)</f>
        <v>16.1599</v>
      </c>
      <c r="E58" s="4">
        <f>66.3724081955374 * CHOOSE(CONTROL!$C$9, $C$13, 100%, $E$13) + CHOOSE(CONTROL!$C$28, 0, 0)</f>
        <v>66.372408195537403</v>
      </c>
    </row>
    <row r="59" spans="1:5" ht="15">
      <c r="A59" s="13">
        <v>43282</v>
      </c>
      <c r="B59" s="4">
        <f>11.4122 * CHOOSE(CONTROL!$C$9, $C$13, 100%, $E$13) + CHOOSE(CONTROL!$C$28, 0.0181, 0)</f>
        <v>11.430300000000001</v>
      </c>
      <c r="C59" s="4">
        <f>11.0997 * CHOOSE(CONTROL!$C$9, $C$13, 100%, $E$13) + CHOOSE(CONTROL!$C$28, 0.0181, 0)</f>
        <v>11.117800000000001</v>
      </c>
      <c r="D59" s="4">
        <f>16.4003 * CHOOSE(CONTROL!$C$9, $C$13, 100%, $E$13) + CHOOSE(CONTROL!$C$28, 0, 0)</f>
        <v>16.400300000000001</v>
      </c>
      <c r="E59" s="4">
        <f>66.3512973786813 * CHOOSE(CONTROL!$C$9, $C$13, 100%, $E$13) + CHOOSE(CONTROL!$C$28, 0, 0)</f>
        <v>66.351297378681295</v>
      </c>
    </row>
    <row r="60" spans="1:5" ht="15">
      <c r="A60" s="13">
        <v>43313</v>
      </c>
      <c r="B60" s="4">
        <f>11.6405 * CHOOSE(CONTROL!$C$9, $C$13, 100%, $E$13) + CHOOSE(CONTROL!$C$28, 0.0181, 0)</f>
        <v>11.6586</v>
      </c>
      <c r="C60" s="4">
        <f>11.328 * CHOOSE(CONTROL!$C$9, $C$13, 100%, $E$13) + CHOOSE(CONTROL!$C$28, 0.0181, 0)</f>
        <v>11.3461</v>
      </c>
      <c r="D60" s="4">
        <f>16.2416 * CHOOSE(CONTROL!$C$9, $C$13, 100%, $E$13) + CHOOSE(CONTROL!$C$28, 0, 0)</f>
        <v>16.241599999999998</v>
      </c>
      <c r="E60" s="4">
        <f>67.9398863471019 * CHOOSE(CONTROL!$C$9, $C$13, 100%, $E$13) + CHOOSE(CONTROL!$C$28, 0, 0)</f>
        <v>67.939886347101904</v>
      </c>
    </row>
    <row r="61" spans="1:5" ht="15">
      <c r="A61" s="13">
        <v>43344</v>
      </c>
      <c r="B61" s="4">
        <f>11.2513 * CHOOSE(CONTROL!$C$9, $C$13, 100%, $E$13) + CHOOSE(CONTROL!$C$28, 0.0181, 0)</f>
        <v>11.269400000000001</v>
      </c>
      <c r="C61" s="4">
        <f>10.9388 * CHOOSE(CONTROL!$C$9, $C$13, 100%, $E$13) + CHOOSE(CONTROL!$C$28, 0.0181, 0)</f>
        <v>10.956900000000001</v>
      </c>
      <c r="D61" s="4">
        <f>16.1666 * CHOOSE(CONTROL!$C$9, $C$13, 100%, $E$13) + CHOOSE(CONTROL!$C$28, 0, 0)</f>
        <v>16.166599999999999</v>
      </c>
      <c r="E61" s="4">
        <f>65.2324240853088 * CHOOSE(CONTROL!$C$9, $C$13, 100%, $E$13) + CHOOSE(CONTROL!$C$28, 0, 0)</f>
        <v>65.232424085308807</v>
      </c>
    </row>
    <row r="62" spans="1:5" ht="15">
      <c r="A62" s="13">
        <v>43374</v>
      </c>
      <c r="B62" s="4">
        <f>10.9398 * CHOOSE(CONTROL!$C$9, $C$13, 100%, $E$13) + CHOOSE(CONTROL!$C$28, 0.0003, 0)</f>
        <v>10.940099999999999</v>
      </c>
      <c r="C62" s="4">
        <f>10.6273 * CHOOSE(CONTROL!$C$9, $C$13, 100%, $E$13) + CHOOSE(CONTROL!$C$28, 0.0003, 0)</f>
        <v>10.627599999999999</v>
      </c>
      <c r="D62" s="4">
        <f>15.9657 * CHOOSE(CONTROL!$C$9, $C$13, 100%, $E$13) + CHOOSE(CONTROL!$C$28, 0, 0)</f>
        <v>15.9657</v>
      </c>
      <c r="E62" s="4">
        <f>63.0650468880838 * CHOOSE(CONTROL!$C$9, $C$13, 100%, $E$13) + CHOOSE(CONTROL!$C$28, 0, 0)</f>
        <v>63.065046888083799</v>
      </c>
    </row>
    <row r="63" spans="1:5" ht="15">
      <c r="A63" s="13">
        <v>43405</v>
      </c>
      <c r="B63" s="4">
        <f>10.7392 * CHOOSE(CONTROL!$C$9, $C$13, 100%, $E$13) + CHOOSE(CONTROL!$C$28, 0.0003, 0)</f>
        <v>10.7395</v>
      </c>
      <c r="C63" s="4">
        <f>10.4267 * CHOOSE(CONTROL!$C$9, $C$13, 100%, $E$13) + CHOOSE(CONTROL!$C$28, 0.0003, 0)</f>
        <v>10.427</v>
      </c>
      <c r="D63" s="4">
        <f>15.8967 * CHOOSE(CONTROL!$C$9, $C$13, 100%, $E$13) + CHOOSE(CONTROL!$C$28, 0, 0)</f>
        <v>15.896699999999999</v>
      </c>
      <c r="E63" s="4">
        <f>61.669094123475 * CHOOSE(CONTROL!$C$9, $C$13, 100%, $E$13) + CHOOSE(CONTROL!$C$28, 0, 0)</f>
        <v>61.669094123474999</v>
      </c>
    </row>
    <row r="64" spans="1:5" ht="15">
      <c r="A64" s="13">
        <v>43435</v>
      </c>
      <c r="B64" s="4">
        <f>10.6003 * CHOOSE(CONTROL!$C$9, $C$13, 100%, $E$13) + CHOOSE(CONTROL!$C$28, 0.0003, 0)</f>
        <v>10.6006</v>
      </c>
      <c r="C64" s="4">
        <f>10.2878 * CHOOSE(CONTROL!$C$9, $C$13, 100%, $E$13) + CHOOSE(CONTROL!$C$28, 0.0003, 0)</f>
        <v>10.2881</v>
      </c>
      <c r="D64" s="4">
        <f>15.3883 * CHOOSE(CONTROL!$C$9, $C$13, 100%, $E$13) + CHOOSE(CONTROL!$C$28, 0, 0)</f>
        <v>15.388299999999999</v>
      </c>
      <c r="E64" s="4">
        <f>60.7032742523091 * CHOOSE(CONTROL!$C$9, $C$13, 100%, $E$13) + CHOOSE(CONTROL!$C$28, 0, 0)</f>
        <v>60.7032742523091</v>
      </c>
    </row>
    <row r="65" spans="1:5" ht="15">
      <c r="A65" s="13">
        <v>43466</v>
      </c>
      <c r="B65" s="4">
        <f>10.6136 * CHOOSE(CONTROL!$C$9, $C$13, 100%, $E$13) + CHOOSE(CONTROL!$C$28, 0.0003, 0)</f>
        <v>10.613899999999999</v>
      </c>
      <c r="C65" s="4">
        <f>10.3011 * CHOOSE(CONTROL!$C$9, $C$13, 100%, $E$13) + CHOOSE(CONTROL!$C$28, 0.0003, 0)</f>
        <v>10.301399999999999</v>
      </c>
      <c r="D65" s="4">
        <f>15.2721 * CHOOSE(CONTROL!$C$9, $C$13, 100%, $E$13) + CHOOSE(CONTROL!$C$28, 0, 0)</f>
        <v>15.2721</v>
      </c>
      <c r="E65" s="4">
        <f>60.6480135812179 * CHOOSE(CONTROL!$C$9, $C$13, 100%, $E$13) + CHOOSE(CONTROL!$C$28, 0, 0)</f>
        <v>60.648013581217903</v>
      </c>
    </row>
    <row r="66" spans="1:5" ht="15">
      <c r="A66" s="13">
        <v>43497</v>
      </c>
      <c r="B66" s="4">
        <f>10.8211 * CHOOSE(CONTROL!$C$9, $C$13, 100%, $E$13) + CHOOSE(CONTROL!$C$28, 0.0003, 0)</f>
        <v>10.821399999999999</v>
      </c>
      <c r="C66" s="4">
        <f>10.5086 * CHOOSE(CONTROL!$C$9, $C$13, 100%, $E$13) + CHOOSE(CONTROL!$C$28, 0.0003, 0)</f>
        <v>10.508899999999999</v>
      </c>
      <c r="D66" s="4">
        <f>15.755 * CHOOSE(CONTROL!$C$9, $C$13, 100%, $E$13) + CHOOSE(CONTROL!$C$28, 0, 0)</f>
        <v>15.755000000000001</v>
      </c>
      <c r="E66" s="4">
        <f>62.0880364319653 * CHOOSE(CONTROL!$C$9, $C$13, 100%, $E$13) + CHOOSE(CONTROL!$C$28, 0, 0)</f>
        <v>62.0880364319653</v>
      </c>
    </row>
    <row r="67" spans="1:5" ht="15">
      <c r="A67" s="13">
        <v>43525</v>
      </c>
      <c r="B67" s="4">
        <f>11.366 * CHOOSE(CONTROL!$C$9, $C$13, 100%, $E$13) + CHOOSE(CONTROL!$C$28, 0.0003, 0)</f>
        <v>11.366299999999999</v>
      </c>
      <c r="C67" s="4">
        <f>11.0535 * CHOOSE(CONTROL!$C$9, $C$13, 100%, $E$13) + CHOOSE(CONTROL!$C$28, 0.0003, 0)</f>
        <v>11.053799999999999</v>
      </c>
      <c r="D67" s="4">
        <f>16.5109 * CHOOSE(CONTROL!$C$9, $C$13, 100%, $E$13) + CHOOSE(CONTROL!$C$28, 0, 0)</f>
        <v>16.510899999999999</v>
      </c>
      <c r="E67" s="4">
        <f>65.8696129654898 * CHOOSE(CONTROL!$C$9, $C$13, 100%, $E$13) + CHOOSE(CONTROL!$C$28, 0, 0)</f>
        <v>65.869612965489793</v>
      </c>
    </row>
    <row r="68" spans="1:5" ht="15">
      <c r="A68" s="13">
        <v>43556</v>
      </c>
      <c r="B68" s="4">
        <f>11.7531 * CHOOSE(CONTROL!$C$9, $C$13, 100%, $E$13) + CHOOSE(CONTROL!$C$28, 0.0003, 0)</f>
        <v>11.753399999999999</v>
      </c>
      <c r="C68" s="4">
        <f>11.4406 * CHOOSE(CONTROL!$C$9, $C$13, 100%, $E$13) + CHOOSE(CONTROL!$C$28, 0.0003, 0)</f>
        <v>11.440899999999999</v>
      </c>
      <c r="D68" s="4">
        <f>16.9463 * CHOOSE(CONTROL!$C$9, $C$13, 100%, $E$13) + CHOOSE(CONTROL!$C$28, 0, 0)</f>
        <v>16.946300000000001</v>
      </c>
      <c r="E68" s="4">
        <f>68.5564734886925 * CHOOSE(CONTROL!$C$9, $C$13, 100%, $E$13) + CHOOSE(CONTROL!$C$28, 0, 0)</f>
        <v>68.556473488692504</v>
      </c>
    </row>
    <row r="69" spans="1:5" ht="15">
      <c r="A69" s="13">
        <v>43586</v>
      </c>
      <c r="B69" s="4">
        <f>11.9897 * CHOOSE(CONTROL!$C$9, $C$13, 100%, $E$13) + CHOOSE(CONTROL!$C$28, 0.0181, 0)</f>
        <v>12.0078</v>
      </c>
      <c r="C69" s="4">
        <f>11.6772 * CHOOSE(CONTROL!$C$9, $C$13, 100%, $E$13) + CHOOSE(CONTROL!$C$28, 0.0181, 0)</f>
        <v>11.6953</v>
      </c>
      <c r="D69" s="4">
        <f>16.7743 * CHOOSE(CONTROL!$C$9, $C$13, 100%, $E$13) + CHOOSE(CONTROL!$C$28, 0, 0)</f>
        <v>16.7743</v>
      </c>
      <c r="E69" s="4">
        <f>70.1980808733099 * CHOOSE(CONTROL!$C$9, $C$13, 100%, $E$13) + CHOOSE(CONTROL!$C$28, 0, 0)</f>
        <v>70.198080873309905</v>
      </c>
    </row>
    <row r="70" spans="1:5" ht="15">
      <c r="A70" s="13">
        <v>43617</v>
      </c>
      <c r="B70" s="4">
        <f>12.0217 * CHOOSE(CONTROL!$C$9, $C$13, 100%, $E$13) + CHOOSE(CONTROL!$C$28, 0.0181, 0)</f>
        <v>12.0398</v>
      </c>
      <c r="C70" s="4">
        <f>11.7092 * CHOOSE(CONTROL!$C$9, $C$13, 100%, $E$13) + CHOOSE(CONTROL!$C$28, 0.0181, 0)</f>
        <v>11.7273</v>
      </c>
      <c r="D70" s="4">
        <f>16.9144 * CHOOSE(CONTROL!$C$9, $C$13, 100%, $E$13) + CHOOSE(CONTROL!$C$28, 0, 0)</f>
        <v>16.914400000000001</v>
      </c>
      <c r="E70" s="4">
        <f>70.4201971652593 * CHOOSE(CONTROL!$C$9, $C$13, 100%, $E$13) + CHOOSE(CONTROL!$C$28, 0, 0)</f>
        <v>70.420197165259296</v>
      </c>
    </row>
    <row r="71" spans="1:5" ht="15">
      <c r="A71" s="13">
        <v>43647</v>
      </c>
      <c r="B71" s="4">
        <f>12.0184 * CHOOSE(CONTROL!$C$9, $C$13, 100%, $E$13) + CHOOSE(CONTROL!$C$28, 0.0181, 0)</f>
        <v>12.0365</v>
      </c>
      <c r="C71" s="4">
        <f>11.7059 * CHOOSE(CONTROL!$C$9, $C$13, 100%, $E$13) + CHOOSE(CONTROL!$C$28, 0.0181, 0)</f>
        <v>11.724</v>
      </c>
      <c r="D71" s="4">
        <f>17.1672 * CHOOSE(CONTROL!$C$9, $C$13, 100%, $E$13) + CHOOSE(CONTROL!$C$28, 0, 0)</f>
        <v>17.167200000000001</v>
      </c>
      <c r="E71" s="4">
        <f>70.3977988837182 * CHOOSE(CONTROL!$C$9, $C$13, 100%, $E$13) + CHOOSE(CONTROL!$C$28, 0, 0)</f>
        <v>70.397798883718195</v>
      </c>
    </row>
    <row r="72" spans="1:5" ht="15">
      <c r="A72" s="13">
        <v>43678</v>
      </c>
      <c r="B72" s="4">
        <f>12.2613 * CHOOSE(CONTROL!$C$9, $C$13, 100%, $E$13) + CHOOSE(CONTROL!$C$28, 0.0181, 0)</f>
        <v>12.279400000000001</v>
      </c>
      <c r="C72" s="4">
        <f>11.9488 * CHOOSE(CONTROL!$C$9, $C$13, 100%, $E$13) + CHOOSE(CONTROL!$C$28, 0.0181, 0)</f>
        <v>11.966900000000001</v>
      </c>
      <c r="D72" s="4">
        <f>17.0002 * CHOOSE(CONTROL!$C$9, $C$13, 100%, $E$13) + CHOOSE(CONTROL!$C$28, 0, 0)</f>
        <v>17.0002</v>
      </c>
      <c r="E72" s="4">
        <f>72.0832695696869 * CHOOSE(CONTROL!$C$9, $C$13, 100%, $E$13) + CHOOSE(CONTROL!$C$28, 0, 0)</f>
        <v>72.083269569686905</v>
      </c>
    </row>
    <row r="73" spans="1:5" ht="15">
      <c r="A73" s="13">
        <v>43709</v>
      </c>
      <c r="B73" s="4">
        <f>11.8474 * CHOOSE(CONTROL!$C$9, $C$13, 100%, $E$13) + CHOOSE(CONTROL!$C$28, 0.0181, 0)</f>
        <v>11.865500000000001</v>
      </c>
      <c r="C73" s="4">
        <f>11.5349 * CHOOSE(CONTROL!$C$9, $C$13, 100%, $E$13) + CHOOSE(CONTROL!$C$28, 0.0181, 0)</f>
        <v>11.553000000000001</v>
      </c>
      <c r="D73" s="4">
        <f>16.9214 * CHOOSE(CONTROL!$C$9, $C$13, 100%, $E$13) + CHOOSE(CONTROL!$C$28, 0, 0)</f>
        <v>16.921399999999998</v>
      </c>
      <c r="E73" s="4">
        <f>69.2106899620392 * CHOOSE(CONTROL!$C$9, $C$13, 100%, $E$13) + CHOOSE(CONTROL!$C$28, 0, 0)</f>
        <v>69.210689962039197</v>
      </c>
    </row>
    <row r="74" spans="1:5" ht="15">
      <c r="A74" s="13">
        <v>43739</v>
      </c>
      <c r="B74" s="4">
        <f>11.5161 * CHOOSE(CONTROL!$C$9, $C$13, 100%, $E$13) + CHOOSE(CONTROL!$C$28, 0.0003, 0)</f>
        <v>11.516399999999999</v>
      </c>
      <c r="C74" s="4">
        <f>11.2036 * CHOOSE(CONTROL!$C$9, $C$13, 100%, $E$13) + CHOOSE(CONTROL!$C$28, 0.0003, 0)</f>
        <v>11.203899999999999</v>
      </c>
      <c r="D74" s="4">
        <f>16.7101 * CHOOSE(CONTROL!$C$9, $C$13, 100%, $E$13) + CHOOSE(CONTROL!$C$28, 0, 0)</f>
        <v>16.710100000000001</v>
      </c>
      <c r="E74" s="4">
        <f>66.9111330571516 * CHOOSE(CONTROL!$C$9, $C$13, 100%, $E$13) + CHOOSE(CONTROL!$C$28, 0, 0)</f>
        <v>66.911133057151602</v>
      </c>
    </row>
    <row r="75" spans="1:5" ht="15">
      <c r="A75" s="13">
        <v>43770</v>
      </c>
      <c r="B75" s="4">
        <f>11.3027 * CHOOSE(CONTROL!$C$9, $C$13, 100%, $E$13) + CHOOSE(CONTROL!$C$28, 0.0003, 0)</f>
        <v>11.302999999999999</v>
      </c>
      <c r="C75" s="4">
        <f>10.9902 * CHOOSE(CONTROL!$C$9, $C$13, 100%, $E$13) + CHOOSE(CONTROL!$C$28, 0.0003, 0)</f>
        <v>10.990499999999999</v>
      </c>
      <c r="D75" s="4">
        <f>16.6375 * CHOOSE(CONTROL!$C$9, $C$13, 100%, $E$13) + CHOOSE(CONTROL!$C$28, 0, 0)</f>
        <v>16.637499999999999</v>
      </c>
      <c r="E75" s="4">
        <f>65.4300466902455 * CHOOSE(CONTROL!$C$9, $C$13, 100%, $E$13) + CHOOSE(CONTROL!$C$28, 0, 0)</f>
        <v>65.430046690245504</v>
      </c>
    </row>
    <row r="76" spans="1:5" ht="15">
      <c r="A76" s="13">
        <v>43800</v>
      </c>
      <c r="B76" s="4">
        <f>11.155 * CHOOSE(CONTROL!$C$9, $C$13, 100%, $E$13) + CHOOSE(CONTROL!$C$28, 0.0003, 0)</f>
        <v>11.155299999999999</v>
      </c>
      <c r="C76" s="4">
        <f>10.8425 * CHOOSE(CONTROL!$C$9, $C$13, 100%, $E$13) + CHOOSE(CONTROL!$C$28, 0.0003, 0)</f>
        <v>10.842799999999999</v>
      </c>
      <c r="D76" s="4">
        <f>16.1028 * CHOOSE(CONTROL!$C$9, $C$13, 100%, $E$13) + CHOOSE(CONTROL!$C$28, 0, 0)</f>
        <v>16.102799999999998</v>
      </c>
      <c r="E76" s="4">
        <f>64.4053253097396 * CHOOSE(CONTROL!$C$9, $C$13, 100%, $E$13) + CHOOSE(CONTROL!$C$28, 0, 0)</f>
        <v>64.405325309739595</v>
      </c>
    </row>
    <row r="77" spans="1:5" ht="15">
      <c r="A77" s="13">
        <v>43831</v>
      </c>
      <c r="B77" s="4">
        <f>13.1135 * CHOOSE(CONTROL!$C$9, $C$13, 100%, $E$13) + CHOOSE(CONTROL!$C$28, 0.0003, 0)</f>
        <v>13.113799999999999</v>
      </c>
      <c r="C77" s="4">
        <f>12.801 * CHOOSE(CONTROL!$C$9, $C$13, 100%, $E$13) + CHOOSE(CONTROL!$C$28, 0.0003, 0)</f>
        <v>12.801299999999999</v>
      </c>
      <c r="D77" s="4">
        <f>18.0146 * CHOOSE(CONTROL!$C$9, $C$13, 100%, $E$13) + CHOOSE(CONTROL!$C$28, 0, 0)</f>
        <v>18.014600000000002</v>
      </c>
      <c r="E77" s="4">
        <f>75.4372445447902 * CHOOSE(CONTROL!$C$9, $C$13, 100%, $E$13) + CHOOSE(CONTROL!$C$28, 0, 0)</f>
        <v>75.437244544790204</v>
      </c>
    </row>
    <row r="78" spans="1:5" ht="15">
      <c r="A78" s="13">
        <v>43862</v>
      </c>
      <c r="B78" s="4">
        <f>13.3804 * CHOOSE(CONTROL!$C$9, $C$13, 100%, $E$13) + CHOOSE(CONTROL!$C$28, 0.0003, 0)</f>
        <v>13.380699999999999</v>
      </c>
      <c r="C78" s="4">
        <f>13.0679 * CHOOSE(CONTROL!$C$9, $C$13, 100%, $E$13) + CHOOSE(CONTROL!$C$28, 0.0003, 0)</f>
        <v>13.068199999999999</v>
      </c>
      <c r="D78" s="4">
        <f>18.5942 * CHOOSE(CONTROL!$C$9, $C$13, 100%, $E$13) + CHOOSE(CONTROL!$C$28, 0, 0)</f>
        <v>18.594200000000001</v>
      </c>
      <c r="E78" s="4">
        <f>77.2284220216327 * CHOOSE(CONTROL!$C$9, $C$13, 100%, $E$13) + CHOOSE(CONTROL!$C$28, 0, 0)</f>
        <v>77.228422021632696</v>
      </c>
    </row>
    <row r="79" spans="1:5" ht="15">
      <c r="A79" s="13">
        <v>43891</v>
      </c>
      <c r="B79" s="4">
        <f>14.0811 * CHOOSE(CONTROL!$C$9, $C$13, 100%, $E$13) + CHOOSE(CONTROL!$C$28, 0.0003, 0)</f>
        <v>14.081399999999999</v>
      </c>
      <c r="C79" s="4">
        <f>13.7686 * CHOOSE(CONTROL!$C$9, $C$13, 100%, $E$13) + CHOOSE(CONTROL!$C$28, 0.0003, 0)</f>
        <v>13.768899999999999</v>
      </c>
      <c r="D79" s="4">
        <f>19.5016 * CHOOSE(CONTROL!$C$9, $C$13, 100%, $E$13) + CHOOSE(CONTROL!$C$28, 0, 0)</f>
        <v>19.5016</v>
      </c>
      <c r="E79" s="4">
        <f>81.9321492647732 * CHOOSE(CONTROL!$C$9, $C$13, 100%, $E$13) + CHOOSE(CONTROL!$C$28, 0, 0)</f>
        <v>81.932149264773201</v>
      </c>
    </row>
    <row r="80" spans="1:5" ht="15">
      <c r="A80" s="13">
        <v>43922</v>
      </c>
      <c r="B80" s="4">
        <f>14.579 * CHOOSE(CONTROL!$C$9, $C$13, 100%, $E$13) + CHOOSE(CONTROL!$C$28, 0.0003, 0)</f>
        <v>14.5793</v>
      </c>
      <c r="C80" s="4">
        <f>14.2665 * CHOOSE(CONTROL!$C$9, $C$13, 100%, $E$13) + CHOOSE(CONTROL!$C$28, 0.0003, 0)</f>
        <v>14.2668</v>
      </c>
      <c r="D80" s="4">
        <f>20.0243 * CHOOSE(CONTROL!$C$9, $C$13, 100%, $E$13) + CHOOSE(CONTROL!$C$28, 0, 0)</f>
        <v>20.0243</v>
      </c>
      <c r="E80" s="4">
        <f>85.2742101564321 * CHOOSE(CONTROL!$C$9, $C$13, 100%, $E$13) + CHOOSE(CONTROL!$C$28, 0, 0)</f>
        <v>85.274210156432105</v>
      </c>
    </row>
    <row r="81" spans="1:5" ht="15">
      <c r="A81" s="13">
        <v>43952</v>
      </c>
      <c r="B81" s="4">
        <f>14.8832 * CHOOSE(CONTROL!$C$9, $C$13, 100%, $E$13) + CHOOSE(CONTROL!$C$28, 0.0181, 0)</f>
        <v>14.901300000000001</v>
      </c>
      <c r="C81" s="4">
        <f>14.5707 * CHOOSE(CONTROL!$C$9, $C$13, 100%, $E$13) + CHOOSE(CONTROL!$C$28, 0.0181, 0)</f>
        <v>14.588800000000001</v>
      </c>
      <c r="D81" s="4">
        <f>19.8178 * CHOOSE(CONTROL!$C$9, $C$13, 100%, $E$13) + CHOOSE(CONTROL!$C$28, 0, 0)</f>
        <v>19.817799999999998</v>
      </c>
      <c r="E81" s="4">
        <f>87.316129263215 * CHOOSE(CONTROL!$C$9, $C$13, 100%, $E$13) + CHOOSE(CONTROL!$C$28, 0, 0)</f>
        <v>87.316129263215004</v>
      </c>
    </row>
    <row r="82" spans="1:5" ht="15">
      <c r="A82" s="13">
        <v>43983</v>
      </c>
      <c r="B82" s="4">
        <f>14.9244 * CHOOSE(CONTROL!$C$9, $C$13, 100%, $E$13) + CHOOSE(CONTROL!$C$28, 0.0181, 0)</f>
        <v>14.942500000000001</v>
      </c>
      <c r="C82" s="4">
        <f>14.6119 * CHOOSE(CONTROL!$C$9, $C$13, 100%, $E$13) + CHOOSE(CONTROL!$C$28, 0.0181, 0)</f>
        <v>14.63</v>
      </c>
      <c r="D82" s="4">
        <f>19.986 * CHOOSE(CONTROL!$C$9, $C$13, 100%, $E$13) + CHOOSE(CONTROL!$C$28, 0, 0)</f>
        <v>19.986000000000001</v>
      </c>
      <c r="E82" s="4">
        <f>87.5924093925011 * CHOOSE(CONTROL!$C$9, $C$13, 100%, $E$13) + CHOOSE(CONTROL!$C$28, 0, 0)</f>
        <v>87.592409392501096</v>
      </c>
    </row>
    <row r="83" spans="1:5" ht="15">
      <c r="A83" s="13">
        <v>44013</v>
      </c>
      <c r="B83" s="4">
        <f>14.9202 * CHOOSE(CONTROL!$C$9, $C$13, 100%, $E$13) + CHOOSE(CONTROL!$C$28, 0.0181, 0)</f>
        <v>14.9383</v>
      </c>
      <c r="C83" s="4">
        <f>14.6077 * CHOOSE(CONTROL!$C$9, $C$13, 100%, $E$13) + CHOOSE(CONTROL!$C$28, 0.0181, 0)</f>
        <v>14.6258</v>
      </c>
      <c r="D83" s="4">
        <f>20.2895 * CHOOSE(CONTROL!$C$9, $C$13, 100%, $E$13) + CHOOSE(CONTROL!$C$28, 0, 0)</f>
        <v>20.2895</v>
      </c>
      <c r="E83" s="4">
        <f>87.5645492113967 * CHOOSE(CONTROL!$C$9, $C$13, 100%, $E$13) + CHOOSE(CONTROL!$C$28, 0, 0)</f>
        <v>87.564549211396695</v>
      </c>
    </row>
    <row r="84" spans="1:5" ht="15">
      <c r="A84" s="13">
        <v>44044</v>
      </c>
      <c r="B84" s="4">
        <f>15.2326 * CHOOSE(CONTROL!$C$9, $C$13, 100%, $E$13) + CHOOSE(CONTROL!$C$28, 0.0181, 0)</f>
        <v>15.2507</v>
      </c>
      <c r="C84" s="4">
        <f>14.9201 * CHOOSE(CONTROL!$C$9, $C$13, 100%, $E$13) + CHOOSE(CONTROL!$C$28, 0.0181, 0)</f>
        <v>14.9382</v>
      </c>
      <c r="D84" s="4">
        <f>20.0891 * CHOOSE(CONTROL!$C$9, $C$13, 100%, $E$13) + CHOOSE(CONTROL!$C$28, 0, 0)</f>
        <v>20.089099999999998</v>
      </c>
      <c r="E84" s="4">
        <f>89.6610278395092 * CHOOSE(CONTROL!$C$9, $C$13, 100%, $E$13) + CHOOSE(CONTROL!$C$28, 0, 0)</f>
        <v>89.661027839509202</v>
      </c>
    </row>
    <row r="85" spans="1:5" ht="15">
      <c r="A85" s="13">
        <v>44075</v>
      </c>
      <c r="B85" s="4">
        <f>14.7003 * CHOOSE(CONTROL!$C$9, $C$13, 100%, $E$13) + CHOOSE(CONTROL!$C$28, 0.0181, 0)</f>
        <v>14.718400000000001</v>
      </c>
      <c r="C85" s="4">
        <f>14.3878 * CHOOSE(CONTROL!$C$9, $C$13, 100%, $E$13) + CHOOSE(CONTROL!$C$28, 0.0181, 0)</f>
        <v>14.405900000000001</v>
      </c>
      <c r="D85" s="4">
        <f>19.9944 * CHOOSE(CONTROL!$C$9, $C$13, 100%, $E$13) + CHOOSE(CONTROL!$C$28, 0, 0)</f>
        <v>19.994399999999999</v>
      </c>
      <c r="E85" s="4">
        <f>86.087959612859 * CHOOSE(CONTROL!$C$9, $C$13, 100%, $E$13) + CHOOSE(CONTROL!$C$28, 0, 0)</f>
        <v>86.087959612858995</v>
      </c>
    </row>
    <row r="86" spans="1:5" ht="15">
      <c r="A86" s="13">
        <v>44105</v>
      </c>
      <c r="B86" s="4">
        <f>14.2741 * CHOOSE(CONTROL!$C$9, $C$13, 100%, $E$13) + CHOOSE(CONTROL!$C$28, 0.0003, 0)</f>
        <v>14.2744</v>
      </c>
      <c r="C86" s="4">
        <f>13.9616 * CHOOSE(CONTROL!$C$9, $C$13, 100%, $E$13) + CHOOSE(CONTROL!$C$28, 0.0003, 0)</f>
        <v>13.9619</v>
      </c>
      <c r="D86" s="4">
        <f>19.7408 * CHOOSE(CONTROL!$C$9, $C$13, 100%, $E$13) + CHOOSE(CONTROL!$C$28, 0, 0)</f>
        <v>19.7408</v>
      </c>
      <c r="E86" s="4">
        <f>83.2276476861318 * CHOOSE(CONTROL!$C$9, $C$13, 100%, $E$13) + CHOOSE(CONTROL!$C$28, 0, 0)</f>
        <v>83.227647686131803</v>
      </c>
    </row>
    <row r="87" spans="1:5" ht="15">
      <c r="A87" s="13">
        <v>44136</v>
      </c>
      <c r="B87" s="4">
        <f>13.9997 * CHOOSE(CONTROL!$C$9, $C$13, 100%, $E$13) + CHOOSE(CONTROL!$C$28, 0.0003, 0)</f>
        <v>14</v>
      </c>
      <c r="C87" s="4">
        <f>13.6872 * CHOOSE(CONTROL!$C$9, $C$13, 100%, $E$13) + CHOOSE(CONTROL!$C$28, 0.0003, 0)</f>
        <v>13.6875</v>
      </c>
      <c r="D87" s="4">
        <f>19.6536 * CHOOSE(CONTROL!$C$9, $C$13, 100%, $E$13) + CHOOSE(CONTROL!$C$28, 0, 0)</f>
        <v>19.653600000000001</v>
      </c>
      <c r="E87" s="4">
        <f>81.3853932105977 * CHOOSE(CONTROL!$C$9, $C$13, 100%, $E$13) + CHOOSE(CONTROL!$C$28, 0, 0)</f>
        <v>81.385393210597698</v>
      </c>
    </row>
    <row r="88" spans="1:5" ht="15">
      <c r="A88" s="13">
        <v>44166</v>
      </c>
      <c r="B88" s="4">
        <f>13.8098 * CHOOSE(CONTROL!$C$9, $C$13, 100%, $E$13) + CHOOSE(CONTROL!$C$28, 0.0003, 0)</f>
        <v>13.810099999999998</v>
      </c>
      <c r="C88" s="4">
        <f>13.4973 * CHOOSE(CONTROL!$C$9, $C$13, 100%, $E$13) + CHOOSE(CONTROL!$C$28, 0.0003, 0)</f>
        <v>13.497599999999998</v>
      </c>
      <c r="D88" s="4">
        <f>19.0118 * CHOOSE(CONTROL!$C$9, $C$13, 100%, $E$13) + CHOOSE(CONTROL!$C$28, 0, 0)</f>
        <v>19.011800000000001</v>
      </c>
      <c r="E88" s="4">
        <f>80.1107899250676 * CHOOSE(CONTROL!$C$9, $C$13, 100%, $E$13) + CHOOSE(CONTROL!$C$28, 0, 0)</f>
        <v>80.110789925067607</v>
      </c>
    </row>
    <row r="89" spans="1:5" ht="15">
      <c r="A89" s="13">
        <v>44197</v>
      </c>
      <c r="B89" s="4">
        <f>13.7765 * CHOOSE(CONTROL!$C$9, $C$13, 100%, $E$13) + CHOOSE(CONTROL!$C$28, 0.0003, 0)</f>
        <v>13.7768</v>
      </c>
      <c r="C89" s="4">
        <f>13.464 * CHOOSE(CONTROL!$C$9, $C$13, 100%, $E$13) + CHOOSE(CONTROL!$C$28, 0.0003, 0)</f>
        <v>13.4643</v>
      </c>
      <c r="D89" s="4">
        <f>18.6637 * CHOOSE(CONTROL!$C$9, $C$13, 100%, $E$13) + CHOOSE(CONTROL!$C$28, 0, 0)</f>
        <v>18.663699999999999</v>
      </c>
      <c r="E89" s="4">
        <f>78.4971529461751 * CHOOSE(CONTROL!$C$9, $C$13, 100%, $E$13) + CHOOSE(CONTROL!$C$28, 0, 0)</f>
        <v>78.497152946175106</v>
      </c>
    </row>
    <row r="90" spans="1:5" ht="15">
      <c r="A90" s="13">
        <v>44228</v>
      </c>
      <c r="B90" s="4">
        <f>14.0591 * CHOOSE(CONTROL!$C$9, $C$13, 100%, $E$13) + CHOOSE(CONTROL!$C$28, 0.0003, 0)</f>
        <v>14.0594</v>
      </c>
      <c r="C90" s="4">
        <f>13.7466 * CHOOSE(CONTROL!$C$9, $C$13, 100%, $E$13) + CHOOSE(CONTROL!$C$28, 0.0003, 0)</f>
        <v>13.7469</v>
      </c>
      <c r="D90" s="4">
        <f>19.2663 * CHOOSE(CONTROL!$C$9, $C$13, 100%, $E$13) + CHOOSE(CONTROL!$C$28, 0, 0)</f>
        <v>19.266300000000001</v>
      </c>
      <c r="E90" s="4">
        <f>80.3609847072885 * CHOOSE(CONTROL!$C$9, $C$13, 100%, $E$13) + CHOOSE(CONTROL!$C$28, 0, 0)</f>
        <v>80.360984707288495</v>
      </c>
    </row>
    <row r="91" spans="1:5" ht="15">
      <c r="A91" s="13">
        <v>44256</v>
      </c>
      <c r="B91" s="4">
        <f>14.8012 * CHOOSE(CONTROL!$C$9, $C$13, 100%, $E$13) + CHOOSE(CONTROL!$C$28, 0.0003, 0)</f>
        <v>14.801499999999999</v>
      </c>
      <c r="C91" s="4">
        <f>14.4887 * CHOOSE(CONTROL!$C$9, $C$13, 100%, $E$13) + CHOOSE(CONTROL!$C$28, 0.0003, 0)</f>
        <v>14.488999999999999</v>
      </c>
      <c r="D91" s="4">
        <f>20.2096 * CHOOSE(CONTROL!$C$9, $C$13, 100%, $E$13) + CHOOSE(CONTROL!$C$28, 0, 0)</f>
        <v>20.209599999999998</v>
      </c>
      <c r="E91" s="4">
        <f>85.2555059620072 * CHOOSE(CONTROL!$C$9, $C$13, 100%, $E$13) + CHOOSE(CONTROL!$C$28, 0, 0)</f>
        <v>85.255505962007206</v>
      </c>
    </row>
    <row r="92" spans="1:5" ht="15">
      <c r="A92" s="13">
        <v>44287</v>
      </c>
      <c r="B92" s="4">
        <f>15.3285 * CHOOSE(CONTROL!$C$9, $C$13, 100%, $E$13) + CHOOSE(CONTROL!$C$28, 0.0003, 0)</f>
        <v>15.328799999999999</v>
      </c>
      <c r="C92" s="4">
        <f>15.016 * CHOOSE(CONTROL!$C$9, $C$13, 100%, $E$13) + CHOOSE(CONTROL!$C$28, 0.0003, 0)</f>
        <v>15.016299999999999</v>
      </c>
      <c r="D92" s="4">
        <f>20.7529 * CHOOSE(CONTROL!$C$9, $C$13, 100%, $E$13) + CHOOSE(CONTROL!$C$28, 0, 0)</f>
        <v>20.7529</v>
      </c>
      <c r="E92" s="4">
        <f>88.733128541557 * CHOOSE(CONTROL!$C$9, $C$13, 100%, $E$13) + CHOOSE(CONTROL!$C$28, 0, 0)</f>
        <v>88.733128541556994</v>
      </c>
    </row>
    <row r="93" spans="1:5" ht="15">
      <c r="A93" s="13">
        <v>44317</v>
      </c>
      <c r="B93" s="4">
        <f>15.6507 * CHOOSE(CONTROL!$C$9, $C$13, 100%, $E$13) + CHOOSE(CONTROL!$C$28, 0.0181, 0)</f>
        <v>15.668800000000001</v>
      </c>
      <c r="C93" s="4">
        <f>15.3382 * CHOOSE(CONTROL!$C$9, $C$13, 100%, $E$13) + CHOOSE(CONTROL!$C$28, 0.0181, 0)</f>
        <v>15.356300000000001</v>
      </c>
      <c r="D93" s="4">
        <f>20.5382 * CHOOSE(CONTROL!$C$9, $C$13, 100%, $E$13) + CHOOSE(CONTROL!$C$28, 0, 0)</f>
        <v>20.5382</v>
      </c>
      <c r="E93" s="4">
        <f>90.857872590681 * CHOOSE(CONTROL!$C$9, $C$13, 100%, $E$13) + CHOOSE(CONTROL!$C$28, 0, 0)</f>
        <v>90.857872590680998</v>
      </c>
    </row>
    <row r="94" spans="1:5" ht="15">
      <c r="A94" s="13">
        <v>44348</v>
      </c>
      <c r="B94" s="4">
        <f>15.6942 * CHOOSE(CONTROL!$C$9, $C$13, 100%, $E$13) + CHOOSE(CONTROL!$C$28, 0.0181, 0)</f>
        <v>15.712300000000001</v>
      </c>
      <c r="C94" s="4">
        <f>15.3817 * CHOOSE(CONTROL!$C$9, $C$13, 100%, $E$13) + CHOOSE(CONTROL!$C$28, 0.0181, 0)</f>
        <v>15.399800000000001</v>
      </c>
      <c r="D94" s="4">
        <f>20.7131 * CHOOSE(CONTROL!$C$9, $C$13, 100%, $E$13) + CHOOSE(CONTROL!$C$28, 0, 0)</f>
        <v>20.713100000000001</v>
      </c>
      <c r="E94" s="4">
        <f>91.1453592783964 * CHOOSE(CONTROL!$C$9, $C$13, 100%, $E$13) + CHOOSE(CONTROL!$C$28, 0, 0)</f>
        <v>91.145359278396398</v>
      </c>
    </row>
    <row r="95" spans="1:5" ht="15">
      <c r="A95" s="13">
        <v>44378</v>
      </c>
      <c r="B95" s="4">
        <f>15.6898 * CHOOSE(CONTROL!$C$9, $C$13, 100%, $E$13) + CHOOSE(CONTROL!$C$28, 0.0181, 0)</f>
        <v>15.7079</v>
      </c>
      <c r="C95" s="4">
        <f>15.3773 * CHOOSE(CONTROL!$C$9, $C$13, 100%, $E$13) + CHOOSE(CONTROL!$C$28, 0.0181, 0)</f>
        <v>15.3954</v>
      </c>
      <c r="D95" s="4">
        <f>21.0286 * CHOOSE(CONTROL!$C$9, $C$13, 100%, $E$13) + CHOOSE(CONTROL!$C$28, 0, 0)</f>
        <v>21.028600000000001</v>
      </c>
      <c r="E95" s="4">
        <f>91.116369024173 * CHOOSE(CONTROL!$C$9, $C$13, 100%, $E$13) + CHOOSE(CONTROL!$C$28, 0, 0)</f>
        <v>91.116369024172997</v>
      </c>
    </row>
    <row r="96" spans="1:5" ht="15">
      <c r="A96" s="13">
        <v>44409</v>
      </c>
      <c r="B96" s="4">
        <f>16.0206 * CHOOSE(CONTROL!$C$9, $C$13, 100%, $E$13) + CHOOSE(CONTROL!$C$28, 0.0181, 0)</f>
        <v>16.038700000000002</v>
      </c>
      <c r="C96" s="4">
        <f>15.7081 * CHOOSE(CONTROL!$C$9, $C$13, 100%, $E$13) + CHOOSE(CONTROL!$C$28, 0.0181, 0)</f>
        <v>15.7262</v>
      </c>
      <c r="D96" s="4">
        <f>20.8202 * CHOOSE(CONTROL!$C$9, $C$13, 100%, $E$13) + CHOOSE(CONTROL!$C$28, 0, 0)</f>
        <v>20.8202</v>
      </c>
      <c r="E96" s="4">
        <f>93.2978856544845 * CHOOSE(CONTROL!$C$9, $C$13, 100%, $E$13) + CHOOSE(CONTROL!$C$28, 0, 0)</f>
        <v>93.297885654484503</v>
      </c>
    </row>
    <row r="97" spans="1:5" ht="15">
      <c r="A97" s="13">
        <v>44440</v>
      </c>
      <c r="B97" s="4">
        <f>15.4569 * CHOOSE(CONTROL!$C$9, $C$13, 100%, $E$13) + CHOOSE(CONTROL!$C$28, 0.0181, 0)</f>
        <v>15.475</v>
      </c>
      <c r="C97" s="4">
        <f>15.1444 * CHOOSE(CONTROL!$C$9, $C$13, 100%, $E$13) + CHOOSE(CONTROL!$C$28, 0.0181, 0)</f>
        <v>15.1625</v>
      </c>
      <c r="D97" s="4">
        <f>20.7218 * CHOOSE(CONTROL!$C$9, $C$13, 100%, $E$13) + CHOOSE(CONTROL!$C$28, 0, 0)</f>
        <v>20.721800000000002</v>
      </c>
      <c r="E97" s="4">
        <f>89.5798855503324 * CHOOSE(CONTROL!$C$9, $C$13, 100%, $E$13) + CHOOSE(CONTROL!$C$28, 0, 0)</f>
        <v>89.579885550332406</v>
      </c>
    </row>
    <row r="98" spans="1:5" ht="15">
      <c r="A98" s="13">
        <v>44470</v>
      </c>
      <c r="B98" s="4">
        <f>15.0056 * CHOOSE(CONTROL!$C$9, $C$13, 100%, $E$13) + CHOOSE(CONTROL!$C$28, 0.0003, 0)</f>
        <v>15.005899999999999</v>
      </c>
      <c r="C98" s="4">
        <f>14.6931 * CHOOSE(CONTROL!$C$9, $C$13, 100%, $E$13) + CHOOSE(CONTROL!$C$28, 0.0003, 0)</f>
        <v>14.693399999999999</v>
      </c>
      <c r="D98" s="4">
        <f>20.4582 * CHOOSE(CONTROL!$C$9, $C$13, 100%, $E$13) + CHOOSE(CONTROL!$C$28, 0, 0)</f>
        <v>20.458200000000001</v>
      </c>
      <c r="E98" s="4">
        <f>86.6035527833958 * CHOOSE(CONTROL!$C$9, $C$13, 100%, $E$13) + CHOOSE(CONTROL!$C$28, 0, 0)</f>
        <v>86.603552783395799</v>
      </c>
    </row>
    <row r="99" spans="1:5" ht="15">
      <c r="A99" s="13">
        <v>44501</v>
      </c>
      <c r="B99" s="4">
        <f>14.715 * CHOOSE(CONTROL!$C$9, $C$13, 100%, $E$13) + CHOOSE(CONTROL!$C$28, 0.0003, 0)</f>
        <v>14.715299999999999</v>
      </c>
      <c r="C99" s="4">
        <f>14.4025 * CHOOSE(CONTROL!$C$9, $C$13, 100%, $E$13) + CHOOSE(CONTROL!$C$28, 0.0003, 0)</f>
        <v>14.402799999999999</v>
      </c>
      <c r="D99" s="4">
        <f>20.3676 * CHOOSE(CONTROL!$C$9, $C$13, 100%, $E$13) + CHOOSE(CONTROL!$C$28, 0, 0)</f>
        <v>20.367599999999999</v>
      </c>
      <c r="E99" s="4">
        <f>84.6865722228729 * CHOOSE(CONTROL!$C$9, $C$13, 100%, $E$13) + CHOOSE(CONTROL!$C$28, 0, 0)</f>
        <v>84.686572222872897</v>
      </c>
    </row>
    <row r="100" spans="1:5" ht="15">
      <c r="A100" s="13">
        <v>44531</v>
      </c>
      <c r="B100" s="4">
        <f>14.5139 * CHOOSE(CONTROL!$C$9, $C$13, 100%, $E$13) + CHOOSE(CONTROL!$C$28, 0.0003, 0)</f>
        <v>14.514199999999999</v>
      </c>
      <c r="C100" s="4">
        <f>14.2014 * CHOOSE(CONTROL!$C$9, $C$13, 100%, $E$13) + CHOOSE(CONTROL!$C$28, 0.0003, 0)</f>
        <v>14.201699999999999</v>
      </c>
      <c r="D100" s="4">
        <f>19.7004 * CHOOSE(CONTROL!$C$9, $C$13, 100%, $E$13) + CHOOSE(CONTROL!$C$28, 0, 0)</f>
        <v>19.700399999999998</v>
      </c>
      <c r="E100" s="4">
        <f>83.3602680921519 * CHOOSE(CONTROL!$C$9, $C$13, 100%, $E$13) + CHOOSE(CONTROL!$C$28, 0, 0)</f>
        <v>83.360268092151898</v>
      </c>
    </row>
    <row r="101" spans="1:5" ht="15">
      <c r="A101" s="13">
        <v>44562</v>
      </c>
      <c r="B101" s="4">
        <f>14.2688 * CHOOSE(CONTROL!$C$9, $C$13, 100%, $E$13) + CHOOSE(CONTROL!$C$28, 0.0003, 0)</f>
        <v>14.2691</v>
      </c>
      <c r="C101" s="4">
        <f>13.9563 * CHOOSE(CONTROL!$C$9, $C$13, 100%, $E$13) + CHOOSE(CONTROL!$C$28, 0.0003, 0)</f>
        <v>13.9566</v>
      </c>
      <c r="D101" s="4">
        <f>19.3506 * CHOOSE(CONTROL!$C$9, $C$13, 100%, $E$13) + CHOOSE(CONTROL!$C$28, 0, 0)</f>
        <v>19.3506</v>
      </c>
      <c r="E101" s="4">
        <f>81.5745338662004 * CHOOSE(CONTROL!$C$9, $C$13, 100%, $E$13) + CHOOSE(CONTROL!$C$28, 0, 0)</f>
        <v>81.574533866200397</v>
      </c>
    </row>
    <row r="102" spans="1:5" ht="15">
      <c r="A102" s="13">
        <v>44593</v>
      </c>
      <c r="B102" s="4">
        <f>14.5631 * CHOOSE(CONTROL!$C$9, $C$13, 100%, $E$13) + CHOOSE(CONTROL!$C$28, 0.0003, 0)</f>
        <v>14.5634</v>
      </c>
      <c r="C102" s="4">
        <f>14.2506 * CHOOSE(CONTROL!$C$9, $C$13, 100%, $E$13) + CHOOSE(CONTROL!$C$28, 0.0003, 0)</f>
        <v>14.2509</v>
      </c>
      <c r="D102" s="4">
        <f>19.9774 * CHOOSE(CONTROL!$C$9, $C$13, 100%, $E$13) + CHOOSE(CONTROL!$C$28, 0, 0)</f>
        <v>19.977399999999999</v>
      </c>
      <c r="E102" s="4">
        <f>83.5114347780346 * CHOOSE(CONTROL!$C$9, $C$13, 100%, $E$13) + CHOOSE(CONTROL!$C$28, 0, 0)</f>
        <v>83.511434778034598</v>
      </c>
    </row>
    <row r="103" spans="1:5" ht="15">
      <c r="A103" s="13">
        <v>44621</v>
      </c>
      <c r="B103" s="4">
        <f>15.3359 * CHOOSE(CONTROL!$C$9, $C$13, 100%, $E$13) + CHOOSE(CONTROL!$C$28, 0.0003, 0)</f>
        <v>15.3362</v>
      </c>
      <c r="C103" s="4">
        <f>15.0234 * CHOOSE(CONTROL!$C$9, $C$13, 100%, $E$13) + CHOOSE(CONTROL!$C$28, 0.0003, 0)</f>
        <v>15.0237</v>
      </c>
      <c r="D103" s="4">
        <f>20.9586 * CHOOSE(CONTROL!$C$9, $C$13, 100%, $E$13) + CHOOSE(CONTROL!$C$28, 0, 0)</f>
        <v>20.958600000000001</v>
      </c>
      <c r="E103" s="4">
        <f>88.597839505677 * CHOOSE(CONTROL!$C$9, $C$13, 100%, $E$13) + CHOOSE(CONTROL!$C$28, 0, 0)</f>
        <v>88.597839505677001</v>
      </c>
    </row>
    <row r="104" spans="1:5" ht="15">
      <c r="A104" s="13">
        <v>44652</v>
      </c>
      <c r="B104" s="4">
        <f>15.8849 * CHOOSE(CONTROL!$C$9, $C$13, 100%, $E$13) + CHOOSE(CONTROL!$C$28, 0.0003, 0)</f>
        <v>15.885199999999999</v>
      </c>
      <c r="C104" s="4">
        <f>15.5724 * CHOOSE(CONTROL!$C$9, $C$13, 100%, $E$13) + CHOOSE(CONTROL!$C$28, 0.0003, 0)</f>
        <v>15.572699999999999</v>
      </c>
      <c r="D104" s="4">
        <f>21.5238 * CHOOSE(CONTROL!$C$9, $C$13, 100%, $E$13) + CHOOSE(CONTROL!$C$28, 0, 0)</f>
        <v>21.523800000000001</v>
      </c>
      <c r="E104" s="4">
        <f>92.2117978499225 * CHOOSE(CONTROL!$C$9, $C$13, 100%, $E$13) + CHOOSE(CONTROL!$C$28, 0, 0)</f>
        <v>92.211797849922505</v>
      </c>
    </row>
    <row r="105" spans="1:5" ht="15">
      <c r="A105" s="13">
        <v>44682</v>
      </c>
      <c r="B105" s="4">
        <f>16.2204 * CHOOSE(CONTROL!$C$9, $C$13, 100%, $E$13) + CHOOSE(CONTROL!$C$28, 0.0181, 0)</f>
        <v>16.238500000000002</v>
      </c>
      <c r="C105" s="4">
        <f>15.9079 * CHOOSE(CONTROL!$C$9, $C$13, 100%, $E$13) + CHOOSE(CONTROL!$C$28, 0.0181, 0)</f>
        <v>15.926</v>
      </c>
      <c r="D105" s="4">
        <f>21.3005 * CHOOSE(CONTROL!$C$9, $C$13, 100%, $E$13) + CHOOSE(CONTROL!$C$28, 0, 0)</f>
        <v>21.3005</v>
      </c>
      <c r="E105" s="4">
        <f>94.4198397837633 * CHOOSE(CONTROL!$C$9, $C$13, 100%, $E$13) + CHOOSE(CONTROL!$C$28, 0, 0)</f>
        <v>94.419839783763294</v>
      </c>
    </row>
    <row r="106" spans="1:5" ht="15">
      <c r="A106" s="13">
        <v>44713</v>
      </c>
      <c r="B106" s="4">
        <f>16.2658 * CHOOSE(CONTROL!$C$9, $C$13, 100%, $E$13) + CHOOSE(CONTROL!$C$28, 0.0181, 0)</f>
        <v>16.283899999999999</v>
      </c>
      <c r="C106" s="4">
        <f>15.9533 * CHOOSE(CONTROL!$C$9, $C$13, 100%, $E$13) + CHOOSE(CONTROL!$C$28, 0.0181, 0)</f>
        <v>15.971400000000001</v>
      </c>
      <c r="D106" s="4">
        <f>21.4824 * CHOOSE(CONTROL!$C$9, $C$13, 100%, $E$13) + CHOOSE(CONTROL!$C$28, 0, 0)</f>
        <v>21.482399999999998</v>
      </c>
      <c r="E106" s="4">
        <f>94.7185970209743 * CHOOSE(CONTROL!$C$9, $C$13, 100%, $E$13) + CHOOSE(CONTROL!$C$28, 0, 0)</f>
        <v>94.7185970209743</v>
      </c>
    </row>
    <row r="107" spans="1:5" ht="15">
      <c r="A107" s="13">
        <v>44743</v>
      </c>
      <c r="B107" s="4">
        <f>16.2612 * CHOOSE(CONTROL!$C$9, $C$13, 100%, $E$13) + CHOOSE(CONTROL!$C$28, 0.0181, 0)</f>
        <v>16.279299999999999</v>
      </c>
      <c r="C107" s="4">
        <f>15.9487 * CHOOSE(CONTROL!$C$9, $C$13, 100%, $E$13) + CHOOSE(CONTROL!$C$28, 0.0181, 0)</f>
        <v>15.966800000000001</v>
      </c>
      <c r="D107" s="4">
        <f>21.8106 * CHOOSE(CONTROL!$C$9, $C$13, 100%, $E$13) + CHOOSE(CONTROL!$C$28, 0, 0)</f>
        <v>21.810600000000001</v>
      </c>
      <c r="E107" s="4">
        <f>94.6884702407514 * CHOOSE(CONTROL!$C$9, $C$13, 100%, $E$13) + CHOOSE(CONTROL!$C$28, 0, 0)</f>
        <v>94.6884702407514</v>
      </c>
    </row>
    <row r="108" spans="1:5" ht="15">
      <c r="A108" s="13">
        <v>44774</v>
      </c>
      <c r="B108" s="4">
        <f>16.6057 * CHOOSE(CONTROL!$C$9, $C$13, 100%, $E$13) + CHOOSE(CONTROL!$C$28, 0.0181, 0)</f>
        <v>16.623799999999999</v>
      </c>
      <c r="C108" s="4">
        <f>16.2932 * CHOOSE(CONTROL!$C$9, $C$13, 100%, $E$13) + CHOOSE(CONTROL!$C$28, 0.0181, 0)</f>
        <v>16.311299999999999</v>
      </c>
      <c r="D108" s="4">
        <f>21.5938 * CHOOSE(CONTROL!$C$9, $C$13, 100%, $E$13) + CHOOSE(CONTROL!$C$28, 0, 0)</f>
        <v>21.593800000000002</v>
      </c>
      <c r="E108" s="4">
        <f>96.9555104525288 * CHOOSE(CONTROL!$C$9, $C$13, 100%, $E$13) + CHOOSE(CONTROL!$C$28, 0, 0)</f>
        <v>96.955510452528799</v>
      </c>
    </row>
    <row r="109" spans="1:5" ht="15">
      <c r="A109" s="13">
        <v>44805</v>
      </c>
      <c r="B109" s="4">
        <f>16.0186 * CHOOSE(CONTROL!$C$9, $C$13, 100%, $E$13) + CHOOSE(CONTROL!$C$28, 0.0181, 0)</f>
        <v>16.0367</v>
      </c>
      <c r="C109" s="4">
        <f>15.7061 * CHOOSE(CONTROL!$C$9, $C$13, 100%, $E$13) + CHOOSE(CONTROL!$C$28, 0.0181, 0)</f>
        <v>15.7242</v>
      </c>
      <c r="D109" s="4">
        <f>21.4914 * CHOOSE(CONTROL!$C$9, $C$13, 100%, $E$13) + CHOOSE(CONTROL!$C$28, 0, 0)</f>
        <v>21.491399999999999</v>
      </c>
      <c r="E109" s="4">
        <f>93.0917508889347 * CHOOSE(CONTROL!$C$9, $C$13, 100%, $E$13) + CHOOSE(CONTROL!$C$28, 0, 0)</f>
        <v>93.091750888934698</v>
      </c>
    </row>
    <row r="110" spans="1:5" ht="15">
      <c r="A110" s="13">
        <v>44835</v>
      </c>
      <c r="B110" s="4">
        <f>15.5487 * CHOOSE(CONTROL!$C$9, $C$13, 100%, $E$13) + CHOOSE(CONTROL!$C$28, 0.0003, 0)</f>
        <v>15.548999999999999</v>
      </c>
      <c r="C110" s="4">
        <f>15.2362 * CHOOSE(CONTROL!$C$9, $C$13, 100%, $E$13) + CHOOSE(CONTROL!$C$28, 0.0003, 0)</f>
        <v>15.236499999999999</v>
      </c>
      <c r="D110" s="4">
        <f>21.2172 * CHOOSE(CONTROL!$C$9, $C$13, 100%, $E$13) + CHOOSE(CONTROL!$C$28, 0, 0)</f>
        <v>21.217199999999998</v>
      </c>
      <c r="E110" s="4">
        <f>89.9987347860445 * CHOOSE(CONTROL!$C$9, $C$13, 100%, $E$13) + CHOOSE(CONTROL!$C$28, 0, 0)</f>
        <v>89.998734786044494</v>
      </c>
    </row>
    <row r="111" spans="1:5" ht="15">
      <c r="A111" s="13">
        <v>44866</v>
      </c>
      <c r="B111" s="4">
        <f>15.246 * CHOOSE(CONTROL!$C$9, $C$13, 100%, $E$13) + CHOOSE(CONTROL!$C$28, 0.0003, 0)</f>
        <v>15.2463</v>
      </c>
      <c r="C111" s="4">
        <f>14.9335 * CHOOSE(CONTROL!$C$9, $C$13, 100%, $E$13) + CHOOSE(CONTROL!$C$28, 0.0003, 0)</f>
        <v>14.9338</v>
      </c>
      <c r="D111" s="4">
        <f>21.123 * CHOOSE(CONTROL!$C$9, $C$13, 100%, $E$13) + CHOOSE(CONTROL!$C$28, 0, 0)</f>
        <v>21.123000000000001</v>
      </c>
      <c r="E111" s="4">
        <f>88.0066014438015 * CHOOSE(CONTROL!$C$9, $C$13, 100%, $E$13) + CHOOSE(CONTROL!$C$28, 0, 0)</f>
        <v>88.0066014438015</v>
      </c>
    </row>
    <row r="112" spans="1:5" ht="15">
      <c r="A112" s="13">
        <v>44896</v>
      </c>
      <c r="B112" s="4">
        <f>15.0366 * CHOOSE(CONTROL!$C$9, $C$13, 100%, $E$13) + CHOOSE(CONTROL!$C$28, 0.0003, 0)</f>
        <v>15.036899999999999</v>
      </c>
      <c r="C112" s="4">
        <f>14.7241 * CHOOSE(CONTROL!$C$9, $C$13, 100%, $E$13) + CHOOSE(CONTROL!$C$28, 0.0003, 0)</f>
        <v>14.724399999999999</v>
      </c>
      <c r="D112" s="4">
        <f>20.4289 * CHOOSE(CONTROL!$C$9, $C$13, 100%, $E$13) + CHOOSE(CONTROL!$C$28, 0, 0)</f>
        <v>20.428899999999999</v>
      </c>
      <c r="E112" s="4">
        <f>86.6283012486013 * CHOOSE(CONTROL!$C$9, $C$13, 100%, $E$13) + CHOOSE(CONTROL!$C$28, 0, 0)</f>
        <v>86.628301248601304</v>
      </c>
    </row>
    <row r="113" spans="1:5" ht="15">
      <c r="A113" s="13">
        <v>44927</v>
      </c>
      <c r="B113" s="4">
        <f>14.8408 * CHOOSE(CONTROL!$C$9, $C$13, 100%, $E$13) + CHOOSE(CONTROL!$C$28, 0.0003, 0)</f>
        <v>14.841099999999999</v>
      </c>
      <c r="C113" s="4">
        <f>14.5283 * CHOOSE(CONTROL!$C$9, $C$13, 100%, $E$13) + CHOOSE(CONTROL!$C$28, 0.0003, 0)</f>
        <v>14.528599999999999</v>
      </c>
      <c r="D113" s="4">
        <f>20.1236 * CHOOSE(CONTROL!$C$9, $C$13, 100%, $E$13) + CHOOSE(CONTROL!$C$28, 0, 0)</f>
        <v>20.1236</v>
      </c>
      <c r="E113" s="4">
        <f>84.7897734403928 * CHOOSE(CONTROL!$C$9, $C$13, 100%, $E$13) + CHOOSE(CONTROL!$C$28, 0, 0)</f>
        <v>84.789773440392807</v>
      </c>
    </row>
    <row r="114" spans="1:5" ht="15">
      <c r="A114" s="13">
        <v>44958</v>
      </c>
      <c r="B114" s="4">
        <f>15.1486 * CHOOSE(CONTROL!$C$9, $C$13, 100%, $E$13) + CHOOSE(CONTROL!$C$28, 0.0003, 0)</f>
        <v>15.148899999999999</v>
      </c>
      <c r="C114" s="4">
        <f>14.8361 * CHOOSE(CONTROL!$C$9, $C$13, 100%, $E$13) + CHOOSE(CONTROL!$C$28, 0.0003, 0)</f>
        <v>14.836399999999999</v>
      </c>
      <c r="D114" s="4">
        <f>20.7777 * CHOOSE(CONTROL!$C$9, $C$13, 100%, $E$13) + CHOOSE(CONTROL!$C$28, 0, 0)</f>
        <v>20.777699999999999</v>
      </c>
      <c r="E114" s="4">
        <f>86.8030168106864 * CHOOSE(CONTROL!$C$9, $C$13, 100%, $E$13) + CHOOSE(CONTROL!$C$28, 0, 0)</f>
        <v>86.803016810686401</v>
      </c>
    </row>
    <row r="115" spans="1:5" ht="15">
      <c r="A115" s="13">
        <v>44986</v>
      </c>
      <c r="B115" s="4">
        <f>15.9571 * CHOOSE(CONTROL!$C$9, $C$13, 100%, $E$13) + CHOOSE(CONTROL!$C$28, 0.0003, 0)</f>
        <v>15.9574</v>
      </c>
      <c r="C115" s="4">
        <f>15.6446 * CHOOSE(CONTROL!$C$9, $C$13, 100%, $E$13) + CHOOSE(CONTROL!$C$28, 0.0003, 0)</f>
        <v>15.6449</v>
      </c>
      <c r="D115" s="4">
        <f>21.8016 * CHOOSE(CONTROL!$C$9, $C$13, 100%, $E$13) + CHOOSE(CONTROL!$C$28, 0, 0)</f>
        <v>21.801600000000001</v>
      </c>
      <c r="E115" s="4">
        <f>92.0899008913276 * CHOOSE(CONTROL!$C$9, $C$13, 100%, $E$13) + CHOOSE(CONTROL!$C$28, 0, 0)</f>
        <v>92.089900891327602</v>
      </c>
    </row>
    <row r="116" spans="1:5" ht="15">
      <c r="A116" s="13">
        <v>45017</v>
      </c>
      <c r="B116" s="4">
        <f>16.5315 * CHOOSE(CONTROL!$C$9, $C$13, 100%, $E$13) + CHOOSE(CONTROL!$C$28, 0.0003, 0)</f>
        <v>16.5318</v>
      </c>
      <c r="C116" s="4">
        <f>16.219 * CHOOSE(CONTROL!$C$9, $C$13, 100%, $E$13) + CHOOSE(CONTROL!$C$28, 0.0003, 0)</f>
        <v>16.2193</v>
      </c>
      <c r="D116" s="4">
        <f>22.3914 * CHOOSE(CONTROL!$C$9, $C$13, 100%, $E$13) + CHOOSE(CONTROL!$C$28, 0, 0)</f>
        <v>22.391400000000001</v>
      </c>
      <c r="E116" s="4">
        <f>95.8463024876174 * CHOOSE(CONTROL!$C$9, $C$13, 100%, $E$13) + CHOOSE(CONTROL!$C$28, 0, 0)</f>
        <v>95.846302487617393</v>
      </c>
    </row>
    <row r="117" spans="1:5" ht="15">
      <c r="A117" s="13">
        <v>45047</v>
      </c>
      <c r="B117" s="4">
        <f>16.8825 * CHOOSE(CONTROL!$C$9, $C$13, 100%, $E$13) + CHOOSE(CONTROL!$C$28, 0.0181, 0)</f>
        <v>16.900600000000001</v>
      </c>
      <c r="C117" s="4">
        <f>16.57 * CHOOSE(CONTROL!$C$9, $C$13, 100%, $E$13) + CHOOSE(CONTROL!$C$28, 0.0181, 0)</f>
        <v>16.588100000000001</v>
      </c>
      <c r="D117" s="4">
        <f>22.1584 * CHOOSE(CONTROL!$C$9, $C$13, 100%, $E$13) + CHOOSE(CONTROL!$C$28, 0, 0)</f>
        <v>22.1584</v>
      </c>
      <c r="E117" s="4">
        <f>98.141373834569 * CHOOSE(CONTROL!$C$9, $C$13, 100%, $E$13) + CHOOSE(CONTROL!$C$28, 0, 0)</f>
        <v>98.141373834568995</v>
      </c>
    </row>
    <row r="118" spans="1:5" ht="15">
      <c r="A118" s="13">
        <v>45078</v>
      </c>
      <c r="B118" s="4">
        <f>16.9299 * CHOOSE(CONTROL!$C$9, $C$13, 100%, $E$13) + CHOOSE(CONTROL!$C$28, 0.0181, 0)</f>
        <v>16.948</v>
      </c>
      <c r="C118" s="4">
        <f>16.6174 * CHOOSE(CONTROL!$C$9, $C$13, 100%, $E$13) + CHOOSE(CONTROL!$C$28, 0.0181, 0)</f>
        <v>16.6355</v>
      </c>
      <c r="D118" s="4">
        <f>22.3482 * CHOOSE(CONTROL!$C$9, $C$13, 100%, $E$13) + CHOOSE(CONTROL!$C$28, 0, 0)</f>
        <v>22.348199999999999</v>
      </c>
      <c r="E118" s="4">
        <f>98.4519065125534 * CHOOSE(CONTROL!$C$9, $C$13, 100%, $E$13) + CHOOSE(CONTROL!$C$28, 0, 0)</f>
        <v>98.451906512553407</v>
      </c>
    </row>
    <row r="119" spans="1:5" ht="15">
      <c r="A119" s="13">
        <v>45108</v>
      </c>
      <c r="B119" s="4">
        <f>16.9252 * CHOOSE(CONTROL!$C$9, $C$13, 100%, $E$13) + CHOOSE(CONTROL!$C$28, 0.0181, 0)</f>
        <v>16.943300000000001</v>
      </c>
      <c r="C119" s="4">
        <f>16.6127 * CHOOSE(CONTROL!$C$9, $C$13, 100%, $E$13) + CHOOSE(CONTROL!$C$28, 0.0181, 0)</f>
        <v>16.630800000000001</v>
      </c>
      <c r="D119" s="4">
        <f>22.6907 * CHOOSE(CONTROL!$C$9, $C$13, 100%, $E$13) + CHOOSE(CONTROL!$C$28, 0, 0)</f>
        <v>22.6907</v>
      </c>
      <c r="E119" s="4">
        <f>98.4205922929247 * CHOOSE(CONTROL!$C$9, $C$13, 100%, $E$13) + CHOOSE(CONTROL!$C$28, 0, 0)</f>
        <v>98.420592292924695</v>
      </c>
    </row>
    <row r="120" spans="1:5" ht="15">
      <c r="A120" s="13">
        <v>45139</v>
      </c>
      <c r="B120" s="4">
        <f>17.2855 * CHOOSE(CONTROL!$C$9, $C$13, 100%, $E$13) + CHOOSE(CONTROL!$C$28, 0.0181, 0)</f>
        <v>17.303599999999999</v>
      </c>
      <c r="C120" s="4">
        <f>16.973 * CHOOSE(CONTROL!$C$9, $C$13, 100%, $E$13) + CHOOSE(CONTROL!$C$28, 0.0181, 0)</f>
        <v>16.991099999999999</v>
      </c>
      <c r="D120" s="4">
        <f>22.4645 * CHOOSE(CONTROL!$C$9, $C$13, 100%, $E$13) + CHOOSE(CONTROL!$C$28, 0, 0)</f>
        <v>22.464500000000001</v>
      </c>
      <c r="E120" s="4">
        <f>100.776987319982 * CHOOSE(CONTROL!$C$9, $C$13, 100%, $E$13) + CHOOSE(CONTROL!$C$28, 0, 0)</f>
        <v>100.776987319982</v>
      </c>
    </row>
    <row r="121" spans="1:5" ht="15">
      <c r="A121" s="13">
        <v>45170</v>
      </c>
      <c r="B121" s="4">
        <f>16.6714 * CHOOSE(CONTROL!$C$9, $C$13, 100%, $E$13) + CHOOSE(CONTROL!$C$28, 0.0181, 0)</f>
        <v>16.689499999999999</v>
      </c>
      <c r="C121" s="4">
        <f>16.3589 * CHOOSE(CONTROL!$C$9, $C$13, 100%, $E$13) + CHOOSE(CONTROL!$C$28, 0.0181, 0)</f>
        <v>16.376999999999999</v>
      </c>
      <c r="D121" s="4">
        <f>22.3576 * CHOOSE(CONTROL!$C$9, $C$13, 100%, $E$13) + CHOOSE(CONTROL!$C$28, 0, 0)</f>
        <v>22.357600000000001</v>
      </c>
      <c r="E121" s="4">
        <f>96.7609386526049 * CHOOSE(CONTROL!$C$9, $C$13, 100%, $E$13) + CHOOSE(CONTROL!$C$28, 0, 0)</f>
        <v>96.760938652604906</v>
      </c>
    </row>
    <row r="122" spans="1:5" ht="15">
      <c r="A122" s="13">
        <v>45200</v>
      </c>
      <c r="B122" s="4">
        <f>16.1798 * CHOOSE(CONTROL!$C$9, $C$13, 100%, $E$13) + CHOOSE(CONTROL!$C$28, 0.0003, 0)</f>
        <v>16.180099999999999</v>
      </c>
      <c r="C122" s="4">
        <f>15.8673 * CHOOSE(CONTROL!$C$9, $C$13, 100%, $E$13) + CHOOSE(CONTROL!$C$28, 0.0003, 0)</f>
        <v>15.867599999999999</v>
      </c>
      <c r="D122" s="4">
        <f>22.0715 * CHOOSE(CONTROL!$C$9, $C$13, 100%, $E$13) + CHOOSE(CONTROL!$C$28, 0, 0)</f>
        <v>22.0715</v>
      </c>
      <c r="E122" s="4">
        <f>93.546012104061 * CHOOSE(CONTROL!$C$9, $C$13, 100%, $E$13) + CHOOSE(CONTROL!$C$28, 0, 0)</f>
        <v>93.546012104061006</v>
      </c>
    </row>
    <row r="123" spans="1:5" ht="15">
      <c r="A123" s="13">
        <v>45231</v>
      </c>
      <c r="B123" s="4">
        <f>15.8631 * CHOOSE(CONTROL!$C$9, $C$13, 100%, $E$13) + CHOOSE(CONTROL!$C$28, 0.0003, 0)</f>
        <v>15.863399999999999</v>
      </c>
      <c r="C123" s="4">
        <f>15.5506 * CHOOSE(CONTROL!$C$9, $C$13, 100%, $E$13) + CHOOSE(CONTROL!$C$28, 0.0003, 0)</f>
        <v>15.550899999999999</v>
      </c>
      <c r="D123" s="4">
        <f>21.9731 * CHOOSE(CONTROL!$C$9, $C$13, 100%, $E$13) + CHOOSE(CONTROL!$C$28, 0, 0)</f>
        <v>21.973099999999999</v>
      </c>
      <c r="E123" s="4">
        <f>91.4753593311149 * CHOOSE(CONTROL!$C$9, $C$13, 100%, $E$13) + CHOOSE(CONTROL!$C$28, 0, 0)</f>
        <v>91.475359331114902</v>
      </c>
    </row>
    <row r="124" spans="1:5" ht="15">
      <c r="A124" s="13">
        <v>45261</v>
      </c>
      <c r="B124" s="4">
        <f>15.644 * CHOOSE(CONTROL!$C$9, $C$13, 100%, $E$13) + CHOOSE(CONTROL!$C$28, 0.0003, 0)</f>
        <v>15.644299999999999</v>
      </c>
      <c r="C124" s="4">
        <f>15.3315 * CHOOSE(CONTROL!$C$9, $C$13, 100%, $E$13) + CHOOSE(CONTROL!$C$28, 0.0003, 0)</f>
        <v>15.331799999999999</v>
      </c>
      <c r="D124" s="4">
        <f>21.2488 * CHOOSE(CONTROL!$C$9, $C$13, 100%, $E$13) + CHOOSE(CONTROL!$C$28, 0, 0)</f>
        <v>21.248799999999999</v>
      </c>
      <c r="E124" s="4">
        <f>90.042733783103 * CHOOSE(CONTROL!$C$9, $C$13, 100%, $E$13) + CHOOSE(CONTROL!$C$28, 0, 0)</f>
        <v>90.042733783103003</v>
      </c>
    </row>
    <row r="125" spans="1:5" ht="15">
      <c r="A125" s="13">
        <v>45292</v>
      </c>
      <c r="B125" s="4">
        <f>15.3898 * CHOOSE(CONTROL!$C$9, $C$13, 100%, $E$13) + CHOOSE(CONTROL!$C$28, 0.0003, 0)</f>
        <v>15.390099999999999</v>
      </c>
      <c r="C125" s="4">
        <f>15.0773 * CHOOSE(CONTROL!$C$9, $C$13, 100%, $E$13) + CHOOSE(CONTROL!$C$28, 0.0003, 0)</f>
        <v>15.077599999999999</v>
      </c>
      <c r="D125" s="4">
        <f>21.2266 * CHOOSE(CONTROL!$C$9, $C$13, 100%, $E$13) + CHOOSE(CONTROL!$C$28, 0, 0)</f>
        <v>21.226600000000001</v>
      </c>
      <c r="E125" s="4">
        <f>88.0950271330828 * CHOOSE(CONTROL!$C$9, $C$13, 100%, $E$13) + CHOOSE(CONTROL!$C$28, 0, 0)</f>
        <v>88.095027133082795</v>
      </c>
    </row>
    <row r="126" spans="1:5" ht="15">
      <c r="A126" s="13">
        <v>45323</v>
      </c>
      <c r="B126" s="4">
        <f>15.7107 * CHOOSE(CONTROL!$C$9, $C$13, 100%, $E$13) + CHOOSE(CONTROL!$C$28, 0.0003, 0)</f>
        <v>15.710999999999999</v>
      </c>
      <c r="C126" s="4">
        <f>15.3982 * CHOOSE(CONTROL!$C$9, $C$13, 100%, $E$13) + CHOOSE(CONTROL!$C$28, 0.0003, 0)</f>
        <v>15.398499999999999</v>
      </c>
      <c r="D126" s="4">
        <f>21.9196 * CHOOSE(CONTROL!$C$9, $C$13, 100%, $E$13) + CHOOSE(CONTROL!$C$28, 0, 0)</f>
        <v>21.919599999999999</v>
      </c>
      <c r="E126" s="4">
        <f>90.1867502517463 * CHOOSE(CONTROL!$C$9, $C$13, 100%, $E$13) + CHOOSE(CONTROL!$C$28, 0, 0)</f>
        <v>90.186750251746304</v>
      </c>
    </row>
    <row r="127" spans="1:5" ht="15">
      <c r="A127" s="13">
        <v>45352</v>
      </c>
      <c r="B127" s="4">
        <f>16.5534 * CHOOSE(CONTROL!$C$9, $C$13, 100%, $E$13) + CHOOSE(CONTROL!$C$28, 0.0003, 0)</f>
        <v>16.553699999999999</v>
      </c>
      <c r="C127" s="4">
        <f>16.2409 * CHOOSE(CONTROL!$C$9, $C$13, 100%, $E$13) + CHOOSE(CONTROL!$C$28, 0.0003, 0)</f>
        <v>16.241199999999999</v>
      </c>
      <c r="D127" s="4">
        <f>23.0045 * CHOOSE(CONTROL!$C$9, $C$13, 100%, $E$13) + CHOOSE(CONTROL!$C$28, 0, 0)</f>
        <v>23.0045</v>
      </c>
      <c r="E127" s="4">
        <f>95.6797263222741 * CHOOSE(CONTROL!$C$9, $C$13, 100%, $E$13) + CHOOSE(CONTROL!$C$28, 0, 0)</f>
        <v>95.679726322274107</v>
      </c>
    </row>
    <row r="128" spans="1:5" ht="15">
      <c r="A128" s="13">
        <v>45383</v>
      </c>
      <c r="B128" s="4">
        <f>17.1521 * CHOOSE(CONTROL!$C$9, $C$13, 100%, $E$13) + CHOOSE(CONTROL!$C$28, 0.0003, 0)</f>
        <v>17.1524</v>
      </c>
      <c r="C128" s="4">
        <f>16.8396 * CHOOSE(CONTROL!$C$9, $C$13, 100%, $E$13) + CHOOSE(CONTROL!$C$28, 0.0003, 0)</f>
        <v>16.8399</v>
      </c>
      <c r="D128" s="4">
        <f>23.6294 * CHOOSE(CONTROL!$C$9, $C$13, 100%, $E$13) + CHOOSE(CONTROL!$C$28, 0, 0)</f>
        <v>23.6294</v>
      </c>
      <c r="E128" s="4">
        <f>99.5825590239152 * CHOOSE(CONTROL!$C$9, $C$13, 100%, $E$13) + CHOOSE(CONTROL!$C$28, 0, 0)</f>
        <v>99.582559023915195</v>
      </c>
    </row>
    <row r="129" spans="1:5" ht="15">
      <c r="A129" s="13">
        <v>45413</v>
      </c>
      <c r="B129" s="4">
        <f>17.5179 * CHOOSE(CONTROL!$C$9, $C$13, 100%, $E$13) + CHOOSE(CONTROL!$C$28, 0.0181, 0)</f>
        <v>17.536000000000001</v>
      </c>
      <c r="C129" s="4">
        <f>17.2054 * CHOOSE(CONTROL!$C$9, $C$13, 100%, $E$13) + CHOOSE(CONTROL!$C$28, 0.0181, 0)</f>
        <v>17.223500000000001</v>
      </c>
      <c r="D129" s="4">
        <f>23.3825 * CHOOSE(CONTROL!$C$9, $C$13, 100%, $E$13) + CHOOSE(CONTROL!$C$28, 0, 0)</f>
        <v>23.3825</v>
      </c>
      <c r="E129" s="4">
        <f>101.967096266773 * CHOOSE(CONTROL!$C$9, $C$13, 100%, $E$13) + CHOOSE(CONTROL!$C$28, 0, 0)</f>
        <v>101.967096266773</v>
      </c>
    </row>
    <row r="130" spans="1:5" ht="15">
      <c r="A130" s="13">
        <v>45444</v>
      </c>
      <c r="B130" s="4">
        <f>17.5674 * CHOOSE(CONTROL!$C$9, $C$13, 100%, $E$13) + CHOOSE(CONTROL!$C$28, 0.0181, 0)</f>
        <v>17.5855</v>
      </c>
      <c r="C130" s="4">
        <f>17.2549 * CHOOSE(CONTROL!$C$9, $C$13, 100%, $E$13) + CHOOSE(CONTROL!$C$28, 0.0181, 0)</f>
        <v>17.273</v>
      </c>
      <c r="D130" s="4">
        <f>23.5836 * CHOOSE(CONTROL!$C$9, $C$13, 100%, $E$13) + CHOOSE(CONTROL!$C$28, 0, 0)</f>
        <v>23.583600000000001</v>
      </c>
      <c r="E130" s="4">
        <f>102.289734051764 * CHOOSE(CONTROL!$C$9, $C$13, 100%, $E$13) + CHOOSE(CONTROL!$C$28, 0, 0)</f>
        <v>102.289734051764</v>
      </c>
    </row>
    <row r="131" spans="1:5" ht="15">
      <c r="A131" s="13">
        <v>45474</v>
      </c>
      <c r="B131" s="4">
        <f>17.5624 * CHOOSE(CONTROL!$C$9, $C$13, 100%, $E$13) + CHOOSE(CONTROL!$C$28, 0.0181, 0)</f>
        <v>17.580500000000001</v>
      </c>
      <c r="C131" s="4">
        <f>17.2499 * CHOOSE(CONTROL!$C$9, $C$13, 100%, $E$13) + CHOOSE(CONTROL!$C$28, 0.0181, 0)</f>
        <v>17.268000000000001</v>
      </c>
      <c r="D131" s="4">
        <f>23.9465 * CHOOSE(CONTROL!$C$9, $C$13, 100%, $E$13) + CHOOSE(CONTROL!$C$28, 0, 0)</f>
        <v>23.9465</v>
      </c>
      <c r="E131" s="4">
        <f>102.257199149076 * CHOOSE(CONTROL!$C$9, $C$13, 100%, $E$13) + CHOOSE(CONTROL!$C$28, 0, 0)</f>
        <v>102.257199149076</v>
      </c>
    </row>
    <row r="132" spans="1:5" ht="15">
      <c r="A132" s="13">
        <v>45505</v>
      </c>
      <c r="B132" s="4">
        <f>17.938 * CHOOSE(CONTROL!$C$9, $C$13, 100%, $E$13) + CHOOSE(CONTROL!$C$28, 0.0181, 0)</f>
        <v>17.956099999999999</v>
      </c>
      <c r="C132" s="4">
        <f>17.6255 * CHOOSE(CONTROL!$C$9, $C$13, 100%, $E$13) + CHOOSE(CONTROL!$C$28, 0.0181, 0)</f>
        <v>17.643599999999999</v>
      </c>
      <c r="D132" s="4">
        <f>23.7068 * CHOOSE(CONTROL!$C$9, $C$13, 100%, $E$13) + CHOOSE(CONTROL!$C$28, 0, 0)</f>
        <v>23.706800000000001</v>
      </c>
      <c r="E132" s="4">
        <f>104.705450576365 * CHOOSE(CONTROL!$C$9, $C$13, 100%, $E$13) + CHOOSE(CONTROL!$C$28, 0, 0)</f>
        <v>104.705450576365</v>
      </c>
    </row>
    <row r="133" spans="1:5" ht="15">
      <c r="A133" s="13">
        <v>45536</v>
      </c>
      <c r="B133" s="4">
        <f>17.2979 * CHOOSE(CONTROL!$C$9, $C$13, 100%, $E$13) + CHOOSE(CONTROL!$C$28, 0.0181, 0)</f>
        <v>17.315999999999999</v>
      </c>
      <c r="C133" s="4">
        <f>16.9854 * CHOOSE(CONTROL!$C$9, $C$13, 100%, $E$13) + CHOOSE(CONTROL!$C$28, 0.0181, 0)</f>
        <v>17.003499999999999</v>
      </c>
      <c r="D133" s="4">
        <f>23.5936 * CHOOSE(CONTROL!$C$9, $C$13, 100%, $E$13) + CHOOSE(CONTROL!$C$28, 0, 0)</f>
        <v>23.593599999999999</v>
      </c>
      <c r="E133" s="4">
        <f>100.5328493066 * CHOOSE(CONTROL!$C$9, $C$13, 100%, $E$13) + CHOOSE(CONTROL!$C$28, 0, 0)</f>
        <v>100.5328493066</v>
      </c>
    </row>
    <row r="134" spans="1:5" ht="15">
      <c r="A134" s="13">
        <v>45566</v>
      </c>
      <c r="B134" s="4">
        <f>16.7855 * CHOOSE(CONTROL!$C$9, $C$13, 100%, $E$13) + CHOOSE(CONTROL!$C$28, 0.0003, 0)</f>
        <v>16.785799999999998</v>
      </c>
      <c r="C134" s="4">
        <f>16.473 * CHOOSE(CONTROL!$C$9, $C$13, 100%, $E$13) + CHOOSE(CONTROL!$C$28, 0.0003, 0)</f>
        <v>16.473299999999998</v>
      </c>
      <c r="D134" s="4">
        <f>23.2904 * CHOOSE(CONTROL!$C$9, $C$13, 100%, $E$13) + CHOOSE(CONTROL!$C$28, 0, 0)</f>
        <v>23.290400000000002</v>
      </c>
      <c r="E134" s="4">
        <f>97.1925992972763 * CHOOSE(CONTROL!$C$9, $C$13, 100%, $E$13) + CHOOSE(CONTROL!$C$28, 0, 0)</f>
        <v>97.192599297276303</v>
      </c>
    </row>
    <row r="135" spans="1:5" ht="15">
      <c r="A135" s="13">
        <v>45597</v>
      </c>
      <c r="B135" s="4">
        <f>16.4554 * CHOOSE(CONTROL!$C$9, $C$13, 100%, $E$13) + CHOOSE(CONTROL!$C$28, 0.0003, 0)</f>
        <v>16.4557</v>
      </c>
      <c r="C135" s="4">
        <f>16.1429 * CHOOSE(CONTROL!$C$9, $C$13, 100%, $E$13) + CHOOSE(CONTROL!$C$28, 0.0003, 0)</f>
        <v>16.1432</v>
      </c>
      <c r="D135" s="4">
        <f>23.1862 * CHOOSE(CONTROL!$C$9, $C$13, 100%, $E$13) + CHOOSE(CONTROL!$C$28, 0, 0)</f>
        <v>23.186199999999999</v>
      </c>
      <c r="E135" s="4">
        <f>95.0412288570178 * CHOOSE(CONTROL!$C$9, $C$13, 100%, $E$13) + CHOOSE(CONTROL!$C$28, 0, 0)</f>
        <v>95.041228857017799</v>
      </c>
    </row>
    <row r="136" spans="1:5" ht="15">
      <c r="A136" s="13">
        <v>45627</v>
      </c>
      <c r="B136" s="4">
        <f>16.2271 * CHOOSE(CONTROL!$C$9, $C$13, 100%, $E$13) + CHOOSE(CONTROL!$C$28, 0.0003, 0)</f>
        <v>16.227399999999999</v>
      </c>
      <c r="C136" s="4">
        <f>15.9146 * CHOOSE(CONTROL!$C$9, $C$13, 100%, $E$13) + CHOOSE(CONTROL!$C$28, 0.0003, 0)</f>
        <v>15.914899999999999</v>
      </c>
      <c r="D136" s="4">
        <f>22.4188 * CHOOSE(CONTROL!$C$9, $C$13, 100%, $E$13) + CHOOSE(CONTROL!$C$28, 0, 0)</f>
        <v>22.418800000000001</v>
      </c>
      <c r="E136" s="4">
        <f>93.5527570590317 * CHOOSE(CONTROL!$C$9, $C$13, 100%, $E$13) + CHOOSE(CONTROL!$C$28, 0, 0)</f>
        <v>93.552757059031705</v>
      </c>
    </row>
    <row r="137" spans="1:5" ht="15">
      <c r="A137" s="13">
        <v>45658</v>
      </c>
      <c r="B137" s="4">
        <f>16.1446 * CHOOSE(CONTROL!$C$9, $C$13, 100%, $E$13) + CHOOSE(CONTROL!$C$28, 0.0003, 0)</f>
        <v>16.1449</v>
      </c>
      <c r="C137" s="4">
        <f>15.8321 * CHOOSE(CONTROL!$C$9, $C$13, 100%, $E$13) + CHOOSE(CONTROL!$C$28, 0.0003, 0)</f>
        <v>15.8324</v>
      </c>
      <c r="D137" s="4">
        <f>22.0859 * CHOOSE(CONTROL!$C$9, $C$13, 100%, $E$13) + CHOOSE(CONTROL!$C$28, 0, 0)</f>
        <v>22.085899999999999</v>
      </c>
      <c r="E137" s="4">
        <f>91.1477385372352 * CHOOSE(CONTROL!$C$9, $C$13, 100%, $E$13) + CHOOSE(CONTROL!$C$28, 0, 0)</f>
        <v>91.147738537235199</v>
      </c>
    </row>
    <row r="138" spans="1:5" ht="15">
      <c r="A138" s="13">
        <v>45689</v>
      </c>
      <c r="B138" s="4">
        <f>16.4834 * CHOOSE(CONTROL!$C$9, $C$13, 100%, $E$13) + CHOOSE(CONTROL!$C$28, 0.0003, 0)</f>
        <v>16.483699999999999</v>
      </c>
      <c r="C138" s="4">
        <f>16.1709 * CHOOSE(CONTROL!$C$9, $C$13, 100%, $E$13) + CHOOSE(CONTROL!$C$28, 0.0003, 0)</f>
        <v>16.171199999999999</v>
      </c>
      <c r="D138" s="4">
        <f>22.8092 * CHOOSE(CONTROL!$C$9, $C$13, 100%, $E$13) + CHOOSE(CONTROL!$C$28, 0, 0)</f>
        <v>22.809200000000001</v>
      </c>
      <c r="E138" s="4">
        <f>93.3119450550925 * CHOOSE(CONTROL!$C$9, $C$13, 100%, $E$13) + CHOOSE(CONTROL!$C$28, 0, 0)</f>
        <v>93.311945055092494</v>
      </c>
    </row>
    <row r="139" spans="1:5" ht="15">
      <c r="A139" s="13">
        <v>45717</v>
      </c>
      <c r="B139" s="4">
        <f>17.3732 * CHOOSE(CONTROL!$C$9, $C$13, 100%, $E$13) + CHOOSE(CONTROL!$C$28, 0.0003, 0)</f>
        <v>17.3735</v>
      </c>
      <c r="C139" s="4">
        <f>17.0607 * CHOOSE(CONTROL!$C$9, $C$13, 100%, $E$13) + CHOOSE(CONTROL!$C$28, 0.0003, 0)</f>
        <v>17.061</v>
      </c>
      <c r="D139" s="4">
        <f>23.9416 * CHOOSE(CONTROL!$C$9, $C$13, 100%, $E$13) + CHOOSE(CONTROL!$C$28, 0, 0)</f>
        <v>23.941600000000001</v>
      </c>
      <c r="E139" s="4">
        <f>98.9952663839049 * CHOOSE(CONTROL!$C$9, $C$13, 100%, $E$13) + CHOOSE(CONTROL!$C$28, 0, 0)</f>
        <v>98.995266383904905</v>
      </c>
    </row>
    <row r="140" spans="1:5" ht="15">
      <c r="A140" s="13">
        <v>45748</v>
      </c>
      <c r="B140" s="4">
        <f>18.0054 * CHOOSE(CONTROL!$C$9, $C$13, 100%, $E$13) + CHOOSE(CONTROL!$C$28, 0.0003, 0)</f>
        <v>18.005700000000001</v>
      </c>
      <c r="C140" s="4">
        <f>17.6929 * CHOOSE(CONTROL!$C$9, $C$13, 100%, $E$13) + CHOOSE(CONTROL!$C$28, 0.0003, 0)</f>
        <v>17.693200000000001</v>
      </c>
      <c r="D140" s="4">
        <f>24.5938 * CHOOSE(CONTROL!$C$9, $C$13, 100%, $E$13) + CHOOSE(CONTROL!$C$28, 0, 0)</f>
        <v>24.593800000000002</v>
      </c>
      <c r="E140" s="4">
        <f>103.033341928241 * CHOOSE(CONTROL!$C$9, $C$13, 100%, $E$13) + CHOOSE(CONTROL!$C$28, 0, 0)</f>
        <v>103.033341928241</v>
      </c>
    </row>
    <row r="141" spans="1:5" ht="15">
      <c r="A141" s="13">
        <v>45778</v>
      </c>
      <c r="B141" s="4">
        <f>18.3916 * CHOOSE(CONTROL!$C$9, $C$13, 100%, $E$13) + CHOOSE(CONTROL!$C$28, 0.0181, 0)</f>
        <v>18.409700000000001</v>
      </c>
      <c r="C141" s="4">
        <f>18.0791 * CHOOSE(CONTROL!$C$9, $C$13, 100%, $E$13) + CHOOSE(CONTROL!$C$28, 0.0181, 0)</f>
        <v>18.097200000000001</v>
      </c>
      <c r="D141" s="4">
        <f>24.3361 * CHOOSE(CONTROL!$C$9, $C$13, 100%, $E$13) + CHOOSE(CONTROL!$C$28, 0, 0)</f>
        <v>24.336099999999998</v>
      </c>
      <c r="E141" s="4">
        <f>105.500509306667 * CHOOSE(CONTROL!$C$9, $C$13, 100%, $E$13) + CHOOSE(CONTROL!$C$28, 0, 0)</f>
        <v>105.500509306667</v>
      </c>
    </row>
    <row r="142" spans="1:5" ht="15">
      <c r="A142" s="13">
        <v>45809</v>
      </c>
      <c r="B142" s="4">
        <f>18.4439 * CHOOSE(CONTROL!$C$9, $C$13, 100%, $E$13) + CHOOSE(CONTROL!$C$28, 0.0181, 0)</f>
        <v>18.462</v>
      </c>
      <c r="C142" s="4">
        <f>18.1314 * CHOOSE(CONTROL!$C$9, $C$13, 100%, $E$13) + CHOOSE(CONTROL!$C$28, 0.0181, 0)</f>
        <v>18.1495</v>
      </c>
      <c r="D142" s="4">
        <f>24.546 * CHOOSE(CONTROL!$C$9, $C$13, 100%, $E$13) + CHOOSE(CONTROL!$C$28, 0, 0)</f>
        <v>24.545999999999999</v>
      </c>
      <c r="E142" s="4">
        <f>105.834327291923 * CHOOSE(CONTROL!$C$9, $C$13, 100%, $E$13) + CHOOSE(CONTROL!$C$28, 0, 0)</f>
        <v>105.834327291923</v>
      </c>
    </row>
    <row r="143" spans="1:5" ht="15">
      <c r="A143" s="13">
        <v>45839</v>
      </c>
      <c r="B143" s="4">
        <f>18.4386 * CHOOSE(CONTROL!$C$9, $C$13, 100%, $E$13) + CHOOSE(CONTROL!$C$28, 0.0181, 0)</f>
        <v>18.456700000000001</v>
      </c>
      <c r="C143" s="4">
        <f>18.1261 * CHOOSE(CONTROL!$C$9, $C$13, 100%, $E$13) + CHOOSE(CONTROL!$C$28, 0.0181, 0)</f>
        <v>18.144200000000001</v>
      </c>
      <c r="D143" s="4">
        <f>24.9248 * CHOOSE(CONTROL!$C$9, $C$13, 100%, $E$13) + CHOOSE(CONTROL!$C$28, 0, 0)</f>
        <v>24.924800000000001</v>
      </c>
      <c r="E143" s="4">
        <f>105.800664974082 * CHOOSE(CONTROL!$C$9, $C$13, 100%, $E$13) + CHOOSE(CONTROL!$C$28, 0, 0)</f>
        <v>105.800664974082</v>
      </c>
    </row>
    <row r="144" spans="1:5" ht="15">
      <c r="A144" s="13">
        <v>45870</v>
      </c>
      <c r="B144" s="4">
        <f>18.8352 * CHOOSE(CONTROL!$C$9, $C$13, 100%, $E$13) + CHOOSE(CONTROL!$C$28, 0.0181, 0)</f>
        <v>18.853300000000001</v>
      </c>
      <c r="C144" s="4">
        <f>18.5227 * CHOOSE(CONTROL!$C$9, $C$13, 100%, $E$13) + CHOOSE(CONTROL!$C$28, 0.0181, 0)</f>
        <v>18.540800000000001</v>
      </c>
      <c r="D144" s="4">
        <f>24.6746 * CHOOSE(CONTROL!$C$9, $C$13, 100%, $E$13) + CHOOSE(CONTROL!$C$28, 0, 0)</f>
        <v>24.674600000000002</v>
      </c>
      <c r="E144" s="4">
        <f>108.333754391613 * CHOOSE(CONTROL!$C$9, $C$13, 100%, $E$13) + CHOOSE(CONTROL!$C$28, 0, 0)</f>
        <v>108.333754391613</v>
      </c>
    </row>
    <row r="145" spans="1:5" ht="15">
      <c r="A145" s="13">
        <v>45901</v>
      </c>
      <c r="B145" s="4">
        <f>18.1593 * CHOOSE(CONTROL!$C$9, $C$13, 100%, $E$13) + CHOOSE(CONTROL!$C$28, 0.0181, 0)</f>
        <v>18.177400000000002</v>
      </c>
      <c r="C145" s="4">
        <f>17.8468 * CHOOSE(CONTROL!$C$9, $C$13, 100%, $E$13) + CHOOSE(CONTROL!$C$28, 0.0181, 0)</f>
        <v>17.864900000000002</v>
      </c>
      <c r="D145" s="4">
        <f>24.5564 * CHOOSE(CONTROL!$C$9, $C$13, 100%, $E$13) + CHOOSE(CONTROL!$C$28, 0, 0)</f>
        <v>24.5564</v>
      </c>
      <c r="E145" s="4">
        <f>104.016562128512 * CHOOSE(CONTROL!$C$9, $C$13, 100%, $E$13) + CHOOSE(CONTROL!$C$28, 0, 0)</f>
        <v>104.01656212851201</v>
      </c>
    </row>
    <row r="146" spans="1:5" ht="15">
      <c r="A146" s="13">
        <v>45931</v>
      </c>
      <c r="B146" s="4">
        <f>17.6182 * CHOOSE(CONTROL!$C$9, $C$13, 100%, $E$13) + CHOOSE(CONTROL!$C$28, 0.0003, 0)</f>
        <v>17.618500000000001</v>
      </c>
      <c r="C146" s="4">
        <f>17.3057 * CHOOSE(CONTROL!$C$9, $C$13, 100%, $E$13) + CHOOSE(CONTROL!$C$28, 0.0003, 0)</f>
        <v>17.306000000000001</v>
      </c>
      <c r="D146" s="4">
        <f>24.24 * CHOOSE(CONTROL!$C$9, $C$13, 100%, $E$13) + CHOOSE(CONTROL!$C$28, 0, 0)</f>
        <v>24.24</v>
      </c>
      <c r="E146" s="4">
        <f>100.560564163509 * CHOOSE(CONTROL!$C$9, $C$13, 100%, $E$13) + CHOOSE(CONTROL!$C$28, 0, 0)</f>
        <v>100.560564163509</v>
      </c>
    </row>
    <row r="147" spans="1:5" ht="15">
      <c r="A147" s="13">
        <v>45962</v>
      </c>
      <c r="B147" s="4">
        <f>17.2697 * CHOOSE(CONTROL!$C$9, $C$13, 100%, $E$13) + CHOOSE(CONTROL!$C$28, 0.0003, 0)</f>
        <v>17.27</v>
      </c>
      <c r="C147" s="4">
        <f>16.9572 * CHOOSE(CONTROL!$C$9, $C$13, 100%, $E$13) + CHOOSE(CONTROL!$C$28, 0.0003, 0)</f>
        <v>16.9575</v>
      </c>
      <c r="D147" s="4">
        <f>24.1312 * CHOOSE(CONTROL!$C$9, $C$13, 100%, $E$13) + CHOOSE(CONTROL!$C$28, 0, 0)</f>
        <v>24.1312</v>
      </c>
      <c r="E147" s="4">
        <f>98.3346433962764 * CHOOSE(CONTROL!$C$9, $C$13, 100%, $E$13) + CHOOSE(CONTROL!$C$28, 0, 0)</f>
        <v>98.334643396276405</v>
      </c>
    </row>
    <row r="148" spans="1:5" ht="15">
      <c r="A148" s="13">
        <v>45992</v>
      </c>
      <c r="B148" s="4">
        <f>17.0286 * CHOOSE(CONTROL!$C$9, $C$13, 100%, $E$13) + CHOOSE(CONTROL!$C$28, 0.0003, 0)</f>
        <v>17.0289</v>
      </c>
      <c r="C148" s="4">
        <f>16.7161 * CHOOSE(CONTROL!$C$9, $C$13, 100%, $E$13) + CHOOSE(CONTROL!$C$28, 0.0003, 0)</f>
        <v>16.7164</v>
      </c>
      <c r="D148" s="4">
        <f>23.3303 * CHOOSE(CONTROL!$C$9, $C$13, 100%, $E$13) + CHOOSE(CONTROL!$C$28, 0, 0)</f>
        <v>23.330300000000001</v>
      </c>
      <c r="E148" s="4">
        <f>96.7945923550533 * CHOOSE(CONTROL!$C$9, $C$13, 100%, $E$13) + CHOOSE(CONTROL!$C$28, 0, 0)</f>
        <v>96.794592355053297</v>
      </c>
    </row>
    <row r="149" spans="1:5" ht="15">
      <c r="A149" s="13">
        <v>46023</v>
      </c>
      <c r="B149" s="4">
        <f>16.6458 * CHOOSE(CONTROL!$C$9, $C$13, 100%, $E$13) + CHOOSE(CONTROL!$C$28, 0.0003, 0)</f>
        <v>16.646100000000001</v>
      </c>
      <c r="C149" s="4">
        <f>16.3333 * CHOOSE(CONTROL!$C$9, $C$13, 100%, $E$13) + CHOOSE(CONTROL!$C$28, 0.0003, 0)</f>
        <v>16.333600000000001</v>
      </c>
      <c r="D149" s="4">
        <f>22.7791 * CHOOSE(CONTROL!$C$9, $C$13, 100%, $E$13) + CHOOSE(CONTROL!$C$28, 0, 0)</f>
        <v>22.7791</v>
      </c>
      <c r="E149" s="4">
        <f>94.6809476475342 * CHOOSE(CONTROL!$C$9, $C$13, 100%, $E$13) + CHOOSE(CONTROL!$C$28, 0, 0)</f>
        <v>94.680947647534197</v>
      </c>
    </row>
    <row r="150" spans="1:5" ht="15">
      <c r="A150" s="13">
        <v>46054</v>
      </c>
      <c r="B150" s="4">
        <f>16.9966 * CHOOSE(CONTROL!$C$9, $C$13, 100%, $E$13) + CHOOSE(CONTROL!$C$28, 0.0003, 0)</f>
        <v>16.9969</v>
      </c>
      <c r="C150" s="4">
        <f>16.6841 * CHOOSE(CONTROL!$C$9, $C$13, 100%, $E$13) + CHOOSE(CONTROL!$C$28, 0.0003, 0)</f>
        <v>16.6844</v>
      </c>
      <c r="D150" s="4">
        <f>23.5269 * CHOOSE(CONTROL!$C$9, $C$13, 100%, $E$13) + CHOOSE(CONTROL!$C$28, 0, 0)</f>
        <v>23.526900000000001</v>
      </c>
      <c r="E150" s="4">
        <f>96.9290464737271 * CHOOSE(CONTROL!$C$9, $C$13, 100%, $E$13) + CHOOSE(CONTROL!$C$28, 0, 0)</f>
        <v>96.929046473727098</v>
      </c>
    </row>
    <row r="151" spans="1:5" ht="15">
      <c r="A151" s="13">
        <v>46082</v>
      </c>
      <c r="B151" s="4">
        <f>17.9176 * CHOOSE(CONTROL!$C$9, $C$13, 100%, $E$13) + CHOOSE(CONTROL!$C$28, 0.0003, 0)</f>
        <v>17.917899999999999</v>
      </c>
      <c r="C151" s="4">
        <f>17.6051 * CHOOSE(CONTROL!$C$9, $C$13, 100%, $E$13) + CHOOSE(CONTROL!$C$28, 0.0003, 0)</f>
        <v>17.605399999999999</v>
      </c>
      <c r="D151" s="4">
        <f>24.6975 * CHOOSE(CONTROL!$C$9, $C$13, 100%, $E$13) + CHOOSE(CONTROL!$C$28, 0, 0)</f>
        <v>24.697500000000002</v>
      </c>
      <c r="E151" s="4">
        <f>102.832673462537 * CHOOSE(CONTROL!$C$9, $C$13, 100%, $E$13) + CHOOSE(CONTROL!$C$28, 0, 0)</f>
        <v>102.832673462537</v>
      </c>
    </row>
    <row r="152" spans="1:5" ht="15">
      <c r="A152" s="13">
        <v>46113</v>
      </c>
      <c r="B152" s="4">
        <f>18.5719 * CHOOSE(CONTROL!$C$9, $C$13, 100%, $E$13) + CHOOSE(CONTROL!$C$28, 0.0003, 0)</f>
        <v>18.572199999999999</v>
      </c>
      <c r="C152" s="4">
        <f>18.2594 * CHOOSE(CONTROL!$C$9, $C$13, 100%, $E$13) + CHOOSE(CONTROL!$C$28, 0.0003, 0)</f>
        <v>18.259699999999999</v>
      </c>
      <c r="D152" s="4">
        <f>25.3719 * CHOOSE(CONTROL!$C$9, $C$13, 100%, $E$13) + CHOOSE(CONTROL!$C$28, 0, 0)</f>
        <v>25.3719</v>
      </c>
      <c r="E152" s="4">
        <f>107.02727911426 * CHOOSE(CONTROL!$C$9, $C$13, 100%, $E$13) + CHOOSE(CONTROL!$C$28, 0, 0)</f>
        <v>107.02727911426</v>
      </c>
    </row>
    <row r="153" spans="1:5" ht="15">
      <c r="A153" s="13">
        <v>46143</v>
      </c>
      <c r="B153" s="4">
        <f>18.9718 * CHOOSE(CONTROL!$C$9, $C$13, 100%, $E$13) + CHOOSE(CONTROL!$C$28, 0.0181, 0)</f>
        <v>18.989900000000002</v>
      </c>
      <c r="C153" s="4">
        <f>18.6593 * CHOOSE(CONTROL!$C$9, $C$13, 100%, $E$13) + CHOOSE(CONTROL!$C$28, 0.0181, 0)</f>
        <v>18.677400000000002</v>
      </c>
      <c r="D153" s="4">
        <f>25.1054 * CHOOSE(CONTROL!$C$9, $C$13, 100%, $E$13) + CHOOSE(CONTROL!$C$28, 0, 0)</f>
        <v>25.105399999999999</v>
      </c>
      <c r="E153" s="4">
        <f>109.590082636797 * CHOOSE(CONTROL!$C$9, $C$13, 100%, $E$13) + CHOOSE(CONTROL!$C$28, 0, 0)</f>
        <v>109.59008263679701</v>
      </c>
    </row>
    <row r="154" spans="1:5" ht="15">
      <c r="A154" s="13">
        <v>46174</v>
      </c>
      <c r="B154" s="4">
        <f>19.0258 * CHOOSE(CONTROL!$C$9, $C$13, 100%, $E$13) + CHOOSE(CONTROL!$C$28, 0.0181, 0)</f>
        <v>19.043900000000001</v>
      </c>
      <c r="C154" s="4">
        <f>18.7133 * CHOOSE(CONTROL!$C$9, $C$13, 100%, $E$13) + CHOOSE(CONTROL!$C$28, 0.0181, 0)</f>
        <v>18.731400000000001</v>
      </c>
      <c r="D154" s="4">
        <f>25.3224 * CHOOSE(CONTROL!$C$9, $C$13, 100%, $E$13) + CHOOSE(CONTROL!$C$28, 0, 0)</f>
        <v>25.322399999999998</v>
      </c>
      <c r="E154" s="4">
        <f>109.936840589249 * CHOOSE(CONTROL!$C$9, $C$13, 100%, $E$13) + CHOOSE(CONTROL!$C$28, 0, 0)</f>
        <v>109.936840589249</v>
      </c>
    </row>
    <row r="155" spans="1:5" ht="15">
      <c r="A155" s="13">
        <v>46204</v>
      </c>
      <c r="B155" s="4">
        <f>19.0204 * CHOOSE(CONTROL!$C$9, $C$13, 100%, $E$13) + CHOOSE(CONTROL!$C$28, 0.0181, 0)</f>
        <v>19.038499999999999</v>
      </c>
      <c r="C155" s="4">
        <f>18.7079 * CHOOSE(CONTROL!$C$9, $C$13, 100%, $E$13) + CHOOSE(CONTROL!$C$28, 0.0181, 0)</f>
        <v>18.725999999999999</v>
      </c>
      <c r="D155" s="4">
        <f>25.714 * CHOOSE(CONTROL!$C$9, $C$13, 100%, $E$13) + CHOOSE(CONTROL!$C$28, 0, 0)</f>
        <v>25.713999999999999</v>
      </c>
      <c r="E155" s="4">
        <f>109.901873400766 * CHOOSE(CONTROL!$C$9, $C$13, 100%, $E$13) + CHOOSE(CONTROL!$C$28, 0, 0)</f>
        <v>109.90187340076599</v>
      </c>
    </row>
    <row r="156" spans="1:5" ht="15">
      <c r="A156" s="13">
        <v>46235</v>
      </c>
      <c r="B156" s="4">
        <f>19.4309 * CHOOSE(CONTROL!$C$9, $C$13, 100%, $E$13) + CHOOSE(CONTROL!$C$28, 0.0181, 0)</f>
        <v>19.449000000000002</v>
      </c>
      <c r="C156" s="4">
        <f>19.1184 * CHOOSE(CONTROL!$C$9, $C$13, 100%, $E$13) + CHOOSE(CONTROL!$C$28, 0.0181, 0)</f>
        <v>19.136500000000002</v>
      </c>
      <c r="D156" s="4">
        <f>25.4554 * CHOOSE(CONTROL!$C$9, $C$13, 100%, $E$13) + CHOOSE(CONTROL!$C$28, 0, 0)</f>
        <v>25.455400000000001</v>
      </c>
      <c r="E156" s="4">
        <f>112.533154334081 * CHOOSE(CONTROL!$C$9, $C$13, 100%, $E$13) + CHOOSE(CONTROL!$C$28, 0, 0)</f>
        <v>112.533154334081</v>
      </c>
    </row>
    <row r="157" spans="1:5" ht="15">
      <c r="A157" s="13">
        <v>46266</v>
      </c>
      <c r="B157" s="4">
        <f>18.7313 * CHOOSE(CONTROL!$C$9, $C$13, 100%, $E$13) + CHOOSE(CONTROL!$C$28, 0.0181, 0)</f>
        <v>18.749400000000001</v>
      </c>
      <c r="C157" s="4">
        <f>18.4188 * CHOOSE(CONTROL!$C$9, $C$13, 100%, $E$13) + CHOOSE(CONTROL!$C$28, 0.0181, 0)</f>
        <v>18.436900000000001</v>
      </c>
      <c r="D157" s="4">
        <f>25.3332 * CHOOSE(CONTROL!$C$9, $C$13, 100%, $E$13) + CHOOSE(CONTROL!$C$28, 0, 0)</f>
        <v>25.333200000000001</v>
      </c>
      <c r="E157" s="4">
        <f>108.048612411189 * CHOOSE(CONTROL!$C$9, $C$13, 100%, $E$13) + CHOOSE(CONTROL!$C$28, 0, 0)</f>
        <v>108.048612411189</v>
      </c>
    </row>
    <row r="158" spans="1:5" ht="15">
      <c r="A158" s="13">
        <v>46296</v>
      </c>
      <c r="B158" s="4">
        <f>18.1712 * CHOOSE(CONTROL!$C$9, $C$13, 100%, $E$13) + CHOOSE(CONTROL!$C$28, 0.0003, 0)</f>
        <v>18.171499999999998</v>
      </c>
      <c r="C158" s="4">
        <f>17.8587 * CHOOSE(CONTROL!$C$9, $C$13, 100%, $E$13) + CHOOSE(CONTROL!$C$28, 0.0003, 0)</f>
        <v>17.858999999999998</v>
      </c>
      <c r="D158" s="4">
        <f>25.0061 * CHOOSE(CONTROL!$C$9, $C$13, 100%, $E$13) + CHOOSE(CONTROL!$C$28, 0, 0)</f>
        <v>25.0061</v>
      </c>
      <c r="E158" s="4">
        <f>104.458647726977 * CHOOSE(CONTROL!$C$9, $C$13, 100%, $E$13) + CHOOSE(CONTROL!$C$28, 0, 0)</f>
        <v>104.45864772697701</v>
      </c>
    </row>
    <row r="159" spans="1:5" ht="15">
      <c r="A159" s="13">
        <v>46327</v>
      </c>
      <c r="B159" s="4">
        <f>17.8105 * CHOOSE(CONTROL!$C$9, $C$13, 100%, $E$13) + CHOOSE(CONTROL!$C$28, 0.0003, 0)</f>
        <v>17.8108</v>
      </c>
      <c r="C159" s="4">
        <f>17.498 * CHOOSE(CONTROL!$C$9, $C$13, 100%, $E$13) + CHOOSE(CONTROL!$C$28, 0.0003, 0)</f>
        <v>17.4983</v>
      </c>
      <c r="D159" s="4">
        <f>24.8936 * CHOOSE(CONTROL!$C$9, $C$13, 100%, $E$13) + CHOOSE(CONTROL!$C$28, 0, 0)</f>
        <v>24.893599999999999</v>
      </c>
      <c r="E159" s="4">
        <f>102.146442388566 * CHOOSE(CONTROL!$C$9, $C$13, 100%, $E$13) + CHOOSE(CONTROL!$C$28, 0, 0)</f>
        <v>102.146442388566</v>
      </c>
    </row>
    <row r="160" spans="1:5" ht="15">
      <c r="A160" s="13">
        <v>46357</v>
      </c>
      <c r="B160" s="4">
        <f>17.5609 * CHOOSE(CONTROL!$C$9, $C$13, 100%, $E$13) + CHOOSE(CONTROL!$C$28, 0.0003, 0)</f>
        <v>17.561199999999999</v>
      </c>
      <c r="C160" s="4">
        <f>17.2484 * CHOOSE(CONTROL!$C$9, $C$13, 100%, $E$13) + CHOOSE(CONTROL!$C$28, 0.0003, 0)</f>
        <v>17.248699999999999</v>
      </c>
      <c r="D160" s="4">
        <f>24.0656 * CHOOSE(CONTROL!$C$9, $C$13, 100%, $E$13) + CHOOSE(CONTROL!$C$28, 0, 0)</f>
        <v>24.0656</v>
      </c>
      <c r="E160" s="4">
        <f>100.546693515488 * CHOOSE(CONTROL!$C$9, $C$13, 100%, $E$13) + CHOOSE(CONTROL!$C$28, 0, 0)</f>
        <v>100.546693515488</v>
      </c>
    </row>
    <row r="161" spans="1:5" ht="15">
      <c r="A161" s="13">
        <v>46388</v>
      </c>
      <c r="B161" s="4">
        <f>17.1847 * CHOOSE(CONTROL!$C$9, $C$13, 100%, $E$13) + CHOOSE(CONTROL!$C$28, 0.0003, 0)</f>
        <v>17.184999999999999</v>
      </c>
      <c r="C161" s="4">
        <f>16.8722 * CHOOSE(CONTROL!$C$9, $C$13, 100%, $E$13) + CHOOSE(CONTROL!$C$28, 0.0003, 0)</f>
        <v>16.872499999999999</v>
      </c>
      <c r="D161" s="4">
        <f>23.4664 * CHOOSE(CONTROL!$C$9, $C$13, 100%, $E$13) + CHOOSE(CONTROL!$C$28, 0, 0)</f>
        <v>23.4664</v>
      </c>
      <c r="E161" s="4">
        <f>98.1885850346518 * CHOOSE(CONTROL!$C$9, $C$13, 100%, $E$13) + CHOOSE(CONTROL!$C$28, 0, 0)</f>
        <v>98.188585034651794</v>
      </c>
    </row>
    <row r="162" spans="1:5" ht="15">
      <c r="A162" s="13">
        <v>46419</v>
      </c>
      <c r="B162" s="4">
        <f>17.5482 * CHOOSE(CONTROL!$C$9, $C$13, 100%, $E$13) + CHOOSE(CONTROL!$C$28, 0.0003, 0)</f>
        <v>17.548500000000001</v>
      </c>
      <c r="C162" s="4">
        <f>17.2357 * CHOOSE(CONTROL!$C$9, $C$13, 100%, $E$13) + CHOOSE(CONTROL!$C$28, 0.0003, 0)</f>
        <v>17.236000000000001</v>
      </c>
      <c r="D162" s="4">
        <f>24.2385 * CHOOSE(CONTROL!$C$9, $C$13, 100%, $E$13) + CHOOSE(CONTROL!$C$28, 0, 0)</f>
        <v>24.238499999999998</v>
      </c>
      <c r="E162" s="4">
        <f>100.519968995696 * CHOOSE(CONTROL!$C$9, $C$13, 100%, $E$13) + CHOOSE(CONTROL!$C$28, 0, 0)</f>
        <v>100.519968995696</v>
      </c>
    </row>
    <row r="163" spans="1:5" ht="15">
      <c r="A163" s="13">
        <v>46447</v>
      </c>
      <c r="B163" s="4">
        <f>18.5028 * CHOOSE(CONTROL!$C$9, $C$13, 100%, $E$13) + CHOOSE(CONTROL!$C$28, 0.0003, 0)</f>
        <v>18.5031</v>
      </c>
      <c r="C163" s="4">
        <f>18.1903 * CHOOSE(CONTROL!$C$9, $C$13, 100%, $E$13) + CHOOSE(CONTROL!$C$28, 0.0003, 0)</f>
        <v>18.1906</v>
      </c>
      <c r="D163" s="4">
        <f>25.4471 * CHOOSE(CONTROL!$C$9, $C$13, 100%, $E$13) + CHOOSE(CONTROL!$C$28, 0, 0)</f>
        <v>25.447099999999999</v>
      </c>
      <c r="E163" s="4">
        <f>106.642307174667 * CHOOSE(CONTROL!$C$9, $C$13, 100%, $E$13) + CHOOSE(CONTROL!$C$28, 0, 0)</f>
        <v>106.642307174667</v>
      </c>
    </row>
    <row r="164" spans="1:5" ht="15">
      <c r="A164" s="13">
        <v>46478</v>
      </c>
      <c r="B164" s="4">
        <f>19.1811 * CHOOSE(CONTROL!$C$9, $C$13, 100%, $E$13) + CHOOSE(CONTROL!$C$28, 0.0003, 0)</f>
        <v>19.1814</v>
      </c>
      <c r="C164" s="4">
        <f>18.8686 * CHOOSE(CONTROL!$C$9, $C$13, 100%, $E$13) + CHOOSE(CONTROL!$C$28, 0.0003, 0)</f>
        <v>18.8689</v>
      </c>
      <c r="D164" s="4">
        <f>26.1433 * CHOOSE(CONTROL!$C$9, $C$13, 100%, $E$13) + CHOOSE(CONTROL!$C$28, 0, 0)</f>
        <v>26.1433</v>
      </c>
      <c r="E164" s="4">
        <f>110.992310041709 * CHOOSE(CONTROL!$C$9, $C$13, 100%, $E$13) + CHOOSE(CONTROL!$C$28, 0, 0)</f>
        <v>110.992310041709</v>
      </c>
    </row>
    <row r="165" spans="1:5" ht="15">
      <c r="A165" s="13">
        <v>46508</v>
      </c>
      <c r="B165" s="4">
        <f>19.5955 * CHOOSE(CONTROL!$C$9, $C$13, 100%, $E$13) + CHOOSE(CONTROL!$C$28, 0.0181, 0)</f>
        <v>19.613600000000002</v>
      </c>
      <c r="C165" s="4">
        <f>19.283 * CHOOSE(CONTROL!$C$9, $C$13, 100%, $E$13) + CHOOSE(CONTROL!$C$28, 0.0181, 0)</f>
        <v>19.301100000000002</v>
      </c>
      <c r="D165" s="4">
        <f>25.8682 * CHOOSE(CONTROL!$C$9, $C$13, 100%, $E$13) + CHOOSE(CONTROL!$C$28, 0, 0)</f>
        <v>25.868200000000002</v>
      </c>
      <c r="E165" s="4">
        <f>113.650057538454 * CHOOSE(CONTROL!$C$9, $C$13, 100%, $E$13) + CHOOSE(CONTROL!$C$28, 0, 0)</f>
        <v>113.65005753845401</v>
      </c>
    </row>
    <row r="166" spans="1:5" ht="15">
      <c r="A166" s="13">
        <v>46539</v>
      </c>
      <c r="B166" s="4">
        <f>19.6516 * CHOOSE(CONTROL!$C$9, $C$13, 100%, $E$13) + CHOOSE(CONTROL!$C$28, 0.0181, 0)</f>
        <v>19.669699999999999</v>
      </c>
      <c r="C166" s="4">
        <f>19.3391 * CHOOSE(CONTROL!$C$9, $C$13, 100%, $E$13) + CHOOSE(CONTROL!$C$28, 0.0181, 0)</f>
        <v>19.357199999999999</v>
      </c>
      <c r="D166" s="4">
        <f>26.0923 * CHOOSE(CONTROL!$C$9, $C$13, 100%, $E$13) + CHOOSE(CONTROL!$C$28, 0, 0)</f>
        <v>26.092300000000002</v>
      </c>
      <c r="E166" s="4">
        <f>114.009661804642 * CHOOSE(CONTROL!$C$9, $C$13, 100%, $E$13) + CHOOSE(CONTROL!$C$28, 0, 0)</f>
        <v>114.00966180464199</v>
      </c>
    </row>
    <row r="167" spans="1:5" ht="15">
      <c r="A167" s="13">
        <v>46569</v>
      </c>
      <c r="B167" s="4">
        <f>19.6459 * CHOOSE(CONTROL!$C$9, $C$13, 100%, $E$13) + CHOOSE(CONTROL!$C$28, 0.0181, 0)</f>
        <v>19.664000000000001</v>
      </c>
      <c r="C167" s="4">
        <f>19.3334 * CHOOSE(CONTROL!$C$9, $C$13, 100%, $E$13) + CHOOSE(CONTROL!$C$28, 0.0181, 0)</f>
        <v>19.351500000000001</v>
      </c>
      <c r="D167" s="4">
        <f>26.4966 * CHOOSE(CONTROL!$C$9, $C$13, 100%, $E$13) + CHOOSE(CONTROL!$C$28, 0, 0)</f>
        <v>26.496600000000001</v>
      </c>
      <c r="E167" s="4">
        <f>113.973399189565 * CHOOSE(CONTROL!$C$9, $C$13, 100%, $E$13) + CHOOSE(CONTROL!$C$28, 0, 0)</f>
        <v>113.973399189565</v>
      </c>
    </row>
    <row r="168" spans="1:5" ht="15">
      <c r="A168" s="13">
        <v>46600</v>
      </c>
      <c r="B168" s="4">
        <f>20.0714 * CHOOSE(CONTROL!$C$9, $C$13, 100%, $E$13) + CHOOSE(CONTROL!$C$28, 0.0181, 0)</f>
        <v>20.089500000000001</v>
      </c>
      <c r="C168" s="4">
        <f>19.7589 * CHOOSE(CONTROL!$C$9, $C$13, 100%, $E$13) + CHOOSE(CONTROL!$C$28, 0.0181, 0)</f>
        <v>19.777000000000001</v>
      </c>
      <c r="D168" s="4">
        <f>26.2296 * CHOOSE(CONTROL!$C$9, $C$13, 100%, $E$13) + CHOOSE(CONTROL!$C$28, 0, 0)</f>
        <v>26.229600000000001</v>
      </c>
      <c r="E168" s="4">
        <f>116.70216097417 * CHOOSE(CONTROL!$C$9, $C$13, 100%, $E$13) + CHOOSE(CONTROL!$C$28, 0, 0)</f>
        <v>116.70216097417</v>
      </c>
    </row>
    <row r="169" spans="1:5" ht="15">
      <c r="A169" s="13">
        <v>46631</v>
      </c>
      <c r="B169" s="4">
        <f>19.3462 * CHOOSE(CONTROL!$C$9, $C$13, 100%, $E$13) + CHOOSE(CONTROL!$C$28, 0.0181, 0)</f>
        <v>19.3643</v>
      </c>
      <c r="C169" s="4">
        <f>19.0337 * CHOOSE(CONTROL!$C$9, $C$13, 100%, $E$13) + CHOOSE(CONTROL!$C$28, 0.0181, 0)</f>
        <v>19.0518</v>
      </c>
      <c r="D169" s="4">
        <f>26.1034 * CHOOSE(CONTROL!$C$9, $C$13, 100%, $E$13) + CHOOSE(CONTROL!$C$28, 0, 0)</f>
        <v>26.103400000000001</v>
      </c>
      <c r="E169" s="4">
        <f>112.051480590441 * CHOOSE(CONTROL!$C$9, $C$13, 100%, $E$13) + CHOOSE(CONTROL!$C$28, 0, 0)</f>
        <v>112.051480590441</v>
      </c>
    </row>
    <row r="170" spans="1:5" ht="15">
      <c r="A170" s="13">
        <v>46661</v>
      </c>
      <c r="B170" s="4">
        <f>18.7657 * CHOOSE(CONTROL!$C$9, $C$13, 100%, $E$13) + CHOOSE(CONTROL!$C$28, 0.0003, 0)</f>
        <v>18.765999999999998</v>
      </c>
      <c r="C170" s="4">
        <f>18.4532 * CHOOSE(CONTROL!$C$9, $C$13, 100%, $E$13) + CHOOSE(CONTROL!$C$28, 0.0003, 0)</f>
        <v>18.453499999999998</v>
      </c>
      <c r="D170" s="4">
        <f>25.7657 * CHOOSE(CONTROL!$C$9, $C$13, 100%, $E$13) + CHOOSE(CONTROL!$C$28, 0, 0)</f>
        <v>25.765699999999999</v>
      </c>
      <c r="E170" s="4">
        <f>108.328518775785 * CHOOSE(CONTROL!$C$9, $C$13, 100%, $E$13) + CHOOSE(CONTROL!$C$28, 0, 0)</f>
        <v>108.328518775785</v>
      </c>
    </row>
    <row r="171" spans="1:5" ht="15">
      <c r="A171" s="13">
        <v>46692</v>
      </c>
      <c r="B171" s="4">
        <f>18.3919 * CHOOSE(CONTROL!$C$9, $C$13, 100%, $E$13) + CHOOSE(CONTROL!$C$28, 0.0003, 0)</f>
        <v>18.392199999999999</v>
      </c>
      <c r="C171" s="4">
        <f>18.0794 * CHOOSE(CONTROL!$C$9, $C$13, 100%, $E$13) + CHOOSE(CONTROL!$C$28, 0.0003, 0)</f>
        <v>18.079699999999999</v>
      </c>
      <c r="D171" s="4">
        <f>25.6496 * CHOOSE(CONTROL!$C$9, $C$13, 100%, $E$13) + CHOOSE(CONTROL!$C$28, 0, 0)</f>
        <v>25.6496</v>
      </c>
      <c r="E171" s="4">
        <f>105.930653353765 * CHOOSE(CONTROL!$C$9, $C$13, 100%, $E$13) + CHOOSE(CONTROL!$C$28, 0, 0)</f>
        <v>105.930653353765</v>
      </c>
    </row>
    <row r="172" spans="1:5" ht="15">
      <c r="A172" s="13">
        <v>46722</v>
      </c>
      <c r="B172" s="4">
        <f>18.1332 * CHOOSE(CONTROL!$C$9, $C$13, 100%, $E$13) + CHOOSE(CONTROL!$C$28, 0.0003, 0)</f>
        <v>18.133499999999998</v>
      </c>
      <c r="C172" s="4">
        <f>17.8207 * CHOOSE(CONTROL!$C$9, $C$13, 100%, $E$13) + CHOOSE(CONTROL!$C$28, 0.0003, 0)</f>
        <v>17.820999999999998</v>
      </c>
      <c r="D172" s="4">
        <f>24.7947 * CHOOSE(CONTROL!$C$9, $C$13, 100%, $E$13) + CHOOSE(CONTROL!$C$28, 0, 0)</f>
        <v>24.794699999999999</v>
      </c>
      <c r="E172" s="4">
        <f>104.271638713955 * CHOOSE(CONTROL!$C$9, $C$13, 100%, $E$13) + CHOOSE(CONTROL!$C$28, 0, 0)</f>
        <v>104.271638713955</v>
      </c>
    </row>
    <row r="173" spans="1:5" ht="15">
      <c r="A173" s="13">
        <v>46753</v>
      </c>
      <c r="B173" s="4">
        <f>17.7453 * CHOOSE(CONTROL!$C$9, $C$13, 100%, $E$13) + CHOOSE(CONTROL!$C$28, 0.0003, 0)</f>
        <v>17.7456</v>
      </c>
      <c r="C173" s="4">
        <f>17.4328 * CHOOSE(CONTROL!$C$9, $C$13, 100%, $E$13) + CHOOSE(CONTROL!$C$28, 0.0003, 0)</f>
        <v>17.4331</v>
      </c>
      <c r="D173" s="4">
        <f>24.1319 * CHOOSE(CONTROL!$C$9, $C$13, 100%, $E$13) + CHOOSE(CONTROL!$C$28, 0, 0)</f>
        <v>24.131900000000002</v>
      </c>
      <c r="E173" s="4">
        <f>101.884983474545 * CHOOSE(CONTROL!$C$9, $C$13, 100%, $E$13) + CHOOSE(CONTROL!$C$28, 0, 0)</f>
        <v>101.884983474545</v>
      </c>
    </row>
    <row r="174" spans="1:5" ht="15">
      <c r="A174" s="13">
        <v>46784</v>
      </c>
      <c r="B174" s="4">
        <f>18.1222 * CHOOSE(CONTROL!$C$9, $C$13, 100%, $E$13) + CHOOSE(CONTROL!$C$28, 0.0003, 0)</f>
        <v>18.122499999999999</v>
      </c>
      <c r="C174" s="4">
        <f>17.8097 * CHOOSE(CONTROL!$C$9, $C$13, 100%, $E$13) + CHOOSE(CONTROL!$C$28, 0.0003, 0)</f>
        <v>17.809999999999999</v>
      </c>
      <c r="D174" s="4">
        <f>24.9274 * CHOOSE(CONTROL!$C$9, $C$13, 100%, $E$13) + CHOOSE(CONTROL!$C$28, 0, 0)</f>
        <v>24.927399999999999</v>
      </c>
      <c r="E174" s="4">
        <f>104.304134501724 * CHOOSE(CONTROL!$C$9, $C$13, 100%, $E$13) + CHOOSE(CONTROL!$C$28, 0, 0)</f>
        <v>104.30413450172399</v>
      </c>
    </row>
    <row r="175" spans="1:5" ht="15">
      <c r="A175" s="13">
        <v>46813</v>
      </c>
      <c r="B175" s="4">
        <f>19.1117 * CHOOSE(CONTROL!$C$9, $C$13, 100%, $E$13) + CHOOSE(CONTROL!$C$28, 0.0003, 0)</f>
        <v>19.111999999999998</v>
      </c>
      <c r="C175" s="4">
        <f>18.7992 * CHOOSE(CONTROL!$C$9, $C$13, 100%, $E$13) + CHOOSE(CONTROL!$C$28, 0.0003, 0)</f>
        <v>18.799499999999998</v>
      </c>
      <c r="D175" s="4">
        <f>26.1728 * CHOOSE(CONTROL!$C$9, $C$13, 100%, $E$13) + CHOOSE(CONTROL!$C$28, 0, 0)</f>
        <v>26.172799999999999</v>
      </c>
      <c r="E175" s="4">
        <f>110.656953660589 * CHOOSE(CONTROL!$C$9, $C$13, 100%, $E$13) + CHOOSE(CONTROL!$C$28, 0, 0)</f>
        <v>110.656953660589</v>
      </c>
    </row>
    <row r="176" spans="1:5" ht="15">
      <c r="A176" s="13">
        <v>46844</v>
      </c>
      <c r="B176" s="4">
        <f>19.8148 * CHOOSE(CONTROL!$C$9, $C$13, 100%, $E$13) + CHOOSE(CONTROL!$C$28, 0.0003, 0)</f>
        <v>19.815100000000001</v>
      </c>
      <c r="C176" s="4">
        <f>19.5023 * CHOOSE(CONTROL!$C$9, $C$13, 100%, $E$13) + CHOOSE(CONTROL!$C$28, 0.0003, 0)</f>
        <v>19.502600000000001</v>
      </c>
      <c r="D176" s="4">
        <f>26.8902 * CHOOSE(CONTROL!$C$9, $C$13, 100%, $E$13) + CHOOSE(CONTROL!$C$28, 0, 0)</f>
        <v>26.8902</v>
      </c>
      <c r="E176" s="4">
        <f>115.17071633541 * CHOOSE(CONTROL!$C$9, $C$13, 100%, $E$13) + CHOOSE(CONTROL!$C$28, 0, 0)</f>
        <v>115.17071633541001</v>
      </c>
    </row>
    <row r="177" spans="1:5" ht="15">
      <c r="A177" s="13">
        <v>46874</v>
      </c>
      <c r="B177" s="4">
        <f>20.2444 * CHOOSE(CONTROL!$C$9, $C$13, 100%, $E$13) + CHOOSE(CONTROL!$C$28, 0.0181, 0)</f>
        <v>20.262499999999999</v>
      </c>
      <c r="C177" s="4">
        <f>19.9319 * CHOOSE(CONTROL!$C$9, $C$13, 100%, $E$13) + CHOOSE(CONTROL!$C$28, 0.0181, 0)</f>
        <v>19.95</v>
      </c>
      <c r="D177" s="4">
        <f>26.6067 * CHOOSE(CONTROL!$C$9, $C$13, 100%, $E$13) + CHOOSE(CONTROL!$C$28, 0, 0)</f>
        <v>26.6067</v>
      </c>
      <c r="E177" s="4">
        <f>117.928517149932 * CHOOSE(CONTROL!$C$9, $C$13, 100%, $E$13) + CHOOSE(CONTROL!$C$28, 0, 0)</f>
        <v>117.92851714993201</v>
      </c>
    </row>
    <row r="178" spans="1:5" ht="15">
      <c r="A178" s="13">
        <v>46905</v>
      </c>
      <c r="B178" s="4">
        <f>20.3025 * CHOOSE(CONTROL!$C$9, $C$13, 100%, $E$13) + CHOOSE(CONTROL!$C$28, 0.0181, 0)</f>
        <v>20.320599999999999</v>
      </c>
      <c r="C178" s="4">
        <f>19.99 * CHOOSE(CONTROL!$C$9, $C$13, 100%, $E$13) + CHOOSE(CONTROL!$C$28, 0.0181, 0)</f>
        <v>20.008099999999999</v>
      </c>
      <c r="D178" s="4">
        <f>26.8376 * CHOOSE(CONTROL!$C$9, $C$13, 100%, $E$13) + CHOOSE(CONTROL!$C$28, 0, 0)</f>
        <v>26.837599999999998</v>
      </c>
      <c r="E178" s="4">
        <f>118.301659045246 * CHOOSE(CONTROL!$C$9, $C$13, 100%, $E$13) + CHOOSE(CONTROL!$C$28, 0, 0)</f>
        <v>118.301659045246</v>
      </c>
    </row>
    <row r="179" spans="1:5" ht="15">
      <c r="A179" s="13">
        <v>46935</v>
      </c>
      <c r="B179" s="4">
        <f>20.2967 * CHOOSE(CONTROL!$C$9, $C$13, 100%, $E$13) + CHOOSE(CONTROL!$C$28, 0.0181, 0)</f>
        <v>20.314800000000002</v>
      </c>
      <c r="C179" s="4">
        <f>19.9842 * CHOOSE(CONTROL!$C$9, $C$13, 100%, $E$13) + CHOOSE(CONTROL!$C$28, 0.0181, 0)</f>
        <v>20.002300000000002</v>
      </c>
      <c r="D179" s="4">
        <f>27.2542 * CHOOSE(CONTROL!$C$9, $C$13, 100%, $E$13) + CHOOSE(CONTROL!$C$28, 0, 0)</f>
        <v>27.254200000000001</v>
      </c>
      <c r="E179" s="4">
        <f>118.264031291096 * CHOOSE(CONTROL!$C$9, $C$13, 100%, $E$13) + CHOOSE(CONTROL!$C$28, 0, 0)</f>
        <v>118.264031291096</v>
      </c>
    </row>
    <row r="180" spans="1:5" ht="15">
      <c r="A180" s="13">
        <v>46966</v>
      </c>
      <c r="B180" s="4">
        <f>20.7377 * CHOOSE(CONTROL!$C$9, $C$13, 100%, $E$13) + CHOOSE(CONTROL!$C$28, 0.0181, 0)</f>
        <v>20.755800000000001</v>
      </c>
      <c r="C180" s="4">
        <f>20.4252 * CHOOSE(CONTROL!$C$9, $C$13, 100%, $E$13) + CHOOSE(CONTROL!$C$28, 0.0181, 0)</f>
        <v>20.443300000000001</v>
      </c>
      <c r="D180" s="4">
        <f>26.9791 * CHOOSE(CONTROL!$C$9, $C$13, 100%, $E$13) + CHOOSE(CONTROL!$C$28, 0, 0)</f>
        <v>26.979099999999999</v>
      </c>
      <c r="E180" s="4">
        <f>121.095519790827 * CHOOSE(CONTROL!$C$9, $C$13, 100%, $E$13) + CHOOSE(CONTROL!$C$28, 0, 0)</f>
        <v>121.095519790827</v>
      </c>
    </row>
    <row r="181" spans="1:5" ht="15">
      <c r="A181" s="13">
        <v>46997</v>
      </c>
      <c r="B181" s="4">
        <f>19.986 * CHOOSE(CONTROL!$C$9, $C$13, 100%, $E$13) + CHOOSE(CONTROL!$C$28, 0.0181, 0)</f>
        <v>20.004100000000001</v>
      </c>
      <c r="C181" s="4">
        <f>19.6735 * CHOOSE(CONTROL!$C$9, $C$13, 100%, $E$13) + CHOOSE(CONTROL!$C$28, 0.0181, 0)</f>
        <v>19.691600000000001</v>
      </c>
      <c r="D181" s="4">
        <f>26.8491 * CHOOSE(CONTROL!$C$9, $C$13, 100%, $E$13) + CHOOSE(CONTROL!$C$28, 0, 0)</f>
        <v>26.8491</v>
      </c>
      <c r="E181" s="4">
        <f>116.269760321186 * CHOOSE(CONTROL!$C$9, $C$13, 100%, $E$13) + CHOOSE(CONTROL!$C$28, 0, 0)</f>
        <v>116.269760321186</v>
      </c>
    </row>
    <row r="182" spans="1:5" ht="15">
      <c r="A182" s="13">
        <v>47027</v>
      </c>
      <c r="B182" s="4">
        <f>19.3843 * CHOOSE(CONTROL!$C$9, $C$13, 100%, $E$13) + CHOOSE(CONTROL!$C$28, 0.0003, 0)</f>
        <v>19.384599999999999</v>
      </c>
      <c r="C182" s="4">
        <f>19.0718 * CHOOSE(CONTROL!$C$9, $C$13, 100%, $E$13) + CHOOSE(CONTROL!$C$28, 0.0003, 0)</f>
        <v>19.072099999999999</v>
      </c>
      <c r="D182" s="4">
        <f>26.501 * CHOOSE(CONTROL!$C$9, $C$13, 100%, $E$13) + CHOOSE(CONTROL!$C$28, 0, 0)</f>
        <v>26.501000000000001</v>
      </c>
      <c r="E182" s="4">
        <f>112.40664422853 * CHOOSE(CONTROL!$C$9, $C$13, 100%, $E$13) + CHOOSE(CONTROL!$C$28, 0, 0)</f>
        <v>112.40664422853</v>
      </c>
    </row>
    <row r="183" spans="1:5" ht="15">
      <c r="A183" s="13">
        <v>47058</v>
      </c>
      <c r="B183" s="4">
        <f>18.9967 * CHOOSE(CONTROL!$C$9, $C$13, 100%, $E$13) + CHOOSE(CONTROL!$C$28, 0.0003, 0)</f>
        <v>18.997</v>
      </c>
      <c r="C183" s="4">
        <f>18.6842 * CHOOSE(CONTROL!$C$9, $C$13, 100%, $E$13) + CHOOSE(CONTROL!$C$28, 0.0003, 0)</f>
        <v>18.6845</v>
      </c>
      <c r="D183" s="4">
        <f>26.3814 * CHOOSE(CONTROL!$C$9, $C$13, 100%, $E$13) + CHOOSE(CONTROL!$C$28, 0, 0)</f>
        <v>26.381399999999999</v>
      </c>
      <c r="E183" s="4">
        <f>109.91850898541 * CHOOSE(CONTROL!$C$9, $C$13, 100%, $E$13) + CHOOSE(CONTROL!$C$28, 0, 0)</f>
        <v>109.91850898541</v>
      </c>
    </row>
    <row r="184" spans="1:5" ht="15">
      <c r="A184" s="13">
        <v>47088</v>
      </c>
      <c r="B184" s="4">
        <f>18.7286 * CHOOSE(CONTROL!$C$9, $C$13, 100%, $E$13) + CHOOSE(CONTROL!$C$28, 0.0003, 0)</f>
        <v>18.728899999999999</v>
      </c>
      <c r="C184" s="4">
        <f>18.4161 * CHOOSE(CONTROL!$C$9, $C$13, 100%, $E$13) + CHOOSE(CONTROL!$C$28, 0.0003, 0)</f>
        <v>18.416399999999999</v>
      </c>
      <c r="D184" s="4">
        <f>25.5005 * CHOOSE(CONTROL!$C$9, $C$13, 100%, $E$13) + CHOOSE(CONTROL!$C$28, 0, 0)</f>
        <v>25.500499999999999</v>
      </c>
      <c r="E184" s="4">
        <f>108.197039233082 * CHOOSE(CONTROL!$C$9, $C$13, 100%, $E$13) + CHOOSE(CONTROL!$C$28, 0, 0)</f>
        <v>108.19703923308199</v>
      </c>
    </row>
    <row r="185" spans="1:5" ht="15">
      <c r="A185" s="13">
        <v>47119</v>
      </c>
      <c r="B185" s="4">
        <f>18.3377 * CHOOSE(CONTROL!$C$9, $C$13, 100%, $E$13) + CHOOSE(CONTROL!$C$28, 0.0003, 0)</f>
        <v>18.338000000000001</v>
      </c>
      <c r="C185" s="4">
        <f>18.0252 * CHOOSE(CONTROL!$C$9, $C$13, 100%, $E$13) + CHOOSE(CONTROL!$C$28, 0.0003, 0)</f>
        <v>18.025500000000001</v>
      </c>
      <c r="D185" s="4">
        <f>24.7707 * CHOOSE(CONTROL!$C$9, $C$13, 100%, $E$13) + CHOOSE(CONTROL!$C$28, 0, 0)</f>
        <v>24.770700000000001</v>
      </c>
      <c r="E185" s="4">
        <f>105.693971876887 * CHOOSE(CONTROL!$C$9, $C$13, 100%, $E$13) + CHOOSE(CONTROL!$C$28, 0, 0)</f>
        <v>105.69397187688701</v>
      </c>
    </row>
    <row r="186" spans="1:5" ht="15">
      <c r="A186" s="13">
        <v>47150</v>
      </c>
      <c r="B186" s="4">
        <f>18.7286 * CHOOSE(CONTROL!$C$9, $C$13, 100%, $E$13) + CHOOSE(CONTROL!$C$28, 0.0003, 0)</f>
        <v>18.728899999999999</v>
      </c>
      <c r="C186" s="4">
        <f>18.4161 * CHOOSE(CONTROL!$C$9, $C$13, 100%, $E$13) + CHOOSE(CONTROL!$C$28, 0.0003, 0)</f>
        <v>18.416399999999999</v>
      </c>
      <c r="D186" s="4">
        <f>25.5888 * CHOOSE(CONTROL!$C$9, $C$13, 100%, $E$13) + CHOOSE(CONTROL!$C$28, 0, 0)</f>
        <v>25.588799999999999</v>
      </c>
      <c r="E186" s="4">
        <f>108.203563299616 * CHOOSE(CONTROL!$C$9, $C$13, 100%, $E$13) + CHOOSE(CONTROL!$C$28, 0, 0)</f>
        <v>108.20356329961599</v>
      </c>
    </row>
    <row r="187" spans="1:5" ht="15">
      <c r="A187" s="13">
        <v>47178</v>
      </c>
      <c r="B187" s="4">
        <f>19.7551 * CHOOSE(CONTROL!$C$9, $C$13, 100%, $E$13) + CHOOSE(CONTROL!$C$28, 0.0003, 0)</f>
        <v>19.755399999999998</v>
      </c>
      <c r="C187" s="4">
        <f>19.4426 * CHOOSE(CONTROL!$C$9, $C$13, 100%, $E$13) + CHOOSE(CONTROL!$C$28, 0.0003, 0)</f>
        <v>19.442899999999998</v>
      </c>
      <c r="D187" s="4">
        <f>26.8695 * CHOOSE(CONTROL!$C$9, $C$13, 100%, $E$13) + CHOOSE(CONTROL!$C$28, 0, 0)</f>
        <v>26.869499999999999</v>
      </c>
      <c r="E187" s="4">
        <f>114.79388374349 * CHOOSE(CONTROL!$C$9, $C$13, 100%, $E$13) + CHOOSE(CONTROL!$C$28, 0, 0)</f>
        <v>114.79388374349</v>
      </c>
    </row>
    <row r="188" spans="1:5" ht="15">
      <c r="A188" s="13">
        <v>47209</v>
      </c>
      <c r="B188" s="4">
        <f>20.4844 * CHOOSE(CONTROL!$C$9, $C$13, 100%, $E$13) + CHOOSE(CONTROL!$C$28, 0.0003, 0)</f>
        <v>20.4847</v>
      </c>
      <c r="C188" s="4">
        <f>20.1719 * CHOOSE(CONTROL!$C$9, $C$13, 100%, $E$13) + CHOOSE(CONTROL!$C$28, 0.0003, 0)</f>
        <v>20.1722</v>
      </c>
      <c r="D188" s="4">
        <f>27.6072 * CHOOSE(CONTROL!$C$9, $C$13, 100%, $E$13) + CHOOSE(CONTROL!$C$28, 0, 0)</f>
        <v>27.607199999999999</v>
      </c>
      <c r="E188" s="4">
        <f>119.47639424643 * CHOOSE(CONTROL!$C$9, $C$13, 100%, $E$13) + CHOOSE(CONTROL!$C$28, 0, 0)</f>
        <v>119.47639424643</v>
      </c>
    </row>
    <row r="189" spans="1:5" ht="15">
      <c r="A189" s="13">
        <v>47239</v>
      </c>
      <c r="B189" s="4">
        <f>20.93 * CHOOSE(CONTROL!$C$9, $C$13, 100%, $E$13) + CHOOSE(CONTROL!$C$28, 0.0181, 0)</f>
        <v>20.9481</v>
      </c>
      <c r="C189" s="4">
        <f>20.6175 * CHOOSE(CONTROL!$C$9, $C$13, 100%, $E$13) + CHOOSE(CONTROL!$C$28, 0.0181, 0)</f>
        <v>20.6356</v>
      </c>
      <c r="D189" s="4">
        <f>27.3157 * CHOOSE(CONTROL!$C$9, $C$13, 100%, $E$13) + CHOOSE(CONTROL!$C$28, 0, 0)</f>
        <v>27.3157</v>
      </c>
      <c r="E189" s="4">
        <f>122.337295939612 * CHOOSE(CONTROL!$C$9, $C$13, 100%, $E$13) + CHOOSE(CONTROL!$C$28, 0, 0)</f>
        <v>122.33729593961201</v>
      </c>
    </row>
    <row r="190" spans="1:5" ht="15">
      <c r="A190" s="13">
        <v>47270</v>
      </c>
      <c r="B190" s="4">
        <f>20.9903 * CHOOSE(CONTROL!$C$9, $C$13, 100%, $E$13) + CHOOSE(CONTROL!$C$28, 0.0181, 0)</f>
        <v>21.008400000000002</v>
      </c>
      <c r="C190" s="4">
        <f>20.6778 * CHOOSE(CONTROL!$C$9, $C$13, 100%, $E$13) + CHOOSE(CONTROL!$C$28, 0.0181, 0)</f>
        <v>20.695900000000002</v>
      </c>
      <c r="D190" s="4">
        <f>27.5531 * CHOOSE(CONTROL!$C$9, $C$13, 100%, $E$13) + CHOOSE(CONTROL!$C$28, 0, 0)</f>
        <v>27.553100000000001</v>
      </c>
      <c r="E190" s="4">
        <f>122.724387811685 * CHOOSE(CONTROL!$C$9, $C$13, 100%, $E$13) + CHOOSE(CONTROL!$C$28, 0, 0)</f>
        <v>122.72438781168501</v>
      </c>
    </row>
    <row r="191" spans="1:5" ht="15">
      <c r="A191" s="13">
        <v>47300</v>
      </c>
      <c r="B191" s="4">
        <f>20.9842 * CHOOSE(CONTROL!$C$9, $C$13, 100%, $E$13) + CHOOSE(CONTROL!$C$28, 0.0181, 0)</f>
        <v>21.002300000000002</v>
      </c>
      <c r="C191" s="4">
        <f>20.6717 * CHOOSE(CONTROL!$C$9, $C$13, 100%, $E$13) + CHOOSE(CONTROL!$C$28, 0.0181, 0)</f>
        <v>20.689800000000002</v>
      </c>
      <c r="D191" s="4">
        <f>27.9815 * CHOOSE(CONTROL!$C$9, $C$13, 100%, $E$13) + CHOOSE(CONTROL!$C$28, 0, 0)</f>
        <v>27.9815</v>
      </c>
      <c r="E191" s="4">
        <f>122.685353337191 * CHOOSE(CONTROL!$C$9, $C$13, 100%, $E$13) + CHOOSE(CONTROL!$C$28, 0, 0)</f>
        <v>122.685353337191</v>
      </c>
    </row>
    <row r="192" spans="1:5" ht="15">
      <c r="A192" s="13">
        <v>47331</v>
      </c>
      <c r="B192" s="4">
        <f>21.4417 * CHOOSE(CONTROL!$C$9, $C$13, 100%, $E$13) + CHOOSE(CONTROL!$C$28, 0.0181, 0)</f>
        <v>21.459800000000001</v>
      </c>
      <c r="C192" s="4">
        <f>21.1292 * CHOOSE(CONTROL!$C$9, $C$13, 100%, $E$13) + CHOOSE(CONTROL!$C$28, 0.0181, 0)</f>
        <v>21.147300000000001</v>
      </c>
      <c r="D192" s="4">
        <f>27.6986 * CHOOSE(CONTROL!$C$9, $C$13, 100%, $E$13) + CHOOSE(CONTROL!$C$28, 0, 0)</f>
        <v>27.698599999999999</v>
      </c>
      <c r="E192" s="4">
        <f>125.622697542925 * CHOOSE(CONTROL!$C$9, $C$13, 100%, $E$13) + CHOOSE(CONTROL!$C$28, 0, 0)</f>
        <v>125.622697542925</v>
      </c>
    </row>
    <row r="193" spans="1:5" ht="15">
      <c r="A193" s="13">
        <v>47362</v>
      </c>
      <c r="B193" s="4">
        <f>20.662 * CHOOSE(CONTROL!$C$9, $C$13, 100%, $E$13) + CHOOSE(CONTROL!$C$28, 0.0181, 0)</f>
        <v>20.680099999999999</v>
      </c>
      <c r="C193" s="4">
        <f>20.3495 * CHOOSE(CONTROL!$C$9, $C$13, 100%, $E$13) + CHOOSE(CONTROL!$C$28, 0.0181, 0)</f>
        <v>20.367599999999999</v>
      </c>
      <c r="D193" s="4">
        <f>27.5649 * CHOOSE(CONTROL!$C$9, $C$13, 100%, $E$13) + CHOOSE(CONTROL!$C$28, 0, 0)</f>
        <v>27.564900000000002</v>
      </c>
      <c r="E193" s="4">
        <f>120.616526188966 * CHOOSE(CONTROL!$C$9, $C$13, 100%, $E$13) + CHOOSE(CONTROL!$C$28, 0, 0)</f>
        <v>120.61652618896601</v>
      </c>
    </row>
    <row r="194" spans="1:5" ht="15">
      <c r="A194" s="13">
        <v>47392</v>
      </c>
      <c r="B194" s="4">
        <f>20.0378 * CHOOSE(CONTROL!$C$9, $C$13, 100%, $E$13) + CHOOSE(CONTROL!$C$28, 0.0003, 0)</f>
        <v>20.0381</v>
      </c>
      <c r="C194" s="4">
        <f>19.7253 * CHOOSE(CONTROL!$C$9, $C$13, 100%, $E$13) + CHOOSE(CONTROL!$C$28, 0.0003, 0)</f>
        <v>19.7256</v>
      </c>
      <c r="D194" s="4">
        <f>27.207 * CHOOSE(CONTROL!$C$9, $C$13, 100%, $E$13) + CHOOSE(CONTROL!$C$28, 0, 0)</f>
        <v>27.207000000000001</v>
      </c>
      <c r="E194" s="4">
        <f>116.608986807498 * CHOOSE(CONTROL!$C$9, $C$13, 100%, $E$13) + CHOOSE(CONTROL!$C$28, 0, 0)</f>
        <v>116.608986807498</v>
      </c>
    </row>
    <row r="195" spans="1:5" ht="15">
      <c r="A195" s="13">
        <v>47423</v>
      </c>
      <c r="B195" s="4">
        <f>19.6357 * CHOOSE(CONTROL!$C$9, $C$13, 100%, $E$13) + CHOOSE(CONTROL!$C$28, 0.0003, 0)</f>
        <v>19.635999999999999</v>
      </c>
      <c r="C195" s="4">
        <f>19.3232 * CHOOSE(CONTROL!$C$9, $C$13, 100%, $E$13) + CHOOSE(CONTROL!$C$28, 0.0003, 0)</f>
        <v>19.323499999999999</v>
      </c>
      <c r="D195" s="4">
        <f>27.084 * CHOOSE(CONTROL!$C$9, $C$13, 100%, $E$13) + CHOOSE(CONTROL!$C$28, 0, 0)</f>
        <v>27.084</v>
      </c>
      <c r="E195" s="4">
        <f>114.027832181529 * CHOOSE(CONTROL!$C$9, $C$13, 100%, $E$13) + CHOOSE(CONTROL!$C$28, 0, 0)</f>
        <v>114.02783218152901</v>
      </c>
    </row>
    <row r="196" spans="1:5" ht="15">
      <c r="A196" s="13">
        <v>47453</v>
      </c>
      <c r="B196" s="4">
        <f>19.3576 * CHOOSE(CONTROL!$C$9, $C$13, 100%, $E$13) + CHOOSE(CONTROL!$C$28, 0.0003, 0)</f>
        <v>19.357900000000001</v>
      </c>
      <c r="C196" s="4">
        <f>19.0451 * CHOOSE(CONTROL!$C$9, $C$13, 100%, $E$13) + CHOOSE(CONTROL!$C$28, 0.0003, 0)</f>
        <v>19.045400000000001</v>
      </c>
      <c r="D196" s="4">
        <f>26.1781 * CHOOSE(CONTROL!$C$9, $C$13, 100%, $E$13) + CHOOSE(CONTROL!$C$28, 0, 0)</f>
        <v>26.178100000000001</v>
      </c>
      <c r="E196" s="4">
        <f>112.242004973391 * CHOOSE(CONTROL!$C$9, $C$13, 100%, $E$13) + CHOOSE(CONTROL!$C$28, 0, 0)</f>
        <v>112.242004973391</v>
      </c>
    </row>
    <row r="197" spans="1:5" ht="15">
      <c r="A197" s="13">
        <v>47484</v>
      </c>
      <c r="B197" s="4">
        <f>18.9384 * CHOOSE(CONTROL!$C$9, $C$13, 100%, $E$13) + CHOOSE(CONTROL!$C$28, 0.0003, 0)</f>
        <v>18.938700000000001</v>
      </c>
      <c r="C197" s="4">
        <f>18.6259 * CHOOSE(CONTROL!$C$9, $C$13, 100%, $E$13) + CHOOSE(CONTROL!$C$28, 0.0003, 0)</f>
        <v>18.626200000000001</v>
      </c>
      <c r="D197" s="4">
        <f>25.4259 * CHOOSE(CONTROL!$C$9, $C$13, 100%, $E$13) + CHOOSE(CONTROL!$C$28, 0, 0)</f>
        <v>25.425899999999999</v>
      </c>
      <c r="E197" s="4">
        <f>109.569103782981 * CHOOSE(CONTROL!$C$9, $C$13, 100%, $E$13) + CHOOSE(CONTROL!$C$28, 0, 0)</f>
        <v>109.569103782981</v>
      </c>
    </row>
    <row r="198" spans="1:5" ht="15">
      <c r="A198" s="13">
        <v>47515</v>
      </c>
      <c r="B198" s="4">
        <f>19.3435 * CHOOSE(CONTROL!$C$9, $C$13, 100%, $E$13) + CHOOSE(CONTROL!$C$28, 0.0003, 0)</f>
        <v>19.343799999999998</v>
      </c>
      <c r="C198" s="4">
        <f>19.031 * CHOOSE(CONTROL!$C$9, $C$13, 100%, $E$13) + CHOOSE(CONTROL!$C$28, 0.0003, 0)</f>
        <v>19.031299999999998</v>
      </c>
      <c r="D198" s="4">
        <f>26.2671 * CHOOSE(CONTROL!$C$9, $C$13, 100%, $E$13) + CHOOSE(CONTROL!$C$28, 0, 0)</f>
        <v>26.267099999999999</v>
      </c>
      <c r="E198" s="4">
        <f>112.170706108705 * CHOOSE(CONTROL!$C$9, $C$13, 100%, $E$13) + CHOOSE(CONTROL!$C$28, 0, 0)</f>
        <v>112.17070610870501</v>
      </c>
    </row>
    <row r="199" spans="1:5" ht="15">
      <c r="A199" s="13">
        <v>47543</v>
      </c>
      <c r="B199" s="4">
        <f>20.4075 * CHOOSE(CONTROL!$C$9, $C$13, 100%, $E$13) + CHOOSE(CONTROL!$C$28, 0.0003, 0)</f>
        <v>20.407799999999998</v>
      </c>
      <c r="C199" s="4">
        <f>20.095 * CHOOSE(CONTROL!$C$9, $C$13, 100%, $E$13) + CHOOSE(CONTROL!$C$28, 0.0003, 0)</f>
        <v>20.095299999999998</v>
      </c>
      <c r="D199" s="4">
        <f>27.584 * CHOOSE(CONTROL!$C$9, $C$13, 100%, $E$13) + CHOOSE(CONTROL!$C$28, 0, 0)</f>
        <v>27.584</v>
      </c>
      <c r="E199" s="4">
        <f>119.002652073599 * CHOOSE(CONTROL!$C$9, $C$13, 100%, $E$13) + CHOOSE(CONTROL!$C$28, 0, 0)</f>
        <v>119.00265207359899</v>
      </c>
    </row>
    <row r="200" spans="1:5" ht="15">
      <c r="A200" s="13">
        <v>47574</v>
      </c>
      <c r="B200" s="4">
        <f>21.1634 * CHOOSE(CONTROL!$C$9, $C$13, 100%, $E$13) + CHOOSE(CONTROL!$C$28, 0.0003, 0)</f>
        <v>21.163699999999999</v>
      </c>
      <c r="C200" s="4">
        <f>20.8509 * CHOOSE(CONTROL!$C$9, $C$13, 100%, $E$13) + CHOOSE(CONTROL!$C$28, 0.0003, 0)</f>
        <v>20.851199999999999</v>
      </c>
      <c r="D200" s="4">
        <f>28.3426 * CHOOSE(CONTROL!$C$9, $C$13, 100%, $E$13) + CHOOSE(CONTROL!$C$28, 0, 0)</f>
        <v>28.342600000000001</v>
      </c>
      <c r="E200" s="4">
        <f>123.856840729307 * CHOOSE(CONTROL!$C$9, $C$13, 100%, $E$13) + CHOOSE(CONTROL!$C$28, 0, 0)</f>
        <v>123.856840729307</v>
      </c>
    </row>
    <row r="201" spans="1:5" ht="15">
      <c r="A201" s="13">
        <v>47604</v>
      </c>
      <c r="B201" s="4">
        <f>21.6253 * CHOOSE(CONTROL!$C$9, $C$13, 100%, $E$13) + CHOOSE(CONTROL!$C$28, 0.0181, 0)</f>
        <v>21.6434</v>
      </c>
      <c r="C201" s="4">
        <f>21.3128 * CHOOSE(CONTROL!$C$9, $C$13, 100%, $E$13) + CHOOSE(CONTROL!$C$28, 0.0181, 0)</f>
        <v>21.3309</v>
      </c>
      <c r="D201" s="4">
        <f>28.0428 * CHOOSE(CONTROL!$C$9, $C$13, 100%, $E$13) + CHOOSE(CONTROL!$C$28, 0, 0)</f>
        <v>28.0428</v>
      </c>
      <c r="E201" s="4">
        <f>126.82263365928 * CHOOSE(CONTROL!$C$9, $C$13, 100%, $E$13) + CHOOSE(CONTROL!$C$28, 0, 0)</f>
        <v>126.82263365928</v>
      </c>
    </row>
    <row r="202" spans="1:5" ht="15">
      <c r="A202" s="13">
        <v>47635</v>
      </c>
      <c r="B202" s="4">
        <f>21.6878 * CHOOSE(CONTROL!$C$9, $C$13, 100%, $E$13) + CHOOSE(CONTROL!$C$28, 0.0181, 0)</f>
        <v>21.7059</v>
      </c>
      <c r="C202" s="4">
        <f>21.3753 * CHOOSE(CONTROL!$C$9, $C$13, 100%, $E$13) + CHOOSE(CONTROL!$C$28, 0.0181, 0)</f>
        <v>21.3934</v>
      </c>
      <c r="D202" s="4">
        <f>28.287 * CHOOSE(CONTROL!$C$9, $C$13, 100%, $E$13) + CHOOSE(CONTROL!$C$28, 0, 0)</f>
        <v>28.286999999999999</v>
      </c>
      <c r="E202" s="4">
        <f>127.223917750999 * CHOOSE(CONTROL!$C$9, $C$13, 100%, $E$13) + CHOOSE(CONTROL!$C$28, 0, 0)</f>
        <v>127.22391775099899</v>
      </c>
    </row>
    <row r="203" spans="1:5" ht="15">
      <c r="A203" s="13">
        <v>47665</v>
      </c>
      <c r="B203" s="4">
        <f>21.6815 * CHOOSE(CONTROL!$C$9, $C$13, 100%, $E$13) + CHOOSE(CONTROL!$C$28, 0.0181, 0)</f>
        <v>21.6996</v>
      </c>
      <c r="C203" s="4">
        <f>21.369 * CHOOSE(CONTROL!$C$9, $C$13, 100%, $E$13) + CHOOSE(CONTROL!$C$28, 0.0181, 0)</f>
        <v>21.3871</v>
      </c>
      <c r="D203" s="4">
        <f>28.7274 * CHOOSE(CONTROL!$C$9, $C$13, 100%, $E$13) + CHOOSE(CONTROL!$C$28, 0, 0)</f>
        <v>28.727399999999999</v>
      </c>
      <c r="E203" s="4">
        <f>127.183452128304 * CHOOSE(CONTROL!$C$9, $C$13, 100%, $E$13) + CHOOSE(CONTROL!$C$28, 0, 0)</f>
        <v>127.183452128304</v>
      </c>
    </row>
    <row r="204" spans="1:5" ht="15">
      <c r="A204" s="13">
        <v>47696</v>
      </c>
      <c r="B204" s="4">
        <f>22.1557 * CHOOSE(CONTROL!$C$9, $C$13, 100%, $E$13) + CHOOSE(CONTROL!$C$28, 0.0181, 0)</f>
        <v>22.1738</v>
      </c>
      <c r="C204" s="4">
        <f>21.8432 * CHOOSE(CONTROL!$C$9, $C$13, 100%, $E$13) + CHOOSE(CONTROL!$C$28, 0.0181, 0)</f>
        <v>21.8613</v>
      </c>
      <c r="D204" s="4">
        <f>28.4365 * CHOOSE(CONTROL!$C$9, $C$13, 100%, $E$13) + CHOOSE(CONTROL!$C$28, 0, 0)</f>
        <v>28.436499999999999</v>
      </c>
      <c r="E204" s="4">
        <f>130.228490236053 * CHOOSE(CONTROL!$C$9, $C$13, 100%, $E$13) + CHOOSE(CONTROL!$C$28, 0, 0)</f>
        <v>130.22849023605301</v>
      </c>
    </row>
    <row r="205" spans="1:5" ht="15">
      <c r="A205" s="13">
        <v>47727</v>
      </c>
      <c r="B205" s="4">
        <f>21.3475 * CHOOSE(CONTROL!$C$9, $C$13, 100%, $E$13) + CHOOSE(CONTROL!$C$28, 0.0181, 0)</f>
        <v>21.365600000000001</v>
      </c>
      <c r="C205" s="4">
        <f>21.035 * CHOOSE(CONTROL!$C$9, $C$13, 100%, $E$13) + CHOOSE(CONTROL!$C$28, 0.0181, 0)</f>
        <v>21.053100000000001</v>
      </c>
      <c r="D205" s="4">
        <f>28.2991 * CHOOSE(CONTROL!$C$9, $C$13, 100%, $E$13) + CHOOSE(CONTROL!$C$28, 0, 0)</f>
        <v>28.299099999999999</v>
      </c>
      <c r="E205" s="4">
        <f>125.038774125504 * CHOOSE(CONTROL!$C$9, $C$13, 100%, $E$13) + CHOOSE(CONTROL!$C$28, 0, 0)</f>
        <v>125.03877412550401</v>
      </c>
    </row>
    <row r="206" spans="1:5" ht="15">
      <c r="A206" s="13">
        <v>47757</v>
      </c>
      <c r="B206" s="4">
        <f>20.7005 * CHOOSE(CONTROL!$C$9, $C$13, 100%, $E$13) + CHOOSE(CONTROL!$C$28, 0.0003, 0)</f>
        <v>20.700800000000001</v>
      </c>
      <c r="C206" s="4">
        <f>20.388 * CHOOSE(CONTROL!$C$9, $C$13, 100%, $E$13) + CHOOSE(CONTROL!$C$28, 0.0003, 0)</f>
        <v>20.388300000000001</v>
      </c>
      <c r="D206" s="4">
        <f>27.9311 * CHOOSE(CONTROL!$C$9, $C$13, 100%, $E$13) + CHOOSE(CONTROL!$C$28, 0, 0)</f>
        <v>27.931100000000001</v>
      </c>
      <c r="E206" s="4">
        <f>120.884303528886 * CHOOSE(CONTROL!$C$9, $C$13, 100%, $E$13) + CHOOSE(CONTROL!$C$28, 0, 0)</f>
        <v>120.88430352888599</v>
      </c>
    </row>
    <row r="207" spans="1:5" ht="15">
      <c r="A207" s="13">
        <v>47788</v>
      </c>
      <c r="B207" s="4">
        <f>20.2838 * CHOOSE(CONTROL!$C$9, $C$13, 100%, $E$13) + CHOOSE(CONTROL!$C$28, 0.0003, 0)</f>
        <v>20.284099999999999</v>
      </c>
      <c r="C207" s="4">
        <f>19.9713 * CHOOSE(CONTROL!$C$9, $C$13, 100%, $E$13) + CHOOSE(CONTROL!$C$28, 0.0003, 0)</f>
        <v>19.971599999999999</v>
      </c>
      <c r="D207" s="4">
        <f>27.8046 * CHOOSE(CONTROL!$C$9, $C$13, 100%, $E$13) + CHOOSE(CONTROL!$C$28, 0, 0)</f>
        <v>27.804600000000001</v>
      </c>
      <c r="E207" s="4">
        <f>118.208514228222 * CHOOSE(CONTROL!$C$9, $C$13, 100%, $E$13) + CHOOSE(CONTROL!$C$28, 0, 0)</f>
        <v>118.208514228222</v>
      </c>
    </row>
    <row r="208" spans="1:5" ht="15">
      <c r="A208" s="13">
        <v>47818</v>
      </c>
      <c r="B208" s="4">
        <f>19.9955 * CHOOSE(CONTROL!$C$9, $C$13, 100%, $E$13) + CHOOSE(CONTROL!$C$28, 0.0003, 0)</f>
        <v>19.995799999999999</v>
      </c>
      <c r="C208" s="4">
        <f>19.683 * CHOOSE(CONTROL!$C$9, $C$13, 100%, $E$13) + CHOOSE(CONTROL!$C$28, 0.0003, 0)</f>
        <v>19.683299999999999</v>
      </c>
      <c r="D208" s="4">
        <f>26.8731 * CHOOSE(CONTROL!$C$9, $C$13, 100%, $E$13) + CHOOSE(CONTROL!$C$28, 0, 0)</f>
        <v>26.873100000000001</v>
      </c>
      <c r="E208" s="4">
        <f>116.357211989957 * CHOOSE(CONTROL!$C$9, $C$13, 100%, $E$13) + CHOOSE(CONTROL!$C$28, 0, 0)</f>
        <v>116.35721198995699</v>
      </c>
    </row>
    <row r="209" spans="1:5" ht="15">
      <c r="A209" s="13">
        <v>47849</v>
      </c>
      <c r="B209" s="4">
        <f>19.2683 * CHOOSE(CONTROL!$C$9, $C$13, 100%, $E$13) + CHOOSE(CONTROL!$C$28, 0.0003, 0)</f>
        <v>19.268599999999999</v>
      </c>
      <c r="C209" s="4">
        <f>18.9558 * CHOOSE(CONTROL!$C$9, $C$13, 100%, $E$13) + CHOOSE(CONTROL!$C$28, 0.0003, 0)</f>
        <v>18.956099999999999</v>
      </c>
      <c r="D209" s="4">
        <f>25.792 * CHOOSE(CONTROL!$C$9, $C$13, 100%, $E$13) + CHOOSE(CONTROL!$C$28, 0, 0)</f>
        <v>25.792000000000002</v>
      </c>
      <c r="E209" s="4">
        <f>111.751164473115 * CHOOSE(CONTROL!$C$9, $C$13, 100%, $E$13) + CHOOSE(CONTROL!$C$28, 0, 0)</f>
        <v>111.751164473115</v>
      </c>
    </row>
    <row r="210" spans="1:5" ht="15">
      <c r="A210" s="13">
        <v>47880</v>
      </c>
      <c r="B210" s="4">
        <f>19.6812 * CHOOSE(CONTROL!$C$9, $C$13, 100%, $E$13) + CHOOSE(CONTROL!$C$28, 0.0003, 0)</f>
        <v>19.6815</v>
      </c>
      <c r="C210" s="4">
        <f>19.3687 * CHOOSE(CONTROL!$C$9, $C$13, 100%, $E$13) + CHOOSE(CONTROL!$C$28, 0.0003, 0)</f>
        <v>19.369</v>
      </c>
      <c r="D210" s="4">
        <f>26.6462 * CHOOSE(CONTROL!$C$9, $C$13, 100%, $E$13) + CHOOSE(CONTROL!$C$28, 0, 0)</f>
        <v>26.6462</v>
      </c>
      <c r="E210" s="4">
        <f>114.404577518926 * CHOOSE(CONTROL!$C$9, $C$13, 100%, $E$13) + CHOOSE(CONTROL!$C$28, 0, 0)</f>
        <v>114.404577518926</v>
      </c>
    </row>
    <row r="211" spans="1:5" ht="15">
      <c r="A211" s="13">
        <v>47908</v>
      </c>
      <c r="B211" s="4">
        <f>20.7658 * CHOOSE(CONTROL!$C$9, $C$13, 100%, $E$13) + CHOOSE(CONTROL!$C$28, 0.0003, 0)</f>
        <v>20.766099999999998</v>
      </c>
      <c r="C211" s="4">
        <f>20.4533 * CHOOSE(CONTROL!$C$9, $C$13, 100%, $E$13) + CHOOSE(CONTROL!$C$28, 0.0003, 0)</f>
        <v>20.453599999999998</v>
      </c>
      <c r="D211" s="4">
        <f>27.9833 * CHOOSE(CONTROL!$C$9, $C$13, 100%, $E$13) + CHOOSE(CONTROL!$C$28, 0, 0)</f>
        <v>27.9833</v>
      </c>
      <c r="E211" s="4">
        <f>121.372581188158 * CHOOSE(CONTROL!$C$9, $C$13, 100%, $E$13) + CHOOSE(CONTROL!$C$28, 0, 0)</f>
        <v>121.37258118815799</v>
      </c>
    </row>
    <row r="212" spans="1:5" ht="15">
      <c r="A212" s="13">
        <v>47939</v>
      </c>
      <c r="B212" s="4">
        <f>21.5363 * CHOOSE(CONTROL!$C$9, $C$13, 100%, $E$13) + CHOOSE(CONTROL!$C$28, 0.0003, 0)</f>
        <v>21.5366</v>
      </c>
      <c r="C212" s="4">
        <f>21.2238 * CHOOSE(CONTROL!$C$9, $C$13, 100%, $E$13) + CHOOSE(CONTROL!$C$28, 0.0003, 0)</f>
        <v>21.2241</v>
      </c>
      <c r="D212" s="4">
        <f>28.7535 * CHOOSE(CONTROL!$C$9, $C$13, 100%, $E$13) + CHOOSE(CONTROL!$C$28, 0, 0)</f>
        <v>28.753499999999999</v>
      </c>
      <c r="E212" s="4">
        <f>126.323440656006 * CHOOSE(CONTROL!$C$9, $C$13, 100%, $E$13) + CHOOSE(CONTROL!$C$28, 0, 0)</f>
        <v>126.323440656006</v>
      </c>
    </row>
    <row r="213" spans="1:5" ht="15">
      <c r="A213" s="13">
        <v>47969</v>
      </c>
      <c r="B213" s="4">
        <f>22.0071 * CHOOSE(CONTROL!$C$9, $C$13, 100%, $E$13) + CHOOSE(CONTROL!$C$28, 0.0181, 0)</f>
        <v>22.025200000000002</v>
      </c>
      <c r="C213" s="4">
        <f>21.6946 * CHOOSE(CONTROL!$C$9, $C$13, 100%, $E$13) + CHOOSE(CONTROL!$C$28, 0.0181, 0)</f>
        <v>21.712700000000002</v>
      </c>
      <c r="D213" s="4">
        <f>28.4492 * CHOOSE(CONTROL!$C$9, $C$13, 100%, $E$13) + CHOOSE(CONTROL!$C$28, 0, 0)</f>
        <v>28.449200000000001</v>
      </c>
      <c r="E213" s="4">
        <f>129.34829713532 * CHOOSE(CONTROL!$C$9, $C$13, 100%, $E$13) + CHOOSE(CONTROL!$C$28, 0, 0)</f>
        <v>129.34829713532</v>
      </c>
    </row>
    <row r="214" spans="1:5" ht="15">
      <c r="A214" s="13">
        <v>48000</v>
      </c>
      <c r="B214" s="4">
        <f>22.0708 * CHOOSE(CONTROL!$C$9, $C$13, 100%, $E$13) + CHOOSE(CONTROL!$C$28, 0.0181, 0)</f>
        <v>22.088899999999999</v>
      </c>
      <c r="C214" s="4">
        <f>21.7583 * CHOOSE(CONTROL!$C$9, $C$13, 100%, $E$13) + CHOOSE(CONTROL!$C$28, 0.0181, 0)</f>
        <v>21.776399999999999</v>
      </c>
      <c r="D214" s="4">
        <f>28.697 * CHOOSE(CONTROL!$C$9, $C$13, 100%, $E$13) + CHOOSE(CONTROL!$C$28, 0, 0)</f>
        <v>28.696999999999999</v>
      </c>
      <c r="E214" s="4">
        <f>129.757572770384 * CHOOSE(CONTROL!$C$9, $C$13, 100%, $E$13) + CHOOSE(CONTROL!$C$28, 0, 0)</f>
        <v>129.757572770384</v>
      </c>
    </row>
    <row r="215" spans="1:5" ht="15">
      <c r="A215" s="13">
        <v>48030</v>
      </c>
      <c r="B215" s="4">
        <f>22.0644 * CHOOSE(CONTROL!$C$9, $C$13, 100%, $E$13) + CHOOSE(CONTROL!$C$28, 0.0181, 0)</f>
        <v>22.0825</v>
      </c>
      <c r="C215" s="4">
        <f>21.7519 * CHOOSE(CONTROL!$C$9, $C$13, 100%, $E$13) + CHOOSE(CONTROL!$C$28, 0.0181, 0)</f>
        <v>21.77</v>
      </c>
      <c r="D215" s="4">
        <f>29.1443 * CHOOSE(CONTROL!$C$9, $C$13, 100%, $E$13) + CHOOSE(CONTROL!$C$28, 0, 0)</f>
        <v>29.144300000000001</v>
      </c>
      <c r="E215" s="4">
        <f>129.716301277772 * CHOOSE(CONTROL!$C$9, $C$13, 100%, $E$13) + CHOOSE(CONTROL!$C$28, 0, 0)</f>
        <v>129.716301277772</v>
      </c>
    </row>
    <row r="216" spans="1:5" ht="15">
      <c r="A216" s="13">
        <v>48061</v>
      </c>
      <c r="B216" s="4">
        <f>22.5478 * CHOOSE(CONTROL!$C$9, $C$13, 100%, $E$13) + CHOOSE(CONTROL!$C$28, 0.0181, 0)</f>
        <v>22.565899999999999</v>
      </c>
      <c r="C216" s="4">
        <f>22.2353 * CHOOSE(CONTROL!$C$9, $C$13, 100%, $E$13) + CHOOSE(CONTROL!$C$28, 0.0181, 0)</f>
        <v>22.253399999999999</v>
      </c>
      <c r="D216" s="4">
        <f>28.8489 * CHOOSE(CONTROL!$C$9, $C$13, 100%, $E$13) + CHOOSE(CONTROL!$C$28, 0, 0)</f>
        <v>28.8489</v>
      </c>
      <c r="E216" s="4">
        <f>132.821981096783 * CHOOSE(CONTROL!$C$9, $C$13, 100%, $E$13) + CHOOSE(CONTROL!$C$28, 0, 0)</f>
        <v>132.82198109678299</v>
      </c>
    </row>
    <row r="217" spans="1:5" ht="15">
      <c r="A217" s="13">
        <v>48092</v>
      </c>
      <c r="B217" s="4">
        <f>21.724 * CHOOSE(CONTROL!$C$9, $C$13, 100%, $E$13) + CHOOSE(CONTROL!$C$28, 0.0181, 0)</f>
        <v>21.742100000000001</v>
      </c>
      <c r="C217" s="4">
        <f>21.4115 * CHOOSE(CONTROL!$C$9, $C$13, 100%, $E$13) + CHOOSE(CONTROL!$C$28, 0.0181, 0)</f>
        <v>21.429600000000001</v>
      </c>
      <c r="D217" s="4">
        <f>28.7094 * CHOOSE(CONTROL!$C$9, $C$13, 100%, $E$13) + CHOOSE(CONTROL!$C$28, 0, 0)</f>
        <v>28.709399999999999</v>
      </c>
      <c r="E217" s="4">
        <f>127.528912169366 * CHOOSE(CONTROL!$C$9, $C$13, 100%, $E$13) + CHOOSE(CONTROL!$C$28, 0, 0)</f>
        <v>127.528912169366</v>
      </c>
    </row>
    <row r="218" spans="1:5" ht="15">
      <c r="A218" s="13">
        <v>48122</v>
      </c>
      <c r="B218" s="4">
        <f>21.0645 * CHOOSE(CONTROL!$C$9, $C$13, 100%, $E$13) + CHOOSE(CONTROL!$C$28, 0.0003, 0)</f>
        <v>21.064799999999998</v>
      </c>
      <c r="C218" s="4">
        <f>20.752 * CHOOSE(CONTROL!$C$9, $C$13, 100%, $E$13) + CHOOSE(CONTROL!$C$28, 0.0003, 0)</f>
        <v>20.752299999999998</v>
      </c>
      <c r="D218" s="4">
        <f>28.3357 * CHOOSE(CONTROL!$C$9, $C$13, 100%, $E$13) + CHOOSE(CONTROL!$C$28, 0, 0)</f>
        <v>28.335699999999999</v>
      </c>
      <c r="E218" s="4">
        <f>123.291705594591 * CHOOSE(CONTROL!$C$9, $C$13, 100%, $E$13) + CHOOSE(CONTROL!$C$28, 0, 0)</f>
        <v>123.29170559459099</v>
      </c>
    </row>
    <row r="219" spans="1:5" ht="15">
      <c r="A219" s="13">
        <v>48153</v>
      </c>
      <c r="B219" s="4">
        <f>20.6397 * CHOOSE(CONTROL!$C$9, $C$13, 100%, $E$13) + CHOOSE(CONTROL!$C$28, 0.0003, 0)</f>
        <v>20.64</v>
      </c>
      <c r="C219" s="4">
        <f>20.3272 * CHOOSE(CONTROL!$C$9, $C$13, 100%, $E$13) + CHOOSE(CONTROL!$C$28, 0.0003, 0)</f>
        <v>20.327500000000001</v>
      </c>
      <c r="D219" s="4">
        <f>28.2072 * CHOOSE(CONTROL!$C$9, $C$13, 100%, $E$13) + CHOOSE(CONTROL!$C$28, 0, 0)</f>
        <v>28.2072</v>
      </c>
      <c r="E219" s="4">
        <f>120.562628145659 * CHOOSE(CONTROL!$C$9, $C$13, 100%, $E$13) + CHOOSE(CONTROL!$C$28, 0, 0)</f>
        <v>120.562628145659</v>
      </c>
    </row>
    <row r="220" spans="1:5" ht="15">
      <c r="A220" s="13">
        <v>48183</v>
      </c>
      <c r="B220" s="4">
        <f>20.3458 * CHOOSE(CONTROL!$C$9, $C$13, 100%, $E$13) + CHOOSE(CONTROL!$C$28, 0.0003, 0)</f>
        <v>20.3461</v>
      </c>
      <c r="C220" s="4">
        <f>20.0333 * CHOOSE(CONTROL!$C$9, $C$13, 100%, $E$13) + CHOOSE(CONTROL!$C$28, 0.0003, 0)</f>
        <v>20.0336</v>
      </c>
      <c r="D220" s="4">
        <f>27.2615 * CHOOSE(CONTROL!$C$9, $C$13, 100%, $E$13) + CHOOSE(CONTROL!$C$28, 0, 0)</f>
        <v>27.261500000000002</v>
      </c>
      <c r="E220" s="4">
        <f>118.674457358685 * CHOOSE(CONTROL!$C$9, $C$13, 100%, $E$13) + CHOOSE(CONTROL!$C$28, 0, 0)</f>
        <v>118.674457358685</v>
      </c>
    </row>
    <row r="221" spans="1:5" ht="15">
      <c r="A221" s="13">
        <v>48214</v>
      </c>
      <c r="B221" s="4">
        <f>19.6195 * CHOOSE(CONTROL!$C$9, $C$13, 100%, $E$13) + CHOOSE(CONTROL!$C$28, 0.0003, 0)</f>
        <v>19.619799999999998</v>
      </c>
      <c r="C221" s="4">
        <f>19.307 * CHOOSE(CONTROL!$C$9, $C$13, 100%, $E$13) + CHOOSE(CONTROL!$C$28, 0.0003, 0)</f>
        <v>19.307299999999998</v>
      </c>
      <c r="D221" s="4">
        <f>26.1662 * CHOOSE(CONTROL!$C$9, $C$13, 100%, $E$13) + CHOOSE(CONTROL!$C$28, 0, 0)</f>
        <v>26.1662</v>
      </c>
      <c r="E221" s="4">
        <f>113.968087555585 * CHOOSE(CONTROL!$C$9, $C$13, 100%, $E$13) + CHOOSE(CONTROL!$C$28, 0, 0)</f>
        <v>113.968087555585</v>
      </c>
    </row>
    <row r="222" spans="1:5" ht="15">
      <c r="A222" s="13">
        <v>48245</v>
      </c>
      <c r="B222" s="4">
        <f>20.0408 * CHOOSE(CONTROL!$C$9, $C$13, 100%, $E$13) + CHOOSE(CONTROL!$C$28, 0.0003, 0)</f>
        <v>20.0411</v>
      </c>
      <c r="C222" s="4">
        <f>19.7283 * CHOOSE(CONTROL!$C$9, $C$13, 100%, $E$13) + CHOOSE(CONTROL!$C$28, 0.0003, 0)</f>
        <v>19.7286</v>
      </c>
      <c r="D222" s="4">
        <f>27.0336 * CHOOSE(CONTROL!$C$9, $C$13, 100%, $E$13) + CHOOSE(CONTROL!$C$28, 0, 0)</f>
        <v>27.0336</v>
      </c>
      <c r="E222" s="4">
        <f>116.674139092067 * CHOOSE(CONTROL!$C$9, $C$13, 100%, $E$13) + CHOOSE(CONTROL!$C$28, 0, 0)</f>
        <v>116.67413909206699</v>
      </c>
    </row>
    <row r="223" spans="1:5" ht="15">
      <c r="A223" s="13">
        <v>48274</v>
      </c>
      <c r="B223" s="4">
        <f>21.1472 * CHOOSE(CONTROL!$C$9, $C$13, 100%, $E$13) + CHOOSE(CONTROL!$C$28, 0.0003, 0)</f>
        <v>21.147500000000001</v>
      </c>
      <c r="C223" s="4">
        <f>20.8347 * CHOOSE(CONTROL!$C$9, $C$13, 100%, $E$13) + CHOOSE(CONTROL!$C$28, 0.0003, 0)</f>
        <v>20.835000000000001</v>
      </c>
      <c r="D223" s="4">
        <f>28.3914 * CHOOSE(CONTROL!$C$9, $C$13, 100%, $E$13) + CHOOSE(CONTROL!$C$28, 0, 0)</f>
        <v>28.391400000000001</v>
      </c>
      <c r="E223" s="4">
        <f>123.780374235181 * CHOOSE(CONTROL!$C$9, $C$13, 100%, $E$13) + CHOOSE(CONTROL!$C$28, 0, 0)</f>
        <v>123.780374235181</v>
      </c>
    </row>
    <row r="224" spans="1:5" ht="15">
      <c r="A224" s="13">
        <v>48305</v>
      </c>
      <c r="B224" s="4">
        <f>21.9333 * CHOOSE(CONTROL!$C$9, $C$13, 100%, $E$13) + CHOOSE(CONTROL!$C$28, 0.0003, 0)</f>
        <v>21.933599999999998</v>
      </c>
      <c r="C224" s="4">
        <f>21.6208 * CHOOSE(CONTROL!$C$9, $C$13, 100%, $E$13) + CHOOSE(CONTROL!$C$28, 0.0003, 0)</f>
        <v>21.621099999999998</v>
      </c>
      <c r="D224" s="4">
        <f>29.1735 * CHOOSE(CONTROL!$C$9, $C$13, 100%, $E$13) + CHOOSE(CONTROL!$C$28, 0, 0)</f>
        <v>29.173500000000001</v>
      </c>
      <c r="E224" s="4">
        <f>128.829449007398 * CHOOSE(CONTROL!$C$9, $C$13, 100%, $E$13) + CHOOSE(CONTROL!$C$28, 0, 0)</f>
        <v>128.82944900739801</v>
      </c>
    </row>
    <row r="225" spans="1:5" ht="15">
      <c r="A225" s="13">
        <v>48335</v>
      </c>
      <c r="B225" s="4">
        <f>22.4136 * CHOOSE(CONTROL!$C$9, $C$13, 100%, $E$13) + CHOOSE(CONTROL!$C$28, 0.0181, 0)</f>
        <v>22.431699999999999</v>
      </c>
      <c r="C225" s="4">
        <f>22.1011 * CHOOSE(CONTROL!$C$9, $C$13, 100%, $E$13) + CHOOSE(CONTROL!$C$28, 0.0181, 0)</f>
        <v>22.119199999999999</v>
      </c>
      <c r="D225" s="4">
        <f>28.8644 * CHOOSE(CONTROL!$C$9, $C$13, 100%, $E$13) + CHOOSE(CONTROL!$C$28, 0, 0)</f>
        <v>28.8644</v>
      </c>
      <c r="E225" s="4">
        <f>131.914312683789 * CHOOSE(CONTROL!$C$9, $C$13, 100%, $E$13) + CHOOSE(CONTROL!$C$28, 0, 0)</f>
        <v>131.91431268378901</v>
      </c>
    </row>
    <row r="226" spans="1:5" ht="15">
      <c r="A226" s="13">
        <v>48366</v>
      </c>
      <c r="B226" s="4">
        <f>22.4786 * CHOOSE(CONTROL!$C$9, $C$13, 100%, $E$13) + CHOOSE(CONTROL!$C$28, 0.0181, 0)</f>
        <v>22.496700000000001</v>
      </c>
      <c r="C226" s="4">
        <f>22.1661 * CHOOSE(CONTROL!$C$9, $C$13, 100%, $E$13) + CHOOSE(CONTROL!$C$28, 0.0181, 0)</f>
        <v>22.184200000000001</v>
      </c>
      <c r="D226" s="4">
        <f>29.1161 * CHOOSE(CONTROL!$C$9, $C$13, 100%, $E$13) + CHOOSE(CONTROL!$C$28, 0, 0)</f>
        <v>29.116099999999999</v>
      </c>
      <c r="E226" s="4">
        <f>132.331707541652 * CHOOSE(CONTROL!$C$9, $C$13, 100%, $E$13) + CHOOSE(CONTROL!$C$28, 0, 0)</f>
        <v>132.33170754165201</v>
      </c>
    </row>
    <row r="227" spans="1:5" ht="15">
      <c r="A227" s="13">
        <v>48396</v>
      </c>
      <c r="B227" s="4">
        <f>22.4721 * CHOOSE(CONTROL!$C$9, $C$13, 100%, $E$13) + CHOOSE(CONTROL!$C$28, 0.0181, 0)</f>
        <v>22.490200000000002</v>
      </c>
      <c r="C227" s="4">
        <f>22.1596 * CHOOSE(CONTROL!$C$9, $C$13, 100%, $E$13) + CHOOSE(CONTROL!$C$28, 0.0181, 0)</f>
        <v>22.177700000000002</v>
      </c>
      <c r="D227" s="4">
        <f>29.5703 * CHOOSE(CONTROL!$C$9, $C$13, 100%, $E$13) + CHOOSE(CONTROL!$C$28, 0, 0)</f>
        <v>29.5703</v>
      </c>
      <c r="E227" s="4">
        <f>132.289617303884 * CHOOSE(CONTROL!$C$9, $C$13, 100%, $E$13) + CHOOSE(CONTROL!$C$28, 0, 0)</f>
        <v>132.289617303884</v>
      </c>
    </row>
    <row r="228" spans="1:5" ht="15">
      <c r="A228" s="13">
        <v>48427</v>
      </c>
      <c r="B228" s="4">
        <f>22.9652 * CHOOSE(CONTROL!$C$9, $C$13, 100%, $E$13) + CHOOSE(CONTROL!$C$28, 0.0181, 0)</f>
        <v>22.9833</v>
      </c>
      <c r="C228" s="4">
        <f>22.6527 * CHOOSE(CONTROL!$C$9, $C$13, 100%, $E$13) + CHOOSE(CONTROL!$C$28, 0.0181, 0)</f>
        <v>22.6708</v>
      </c>
      <c r="D228" s="4">
        <f>29.2704 * CHOOSE(CONTROL!$C$9, $C$13, 100%, $E$13) + CHOOSE(CONTROL!$C$28, 0, 0)</f>
        <v>29.270399999999999</v>
      </c>
      <c r="E228" s="4">
        <f>135.456907695904 * CHOOSE(CONTROL!$C$9, $C$13, 100%, $E$13) + CHOOSE(CONTROL!$C$28, 0, 0)</f>
        <v>135.45690769590399</v>
      </c>
    </row>
    <row r="229" spans="1:5" ht="15">
      <c r="A229" s="13">
        <v>48458</v>
      </c>
      <c r="B229" s="4">
        <f>22.1248 * CHOOSE(CONTROL!$C$9, $C$13, 100%, $E$13) + CHOOSE(CONTROL!$C$28, 0.0181, 0)</f>
        <v>22.142900000000001</v>
      </c>
      <c r="C229" s="4">
        <f>21.8123 * CHOOSE(CONTROL!$C$9, $C$13, 100%, $E$13) + CHOOSE(CONTROL!$C$28, 0.0181, 0)</f>
        <v>21.830400000000001</v>
      </c>
      <c r="D229" s="4">
        <f>29.1287 * CHOOSE(CONTROL!$C$9, $C$13, 100%, $E$13) + CHOOSE(CONTROL!$C$28, 0, 0)</f>
        <v>29.128699999999998</v>
      </c>
      <c r="E229" s="4">
        <f>130.058834702196 * CHOOSE(CONTROL!$C$9, $C$13, 100%, $E$13) + CHOOSE(CONTROL!$C$28, 0, 0)</f>
        <v>130.05883470219601</v>
      </c>
    </row>
    <row r="230" spans="1:5" ht="15">
      <c r="A230" s="13">
        <v>48488</v>
      </c>
      <c r="B230" s="4">
        <f>21.4519 * CHOOSE(CONTROL!$C$9, $C$13, 100%, $E$13) + CHOOSE(CONTROL!$C$28, 0.0003, 0)</f>
        <v>21.452199999999998</v>
      </c>
      <c r="C230" s="4">
        <f>21.1394 * CHOOSE(CONTROL!$C$9, $C$13, 100%, $E$13) + CHOOSE(CONTROL!$C$28, 0.0003, 0)</f>
        <v>21.139699999999998</v>
      </c>
      <c r="D230" s="4">
        <f>28.7492 * CHOOSE(CONTROL!$C$9, $C$13, 100%, $E$13) + CHOOSE(CONTROL!$C$28, 0, 0)</f>
        <v>28.749199999999998</v>
      </c>
      <c r="E230" s="4">
        <f>125.737570291379 * CHOOSE(CONTROL!$C$9, $C$13, 100%, $E$13) + CHOOSE(CONTROL!$C$28, 0, 0)</f>
        <v>125.737570291379</v>
      </c>
    </row>
    <row r="231" spans="1:5" ht="15">
      <c r="A231" s="13">
        <v>48519</v>
      </c>
      <c r="B231" s="4">
        <f>21.0186 * CHOOSE(CONTROL!$C$9, $C$13, 100%, $E$13) + CHOOSE(CONTROL!$C$28, 0.0003, 0)</f>
        <v>21.018899999999999</v>
      </c>
      <c r="C231" s="4">
        <f>20.7061 * CHOOSE(CONTROL!$C$9, $C$13, 100%, $E$13) + CHOOSE(CONTROL!$C$28, 0.0003, 0)</f>
        <v>20.706399999999999</v>
      </c>
      <c r="D231" s="4">
        <f>28.6188 * CHOOSE(CONTROL!$C$9, $C$13, 100%, $E$13) + CHOOSE(CONTROL!$C$28, 0, 0)</f>
        <v>28.6188</v>
      </c>
      <c r="E231" s="4">
        <f>122.954353318989 * CHOOSE(CONTROL!$C$9, $C$13, 100%, $E$13) + CHOOSE(CONTROL!$C$28, 0, 0)</f>
        <v>122.95435331898901</v>
      </c>
    </row>
    <row r="232" spans="1:5" ht="15">
      <c r="A232" s="13">
        <v>48549</v>
      </c>
      <c r="B232" s="4">
        <f>20.7188 * CHOOSE(CONTROL!$C$9, $C$13, 100%, $E$13) + CHOOSE(CONTROL!$C$28, 0.0003, 0)</f>
        <v>20.719100000000001</v>
      </c>
      <c r="C232" s="4">
        <f>20.4063 * CHOOSE(CONTROL!$C$9, $C$13, 100%, $E$13) + CHOOSE(CONTROL!$C$28, 0.0003, 0)</f>
        <v>20.406600000000001</v>
      </c>
      <c r="D232" s="4">
        <f>27.6584 * CHOOSE(CONTROL!$C$9, $C$13, 100%, $E$13) + CHOOSE(CONTROL!$C$28, 0, 0)</f>
        <v>27.6584</v>
      </c>
      <c r="E232" s="4">
        <f>121.028724941117 * CHOOSE(CONTROL!$C$9, $C$13, 100%, $E$13) + CHOOSE(CONTROL!$C$28, 0, 0)</f>
        <v>121.02872494111701</v>
      </c>
    </row>
    <row r="233" spans="1:5" ht="15">
      <c r="A233" s="13">
        <v>48580</v>
      </c>
      <c r="B233" s="4">
        <f>19.9747 * CHOOSE(CONTROL!$C$9, $C$13, 100%, $E$13) + CHOOSE(CONTROL!$C$28, 0.0003, 0)</f>
        <v>19.974999999999998</v>
      </c>
      <c r="C233" s="4">
        <f>19.6622 * CHOOSE(CONTROL!$C$9, $C$13, 100%, $E$13) + CHOOSE(CONTROL!$C$28, 0.0003, 0)</f>
        <v>19.662499999999998</v>
      </c>
      <c r="D233" s="4">
        <f>26.5449 * CHOOSE(CONTROL!$C$9, $C$13, 100%, $E$13) + CHOOSE(CONTROL!$C$28, 0, 0)</f>
        <v>26.544899999999998</v>
      </c>
      <c r="E233" s="4">
        <f>116.221050720848 * CHOOSE(CONTROL!$C$9, $C$13, 100%, $E$13) + CHOOSE(CONTROL!$C$28, 0, 0)</f>
        <v>116.221050720848</v>
      </c>
    </row>
    <row r="234" spans="1:5" ht="15">
      <c r="A234" s="13">
        <v>48611</v>
      </c>
      <c r="B234" s="4">
        <f>20.4045 * CHOOSE(CONTROL!$C$9, $C$13, 100%, $E$13) + CHOOSE(CONTROL!$C$28, 0.0003, 0)</f>
        <v>20.404799999999998</v>
      </c>
      <c r="C234" s="4">
        <f>20.092 * CHOOSE(CONTROL!$C$9, $C$13, 100%, $E$13) + CHOOSE(CONTROL!$C$28, 0.0003, 0)</f>
        <v>20.092299999999998</v>
      </c>
      <c r="D234" s="4">
        <f>27.4256 * CHOOSE(CONTROL!$C$9, $C$13, 100%, $E$13) + CHOOSE(CONTROL!$C$28, 0, 0)</f>
        <v>27.425599999999999</v>
      </c>
      <c r="E234" s="4">
        <f>118.980596481597 * CHOOSE(CONTROL!$C$9, $C$13, 100%, $E$13) + CHOOSE(CONTROL!$C$28, 0, 0)</f>
        <v>118.980596481597</v>
      </c>
    </row>
    <row r="235" spans="1:5" ht="15">
      <c r="A235" s="13">
        <v>48639</v>
      </c>
      <c r="B235" s="4">
        <f>21.5331 * CHOOSE(CONTROL!$C$9, $C$13, 100%, $E$13) + CHOOSE(CONTROL!$C$28, 0.0003, 0)</f>
        <v>21.5334</v>
      </c>
      <c r="C235" s="4">
        <f>21.2206 * CHOOSE(CONTROL!$C$9, $C$13, 100%, $E$13) + CHOOSE(CONTROL!$C$28, 0.0003, 0)</f>
        <v>21.2209</v>
      </c>
      <c r="D235" s="4">
        <f>28.8043 * CHOOSE(CONTROL!$C$9, $C$13, 100%, $E$13) + CHOOSE(CONTROL!$C$28, 0, 0)</f>
        <v>28.804300000000001</v>
      </c>
      <c r="E235" s="4">
        <f>126.227310300492 * CHOOSE(CONTROL!$C$9, $C$13, 100%, $E$13) + CHOOSE(CONTROL!$C$28, 0, 0)</f>
        <v>126.22731030049199</v>
      </c>
    </row>
    <row r="236" spans="1:5" ht="15">
      <c r="A236" s="13">
        <v>48670</v>
      </c>
      <c r="B236" s="4">
        <f>22.3349 * CHOOSE(CONTROL!$C$9, $C$13, 100%, $E$13) + CHOOSE(CONTROL!$C$28, 0.0003, 0)</f>
        <v>22.3352</v>
      </c>
      <c r="C236" s="4">
        <f>22.0224 * CHOOSE(CONTROL!$C$9, $C$13, 100%, $E$13) + CHOOSE(CONTROL!$C$28, 0.0003, 0)</f>
        <v>22.0227</v>
      </c>
      <c r="D236" s="4">
        <f>29.5985 * CHOOSE(CONTROL!$C$9, $C$13, 100%, $E$13) + CHOOSE(CONTROL!$C$28, 0, 0)</f>
        <v>29.598500000000001</v>
      </c>
      <c r="E236" s="4">
        <f>131.376197043976 * CHOOSE(CONTROL!$C$9, $C$13, 100%, $E$13) + CHOOSE(CONTROL!$C$28, 0, 0)</f>
        <v>131.37619704397599</v>
      </c>
    </row>
    <row r="237" spans="1:5" ht="15">
      <c r="A237" s="13">
        <v>48700</v>
      </c>
      <c r="B237" s="4">
        <f>22.8249 * CHOOSE(CONTROL!$C$9, $C$13, 100%, $E$13) + CHOOSE(CONTROL!$C$28, 0.0181, 0)</f>
        <v>22.843</v>
      </c>
      <c r="C237" s="4">
        <f>22.5124 * CHOOSE(CONTROL!$C$9, $C$13, 100%, $E$13) + CHOOSE(CONTROL!$C$28, 0.0181, 0)</f>
        <v>22.5305</v>
      </c>
      <c r="D237" s="4">
        <f>29.2847 * CHOOSE(CONTROL!$C$9, $C$13, 100%, $E$13) + CHOOSE(CONTROL!$C$28, 0, 0)</f>
        <v>29.284700000000001</v>
      </c>
      <c r="E237" s="4">
        <f>134.522043442652 * CHOOSE(CONTROL!$C$9, $C$13, 100%, $E$13) + CHOOSE(CONTROL!$C$28, 0, 0)</f>
        <v>134.52204344265201</v>
      </c>
    </row>
    <row r="238" spans="1:5" ht="15">
      <c r="A238" s="13">
        <v>48731</v>
      </c>
      <c r="B238" s="4">
        <f>22.8911 * CHOOSE(CONTROL!$C$9, $C$13, 100%, $E$13) + CHOOSE(CONTROL!$C$28, 0.0181, 0)</f>
        <v>22.909200000000002</v>
      </c>
      <c r="C238" s="4">
        <f>22.5786 * CHOOSE(CONTROL!$C$9, $C$13, 100%, $E$13) + CHOOSE(CONTROL!$C$28, 0.0181, 0)</f>
        <v>22.596700000000002</v>
      </c>
      <c r="D238" s="4">
        <f>29.5403 * CHOOSE(CONTROL!$C$9, $C$13, 100%, $E$13) + CHOOSE(CONTROL!$C$28, 0, 0)</f>
        <v>29.540299999999998</v>
      </c>
      <c r="E238" s="4">
        <f>134.947689515924 * CHOOSE(CONTROL!$C$9, $C$13, 100%, $E$13) + CHOOSE(CONTROL!$C$28, 0, 0)</f>
        <v>134.947689515924</v>
      </c>
    </row>
    <row r="239" spans="1:5" ht="15">
      <c r="A239" s="13">
        <v>48761</v>
      </c>
      <c r="B239" s="4">
        <f>22.8845 * CHOOSE(CONTROL!$C$9, $C$13, 100%, $E$13) + CHOOSE(CONTROL!$C$28, 0.0181, 0)</f>
        <v>22.9026</v>
      </c>
      <c r="C239" s="4">
        <f>22.572 * CHOOSE(CONTROL!$C$9, $C$13, 100%, $E$13) + CHOOSE(CONTROL!$C$28, 0.0181, 0)</f>
        <v>22.5901</v>
      </c>
      <c r="D239" s="4">
        <f>30.0014 * CHOOSE(CONTROL!$C$9, $C$13, 100%, $E$13) + CHOOSE(CONTROL!$C$28, 0, 0)</f>
        <v>30.0014</v>
      </c>
      <c r="E239" s="4">
        <f>134.904767222821 * CHOOSE(CONTROL!$C$9, $C$13, 100%, $E$13) + CHOOSE(CONTROL!$C$28, 0, 0)</f>
        <v>134.90476722282099</v>
      </c>
    </row>
    <row r="240" spans="1:5" ht="15">
      <c r="A240" s="13">
        <v>48792</v>
      </c>
      <c r="B240" s="4">
        <f>23.3875 * CHOOSE(CONTROL!$C$9, $C$13, 100%, $E$13) + CHOOSE(CONTROL!$C$28, 0.0181, 0)</f>
        <v>23.4056</v>
      </c>
      <c r="C240" s="4">
        <f>23.075 * CHOOSE(CONTROL!$C$9, $C$13, 100%, $E$13) + CHOOSE(CONTROL!$C$28, 0.0181, 0)</f>
        <v>23.0931</v>
      </c>
      <c r="D240" s="4">
        <f>29.6969 * CHOOSE(CONTROL!$C$9, $C$13, 100%, $E$13) + CHOOSE(CONTROL!$C$28, 0, 0)</f>
        <v>29.696899999999999</v>
      </c>
      <c r="E240" s="4">
        <f>138.134669778824 * CHOOSE(CONTROL!$C$9, $C$13, 100%, $E$13) + CHOOSE(CONTROL!$C$28, 0, 0)</f>
        <v>138.13466977882399</v>
      </c>
    </row>
    <row r="241" spans="1:5" ht="15">
      <c r="A241" s="13">
        <v>48823</v>
      </c>
      <c r="B241" s="4">
        <f>22.5302 * CHOOSE(CONTROL!$C$9, $C$13, 100%, $E$13) + CHOOSE(CONTROL!$C$28, 0.0181, 0)</f>
        <v>22.548300000000001</v>
      </c>
      <c r="C241" s="4">
        <f>22.2177 * CHOOSE(CONTROL!$C$9, $C$13, 100%, $E$13) + CHOOSE(CONTROL!$C$28, 0.0181, 0)</f>
        <v>22.235800000000001</v>
      </c>
      <c r="D241" s="4">
        <f>29.553 * CHOOSE(CONTROL!$C$9, $C$13, 100%, $E$13) + CHOOSE(CONTROL!$C$28, 0, 0)</f>
        <v>29.553000000000001</v>
      </c>
      <c r="E241" s="4">
        <f>132.62988568836 * CHOOSE(CONTROL!$C$9, $C$13, 100%, $E$13) + CHOOSE(CONTROL!$C$28, 0, 0)</f>
        <v>132.62988568835999</v>
      </c>
    </row>
    <row r="242" spans="1:5" ht="15">
      <c r="A242" s="13">
        <v>48853</v>
      </c>
      <c r="B242" s="4">
        <f>21.8439 * CHOOSE(CONTROL!$C$9, $C$13, 100%, $E$13) + CHOOSE(CONTROL!$C$28, 0.0003, 0)</f>
        <v>21.844200000000001</v>
      </c>
      <c r="C242" s="4">
        <f>21.5314 * CHOOSE(CONTROL!$C$9, $C$13, 100%, $E$13) + CHOOSE(CONTROL!$C$28, 0.0003, 0)</f>
        <v>21.531700000000001</v>
      </c>
      <c r="D242" s="4">
        <f>29.1677 * CHOOSE(CONTROL!$C$9, $C$13, 100%, $E$13) + CHOOSE(CONTROL!$C$28, 0, 0)</f>
        <v>29.1677</v>
      </c>
      <c r="E242" s="4">
        <f>128.223196929782 * CHOOSE(CONTROL!$C$9, $C$13, 100%, $E$13) + CHOOSE(CONTROL!$C$28, 0, 0)</f>
        <v>128.22319692978201</v>
      </c>
    </row>
    <row r="243" spans="1:5" ht="15">
      <c r="A243" s="13">
        <v>48884</v>
      </c>
      <c r="B243" s="4">
        <f>21.4019 * CHOOSE(CONTROL!$C$9, $C$13, 100%, $E$13) + CHOOSE(CONTROL!$C$28, 0.0003, 0)</f>
        <v>21.402200000000001</v>
      </c>
      <c r="C243" s="4">
        <f>21.0894 * CHOOSE(CONTROL!$C$9, $C$13, 100%, $E$13) + CHOOSE(CONTROL!$C$28, 0.0003, 0)</f>
        <v>21.089700000000001</v>
      </c>
      <c r="D243" s="4">
        <f>29.0352 * CHOOSE(CONTROL!$C$9, $C$13, 100%, $E$13) + CHOOSE(CONTROL!$C$28, 0, 0)</f>
        <v>29.0352</v>
      </c>
      <c r="E243" s="4">
        <f>125.384960298345 * CHOOSE(CONTROL!$C$9, $C$13, 100%, $E$13) + CHOOSE(CONTROL!$C$28, 0, 0)</f>
        <v>125.38496029834501</v>
      </c>
    </row>
    <row r="244" spans="1:5" ht="15">
      <c r="A244" s="13">
        <v>48914</v>
      </c>
      <c r="B244" s="4">
        <f>21.0961 * CHOOSE(CONTROL!$C$9, $C$13, 100%, $E$13) + CHOOSE(CONTROL!$C$28, 0.0003, 0)</f>
        <v>21.096399999999999</v>
      </c>
      <c r="C244" s="4">
        <f>20.7836 * CHOOSE(CONTROL!$C$9, $C$13, 100%, $E$13) + CHOOSE(CONTROL!$C$28, 0.0003, 0)</f>
        <v>20.783899999999999</v>
      </c>
      <c r="D244" s="4">
        <f>28.06 * CHOOSE(CONTROL!$C$9, $C$13, 100%, $E$13) + CHOOSE(CONTROL!$C$28, 0, 0)</f>
        <v>28.06</v>
      </c>
      <c r="E244" s="4">
        <f>123.421265388881 * CHOOSE(CONTROL!$C$9, $C$13, 100%, $E$13) + CHOOSE(CONTROL!$C$28, 0, 0)</f>
        <v>123.421265388881</v>
      </c>
    </row>
    <row r="245" spans="1:5" ht="15">
      <c r="A245" s="13">
        <v>48945</v>
      </c>
      <c r="B245" s="4">
        <f>20.3361 * CHOOSE(CONTROL!$C$9, $C$13, 100%, $E$13) + CHOOSE(CONTROL!$C$28, 0.0003, 0)</f>
        <v>20.336399999999998</v>
      </c>
      <c r="C245" s="4">
        <f>20.0236 * CHOOSE(CONTROL!$C$9, $C$13, 100%, $E$13) + CHOOSE(CONTROL!$C$28, 0.0003, 0)</f>
        <v>20.023899999999998</v>
      </c>
      <c r="D245" s="4">
        <f>26.9304 * CHOOSE(CONTROL!$C$9, $C$13, 100%, $E$13) + CHOOSE(CONTROL!$C$28, 0, 0)</f>
        <v>26.930399999999999</v>
      </c>
      <c r="E245" s="4">
        <f>118.517863916139 * CHOOSE(CONTROL!$C$9, $C$13, 100%, $E$13) + CHOOSE(CONTROL!$C$28, 0, 0)</f>
        <v>118.51786391613901</v>
      </c>
    </row>
    <row r="246" spans="1:5" ht="15">
      <c r="A246" s="13">
        <v>48976</v>
      </c>
      <c r="B246" s="4">
        <f>20.7745 * CHOOSE(CONTROL!$C$9, $C$13, 100%, $E$13) + CHOOSE(CONTROL!$C$28, 0.0003, 0)</f>
        <v>20.774799999999999</v>
      </c>
      <c r="C246" s="4">
        <f>20.462 * CHOOSE(CONTROL!$C$9, $C$13, 100%, $E$13) + CHOOSE(CONTROL!$C$28, 0.0003, 0)</f>
        <v>20.462299999999999</v>
      </c>
      <c r="D246" s="4">
        <f>27.8247 * CHOOSE(CONTROL!$C$9, $C$13, 100%, $E$13) + CHOOSE(CONTROL!$C$28, 0, 0)</f>
        <v>27.8247</v>
      </c>
      <c r="E246" s="4">
        <f>121.331945073677 * CHOOSE(CONTROL!$C$9, $C$13, 100%, $E$13) + CHOOSE(CONTROL!$C$28, 0, 0)</f>
        <v>121.33194507367701</v>
      </c>
    </row>
    <row r="247" spans="1:5" ht="15">
      <c r="A247" s="13">
        <v>49004</v>
      </c>
      <c r="B247" s="4">
        <f>21.9256 * CHOOSE(CONTROL!$C$9, $C$13, 100%, $E$13) + CHOOSE(CONTROL!$C$28, 0.0003, 0)</f>
        <v>21.925899999999999</v>
      </c>
      <c r="C247" s="4">
        <f>21.6131 * CHOOSE(CONTROL!$C$9, $C$13, 100%, $E$13) + CHOOSE(CONTROL!$C$28, 0.0003, 0)</f>
        <v>21.613399999999999</v>
      </c>
      <c r="D247" s="4">
        <f>29.2247 * CHOOSE(CONTROL!$C$9, $C$13, 100%, $E$13) + CHOOSE(CONTROL!$C$28, 0, 0)</f>
        <v>29.224699999999999</v>
      </c>
      <c r="E247" s="4">
        <f>128.721871742727 * CHOOSE(CONTROL!$C$9, $C$13, 100%, $E$13) + CHOOSE(CONTROL!$C$28, 0, 0)</f>
        <v>128.72187174272699</v>
      </c>
    </row>
    <row r="248" spans="1:5" ht="15">
      <c r="A248" s="13">
        <v>49035</v>
      </c>
      <c r="B248" s="4">
        <f>22.7434 * CHOOSE(CONTROL!$C$9, $C$13, 100%, $E$13) + CHOOSE(CONTROL!$C$28, 0.0003, 0)</f>
        <v>22.7437</v>
      </c>
      <c r="C248" s="4">
        <f>22.4309 * CHOOSE(CONTROL!$C$9, $C$13, 100%, $E$13) + CHOOSE(CONTROL!$C$28, 0.0003, 0)</f>
        <v>22.4312</v>
      </c>
      <c r="D248" s="4">
        <f>30.0312 * CHOOSE(CONTROL!$C$9, $C$13, 100%, $E$13) + CHOOSE(CONTROL!$C$28, 0, 0)</f>
        <v>30.031199999999998</v>
      </c>
      <c r="E248" s="4">
        <f>133.972513124808 * CHOOSE(CONTROL!$C$9, $C$13, 100%, $E$13) + CHOOSE(CONTROL!$C$28, 0, 0)</f>
        <v>133.97251312480799</v>
      </c>
    </row>
    <row r="249" spans="1:5" ht="15">
      <c r="A249" s="13">
        <v>49065</v>
      </c>
      <c r="B249" s="4">
        <f>23.2431 * CHOOSE(CONTROL!$C$9, $C$13, 100%, $E$13) + CHOOSE(CONTROL!$C$28, 0.0181, 0)</f>
        <v>23.261199999999999</v>
      </c>
      <c r="C249" s="4">
        <f>22.9306 * CHOOSE(CONTROL!$C$9, $C$13, 100%, $E$13) + CHOOSE(CONTROL!$C$28, 0.0181, 0)</f>
        <v>22.948699999999999</v>
      </c>
      <c r="D249" s="4">
        <f>29.7125 * CHOOSE(CONTROL!$C$9, $C$13, 100%, $E$13) + CHOOSE(CONTROL!$C$28, 0, 0)</f>
        <v>29.712499999999999</v>
      </c>
      <c r="E249" s="4">
        <f>137.180529168949 * CHOOSE(CONTROL!$C$9, $C$13, 100%, $E$13) + CHOOSE(CONTROL!$C$28, 0, 0)</f>
        <v>137.18052916894899</v>
      </c>
    </row>
    <row r="250" spans="1:5" ht="15">
      <c r="A250" s="13">
        <v>49096</v>
      </c>
      <c r="B250" s="4">
        <f>23.3108 * CHOOSE(CONTROL!$C$9, $C$13, 100%, $E$13) + CHOOSE(CONTROL!$C$28, 0.0181, 0)</f>
        <v>23.328900000000001</v>
      </c>
      <c r="C250" s="4">
        <f>22.9983 * CHOOSE(CONTROL!$C$9, $C$13, 100%, $E$13) + CHOOSE(CONTROL!$C$28, 0.0181, 0)</f>
        <v>23.016400000000001</v>
      </c>
      <c r="D250" s="4">
        <f>29.972 * CHOOSE(CONTROL!$C$9, $C$13, 100%, $E$13) + CHOOSE(CONTROL!$C$28, 0, 0)</f>
        <v>29.972000000000001</v>
      </c>
      <c r="E250" s="4">
        <f>137.614587053261 * CHOOSE(CONTROL!$C$9, $C$13, 100%, $E$13) + CHOOSE(CONTROL!$C$28, 0, 0)</f>
        <v>137.614587053261</v>
      </c>
    </row>
    <row r="251" spans="1:5" ht="15">
      <c r="A251" s="13">
        <v>49126</v>
      </c>
      <c r="B251" s="4">
        <f>23.3039 * CHOOSE(CONTROL!$C$9, $C$13, 100%, $E$13) + CHOOSE(CONTROL!$C$28, 0.0181, 0)</f>
        <v>23.321999999999999</v>
      </c>
      <c r="C251" s="4">
        <f>22.9914 * CHOOSE(CONTROL!$C$9, $C$13, 100%, $E$13) + CHOOSE(CONTROL!$C$28, 0.0181, 0)</f>
        <v>23.009499999999999</v>
      </c>
      <c r="D251" s="4">
        <f>30.4403 * CHOOSE(CONTROL!$C$9, $C$13, 100%, $E$13) + CHOOSE(CONTROL!$C$28, 0, 0)</f>
        <v>30.440300000000001</v>
      </c>
      <c r="E251" s="4">
        <f>137.570816510305 * CHOOSE(CONTROL!$C$9, $C$13, 100%, $E$13) + CHOOSE(CONTROL!$C$28, 0, 0)</f>
        <v>137.57081651030501</v>
      </c>
    </row>
    <row r="252" spans="1:5" ht="15">
      <c r="A252" s="13">
        <v>49157</v>
      </c>
      <c r="B252" s="4">
        <f>23.817 * CHOOSE(CONTROL!$C$9, $C$13, 100%, $E$13) + CHOOSE(CONTROL!$C$28, 0.0181, 0)</f>
        <v>23.835100000000001</v>
      </c>
      <c r="C252" s="4">
        <f>23.5045 * CHOOSE(CONTROL!$C$9, $C$13, 100%, $E$13) + CHOOSE(CONTROL!$C$28, 0.0181, 0)</f>
        <v>23.522600000000001</v>
      </c>
      <c r="D252" s="4">
        <f>30.131 * CHOOSE(CONTROL!$C$9, $C$13, 100%, $E$13) + CHOOSE(CONTROL!$C$28, 0, 0)</f>
        <v>30.131</v>
      </c>
      <c r="E252" s="4">
        <f>140.864549867735 * CHOOSE(CONTROL!$C$9, $C$13, 100%, $E$13) + CHOOSE(CONTROL!$C$28, 0, 0)</f>
        <v>140.86454986773501</v>
      </c>
    </row>
    <row r="253" spans="1:5" ht="15">
      <c r="A253" s="13">
        <v>49188</v>
      </c>
      <c r="B253" s="4">
        <f>22.9426 * CHOOSE(CONTROL!$C$9, $C$13, 100%, $E$13) + CHOOSE(CONTROL!$C$28, 0.0181, 0)</f>
        <v>22.960699999999999</v>
      </c>
      <c r="C253" s="4">
        <f>22.6301 * CHOOSE(CONTROL!$C$9, $C$13, 100%, $E$13) + CHOOSE(CONTROL!$C$28, 0.0181, 0)</f>
        <v>22.648199999999999</v>
      </c>
      <c r="D253" s="4">
        <f>29.9849 * CHOOSE(CONTROL!$C$9, $C$13, 100%, $E$13) + CHOOSE(CONTROL!$C$28, 0, 0)</f>
        <v>29.9849</v>
      </c>
      <c r="E253" s="4">
        <f>135.250977733644 * CHOOSE(CONTROL!$C$9, $C$13, 100%, $E$13) + CHOOSE(CONTROL!$C$28, 0, 0)</f>
        <v>135.25097773364399</v>
      </c>
    </row>
    <row r="254" spans="1:5" ht="15">
      <c r="A254" s="13">
        <v>49218</v>
      </c>
      <c r="B254" s="4">
        <f>22.2426 * CHOOSE(CONTROL!$C$9, $C$13, 100%, $E$13) + CHOOSE(CONTROL!$C$28, 0.0003, 0)</f>
        <v>22.242899999999999</v>
      </c>
      <c r="C254" s="4">
        <f>21.9301 * CHOOSE(CONTROL!$C$9, $C$13, 100%, $E$13) + CHOOSE(CONTROL!$C$28, 0.0003, 0)</f>
        <v>21.930399999999999</v>
      </c>
      <c r="D254" s="4">
        <f>29.5937 * CHOOSE(CONTROL!$C$9, $C$13, 100%, $E$13) + CHOOSE(CONTROL!$C$28, 0, 0)</f>
        <v>29.593699999999998</v>
      </c>
      <c r="E254" s="4">
        <f>130.757201990175 * CHOOSE(CONTROL!$C$9, $C$13, 100%, $E$13) + CHOOSE(CONTROL!$C$28, 0, 0)</f>
        <v>130.75720199017499</v>
      </c>
    </row>
    <row r="255" spans="1:5" ht="15">
      <c r="A255" s="13">
        <v>49249</v>
      </c>
      <c r="B255" s="4">
        <f>21.7918 * CHOOSE(CONTROL!$C$9, $C$13, 100%, $E$13) + CHOOSE(CONTROL!$C$28, 0.0003, 0)</f>
        <v>21.792099999999998</v>
      </c>
      <c r="C255" s="4">
        <f>21.4793 * CHOOSE(CONTROL!$C$9, $C$13, 100%, $E$13) + CHOOSE(CONTROL!$C$28, 0.0003, 0)</f>
        <v>21.479599999999998</v>
      </c>
      <c r="D255" s="4">
        <f>29.4592 * CHOOSE(CONTROL!$C$9, $C$13, 100%, $E$13) + CHOOSE(CONTROL!$C$28, 0, 0)</f>
        <v>29.459199999999999</v>
      </c>
      <c r="E255" s="4">
        <f>127.862874837218 * CHOOSE(CONTROL!$C$9, $C$13, 100%, $E$13) + CHOOSE(CONTROL!$C$28, 0, 0)</f>
        <v>127.862874837218</v>
      </c>
    </row>
    <row r="256" spans="1:5" ht="15">
      <c r="A256" s="13">
        <v>49279</v>
      </c>
      <c r="B256" s="4">
        <f>21.4798 * CHOOSE(CONTROL!$C$9, $C$13, 100%, $E$13) + CHOOSE(CONTROL!$C$28, 0.0003, 0)</f>
        <v>21.4801</v>
      </c>
      <c r="C256" s="4">
        <f>21.1673 * CHOOSE(CONTROL!$C$9, $C$13, 100%, $E$13) + CHOOSE(CONTROL!$C$28, 0.0003, 0)</f>
        <v>21.1676</v>
      </c>
      <c r="D256" s="4">
        <f>28.4689 * CHOOSE(CONTROL!$C$9, $C$13, 100%, $E$13) + CHOOSE(CONTROL!$C$28, 0, 0)</f>
        <v>28.468900000000001</v>
      </c>
      <c r="E256" s="4">
        <f>125.860372496987 * CHOOSE(CONTROL!$C$9, $C$13, 100%, $E$13) + CHOOSE(CONTROL!$C$28, 0, 0)</f>
        <v>125.860372496987</v>
      </c>
    </row>
    <row r="257" spans="1:5" ht="15">
      <c r="A257" s="13">
        <v>49310</v>
      </c>
      <c r="B257" s="4">
        <f>20.7054 * CHOOSE(CONTROL!$C$9, $C$13, 100%, $E$13) + CHOOSE(CONTROL!$C$28, 0.0003, 0)</f>
        <v>20.7057</v>
      </c>
      <c r="C257" s="4">
        <f>20.3929 * CHOOSE(CONTROL!$C$9, $C$13, 100%, $E$13) + CHOOSE(CONTROL!$C$28, 0.0003, 0)</f>
        <v>20.3932</v>
      </c>
      <c r="D257" s="4">
        <f>27.3497 * CHOOSE(CONTROL!$C$9, $C$13, 100%, $E$13) + CHOOSE(CONTROL!$C$28, 0, 0)</f>
        <v>27.349699999999999</v>
      </c>
      <c r="E257" s="4">
        <f>120.861853600467 * CHOOSE(CONTROL!$C$9, $C$13, 100%, $E$13) + CHOOSE(CONTROL!$C$28, 0, 0)</f>
        <v>120.861853600467</v>
      </c>
    </row>
    <row r="258" spans="1:5" ht="15">
      <c r="A258" s="13">
        <v>49341</v>
      </c>
      <c r="B258" s="4">
        <f>21.1525 * CHOOSE(CONTROL!$C$9, $C$13, 100%, $E$13) + CHOOSE(CONTROL!$C$28, 0.0003, 0)</f>
        <v>21.152799999999999</v>
      </c>
      <c r="C258" s="4">
        <f>20.84 * CHOOSE(CONTROL!$C$9, $C$13, 100%, $E$13) + CHOOSE(CONTROL!$C$28, 0.0003, 0)</f>
        <v>20.840299999999999</v>
      </c>
      <c r="D258" s="4">
        <f>28.2588 * CHOOSE(CONTROL!$C$9, $C$13, 100%, $E$13) + CHOOSE(CONTROL!$C$28, 0, 0)</f>
        <v>28.258800000000001</v>
      </c>
      <c r="E258" s="4">
        <f>123.731590310562 * CHOOSE(CONTROL!$C$9, $C$13, 100%, $E$13) + CHOOSE(CONTROL!$C$28, 0, 0)</f>
        <v>123.731590310562</v>
      </c>
    </row>
    <row r="259" spans="1:5" ht="15">
      <c r="A259" s="13">
        <v>49369</v>
      </c>
      <c r="B259" s="4">
        <f>22.3266 * CHOOSE(CONTROL!$C$9, $C$13, 100%, $E$13) + CHOOSE(CONTROL!$C$28, 0.0003, 0)</f>
        <v>22.326899999999998</v>
      </c>
      <c r="C259" s="4">
        <f>22.0141 * CHOOSE(CONTROL!$C$9, $C$13, 100%, $E$13) + CHOOSE(CONTROL!$C$28, 0.0003, 0)</f>
        <v>22.014399999999998</v>
      </c>
      <c r="D259" s="4">
        <f>29.682 * CHOOSE(CONTROL!$C$9, $C$13, 100%, $E$13) + CHOOSE(CONTROL!$C$28, 0, 0)</f>
        <v>29.681999999999999</v>
      </c>
      <c r="E259" s="4">
        <f>131.267671418342 * CHOOSE(CONTROL!$C$9, $C$13, 100%, $E$13) + CHOOSE(CONTROL!$C$28, 0, 0)</f>
        <v>131.26767141834199</v>
      </c>
    </row>
    <row r="260" spans="1:5" ht="15">
      <c r="A260" s="13">
        <v>49400</v>
      </c>
      <c r="B260" s="4">
        <f>23.1609 * CHOOSE(CONTROL!$C$9, $C$13, 100%, $E$13) + CHOOSE(CONTROL!$C$28, 0.0003, 0)</f>
        <v>23.161200000000001</v>
      </c>
      <c r="C260" s="4">
        <f>22.8484 * CHOOSE(CONTROL!$C$9, $C$13, 100%, $E$13) + CHOOSE(CONTROL!$C$28, 0.0003, 0)</f>
        <v>22.848700000000001</v>
      </c>
      <c r="D260" s="4">
        <f>30.5018 * CHOOSE(CONTROL!$C$9, $C$13, 100%, $E$13) + CHOOSE(CONTROL!$C$28, 0, 0)</f>
        <v>30.501799999999999</v>
      </c>
      <c r="E260" s="4">
        <f>136.622157476905 * CHOOSE(CONTROL!$C$9, $C$13, 100%, $E$13) + CHOOSE(CONTROL!$C$28, 0, 0)</f>
        <v>136.62215747690499</v>
      </c>
    </row>
    <row r="261" spans="1:5" ht="15">
      <c r="A261" s="13">
        <v>49430</v>
      </c>
      <c r="B261" s="4">
        <f>23.6706 * CHOOSE(CONTROL!$C$9, $C$13, 100%, $E$13) + CHOOSE(CONTROL!$C$28, 0.0181, 0)</f>
        <v>23.688700000000001</v>
      </c>
      <c r="C261" s="4">
        <f>23.3581 * CHOOSE(CONTROL!$C$9, $C$13, 100%, $E$13) + CHOOSE(CONTROL!$C$28, 0.0181, 0)</f>
        <v>23.376200000000001</v>
      </c>
      <c r="D261" s="4">
        <f>30.1778 * CHOOSE(CONTROL!$C$9, $C$13, 100%, $E$13) + CHOOSE(CONTROL!$C$28, 0, 0)</f>
        <v>30.177800000000001</v>
      </c>
      <c r="E261" s="4">
        <f>139.893620129567 * CHOOSE(CONTROL!$C$9, $C$13, 100%, $E$13) + CHOOSE(CONTROL!$C$28, 0, 0)</f>
        <v>139.89362012956701</v>
      </c>
    </row>
    <row r="262" spans="1:5" ht="15">
      <c r="A262" s="14">
        <v>49461</v>
      </c>
      <c r="B262" s="4">
        <f>23.7395 * CHOOSE(CONTROL!$C$9, $C$13, 100%, $E$13) + CHOOSE(CONTROL!$C$28, 0.0181, 0)</f>
        <v>23.7576</v>
      </c>
      <c r="C262" s="4">
        <f>23.427 * CHOOSE(CONTROL!$C$9, $C$13, 100%, $E$13) + CHOOSE(CONTROL!$C$28, 0.0181, 0)</f>
        <v>23.4451</v>
      </c>
      <c r="D262" s="4">
        <f>30.4417 * CHOOSE(CONTROL!$C$9, $C$13, 100%, $E$13) + CHOOSE(CONTROL!$C$28, 0, 0)</f>
        <v>30.441700000000001</v>
      </c>
      <c r="E262" s="4">
        <f>140.336262603321 * CHOOSE(CONTROL!$C$9, $C$13, 100%, $E$13) + CHOOSE(CONTROL!$C$28, 0, 0)</f>
        <v>140.33626260332099</v>
      </c>
    </row>
    <row r="263" spans="1:5" ht="15">
      <c r="A263" s="14">
        <v>49491</v>
      </c>
      <c r="B263" s="4">
        <f>23.7326 * CHOOSE(CONTROL!$C$9, $C$13, 100%, $E$13) + CHOOSE(CONTROL!$C$28, 0.0181, 0)</f>
        <v>23.750700000000002</v>
      </c>
      <c r="C263" s="4">
        <f>23.4201 * CHOOSE(CONTROL!$C$9, $C$13, 100%, $E$13) + CHOOSE(CONTROL!$C$28, 0.0181, 0)</f>
        <v>23.438200000000002</v>
      </c>
      <c r="D263" s="4">
        <f>30.9177 * CHOOSE(CONTROL!$C$9, $C$13, 100%, $E$13) + CHOOSE(CONTROL!$C$28, 0, 0)</f>
        <v>30.9177</v>
      </c>
      <c r="E263" s="4">
        <f>140.29162638748 * CHOOSE(CONTROL!$C$9, $C$13, 100%, $E$13) + CHOOSE(CONTROL!$C$28, 0, 0)</f>
        <v>140.29162638747999</v>
      </c>
    </row>
    <row r="264" spans="1:5" ht="15">
      <c r="A264" s="14">
        <v>49522</v>
      </c>
      <c r="B264" s="4">
        <f>24.2559 * CHOOSE(CONTROL!$C$9, $C$13, 100%, $E$13) + CHOOSE(CONTROL!$C$28, 0.0181, 0)</f>
        <v>24.274000000000001</v>
      </c>
      <c r="C264" s="4">
        <f>23.9434 * CHOOSE(CONTROL!$C$9, $C$13, 100%, $E$13) + CHOOSE(CONTROL!$C$28, 0.0181, 0)</f>
        <v>23.961500000000001</v>
      </c>
      <c r="D264" s="4">
        <f>30.6033 * CHOOSE(CONTROL!$C$9, $C$13, 100%, $E$13) + CHOOSE(CONTROL!$C$28, 0, 0)</f>
        <v>30.603300000000001</v>
      </c>
      <c r="E264" s="4">
        <f>143.650501629497 * CHOOSE(CONTROL!$C$9, $C$13, 100%, $E$13) + CHOOSE(CONTROL!$C$28, 0, 0)</f>
        <v>143.650501629497</v>
      </c>
    </row>
    <row r="265" spans="1:5" ht="15">
      <c r="A265" s="14">
        <v>49553</v>
      </c>
      <c r="B265" s="4">
        <f>23.364 * CHOOSE(CONTROL!$C$9, $C$13, 100%, $E$13) + CHOOSE(CONTROL!$C$28, 0.0181, 0)</f>
        <v>23.382100000000001</v>
      </c>
      <c r="C265" s="4">
        <f>23.0515 * CHOOSE(CONTROL!$C$9, $C$13, 100%, $E$13) + CHOOSE(CONTROL!$C$28, 0.0181, 0)</f>
        <v>23.069600000000001</v>
      </c>
      <c r="D265" s="4">
        <f>30.4548 * CHOOSE(CONTROL!$C$9, $C$13, 100%, $E$13) + CHOOSE(CONTROL!$C$28, 0, 0)</f>
        <v>30.454799999999999</v>
      </c>
      <c r="E265" s="4">
        <f>137.925906947921 * CHOOSE(CONTROL!$C$9, $C$13, 100%, $E$13) + CHOOSE(CONTROL!$C$28, 0, 0)</f>
        <v>137.92590694792099</v>
      </c>
    </row>
    <row r="266" spans="1:5" ht="15">
      <c r="A266" s="14">
        <v>49583</v>
      </c>
      <c r="B266" s="4">
        <f>22.65 * CHOOSE(CONTROL!$C$9, $C$13, 100%, $E$13) + CHOOSE(CONTROL!$C$28, 0.0003, 0)</f>
        <v>22.650299999999998</v>
      </c>
      <c r="C266" s="4">
        <f>22.3375 * CHOOSE(CONTROL!$C$9, $C$13, 100%, $E$13) + CHOOSE(CONTROL!$C$28, 0.0003, 0)</f>
        <v>22.337799999999998</v>
      </c>
      <c r="D266" s="4">
        <f>30.0571 * CHOOSE(CONTROL!$C$9, $C$13, 100%, $E$13) + CHOOSE(CONTROL!$C$28, 0, 0)</f>
        <v>30.057099999999998</v>
      </c>
      <c r="E266" s="4">
        <f>133.343255454937 * CHOOSE(CONTROL!$C$9, $C$13, 100%, $E$13) + CHOOSE(CONTROL!$C$28, 0, 0)</f>
        <v>133.34325545493701</v>
      </c>
    </row>
    <row r="267" spans="1:5" ht="15">
      <c r="A267" s="14">
        <v>49614</v>
      </c>
      <c r="B267" s="4">
        <f>22.1901 * CHOOSE(CONTROL!$C$9, $C$13, 100%, $E$13) + CHOOSE(CONTROL!$C$28, 0.0003, 0)</f>
        <v>22.1904</v>
      </c>
      <c r="C267" s="4">
        <f>21.8776 * CHOOSE(CONTROL!$C$9, $C$13, 100%, $E$13) + CHOOSE(CONTROL!$C$28, 0.0003, 0)</f>
        <v>21.8779</v>
      </c>
      <c r="D267" s="4">
        <f>29.9204 * CHOOSE(CONTROL!$C$9, $C$13, 100%, $E$13) + CHOOSE(CONTROL!$C$28, 0, 0)</f>
        <v>29.920400000000001</v>
      </c>
      <c r="E267" s="4">
        <f>130.391685682467 * CHOOSE(CONTROL!$C$9, $C$13, 100%, $E$13) + CHOOSE(CONTROL!$C$28, 0, 0)</f>
        <v>130.391685682467</v>
      </c>
    </row>
    <row r="268" spans="1:5" ht="15">
      <c r="A268" s="14">
        <v>49644</v>
      </c>
      <c r="B268" s="4">
        <f>21.872 * CHOOSE(CONTROL!$C$9, $C$13, 100%, $E$13) + CHOOSE(CONTROL!$C$28, 0.0003, 0)</f>
        <v>21.872299999999999</v>
      </c>
      <c r="C268" s="4">
        <f>21.5595 * CHOOSE(CONTROL!$C$9, $C$13, 100%, $E$13) + CHOOSE(CONTROL!$C$28, 0.0003, 0)</f>
        <v>21.559799999999999</v>
      </c>
      <c r="D268" s="4">
        <f>28.9137 * CHOOSE(CONTROL!$C$9, $C$13, 100%, $E$13) + CHOOSE(CONTROL!$C$28, 0, 0)</f>
        <v>28.913699999999999</v>
      </c>
      <c r="E268" s="4">
        <f>128.349578807753 * CHOOSE(CONTROL!$C$9, $C$13, 100%, $E$13) + CHOOSE(CONTROL!$C$28, 0, 0)</f>
        <v>128.34957880775301</v>
      </c>
    </row>
    <row r="269" spans="1:5" ht="15">
      <c r="A269" s="14">
        <v>49675</v>
      </c>
      <c r="B269" s="4">
        <f>21.355 * CHOOSE(CONTROL!$C$9, $C$13, 100%, $E$13) + CHOOSE(CONTROL!$C$28, 0.0003, 0)</f>
        <v>21.3553</v>
      </c>
      <c r="C269" s="4">
        <f>21.0425 * CHOOSE(CONTROL!$C$9, $C$13, 100%, $E$13) + CHOOSE(CONTROL!$C$28, 0.0003, 0)</f>
        <v>21.0428</v>
      </c>
      <c r="D269" s="4">
        <f>27.9885 * CHOOSE(CONTROL!$C$9, $C$13, 100%, $E$13) + CHOOSE(CONTROL!$C$28, 0, 0)</f>
        <v>27.988499999999998</v>
      </c>
      <c r="E269" s="4">
        <f>124.669001988882 * CHOOSE(CONTROL!$C$9, $C$13, 100%, $E$13) + CHOOSE(CONTROL!$C$28, 0, 0)</f>
        <v>124.669001988882</v>
      </c>
    </row>
    <row r="270" spans="1:5" ht="15">
      <c r="A270" s="14">
        <v>49706</v>
      </c>
      <c r="B270" s="4">
        <f>21.8176 * CHOOSE(CONTROL!$C$9, $C$13, 100%, $E$13) + CHOOSE(CONTROL!$C$28, 0.0003, 0)</f>
        <v>21.817899999999998</v>
      </c>
      <c r="C270" s="4">
        <f>21.5051 * CHOOSE(CONTROL!$C$9, $C$13, 100%, $E$13) + CHOOSE(CONTROL!$C$28, 0.0003, 0)</f>
        <v>21.505399999999998</v>
      </c>
      <c r="D270" s="4">
        <f>28.9202 * CHOOSE(CONTROL!$C$9, $C$13, 100%, $E$13) + CHOOSE(CONTROL!$C$28, 0, 0)</f>
        <v>28.920200000000001</v>
      </c>
      <c r="E270" s="4">
        <f>127.629135405344 * CHOOSE(CONTROL!$C$9, $C$13, 100%, $E$13) + CHOOSE(CONTROL!$C$28, 0, 0)</f>
        <v>127.629135405344</v>
      </c>
    </row>
    <row r="271" spans="1:5" ht="15">
      <c r="A271" s="14">
        <v>49735</v>
      </c>
      <c r="B271" s="4">
        <f>23.0322 * CHOOSE(CONTROL!$C$9, $C$13, 100%, $E$13) + CHOOSE(CONTROL!$C$28, 0.0003, 0)</f>
        <v>23.032499999999999</v>
      </c>
      <c r="C271" s="4">
        <f>22.7197 * CHOOSE(CONTROL!$C$9, $C$13, 100%, $E$13) + CHOOSE(CONTROL!$C$28, 0.0003, 0)</f>
        <v>22.72</v>
      </c>
      <c r="D271" s="4">
        <f>30.3787 * CHOOSE(CONTROL!$C$9, $C$13, 100%, $E$13) + CHOOSE(CONTROL!$C$28, 0, 0)</f>
        <v>30.378699999999998</v>
      </c>
      <c r="E271" s="4">
        <f>135.40260306802 * CHOOSE(CONTROL!$C$9, $C$13, 100%, $E$13) + CHOOSE(CONTROL!$C$28, 0, 0)</f>
        <v>135.40260306802</v>
      </c>
    </row>
    <row r="272" spans="1:5" ht="15">
      <c r="A272" s="14">
        <v>49766</v>
      </c>
      <c r="B272" s="4">
        <f>23.8952 * CHOOSE(CONTROL!$C$9, $C$13, 100%, $E$13) + CHOOSE(CONTROL!$C$28, 0.0003, 0)</f>
        <v>23.895499999999998</v>
      </c>
      <c r="C272" s="4">
        <f>23.5827 * CHOOSE(CONTROL!$C$9, $C$13, 100%, $E$13) + CHOOSE(CONTROL!$C$28, 0.0003, 0)</f>
        <v>23.582999999999998</v>
      </c>
      <c r="D272" s="4">
        <f>31.2188 * CHOOSE(CONTROL!$C$9, $C$13, 100%, $E$13) + CHOOSE(CONTROL!$C$28, 0, 0)</f>
        <v>31.218800000000002</v>
      </c>
      <c r="E272" s="4">
        <f>140.925755437428 * CHOOSE(CONTROL!$C$9, $C$13, 100%, $E$13) + CHOOSE(CONTROL!$C$28, 0, 0)</f>
        <v>140.92575543742799</v>
      </c>
    </row>
    <row r="273" spans="1:5" ht="15">
      <c r="A273" s="14">
        <v>49796</v>
      </c>
      <c r="B273" s="4">
        <f>24.4225 * CHOOSE(CONTROL!$C$9, $C$13, 100%, $E$13) + CHOOSE(CONTROL!$C$28, 0.0181, 0)</f>
        <v>24.4406</v>
      </c>
      <c r="C273" s="4">
        <f>24.11 * CHOOSE(CONTROL!$C$9, $C$13, 100%, $E$13) + CHOOSE(CONTROL!$C$28, 0.0181, 0)</f>
        <v>24.1281</v>
      </c>
      <c r="D273" s="4">
        <f>30.8868 * CHOOSE(CONTROL!$C$9, $C$13, 100%, $E$13) + CHOOSE(CONTROL!$C$28, 0, 0)</f>
        <v>30.886800000000001</v>
      </c>
      <c r="E273" s="4">
        <f>144.300269163648 * CHOOSE(CONTROL!$C$9, $C$13, 100%, $E$13) + CHOOSE(CONTROL!$C$28, 0, 0)</f>
        <v>144.30026916364801</v>
      </c>
    </row>
    <row r="274" spans="1:5" ht="15">
      <c r="A274" s="14">
        <v>49827</v>
      </c>
      <c r="B274" s="4">
        <f>24.4938 * CHOOSE(CONTROL!$C$9, $C$13, 100%, $E$13) + CHOOSE(CONTROL!$C$28, 0.0181, 0)</f>
        <v>24.511900000000001</v>
      </c>
      <c r="C274" s="4">
        <f>24.1813 * CHOOSE(CONTROL!$C$9, $C$13, 100%, $E$13) + CHOOSE(CONTROL!$C$28, 0.0181, 0)</f>
        <v>24.199400000000001</v>
      </c>
      <c r="D274" s="4">
        <f>31.1572 * CHOOSE(CONTROL!$C$9, $C$13, 100%, $E$13) + CHOOSE(CONTROL!$C$28, 0, 0)</f>
        <v>31.1572</v>
      </c>
      <c r="E274" s="4">
        <f>144.756854875326 * CHOOSE(CONTROL!$C$9, $C$13, 100%, $E$13) + CHOOSE(CONTROL!$C$28, 0, 0)</f>
        <v>144.75685487532601</v>
      </c>
    </row>
    <row r="275" spans="1:5" ht="15">
      <c r="A275" s="14">
        <v>49857</v>
      </c>
      <c r="B275" s="4">
        <f>24.4867 * CHOOSE(CONTROL!$C$9, $C$13, 100%, $E$13) + CHOOSE(CONTROL!$C$28, 0.0181, 0)</f>
        <v>24.504799999999999</v>
      </c>
      <c r="C275" s="4">
        <f>24.1742 * CHOOSE(CONTROL!$C$9, $C$13, 100%, $E$13) + CHOOSE(CONTROL!$C$28, 0.0181, 0)</f>
        <v>24.192299999999999</v>
      </c>
      <c r="D275" s="4">
        <f>31.645 * CHOOSE(CONTROL!$C$9, $C$13, 100%, $E$13) + CHOOSE(CONTROL!$C$28, 0, 0)</f>
        <v>31.645</v>
      </c>
      <c r="E275" s="4">
        <f>144.710812618686 * CHOOSE(CONTROL!$C$9, $C$13, 100%, $E$13) + CHOOSE(CONTROL!$C$28, 0, 0)</f>
        <v>144.71081261868599</v>
      </c>
    </row>
    <row r="276" spans="1:5" ht="15">
      <c r="A276" s="14">
        <v>49888</v>
      </c>
      <c r="B276" s="4">
        <f>25.028 * CHOOSE(CONTROL!$C$9, $C$13, 100%, $E$13) + CHOOSE(CONTROL!$C$28, 0.0181, 0)</f>
        <v>25.046099999999999</v>
      </c>
      <c r="C276" s="4">
        <f>24.7155 * CHOOSE(CONTROL!$C$9, $C$13, 100%, $E$13) + CHOOSE(CONTROL!$C$28, 0.0181, 0)</f>
        <v>24.733599999999999</v>
      </c>
      <c r="D276" s="4">
        <f>31.3228 * CHOOSE(CONTROL!$C$9, $C$13, 100%, $E$13) + CHOOSE(CONTROL!$C$28, 0, 0)</f>
        <v>31.322800000000001</v>
      </c>
      <c r="E276" s="4">
        <f>148.175492430826 * CHOOSE(CONTROL!$C$9, $C$13, 100%, $E$13) + CHOOSE(CONTROL!$C$28, 0, 0)</f>
        <v>148.17549243082601</v>
      </c>
    </row>
    <row r="277" spans="1:5" ht="15">
      <c r="A277" s="14">
        <v>49919</v>
      </c>
      <c r="B277" s="4">
        <f>24.1054 * CHOOSE(CONTROL!$C$9, $C$13, 100%, $E$13) + CHOOSE(CONTROL!$C$28, 0.0181, 0)</f>
        <v>24.1235</v>
      </c>
      <c r="C277" s="4">
        <f>23.7929 * CHOOSE(CONTROL!$C$9, $C$13, 100%, $E$13) + CHOOSE(CONTROL!$C$28, 0.0181, 0)</f>
        <v>23.811</v>
      </c>
      <c r="D277" s="4">
        <f>31.1706 * CHOOSE(CONTROL!$C$9, $C$13, 100%, $E$13) + CHOOSE(CONTROL!$C$28, 0, 0)</f>
        <v>31.1706</v>
      </c>
      <c r="E277" s="4">
        <f>142.27057301678 * CHOOSE(CONTROL!$C$9, $C$13, 100%, $E$13) + CHOOSE(CONTROL!$C$28, 0, 0)</f>
        <v>142.27057301677999</v>
      </c>
    </row>
    <row r="278" spans="1:5" ht="15">
      <c r="A278" s="14">
        <v>49949</v>
      </c>
      <c r="B278" s="4">
        <f>23.3667 * CHOOSE(CONTROL!$C$9, $C$13, 100%, $E$13) + CHOOSE(CONTROL!$C$28, 0.0003, 0)</f>
        <v>23.367000000000001</v>
      </c>
      <c r="C278" s="4">
        <f>23.0542 * CHOOSE(CONTROL!$C$9, $C$13, 100%, $E$13) + CHOOSE(CONTROL!$C$28, 0.0003, 0)</f>
        <v>23.054500000000001</v>
      </c>
      <c r="D278" s="4">
        <f>30.763 * CHOOSE(CONTROL!$C$9, $C$13, 100%, $E$13) + CHOOSE(CONTROL!$C$28, 0, 0)</f>
        <v>30.763000000000002</v>
      </c>
      <c r="E278" s="4">
        <f>137.543568001767 * CHOOSE(CONTROL!$C$9, $C$13, 100%, $E$13) + CHOOSE(CONTROL!$C$28, 0, 0)</f>
        <v>137.543568001767</v>
      </c>
    </row>
    <row r="279" spans="1:5" ht="15">
      <c r="A279" s="14">
        <v>49980</v>
      </c>
      <c r="B279" s="4">
        <f>22.891 * CHOOSE(CONTROL!$C$9, $C$13, 100%, $E$13) + CHOOSE(CONTROL!$C$28, 0.0003, 0)</f>
        <v>22.891299999999998</v>
      </c>
      <c r="C279" s="4">
        <f>22.5785 * CHOOSE(CONTROL!$C$9, $C$13, 100%, $E$13) + CHOOSE(CONTROL!$C$28, 0.0003, 0)</f>
        <v>22.578799999999998</v>
      </c>
      <c r="D279" s="4">
        <f>30.6229 * CHOOSE(CONTROL!$C$9, $C$13, 100%, $E$13) + CHOOSE(CONTROL!$C$28, 0, 0)</f>
        <v>30.622900000000001</v>
      </c>
      <c r="E279" s="4">
        <f>134.499023781465 * CHOOSE(CONTROL!$C$9, $C$13, 100%, $E$13) + CHOOSE(CONTROL!$C$28, 0, 0)</f>
        <v>134.49902378146501</v>
      </c>
    </row>
    <row r="280" spans="1:5" ht="15">
      <c r="A280" s="14">
        <v>50010</v>
      </c>
      <c r="B280" s="4">
        <f>22.5619 * CHOOSE(CONTROL!$C$9, $C$13, 100%, $E$13) + CHOOSE(CONTROL!$C$28, 0.0003, 0)</f>
        <v>22.562200000000001</v>
      </c>
      <c r="C280" s="4">
        <f>22.2494 * CHOOSE(CONTROL!$C$9, $C$13, 100%, $E$13) + CHOOSE(CONTROL!$C$28, 0.0003, 0)</f>
        <v>22.249700000000001</v>
      </c>
      <c r="D280" s="4">
        <f>29.5913 * CHOOSE(CONTROL!$C$9, $C$13, 100%, $E$13) + CHOOSE(CONTROL!$C$28, 0, 0)</f>
        <v>29.5913</v>
      </c>
      <c r="E280" s="4">
        <f>132.392590540197 * CHOOSE(CONTROL!$C$9, $C$13, 100%, $E$13) + CHOOSE(CONTROL!$C$28, 0, 0)</f>
        <v>132.39259054019701</v>
      </c>
    </row>
    <row r="281" spans="1:5" ht="15">
      <c r="A281" s="14">
        <v>50041</v>
      </c>
      <c r="B281" s="4">
        <f>22.0271 * CHOOSE(CONTROL!$C$9, $C$13, 100%, $E$13) + CHOOSE(CONTROL!$C$28, 0.0003, 0)</f>
        <v>22.0274</v>
      </c>
      <c r="C281" s="4">
        <f>21.7146 * CHOOSE(CONTROL!$C$9, $C$13, 100%, $E$13) + CHOOSE(CONTROL!$C$28, 0.0003, 0)</f>
        <v>21.7149</v>
      </c>
      <c r="D281" s="4">
        <f>28.6432 * CHOOSE(CONTROL!$C$9, $C$13, 100%, $E$13) + CHOOSE(CONTROL!$C$28, 0, 0)</f>
        <v>28.6432</v>
      </c>
      <c r="E281" s="4">
        <f>128.596075551531 * CHOOSE(CONTROL!$C$9, $C$13, 100%, $E$13) + CHOOSE(CONTROL!$C$28, 0, 0)</f>
        <v>128.59607555153099</v>
      </c>
    </row>
    <row r="282" spans="1:5" ht="15">
      <c r="A282" s="14">
        <v>50072</v>
      </c>
      <c r="B282" s="4">
        <f>22.5056 * CHOOSE(CONTROL!$C$9, $C$13, 100%, $E$13) + CHOOSE(CONTROL!$C$28, 0.0003, 0)</f>
        <v>22.5059</v>
      </c>
      <c r="C282" s="4">
        <f>22.1931 * CHOOSE(CONTROL!$C$9, $C$13, 100%, $E$13) + CHOOSE(CONTROL!$C$28, 0.0003, 0)</f>
        <v>22.1934</v>
      </c>
      <c r="D282" s="4">
        <f>29.598 * CHOOSE(CONTROL!$C$9, $C$13, 100%, $E$13) + CHOOSE(CONTROL!$C$28, 0, 0)</f>
        <v>29.597999999999999</v>
      </c>
      <c r="E282" s="4">
        <f>131.649453170613 * CHOOSE(CONTROL!$C$9, $C$13, 100%, $E$13) + CHOOSE(CONTROL!$C$28, 0, 0)</f>
        <v>131.64945317061299</v>
      </c>
    </row>
    <row r="283" spans="1:5" ht="15">
      <c r="A283" s="14">
        <v>50100</v>
      </c>
      <c r="B283" s="4">
        <f>23.7621 * CHOOSE(CONTROL!$C$9, $C$13, 100%, $E$13) + CHOOSE(CONTROL!$C$28, 0.0003, 0)</f>
        <v>23.7624</v>
      </c>
      <c r="C283" s="4">
        <f>23.4496 * CHOOSE(CONTROL!$C$9, $C$13, 100%, $E$13) + CHOOSE(CONTROL!$C$28, 0.0003, 0)</f>
        <v>23.4499</v>
      </c>
      <c r="D283" s="4">
        <f>31.0926 * CHOOSE(CONTROL!$C$9, $C$13, 100%, $E$13) + CHOOSE(CONTROL!$C$28, 0, 0)</f>
        <v>31.092600000000001</v>
      </c>
      <c r="E283" s="4">
        <f>139.667785064662 * CHOOSE(CONTROL!$C$9, $C$13, 100%, $E$13) + CHOOSE(CONTROL!$C$28, 0, 0)</f>
        <v>139.66778506466201</v>
      </c>
    </row>
    <row r="284" spans="1:5" ht="15">
      <c r="A284" s="14">
        <v>50131</v>
      </c>
      <c r="B284" s="4">
        <f>24.6549 * CHOOSE(CONTROL!$C$9, $C$13, 100%, $E$13) + CHOOSE(CONTROL!$C$28, 0.0003, 0)</f>
        <v>24.655200000000001</v>
      </c>
      <c r="C284" s="4">
        <f>24.3424 * CHOOSE(CONTROL!$C$9, $C$13, 100%, $E$13) + CHOOSE(CONTROL!$C$28, 0.0003, 0)</f>
        <v>24.342700000000001</v>
      </c>
      <c r="D284" s="4">
        <f>31.9536 * CHOOSE(CONTROL!$C$9, $C$13, 100%, $E$13) + CHOOSE(CONTROL!$C$28, 0, 0)</f>
        <v>31.953600000000002</v>
      </c>
      <c r="E284" s="4">
        <f>145.364916733707 * CHOOSE(CONTROL!$C$9, $C$13, 100%, $E$13) + CHOOSE(CONTROL!$C$28, 0, 0)</f>
        <v>145.36491673370699</v>
      </c>
    </row>
    <row r="285" spans="1:5" ht="15">
      <c r="A285" s="14">
        <v>50161</v>
      </c>
      <c r="B285" s="4">
        <f>25.2004 * CHOOSE(CONTROL!$C$9, $C$13, 100%, $E$13) + CHOOSE(CONTROL!$C$28, 0.0181, 0)</f>
        <v>25.218499999999999</v>
      </c>
      <c r="C285" s="4">
        <f>24.8879 * CHOOSE(CONTROL!$C$9, $C$13, 100%, $E$13) + CHOOSE(CONTROL!$C$28, 0.0181, 0)</f>
        <v>24.905999999999999</v>
      </c>
      <c r="D285" s="4">
        <f>31.6133 * CHOOSE(CONTROL!$C$9, $C$13, 100%, $E$13) + CHOOSE(CONTROL!$C$28, 0, 0)</f>
        <v>31.613299999999999</v>
      </c>
      <c r="E285" s="4">
        <f>148.845727642303 * CHOOSE(CONTROL!$C$9, $C$13, 100%, $E$13) + CHOOSE(CONTROL!$C$28, 0, 0)</f>
        <v>148.84572764230299</v>
      </c>
    </row>
    <row r="286" spans="1:5" ht="15">
      <c r="A286" s="14">
        <v>50192</v>
      </c>
      <c r="B286" s="4">
        <f>25.2742 * CHOOSE(CONTROL!$C$9, $C$13, 100%, $E$13) + CHOOSE(CONTROL!$C$28, 0.0181, 0)</f>
        <v>25.292300000000001</v>
      </c>
      <c r="C286" s="4">
        <f>24.9617 * CHOOSE(CONTROL!$C$9, $C$13, 100%, $E$13) + CHOOSE(CONTROL!$C$28, 0.0181, 0)</f>
        <v>24.979800000000001</v>
      </c>
      <c r="D286" s="4">
        <f>31.8904 * CHOOSE(CONTROL!$C$9, $C$13, 100%, $E$13) + CHOOSE(CONTROL!$C$28, 0, 0)</f>
        <v>31.8904</v>
      </c>
      <c r="E286" s="4">
        <f>149.316695803899 * CHOOSE(CONTROL!$C$9, $C$13, 100%, $E$13) + CHOOSE(CONTROL!$C$28, 0, 0)</f>
        <v>149.31669580389899</v>
      </c>
    </row>
    <row r="287" spans="1:5" ht="15">
      <c r="A287" s="14">
        <v>50222</v>
      </c>
      <c r="B287" s="4">
        <f>25.2668 * CHOOSE(CONTROL!$C$9, $C$13, 100%, $E$13) + CHOOSE(CONTROL!$C$28, 0.0181, 0)</f>
        <v>25.2849</v>
      </c>
      <c r="C287" s="4">
        <f>24.9543 * CHOOSE(CONTROL!$C$9, $C$13, 100%, $E$13) + CHOOSE(CONTROL!$C$28, 0.0181, 0)</f>
        <v>24.9724</v>
      </c>
      <c r="D287" s="4">
        <f>32.3904 * CHOOSE(CONTROL!$C$9, $C$13, 100%, $E$13) + CHOOSE(CONTROL!$C$28, 0, 0)</f>
        <v>32.3904</v>
      </c>
      <c r="E287" s="4">
        <f>149.269203216175 * CHOOSE(CONTROL!$C$9, $C$13, 100%, $E$13) + CHOOSE(CONTROL!$C$28, 0, 0)</f>
        <v>149.26920321617499</v>
      </c>
    </row>
    <row r="288" spans="1:5" ht="15">
      <c r="A288" s="14">
        <v>50253</v>
      </c>
      <c r="B288" s="4">
        <f>25.8268 * CHOOSE(CONTROL!$C$9, $C$13, 100%, $E$13) + CHOOSE(CONTROL!$C$28, 0.0181, 0)</f>
        <v>25.844899999999999</v>
      </c>
      <c r="C288" s="4">
        <f>25.5143 * CHOOSE(CONTROL!$C$9, $C$13, 100%, $E$13) + CHOOSE(CONTROL!$C$28, 0.0181, 0)</f>
        <v>25.532399999999999</v>
      </c>
      <c r="D288" s="4">
        <f>32.0602 * CHOOSE(CONTROL!$C$9, $C$13, 100%, $E$13) + CHOOSE(CONTROL!$C$28, 0, 0)</f>
        <v>32.060200000000002</v>
      </c>
      <c r="E288" s="4">
        <f>152.843020442397 * CHOOSE(CONTROL!$C$9, $C$13, 100%, $E$13) + CHOOSE(CONTROL!$C$28, 0, 0)</f>
        <v>152.84302044239701</v>
      </c>
    </row>
    <row r="289" spans="1:5" ht="15">
      <c r="A289" s="14">
        <v>50284</v>
      </c>
      <c r="B289" s="4">
        <f>24.8723 * CHOOSE(CONTROL!$C$9, $C$13, 100%, $E$13) + CHOOSE(CONTROL!$C$28, 0.0181, 0)</f>
        <v>24.8904</v>
      </c>
      <c r="C289" s="4">
        <f>24.5598 * CHOOSE(CONTROL!$C$9, $C$13, 100%, $E$13) + CHOOSE(CONTROL!$C$28, 0.0181, 0)</f>
        <v>24.5779</v>
      </c>
      <c r="D289" s="4">
        <f>31.9042 * CHOOSE(CONTROL!$C$9, $C$13, 100%, $E$13) + CHOOSE(CONTROL!$C$28, 0, 0)</f>
        <v>31.904199999999999</v>
      </c>
      <c r="E289" s="4">
        <f>146.752096066809 * CHOOSE(CONTROL!$C$9, $C$13, 100%, $E$13) + CHOOSE(CONTROL!$C$28, 0, 0)</f>
        <v>146.752096066809</v>
      </c>
    </row>
    <row r="290" spans="1:5" ht="15">
      <c r="A290" s="14">
        <v>50314</v>
      </c>
      <c r="B290" s="4">
        <f>24.1082 * CHOOSE(CONTROL!$C$9, $C$13, 100%, $E$13) + CHOOSE(CONTROL!$C$28, 0.0003, 0)</f>
        <v>24.108499999999999</v>
      </c>
      <c r="C290" s="4">
        <f>23.7957 * CHOOSE(CONTROL!$C$9, $C$13, 100%, $E$13) + CHOOSE(CONTROL!$C$28, 0.0003, 0)</f>
        <v>23.795999999999999</v>
      </c>
      <c r="D290" s="4">
        <f>31.4865 * CHOOSE(CONTROL!$C$9, $C$13, 100%, $E$13) + CHOOSE(CONTROL!$C$28, 0, 0)</f>
        <v>31.486499999999999</v>
      </c>
      <c r="E290" s="4">
        <f>141.876190393823 * CHOOSE(CONTROL!$C$9, $C$13, 100%, $E$13) + CHOOSE(CONTROL!$C$28, 0, 0)</f>
        <v>141.87619039382301</v>
      </c>
    </row>
    <row r="291" spans="1:5" ht="15">
      <c r="A291" s="14">
        <v>50345</v>
      </c>
      <c r="B291" s="4">
        <f>23.6161 * CHOOSE(CONTROL!$C$9, $C$13, 100%, $E$13) + CHOOSE(CONTROL!$C$28, 0.0003, 0)</f>
        <v>23.616399999999999</v>
      </c>
      <c r="C291" s="4">
        <f>23.3036 * CHOOSE(CONTROL!$C$9, $C$13, 100%, $E$13) + CHOOSE(CONTROL!$C$28, 0.0003, 0)</f>
        <v>23.303899999999999</v>
      </c>
      <c r="D291" s="4">
        <f>31.3429 * CHOOSE(CONTROL!$C$9, $C$13, 100%, $E$13) + CHOOSE(CONTROL!$C$28, 0, 0)</f>
        <v>31.3429</v>
      </c>
      <c r="E291" s="4">
        <f>138.735743030581 * CHOOSE(CONTROL!$C$9, $C$13, 100%, $E$13) + CHOOSE(CONTROL!$C$28, 0, 0)</f>
        <v>138.73574303058101</v>
      </c>
    </row>
    <row r="292" spans="1:5" ht="15">
      <c r="A292" s="14">
        <v>50375</v>
      </c>
      <c r="B292" s="4">
        <f>23.2756 * CHOOSE(CONTROL!$C$9, $C$13, 100%, $E$13) + CHOOSE(CONTROL!$C$28, 0.0003, 0)</f>
        <v>23.2759</v>
      </c>
      <c r="C292" s="4">
        <f>22.9631 * CHOOSE(CONTROL!$C$9, $C$13, 100%, $E$13) + CHOOSE(CONTROL!$C$28, 0.0003, 0)</f>
        <v>22.9634</v>
      </c>
      <c r="D292" s="4">
        <f>30.2857 * CHOOSE(CONTROL!$C$9, $C$13, 100%, $E$13) + CHOOSE(CONTROL!$C$28, 0, 0)</f>
        <v>30.285699999999999</v>
      </c>
      <c r="E292" s="4">
        <f>136.562957142213 * CHOOSE(CONTROL!$C$9, $C$13, 100%, $E$13) + CHOOSE(CONTROL!$C$28, 0, 0)</f>
        <v>136.56295714221301</v>
      </c>
    </row>
    <row r="293" spans="1:5" ht="15">
      <c r="A293" s="13">
        <v>50436</v>
      </c>
      <c r="B293" s="4">
        <f>22.7223 * CHOOSE(CONTROL!$C$9, $C$13, 100%, $E$13) + CHOOSE(CONTROL!$C$28, 0.0003, 0)</f>
        <v>22.7226</v>
      </c>
      <c r="C293" s="4">
        <f>22.4098 * CHOOSE(CONTROL!$C$9, $C$13, 100%, $E$13) + CHOOSE(CONTROL!$C$28, 0.0003, 0)</f>
        <v>22.4101</v>
      </c>
      <c r="D293" s="4">
        <f>29.3141 * CHOOSE(CONTROL!$C$9, $C$13, 100%, $E$13) + CHOOSE(CONTROL!$C$28, 0, 0)</f>
        <v>29.3141</v>
      </c>
      <c r="E293" s="4">
        <f>132.646851931405 * CHOOSE(CONTROL!$C$9, $C$13, 100%, $E$13) + CHOOSE(CONTROL!$C$28, 0, 0)</f>
        <v>132.646851931405</v>
      </c>
    </row>
    <row r="294" spans="1:5" ht="15">
      <c r="A294" s="13">
        <v>50464</v>
      </c>
      <c r="B294" s="4">
        <f>23.2173 * CHOOSE(CONTROL!$C$9, $C$13, 100%, $E$13) + CHOOSE(CONTROL!$C$28, 0.0003, 0)</f>
        <v>23.217600000000001</v>
      </c>
      <c r="C294" s="4">
        <f>22.9048 * CHOOSE(CONTROL!$C$9, $C$13, 100%, $E$13) + CHOOSE(CONTROL!$C$28, 0.0003, 0)</f>
        <v>22.905100000000001</v>
      </c>
      <c r="D294" s="4">
        <f>30.2925 * CHOOSE(CONTROL!$C$9, $C$13, 100%, $E$13) + CHOOSE(CONTROL!$C$28, 0, 0)</f>
        <v>30.2925</v>
      </c>
      <c r="E294" s="4">
        <f>135.796410945487 * CHOOSE(CONTROL!$C$9, $C$13, 100%, $E$13) + CHOOSE(CONTROL!$C$28, 0, 0)</f>
        <v>135.796410945487</v>
      </c>
    </row>
    <row r="295" spans="1:5" ht="15">
      <c r="A295" s="13">
        <v>50495</v>
      </c>
      <c r="B295" s="4">
        <f>24.5172 * CHOOSE(CONTROL!$C$9, $C$13, 100%, $E$13) + CHOOSE(CONTROL!$C$28, 0.0003, 0)</f>
        <v>24.517499999999998</v>
      </c>
      <c r="C295" s="4">
        <f>24.2047 * CHOOSE(CONTROL!$C$9, $C$13, 100%, $E$13) + CHOOSE(CONTROL!$C$28, 0.0003, 0)</f>
        <v>24.204999999999998</v>
      </c>
      <c r="D295" s="4">
        <f>31.8242 * CHOOSE(CONTROL!$C$9, $C$13, 100%, $E$13) + CHOOSE(CONTROL!$C$28, 0, 0)</f>
        <v>31.824200000000001</v>
      </c>
      <c r="E295" s="4">
        <f>144.067320294199 * CHOOSE(CONTROL!$C$9, $C$13, 100%, $E$13) + CHOOSE(CONTROL!$C$28, 0, 0)</f>
        <v>144.06732029419899</v>
      </c>
    </row>
    <row r="296" spans="1:5" ht="15">
      <c r="A296" s="13">
        <v>50525</v>
      </c>
      <c r="B296" s="4">
        <f>25.4408 * CHOOSE(CONTROL!$C$9, $C$13, 100%, $E$13) + CHOOSE(CONTROL!$C$28, 0.0003, 0)</f>
        <v>25.441099999999999</v>
      </c>
      <c r="C296" s="4">
        <f>25.1283 * CHOOSE(CONTROL!$C$9, $C$13, 100%, $E$13) + CHOOSE(CONTROL!$C$28, 0.0003, 0)</f>
        <v>25.128599999999999</v>
      </c>
      <c r="D296" s="4">
        <f>32.7066 * CHOOSE(CONTROL!$C$9, $C$13, 100%, $E$13) + CHOOSE(CONTROL!$C$28, 0, 0)</f>
        <v>32.706600000000002</v>
      </c>
      <c r="E296" s="4">
        <f>149.943911610819 * CHOOSE(CONTROL!$C$9, $C$13, 100%, $E$13) + CHOOSE(CONTROL!$C$28, 0, 0)</f>
        <v>149.94391161081899</v>
      </c>
    </row>
    <row r="297" spans="1:5" ht="15">
      <c r="A297" s="13">
        <v>50556</v>
      </c>
      <c r="B297" s="4">
        <f>26.0051 * CHOOSE(CONTROL!$C$9, $C$13, 100%, $E$13) + CHOOSE(CONTROL!$C$28, 0.0181, 0)</f>
        <v>26.023199999999999</v>
      </c>
      <c r="C297" s="4">
        <f>25.6926 * CHOOSE(CONTROL!$C$9, $C$13, 100%, $E$13) + CHOOSE(CONTROL!$C$28, 0.0181, 0)</f>
        <v>25.710699999999999</v>
      </c>
      <c r="D297" s="4">
        <f>32.3579 * CHOOSE(CONTROL!$C$9, $C$13, 100%, $E$13) + CHOOSE(CONTROL!$C$28, 0, 0)</f>
        <v>32.357900000000001</v>
      </c>
      <c r="E297" s="4">
        <f>153.534368063036 * CHOOSE(CONTROL!$C$9, $C$13, 100%, $E$13) + CHOOSE(CONTROL!$C$28, 0, 0)</f>
        <v>153.534368063036</v>
      </c>
    </row>
    <row r="298" spans="1:5" ht="15">
      <c r="A298" s="13">
        <v>50586</v>
      </c>
      <c r="B298" s="4">
        <f>26.0815 * CHOOSE(CONTROL!$C$9, $C$13, 100%, $E$13) + CHOOSE(CONTROL!$C$28, 0.0181, 0)</f>
        <v>26.099599999999999</v>
      </c>
      <c r="C298" s="4">
        <f>25.769 * CHOOSE(CONTROL!$C$9, $C$13, 100%, $E$13) + CHOOSE(CONTROL!$C$28, 0.0181, 0)</f>
        <v>25.787099999999999</v>
      </c>
      <c r="D298" s="4">
        <f>32.6418 * CHOOSE(CONTROL!$C$9, $C$13, 100%, $E$13) + CHOOSE(CONTROL!$C$28, 0, 0)</f>
        <v>32.641800000000003</v>
      </c>
      <c r="E298" s="4">
        <f>154.020171721721 * CHOOSE(CONTROL!$C$9, $C$13, 100%, $E$13) + CHOOSE(CONTROL!$C$28, 0, 0)</f>
        <v>154.020171721721</v>
      </c>
    </row>
    <row r="299" spans="1:5" ht="15">
      <c r="A299" s="13">
        <v>50617</v>
      </c>
      <c r="B299" s="4">
        <f>26.0738 * CHOOSE(CONTROL!$C$9, $C$13, 100%, $E$13) + CHOOSE(CONTROL!$C$28, 0.0181, 0)</f>
        <v>26.091899999999999</v>
      </c>
      <c r="C299" s="4">
        <f>25.7613 * CHOOSE(CONTROL!$C$9, $C$13, 100%, $E$13) + CHOOSE(CONTROL!$C$28, 0.0181, 0)</f>
        <v>25.779399999999999</v>
      </c>
      <c r="D299" s="4">
        <f>33.1542 * CHOOSE(CONTROL!$C$9, $C$13, 100%, $E$13) + CHOOSE(CONTROL!$C$28, 0, 0)</f>
        <v>33.154200000000003</v>
      </c>
      <c r="E299" s="4">
        <f>153.971183117484 * CHOOSE(CONTROL!$C$9, $C$13, 100%, $E$13) + CHOOSE(CONTROL!$C$28, 0, 0)</f>
        <v>153.971183117484</v>
      </c>
    </row>
    <row r="300" spans="1:5" ht="15">
      <c r="A300" s="13">
        <v>50648</v>
      </c>
      <c r="B300" s="4">
        <f>26.6531 * CHOOSE(CONTROL!$C$9, $C$13, 100%, $E$13) + CHOOSE(CONTROL!$C$28, 0.0181, 0)</f>
        <v>26.671199999999999</v>
      </c>
      <c r="C300" s="4">
        <f>26.3406 * CHOOSE(CONTROL!$C$9, $C$13, 100%, $E$13) + CHOOSE(CONTROL!$C$28, 0.0181, 0)</f>
        <v>26.358699999999999</v>
      </c>
      <c r="D300" s="4">
        <f>32.8158 * CHOOSE(CONTROL!$C$9, $C$13, 100%, $E$13) + CHOOSE(CONTROL!$C$28, 0, 0)</f>
        <v>32.815800000000003</v>
      </c>
      <c r="E300" s="4">
        <f>157.657575586333 * CHOOSE(CONTROL!$C$9, $C$13, 100%, $E$13) + CHOOSE(CONTROL!$C$28, 0, 0)</f>
        <v>157.657575586333</v>
      </c>
    </row>
    <row r="301" spans="1:5" ht="15">
      <c r="A301" s="13">
        <v>50678</v>
      </c>
      <c r="B301" s="4">
        <f>25.6657 * CHOOSE(CONTROL!$C$9, $C$13, 100%, $E$13) + CHOOSE(CONTROL!$C$28, 0.0181, 0)</f>
        <v>25.683800000000002</v>
      </c>
      <c r="C301" s="4">
        <f>25.3532 * CHOOSE(CONTROL!$C$9, $C$13, 100%, $E$13) + CHOOSE(CONTROL!$C$28, 0.0181, 0)</f>
        <v>25.371300000000002</v>
      </c>
      <c r="D301" s="4">
        <f>32.656 * CHOOSE(CONTROL!$C$9, $C$13, 100%, $E$13) + CHOOSE(CONTROL!$C$28, 0, 0)</f>
        <v>32.655999999999999</v>
      </c>
      <c r="E301" s="4">
        <f>151.374787092913 * CHOOSE(CONTROL!$C$9, $C$13, 100%, $E$13) + CHOOSE(CONTROL!$C$28, 0, 0)</f>
        <v>151.37478709291301</v>
      </c>
    </row>
    <row r="302" spans="1:5" ht="15">
      <c r="A302" s="13">
        <v>50709</v>
      </c>
      <c r="B302" s="4">
        <f>24.8753 * CHOOSE(CONTROL!$C$9, $C$13, 100%, $E$13) + CHOOSE(CONTROL!$C$28, 0.0003, 0)</f>
        <v>24.875599999999999</v>
      </c>
      <c r="C302" s="4">
        <f>24.5628 * CHOOSE(CONTROL!$C$9, $C$13, 100%, $E$13) + CHOOSE(CONTROL!$C$28, 0.0003, 0)</f>
        <v>24.563099999999999</v>
      </c>
      <c r="D302" s="4">
        <f>32.2279 * CHOOSE(CONTROL!$C$9, $C$13, 100%, $E$13) + CHOOSE(CONTROL!$C$28, 0, 0)</f>
        <v>32.227899999999998</v>
      </c>
      <c r="E302" s="4">
        <f>146.345290391228 * CHOOSE(CONTROL!$C$9, $C$13, 100%, $E$13) + CHOOSE(CONTROL!$C$28, 0, 0)</f>
        <v>146.34529039122799</v>
      </c>
    </row>
    <row r="303" spans="1:5" ht="15">
      <c r="A303" s="13">
        <v>50739</v>
      </c>
      <c r="B303" s="4">
        <f>24.3661 * CHOOSE(CONTROL!$C$9, $C$13, 100%, $E$13) + CHOOSE(CONTROL!$C$28, 0.0003, 0)</f>
        <v>24.366399999999999</v>
      </c>
      <c r="C303" s="4">
        <f>24.0536 * CHOOSE(CONTROL!$C$9, $C$13, 100%, $E$13) + CHOOSE(CONTROL!$C$28, 0.0003, 0)</f>
        <v>24.053899999999999</v>
      </c>
      <c r="D303" s="4">
        <f>32.0808 * CHOOSE(CONTROL!$C$9, $C$13, 100%, $E$13) + CHOOSE(CONTROL!$C$28, 0, 0)</f>
        <v>32.080800000000004</v>
      </c>
      <c r="E303" s="4">
        <f>143.105918936044 * CHOOSE(CONTROL!$C$9, $C$13, 100%, $E$13) + CHOOSE(CONTROL!$C$28, 0, 0)</f>
        <v>143.10591893604399</v>
      </c>
    </row>
    <row r="304" spans="1:5" ht="15">
      <c r="A304" s="13">
        <v>50770</v>
      </c>
      <c r="B304" s="4">
        <f>24.0139 * CHOOSE(CONTROL!$C$9, $C$13, 100%, $E$13) + CHOOSE(CONTROL!$C$28, 0.0003, 0)</f>
        <v>24.014199999999999</v>
      </c>
      <c r="C304" s="4">
        <f>23.7014 * CHOOSE(CONTROL!$C$9, $C$13, 100%, $E$13) + CHOOSE(CONTROL!$C$28, 0.0003, 0)</f>
        <v>23.701699999999999</v>
      </c>
      <c r="D304" s="4">
        <f>30.9974 * CHOOSE(CONTROL!$C$9, $C$13, 100%, $E$13) + CHOOSE(CONTROL!$C$28, 0, 0)</f>
        <v>30.997399999999999</v>
      </c>
      <c r="E304" s="4">
        <f>140.864690292193 * CHOOSE(CONTROL!$C$9, $C$13, 100%, $E$13) + CHOOSE(CONTROL!$C$28, 0, 0)</f>
        <v>140.86469029219299</v>
      </c>
    </row>
    <row r="305" spans="1:5" ht="15">
      <c r="A305" s="13">
        <v>50801</v>
      </c>
      <c r="B305" s="4">
        <f>23.4416 * CHOOSE(CONTROL!$C$9, $C$13, 100%, $E$13) + CHOOSE(CONTROL!$C$28, 0.0003, 0)</f>
        <v>23.4419</v>
      </c>
      <c r="C305" s="4">
        <f>23.1291 * CHOOSE(CONTROL!$C$9, $C$13, 100%, $E$13) + CHOOSE(CONTROL!$C$28, 0.0003, 0)</f>
        <v>23.1294</v>
      </c>
      <c r="D305" s="4">
        <f>30.0016 * CHOOSE(CONTROL!$C$9, $C$13, 100%, $E$13) + CHOOSE(CONTROL!$C$28, 0, 0)</f>
        <v>30.0016</v>
      </c>
      <c r="E305" s="4">
        <f>136.825227767244 * CHOOSE(CONTROL!$C$9, $C$13, 100%, $E$13) + CHOOSE(CONTROL!$C$28, 0, 0)</f>
        <v>136.825227767244</v>
      </c>
    </row>
    <row r="306" spans="1:5" ht="15">
      <c r="A306" s="13">
        <v>50829</v>
      </c>
      <c r="B306" s="4">
        <f>23.9537 * CHOOSE(CONTROL!$C$9, $C$13, 100%, $E$13) + CHOOSE(CONTROL!$C$28, 0.0003, 0)</f>
        <v>23.954000000000001</v>
      </c>
      <c r="C306" s="4">
        <f>23.6412 * CHOOSE(CONTROL!$C$9, $C$13, 100%, $E$13) + CHOOSE(CONTROL!$C$28, 0.0003, 0)</f>
        <v>23.641500000000001</v>
      </c>
      <c r="D306" s="4">
        <f>31.0043 * CHOOSE(CONTROL!$C$9, $C$13, 100%, $E$13) + CHOOSE(CONTROL!$C$28, 0, 0)</f>
        <v>31.004300000000001</v>
      </c>
      <c r="E306" s="4">
        <f>140.07399789027 * CHOOSE(CONTROL!$C$9, $C$13, 100%, $E$13) + CHOOSE(CONTROL!$C$28, 0, 0)</f>
        <v>140.07399789026999</v>
      </c>
    </row>
    <row r="307" spans="1:5" ht="15">
      <c r="A307" s="13">
        <v>50860</v>
      </c>
      <c r="B307" s="4">
        <f>25.2984 * CHOOSE(CONTROL!$C$9, $C$13, 100%, $E$13) + CHOOSE(CONTROL!$C$28, 0.0003, 0)</f>
        <v>25.2987</v>
      </c>
      <c r="C307" s="4">
        <f>24.9859 * CHOOSE(CONTROL!$C$9, $C$13, 100%, $E$13) + CHOOSE(CONTROL!$C$28, 0.0003, 0)</f>
        <v>24.9862</v>
      </c>
      <c r="D307" s="4">
        <f>32.574 * CHOOSE(CONTROL!$C$9, $C$13, 100%, $E$13) + CHOOSE(CONTROL!$C$28, 0, 0)</f>
        <v>32.573999999999998</v>
      </c>
      <c r="E307" s="4">
        <f>148.605440883466 * CHOOSE(CONTROL!$C$9, $C$13, 100%, $E$13) + CHOOSE(CONTROL!$C$28, 0, 0)</f>
        <v>148.605440883466</v>
      </c>
    </row>
    <row r="308" spans="1:5" ht="15">
      <c r="A308" s="13">
        <v>50890</v>
      </c>
      <c r="B308" s="4">
        <f>26.2538 * CHOOSE(CONTROL!$C$9, $C$13, 100%, $E$13) + CHOOSE(CONTROL!$C$28, 0.0003, 0)</f>
        <v>26.254099999999998</v>
      </c>
      <c r="C308" s="4">
        <f>25.9413 * CHOOSE(CONTROL!$C$9, $C$13, 100%, $E$13) + CHOOSE(CONTROL!$C$28, 0.0003, 0)</f>
        <v>25.941599999999998</v>
      </c>
      <c r="D308" s="4">
        <f>33.4782 * CHOOSE(CONTROL!$C$9, $C$13, 100%, $E$13) + CHOOSE(CONTROL!$C$28, 0, 0)</f>
        <v>33.478200000000001</v>
      </c>
      <c r="E308" s="4">
        <f>154.667144826559 * CHOOSE(CONTROL!$C$9, $C$13, 100%, $E$13) + CHOOSE(CONTROL!$C$28, 0, 0)</f>
        <v>154.667144826559</v>
      </c>
    </row>
    <row r="309" spans="1:5" ht="15">
      <c r="A309" s="13">
        <v>50921</v>
      </c>
      <c r="B309" s="4">
        <f>26.8376 * CHOOSE(CONTROL!$C$9, $C$13, 100%, $E$13) + CHOOSE(CONTROL!$C$28, 0.0181, 0)</f>
        <v>26.855699999999999</v>
      </c>
      <c r="C309" s="4">
        <f>26.5251 * CHOOSE(CONTROL!$C$9, $C$13, 100%, $E$13) + CHOOSE(CONTROL!$C$28, 0.0181, 0)</f>
        <v>26.543199999999999</v>
      </c>
      <c r="D309" s="4">
        <f>33.1209 * CHOOSE(CONTROL!$C$9, $C$13, 100%, $E$13) + CHOOSE(CONTROL!$C$28, 0, 0)</f>
        <v>33.120899999999999</v>
      </c>
      <c r="E309" s="4">
        <f>158.370700657022 * CHOOSE(CONTROL!$C$9, $C$13, 100%, $E$13) + CHOOSE(CONTROL!$C$28, 0, 0)</f>
        <v>158.37070065702201</v>
      </c>
    </row>
    <row r="310" spans="1:5" ht="15">
      <c r="A310" s="13">
        <v>50951</v>
      </c>
      <c r="B310" s="4">
        <f>26.9166 * CHOOSE(CONTROL!$C$9, $C$13, 100%, $E$13) + CHOOSE(CONTROL!$C$28, 0.0181, 0)</f>
        <v>26.934699999999999</v>
      </c>
      <c r="C310" s="4">
        <f>26.6041 * CHOOSE(CONTROL!$C$9, $C$13, 100%, $E$13) + CHOOSE(CONTROL!$C$28, 0.0181, 0)</f>
        <v>26.622199999999999</v>
      </c>
      <c r="D310" s="4">
        <f>33.4119 * CHOOSE(CONTROL!$C$9, $C$13, 100%, $E$13) + CHOOSE(CONTROL!$C$28, 0, 0)</f>
        <v>33.411900000000003</v>
      </c>
      <c r="E310" s="4">
        <f>158.871807130956 * CHOOSE(CONTROL!$C$9, $C$13, 100%, $E$13) + CHOOSE(CONTROL!$C$28, 0, 0)</f>
        <v>158.871807130956</v>
      </c>
    </row>
    <row r="311" spans="1:5" ht="15">
      <c r="A311" s="13">
        <v>50982</v>
      </c>
      <c r="B311" s="4">
        <f>26.9086 * CHOOSE(CONTROL!$C$9, $C$13, 100%, $E$13) + CHOOSE(CONTROL!$C$28, 0.0181, 0)</f>
        <v>26.9267</v>
      </c>
      <c r="C311" s="4">
        <f>26.5961 * CHOOSE(CONTROL!$C$9, $C$13, 100%, $E$13) + CHOOSE(CONTROL!$C$28, 0.0181, 0)</f>
        <v>26.6142</v>
      </c>
      <c r="D311" s="4">
        <f>33.937 * CHOOSE(CONTROL!$C$9, $C$13, 100%, $E$13) + CHOOSE(CONTROL!$C$28, 0, 0)</f>
        <v>33.936999999999998</v>
      </c>
      <c r="E311" s="4">
        <f>158.821275385685 * CHOOSE(CONTROL!$C$9, $C$13, 100%, $E$13) + CHOOSE(CONTROL!$C$28, 0, 0)</f>
        <v>158.821275385685</v>
      </c>
    </row>
    <row r="312" spans="1:5" ht="15">
      <c r="A312" s="13">
        <v>51013</v>
      </c>
      <c r="B312" s="4">
        <f>27.508 * CHOOSE(CONTROL!$C$9, $C$13, 100%, $E$13) + CHOOSE(CONTROL!$C$28, 0.0181, 0)</f>
        <v>27.5261</v>
      </c>
      <c r="C312" s="4">
        <f>27.1955 * CHOOSE(CONTROL!$C$9, $C$13, 100%, $E$13) + CHOOSE(CONTROL!$C$28, 0.0181, 0)</f>
        <v>27.2136</v>
      </c>
      <c r="D312" s="4">
        <f>33.5902 * CHOOSE(CONTROL!$C$9, $C$13, 100%, $E$13) + CHOOSE(CONTROL!$C$28, 0, 0)</f>
        <v>33.590200000000003</v>
      </c>
      <c r="E312" s="4">
        <f>162.623789217302 * CHOOSE(CONTROL!$C$9, $C$13, 100%, $E$13) + CHOOSE(CONTROL!$C$28, 0, 0)</f>
        <v>162.623789217302</v>
      </c>
    </row>
    <row r="313" spans="1:5" ht="15">
      <c r="A313" s="13">
        <v>51043</v>
      </c>
      <c r="B313" s="4">
        <f>26.4865 * CHOOSE(CONTROL!$C$9, $C$13, 100%, $E$13) + CHOOSE(CONTROL!$C$28, 0.0181, 0)</f>
        <v>26.5046</v>
      </c>
      <c r="C313" s="4">
        <f>26.174 * CHOOSE(CONTROL!$C$9, $C$13, 100%, $E$13) + CHOOSE(CONTROL!$C$28, 0.0181, 0)</f>
        <v>26.1921</v>
      </c>
      <c r="D313" s="4">
        <f>33.4264 * CHOOSE(CONTROL!$C$9, $C$13, 100%, $E$13) + CHOOSE(CONTROL!$C$28, 0, 0)</f>
        <v>33.426400000000001</v>
      </c>
      <c r="E313" s="4">
        <f>156.14309288634 * CHOOSE(CONTROL!$C$9, $C$13, 100%, $E$13) + CHOOSE(CONTROL!$C$28, 0, 0)</f>
        <v>156.14309288634001</v>
      </c>
    </row>
    <row r="314" spans="1:5" ht="15">
      <c r="A314" s="13">
        <v>51074</v>
      </c>
      <c r="B314" s="4">
        <f>25.6688 * CHOOSE(CONTROL!$C$9, $C$13, 100%, $E$13) + CHOOSE(CONTROL!$C$28, 0.0003, 0)</f>
        <v>25.6691</v>
      </c>
      <c r="C314" s="4">
        <f>25.3563 * CHOOSE(CONTROL!$C$9, $C$13, 100%, $E$13) + CHOOSE(CONTROL!$C$28, 0.0003, 0)</f>
        <v>25.3566</v>
      </c>
      <c r="D314" s="4">
        <f>32.9877 * CHOOSE(CONTROL!$C$9, $C$13, 100%, $E$13) + CHOOSE(CONTROL!$C$28, 0, 0)</f>
        <v>32.987699999999997</v>
      </c>
      <c r="E314" s="4">
        <f>150.955167038552 * CHOOSE(CONTROL!$C$9, $C$13, 100%, $E$13) + CHOOSE(CONTROL!$C$28, 0, 0)</f>
        <v>150.95516703855199</v>
      </c>
    </row>
    <row r="315" spans="1:5" ht="15">
      <c r="A315" s="13">
        <v>51104</v>
      </c>
      <c r="B315" s="4">
        <f>25.1421 * CHOOSE(CONTROL!$C$9, $C$13, 100%, $E$13) + CHOOSE(CONTROL!$C$28, 0.0003, 0)</f>
        <v>25.142399999999999</v>
      </c>
      <c r="C315" s="4">
        <f>24.8296 * CHOOSE(CONTROL!$C$9, $C$13, 100%, $E$13) + CHOOSE(CONTROL!$C$28, 0.0003, 0)</f>
        <v>24.829899999999999</v>
      </c>
      <c r="D315" s="4">
        <f>32.8369 * CHOOSE(CONTROL!$C$9, $C$13, 100%, $E$13) + CHOOSE(CONTROL!$C$28, 0, 0)</f>
        <v>32.8369</v>
      </c>
      <c r="E315" s="4">
        <f>147.61375538253 * CHOOSE(CONTROL!$C$9, $C$13, 100%, $E$13) + CHOOSE(CONTROL!$C$28, 0, 0)</f>
        <v>147.61375538253</v>
      </c>
    </row>
    <row r="316" spans="1:5" ht="15">
      <c r="A316" s="13">
        <v>51135</v>
      </c>
      <c r="B316" s="4">
        <f>24.7777 * CHOOSE(CONTROL!$C$9, $C$13, 100%, $E$13) + CHOOSE(CONTROL!$C$28, 0.0003, 0)</f>
        <v>24.777999999999999</v>
      </c>
      <c r="C316" s="4">
        <f>24.4652 * CHOOSE(CONTROL!$C$9, $C$13, 100%, $E$13) + CHOOSE(CONTROL!$C$28, 0.0003, 0)</f>
        <v>24.465499999999999</v>
      </c>
      <c r="D316" s="4">
        <f>31.7266 * CHOOSE(CONTROL!$C$9, $C$13, 100%, $E$13) + CHOOSE(CONTROL!$C$28, 0, 0)</f>
        <v>31.726600000000001</v>
      </c>
      <c r="E316" s="4">
        <f>145.301928036397 * CHOOSE(CONTROL!$C$9, $C$13, 100%, $E$13) + CHOOSE(CONTROL!$C$28, 0, 0)</f>
        <v>145.30192803639699</v>
      </c>
    </row>
    <row r="317" spans="1:5" ht="15">
      <c r="A317" s="13">
        <v>51166</v>
      </c>
      <c r="B317" s="4">
        <f>24.1856 * CHOOSE(CONTROL!$C$9, $C$13, 100%, $E$13) + CHOOSE(CONTROL!$C$28, 0.0003, 0)</f>
        <v>24.1859</v>
      </c>
      <c r="C317" s="4">
        <f>23.8731 * CHOOSE(CONTROL!$C$9, $C$13, 100%, $E$13) + CHOOSE(CONTROL!$C$28, 0.0003, 0)</f>
        <v>23.8734</v>
      </c>
      <c r="D317" s="4">
        <f>30.7062 * CHOOSE(CONTROL!$C$9, $C$13, 100%, $E$13) + CHOOSE(CONTROL!$C$28, 0, 0)</f>
        <v>30.706199999999999</v>
      </c>
      <c r="E317" s="4">
        <f>141.135222441912 * CHOOSE(CONTROL!$C$9, $C$13, 100%, $E$13) + CHOOSE(CONTROL!$C$28, 0, 0)</f>
        <v>141.13522244191199</v>
      </c>
    </row>
    <row r="318" spans="1:5" ht="15">
      <c r="A318" s="13">
        <v>51194</v>
      </c>
      <c r="B318" s="4">
        <f>24.7154 * CHOOSE(CONTROL!$C$9, $C$13, 100%, $E$13) + CHOOSE(CONTROL!$C$28, 0.0003, 0)</f>
        <v>24.715699999999998</v>
      </c>
      <c r="C318" s="4">
        <f>24.4029 * CHOOSE(CONTROL!$C$9, $C$13, 100%, $E$13) + CHOOSE(CONTROL!$C$28, 0.0003, 0)</f>
        <v>24.403199999999998</v>
      </c>
      <c r="D318" s="4">
        <f>31.7338 * CHOOSE(CONTROL!$C$9, $C$13, 100%, $E$13) + CHOOSE(CONTROL!$C$28, 0, 0)</f>
        <v>31.733799999999999</v>
      </c>
      <c r="E318" s="4">
        <f>144.486328823814 * CHOOSE(CONTROL!$C$9, $C$13, 100%, $E$13) + CHOOSE(CONTROL!$C$28, 0, 0)</f>
        <v>144.48632882381401</v>
      </c>
    </row>
    <row r="319" spans="1:5" ht="15">
      <c r="A319" s="13">
        <v>51226</v>
      </c>
      <c r="B319" s="4">
        <f>26.1065 * CHOOSE(CONTROL!$C$9, $C$13, 100%, $E$13) + CHOOSE(CONTROL!$C$28, 0.0003, 0)</f>
        <v>26.1068</v>
      </c>
      <c r="C319" s="4">
        <f>25.794 * CHOOSE(CONTROL!$C$9, $C$13, 100%, $E$13) + CHOOSE(CONTROL!$C$28, 0.0003, 0)</f>
        <v>25.7943</v>
      </c>
      <c r="D319" s="4">
        <f>33.3424 * CHOOSE(CONTROL!$C$9, $C$13, 100%, $E$13) + CHOOSE(CONTROL!$C$28, 0, 0)</f>
        <v>33.342399999999998</v>
      </c>
      <c r="E319" s="4">
        <f>153.286512271296 * CHOOSE(CONTROL!$C$9, $C$13, 100%, $E$13) + CHOOSE(CONTROL!$C$28, 0, 0)</f>
        <v>153.286512271296</v>
      </c>
    </row>
    <row r="320" spans="1:5" ht="15">
      <c r="A320" s="13">
        <v>51256</v>
      </c>
      <c r="B320" s="4">
        <f>27.0949 * CHOOSE(CONTROL!$C$9, $C$13, 100%, $E$13) + CHOOSE(CONTROL!$C$28, 0.0003, 0)</f>
        <v>27.095199999999998</v>
      </c>
      <c r="C320" s="4">
        <f>26.7824 * CHOOSE(CONTROL!$C$9, $C$13, 100%, $E$13) + CHOOSE(CONTROL!$C$28, 0.0003, 0)</f>
        <v>26.782699999999998</v>
      </c>
      <c r="D320" s="4">
        <f>34.269 * CHOOSE(CONTROL!$C$9, $C$13, 100%, $E$13) + CHOOSE(CONTROL!$C$28, 0, 0)</f>
        <v>34.268999999999998</v>
      </c>
      <c r="E320" s="4">
        <f>159.539159888596 * CHOOSE(CONTROL!$C$9, $C$13, 100%, $E$13) + CHOOSE(CONTROL!$C$28, 0, 0)</f>
        <v>159.539159888596</v>
      </c>
    </row>
    <row r="321" spans="1:5" ht="15">
      <c r="A321" s="13">
        <v>51287</v>
      </c>
      <c r="B321" s="4">
        <f>27.6988 * CHOOSE(CONTROL!$C$9, $C$13, 100%, $E$13) + CHOOSE(CONTROL!$C$28, 0.0181, 0)</f>
        <v>27.716899999999999</v>
      </c>
      <c r="C321" s="4">
        <f>27.3863 * CHOOSE(CONTROL!$C$9, $C$13, 100%, $E$13) + CHOOSE(CONTROL!$C$28, 0.0181, 0)</f>
        <v>27.404399999999999</v>
      </c>
      <c r="D321" s="4">
        <f>33.9029 * CHOOSE(CONTROL!$C$9, $C$13, 100%, $E$13) + CHOOSE(CONTROL!$C$28, 0, 0)</f>
        <v>33.902900000000002</v>
      </c>
      <c r="E321" s="4">
        <f>163.359377727718 * CHOOSE(CONTROL!$C$9, $C$13, 100%, $E$13) + CHOOSE(CONTROL!$C$28, 0, 0)</f>
        <v>163.359377727718</v>
      </c>
    </row>
    <row r="322" spans="1:5" ht="15">
      <c r="A322" s="13">
        <v>51317</v>
      </c>
      <c r="B322" s="4">
        <f>27.7805 * CHOOSE(CONTROL!$C$9, $C$13, 100%, $E$13) + CHOOSE(CONTROL!$C$28, 0.0181, 0)</f>
        <v>27.7986</v>
      </c>
      <c r="C322" s="4">
        <f>27.468 * CHOOSE(CONTROL!$C$9, $C$13, 100%, $E$13) + CHOOSE(CONTROL!$C$28, 0.0181, 0)</f>
        <v>27.4861</v>
      </c>
      <c r="D322" s="4">
        <f>34.2011 * CHOOSE(CONTROL!$C$9, $C$13, 100%, $E$13) + CHOOSE(CONTROL!$C$28, 0, 0)</f>
        <v>34.201099999999997</v>
      </c>
      <c r="E322" s="4">
        <f>163.876269055581 * CHOOSE(CONTROL!$C$9, $C$13, 100%, $E$13) + CHOOSE(CONTROL!$C$28, 0, 0)</f>
        <v>163.87626905558099</v>
      </c>
    </row>
    <row r="323" spans="1:5" ht="15">
      <c r="A323" s="13">
        <v>51348</v>
      </c>
      <c r="B323" s="4">
        <f>27.7723 * CHOOSE(CONTROL!$C$9, $C$13, 100%, $E$13) + CHOOSE(CONTROL!$C$28, 0.0181, 0)</f>
        <v>27.790400000000002</v>
      </c>
      <c r="C323" s="4">
        <f>27.4598 * CHOOSE(CONTROL!$C$9, $C$13, 100%, $E$13) + CHOOSE(CONTROL!$C$28, 0.0181, 0)</f>
        <v>27.477900000000002</v>
      </c>
      <c r="D323" s="4">
        <f>34.7391 * CHOOSE(CONTROL!$C$9, $C$13, 100%, $E$13) + CHOOSE(CONTROL!$C$28, 0, 0)</f>
        <v>34.739100000000001</v>
      </c>
      <c r="E323" s="4">
        <f>163.824145560334 * CHOOSE(CONTROL!$C$9, $C$13, 100%, $E$13) + CHOOSE(CONTROL!$C$28, 0, 0)</f>
        <v>163.82414556033399</v>
      </c>
    </row>
    <row r="324" spans="1:5" ht="15">
      <c r="A324" s="13">
        <v>51379</v>
      </c>
      <c r="B324" s="4">
        <f>28.3923 * CHOOSE(CONTROL!$C$9, $C$13, 100%, $E$13) + CHOOSE(CONTROL!$C$28, 0.0181, 0)</f>
        <v>28.410399999999999</v>
      </c>
      <c r="C324" s="4">
        <f>28.0798 * CHOOSE(CONTROL!$C$9, $C$13, 100%, $E$13) + CHOOSE(CONTROL!$C$28, 0.0181, 0)</f>
        <v>28.097899999999999</v>
      </c>
      <c r="D324" s="4">
        <f>34.3838 * CHOOSE(CONTROL!$C$9, $C$13, 100%, $E$13) + CHOOSE(CONTROL!$C$28, 0, 0)</f>
        <v>34.383800000000001</v>
      </c>
      <c r="E324" s="4">
        <f>167.746438577647 * CHOOSE(CONTROL!$C$9, $C$13, 100%, $E$13) + CHOOSE(CONTROL!$C$28, 0, 0)</f>
        <v>167.74643857764701</v>
      </c>
    </row>
    <row r="325" spans="1:5" ht="15">
      <c r="A325" s="13">
        <v>51409</v>
      </c>
      <c r="B325" s="4">
        <f>27.3356 * CHOOSE(CONTROL!$C$9, $C$13, 100%, $E$13) + CHOOSE(CONTROL!$C$28, 0.0181, 0)</f>
        <v>27.3537</v>
      </c>
      <c r="C325" s="4">
        <f>27.0231 * CHOOSE(CONTROL!$C$9, $C$13, 100%, $E$13) + CHOOSE(CONTROL!$C$28, 0.0181, 0)</f>
        <v>27.0412</v>
      </c>
      <c r="D325" s="4">
        <f>34.2159 * CHOOSE(CONTROL!$C$9, $C$13, 100%, $E$13) + CHOOSE(CONTROL!$C$28, 0, 0)</f>
        <v>34.215899999999998</v>
      </c>
      <c r="E325" s="4">
        <f>161.06160031226 * CHOOSE(CONTROL!$C$9, $C$13, 100%, $E$13) + CHOOSE(CONTROL!$C$28, 0, 0)</f>
        <v>161.06160031226</v>
      </c>
    </row>
    <row r="326" spans="1:5" ht="15">
      <c r="A326" s="13">
        <v>51440</v>
      </c>
      <c r="B326" s="4">
        <f>26.4896 * CHOOSE(CONTROL!$C$9, $C$13, 100%, $E$13) + CHOOSE(CONTROL!$C$28, 0.0003, 0)</f>
        <v>26.489899999999999</v>
      </c>
      <c r="C326" s="4">
        <f>26.1771 * CHOOSE(CONTROL!$C$9, $C$13, 100%, $E$13) + CHOOSE(CONTROL!$C$28, 0.0003, 0)</f>
        <v>26.177399999999999</v>
      </c>
      <c r="D326" s="4">
        <f>33.7664 * CHOOSE(CONTROL!$C$9, $C$13, 100%, $E$13) + CHOOSE(CONTROL!$C$28, 0, 0)</f>
        <v>33.766399999999997</v>
      </c>
      <c r="E326" s="4">
        <f>155.710254800267 * CHOOSE(CONTROL!$C$9, $C$13, 100%, $E$13) + CHOOSE(CONTROL!$C$28, 0, 0)</f>
        <v>155.71025480026699</v>
      </c>
    </row>
    <row r="327" spans="1:5" ht="15">
      <c r="A327" s="13">
        <v>51470</v>
      </c>
      <c r="B327" s="4">
        <f>25.9448 * CHOOSE(CONTROL!$C$9, $C$13, 100%, $E$13) + CHOOSE(CONTROL!$C$28, 0.0003, 0)</f>
        <v>25.9451</v>
      </c>
      <c r="C327" s="4">
        <f>25.6323 * CHOOSE(CONTROL!$C$9, $C$13, 100%, $E$13) + CHOOSE(CONTROL!$C$28, 0.0003, 0)</f>
        <v>25.6326</v>
      </c>
      <c r="D327" s="4">
        <f>33.6118 * CHOOSE(CONTROL!$C$9, $C$13, 100%, $E$13) + CHOOSE(CONTROL!$C$28, 0, 0)</f>
        <v>33.611800000000002</v>
      </c>
      <c r="E327" s="4">
        <f>152.263588677079 * CHOOSE(CONTROL!$C$9, $C$13, 100%, $E$13) + CHOOSE(CONTROL!$C$28, 0, 0)</f>
        <v>152.26358867707901</v>
      </c>
    </row>
    <row r="328" spans="1:5" ht="15">
      <c r="A328" s="13">
        <v>51501</v>
      </c>
      <c r="B328" s="4">
        <f>25.5678 * CHOOSE(CONTROL!$C$9, $C$13, 100%, $E$13) + CHOOSE(CONTROL!$C$28, 0.0003, 0)</f>
        <v>25.568099999999998</v>
      </c>
      <c r="C328" s="4">
        <f>25.2553 * CHOOSE(CONTROL!$C$9, $C$13, 100%, $E$13) + CHOOSE(CONTROL!$C$28, 0.0003, 0)</f>
        <v>25.255599999999998</v>
      </c>
      <c r="D328" s="4">
        <f>32.474 * CHOOSE(CONTROL!$C$9, $C$13, 100%, $E$13) + CHOOSE(CONTROL!$C$28, 0, 0)</f>
        <v>32.473999999999997</v>
      </c>
      <c r="E328" s="4">
        <f>149.878938769544 * CHOOSE(CONTROL!$C$9, $C$13, 100%, $E$13) + CHOOSE(CONTROL!$C$28, 0, 0)</f>
        <v>149.87893876954399</v>
      </c>
    </row>
    <row r="329" spans="1:5" ht="15">
      <c r="A329" s="13">
        <v>51532</v>
      </c>
      <c r="B329" s="4">
        <f>24.9553 * CHOOSE(CONTROL!$C$9, $C$13, 100%, $E$13) + CHOOSE(CONTROL!$C$28, 0.0003, 0)</f>
        <v>24.9556</v>
      </c>
      <c r="C329" s="4">
        <f>24.6428 * CHOOSE(CONTROL!$C$9, $C$13, 100%, $E$13) + CHOOSE(CONTROL!$C$28, 0.0003, 0)</f>
        <v>24.6431</v>
      </c>
      <c r="D329" s="4">
        <f>31.4283 * CHOOSE(CONTROL!$C$9, $C$13, 100%, $E$13) + CHOOSE(CONTROL!$C$28, 0, 0)</f>
        <v>31.4283</v>
      </c>
      <c r="E329" s="4">
        <f>145.580981948832 * CHOOSE(CONTROL!$C$9, $C$13, 100%, $E$13) + CHOOSE(CONTROL!$C$28, 0, 0)</f>
        <v>145.580981948832</v>
      </c>
    </row>
    <row r="330" spans="1:5" ht="15">
      <c r="A330" s="13">
        <v>51560</v>
      </c>
      <c r="B330" s="4">
        <f>25.5034 * CHOOSE(CONTROL!$C$9, $C$13, 100%, $E$13) + CHOOSE(CONTROL!$C$28, 0.0003, 0)</f>
        <v>25.503699999999998</v>
      </c>
      <c r="C330" s="4">
        <f>25.1909 * CHOOSE(CONTROL!$C$9, $C$13, 100%, $E$13) + CHOOSE(CONTROL!$C$28, 0.0003, 0)</f>
        <v>25.191199999999998</v>
      </c>
      <c r="D330" s="4">
        <f>32.4813 * CHOOSE(CONTROL!$C$9, $C$13, 100%, $E$13) + CHOOSE(CONTROL!$C$28, 0, 0)</f>
        <v>32.481299999999997</v>
      </c>
      <c r="E330" s="4">
        <f>149.037648181764 * CHOOSE(CONTROL!$C$9, $C$13, 100%, $E$13) + CHOOSE(CONTROL!$C$28, 0, 0)</f>
        <v>149.03764818176401</v>
      </c>
    </row>
    <row r="331" spans="1:5" ht="15">
      <c r="A331" s="13">
        <v>51591</v>
      </c>
      <c r="B331" s="4">
        <f>26.9425 * CHOOSE(CONTROL!$C$9, $C$13, 100%, $E$13) + CHOOSE(CONTROL!$C$28, 0.0003, 0)</f>
        <v>26.942799999999998</v>
      </c>
      <c r="C331" s="4">
        <f>26.63 * CHOOSE(CONTROL!$C$9, $C$13, 100%, $E$13) + CHOOSE(CONTROL!$C$28, 0.0003, 0)</f>
        <v>26.630299999999998</v>
      </c>
      <c r="D331" s="4">
        <f>34.1298 * CHOOSE(CONTROL!$C$9, $C$13, 100%, $E$13) + CHOOSE(CONTROL!$C$28, 0, 0)</f>
        <v>34.129800000000003</v>
      </c>
      <c r="E331" s="4">
        <f>158.115037407841 * CHOOSE(CONTROL!$C$9, $C$13, 100%, $E$13) + CHOOSE(CONTROL!$C$28, 0, 0)</f>
        <v>158.11503740784099</v>
      </c>
    </row>
    <row r="332" spans="1:5" ht="15">
      <c r="A332" s="13">
        <v>51621</v>
      </c>
      <c r="B332" s="4">
        <f>27.965 * CHOOSE(CONTROL!$C$9, $C$13, 100%, $E$13) + CHOOSE(CONTROL!$C$28, 0.0003, 0)</f>
        <v>27.965299999999999</v>
      </c>
      <c r="C332" s="4">
        <f>27.6525 * CHOOSE(CONTROL!$C$9, $C$13, 100%, $E$13) + CHOOSE(CONTROL!$C$28, 0.0003, 0)</f>
        <v>27.652799999999999</v>
      </c>
      <c r="D332" s="4">
        <f>35.0794 * CHOOSE(CONTROL!$C$9, $C$13, 100%, $E$13) + CHOOSE(CONTROL!$C$28, 0, 0)</f>
        <v>35.0794</v>
      </c>
      <c r="E332" s="4">
        <f>164.564643425087 * CHOOSE(CONTROL!$C$9, $C$13, 100%, $E$13) + CHOOSE(CONTROL!$C$28, 0, 0)</f>
        <v>164.56464342508701</v>
      </c>
    </row>
    <row r="333" spans="1:5" ht="15">
      <c r="A333" s="13">
        <v>51652</v>
      </c>
      <c r="B333" s="4">
        <f>28.5897 * CHOOSE(CONTROL!$C$9, $C$13, 100%, $E$13) + CHOOSE(CONTROL!$C$28, 0.0181, 0)</f>
        <v>28.607800000000001</v>
      </c>
      <c r="C333" s="4">
        <f>28.2772 * CHOOSE(CONTROL!$C$9, $C$13, 100%, $E$13) + CHOOSE(CONTROL!$C$28, 0.0181, 0)</f>
        <v>28.295300000000001</v>
      </c>
      <c r="D333" s="4">
        <f>34.7042 * CHOOSE(CONTROL!$C$9, $C$13, 100%, $E$13) + CHOOSE(CONTROL!$C$28, 0, 0)</f>
        <v>34.7042</v>
      </c>
      <c r="E333" s="4">
        <f>168.505198126141 * CHOOSE(CONTROL!$C$9, $C$13, 100%, $E$13) + CHOOSE(CONTROL!$C$28, 0, 0)</f>
        <v>168.50519812614101</v>
      </c>
    </row>
    <row r="334" spans="1:5" ht="15">
      <c r="A334" s="13">
        <v>51682</v>
      </c>
      <c r="B334" s="4">
        <f>28.6743 * CHOOSE(CONTROL!$C$9, $C$13, 100%, $E$13) + CHOOSE(CONTROL!$C$28, 0.0181, 0)</f>
        <v>28.692399999999999</v>
      </c>
      <c r="C334" s="4">
        <f>28.3618 * CHOOSE(CONTROL!$C$9, $C$13, 100%, $E$13) + CHOOSE(CONTROL!$C$28, 0.0181, 0)</f>
        <v>28.379899999999999</v>
      </c>
      <c r="D334" s="4">
        <f>35.0098 * CHOOSE(CONTROL!$C$9, $C$13, 100%, $E$13) + CHOOSE(CONTROL!$C$28, 0, 0)</f>
        <v>35.009799999999998</v>
      </c>
      <c r="E334" s="4">
        <f>169.038371530831 * CHOOSE(CONTROL!$C$9, $C$13, 100%, $E$13) + CHOOSE(CONTROL!$C$28, 0, 0)</f>
        <v>169.038371530831</v>
      </c>
    </row>
    <row r="335" spans="1:5" ht="15">
      <c r="A335" s="13">
        <v>51713</v>
      </c>
      <c r="B335" s="4">
        <f>28.6657 * CHOOSE(CONTROL!$C$9, $C$13, 100%, $E$13) + CHOOSE(CONTROL!$C$28, 0.0181, 0)</f>
        <v>28.683800000000002</v>
      </c>
      <c r="C335" s="4">
        <f>28.3532 * CHOOSE(CONTROL!$C$9, $C$13, 100%, $E$13) + CHOOSE(CONTROL!$C$28, 0.0181, 0)</f>
        <v>28.371300000000002</v>
      </c>
      <c r="D335" s="4">
        <f>35.5612 * CHOOSE(CONTROL!$C$9, $C$13, 100%, $E$13) + CHOOSE(CONTROL!$C$28, 0, 0)</f>
        <v>35.561199999999999</v>
      </c>
      <c r="E335" s="4">
        <f>168.984606145485 * CHOOSE(CONTROL!$C$9, $C$13, 100%, $E$13) + CHOOSE(CONTROL!$C$28, 0, 0)</f>
        <v>168.984606145485</v>
      </c>
    </row>
    <row r="336" spans="1:5" ht="15">
      <c r="A336" s="13">
        <v>51744</v>
      </c>
      <c r="B336" s="4">
        <f>29.3072 * CHOOSE(CONTROL!$C$9, $C$13, 100%, $E$13) + CHOOSE(CONTROL!$C$28, 0.0181, 0)</f>
        <v>29.325300000000002</v>
      </c>
      <c r="C336" s="4">
        <f>28.9947 * CHOOSE(CONTROL!$C$9, $C$13, 100%, $E$13) + CHOOSE(CONTROL!$C$28, 0.0181, 0)</f>
        <v>29.012800000000002</v>
      </c>
      <c r="D336" s="4">
        <f>35.1971 * CHOOSE(CONTROL!$C$9, $C$13, 100%, $E$13) + CHOOSE(CONTROL!$C$28, 0, 0)</f>
        <v>35.197099999999999</v>
      </c>
      <c r="E336" s="4">
        <f>173.030451392843 * CHOOSE(CONTROL!$C$9, $C$13, 100%, $E$13) + CHOOSE(CONTROL!$C$28, 0, 0)</f>
        <v>173.03045139284299</v>
      </c>
    </row>
    <row r="337" spans="1:5" ht="15">
      <c r="A337" s="13">
        <v>51774</v>
      </c>
      <c r="B337" s="4">
        <f>28.214 * CHOOSE(CONTROL!$C$9, $C$13, 100%, $E$13) + CHOOSE(CONTROL!$C$28, 0.0181, 0)</f>
        <v>28.232099999999999</v>
      </c>
      <c r="C337" s="4">
        <f>27.9015 * CHOOSE(CONTROL!$C$9, $C$13, 100%, $E$13) + CHOOSE(CONTROL!$C$28, 0.0181, 0)</f>
        <v>27.919599999999999</v>
      </c>
      <c r="D337" s="4">
        <f>35.025 * CHOOSE(CONTROL!$C$9, $C$13, 100%, $E$13) + CHOOSE(CONTROL!$C$28, 0, 0)</f>
        <v>35.024999999999999</v>
      </c>
      <c r="E337" s="4">
        <f>166.135040722096 * CHOOSE(CONTROL!$C$9, $C$13, 100%, $E$13) + CHOOSE(CONTROL!$C$28, 0, 0)</f>
        <v>166.13504072209599</v>
      </c>
    </row>
    <row r="338" spans="1:5" ht="15">
      <c r="A338" s="13">
        <v>51805</v>
      </c>
      <c r="B338" s="4">
        <f>27.3389 * CHOOSE(CONTROL!$C$9, $C$13, 100%, $E$13) + CHOOSE(CONTROL!$C$28, 0.0003, 0)</f>
        <v>27.339199999999998</v>
      </c>
      <c r="C338" s="4">
        <f>27.0264 * CHOOSE(CONTROL!$C$9, $C$13, 100%, $E$13) + CHOOSE(CONTROL!$C$28, 0.0003, 0)</f>
        <v>27.026699999999998</v>
      </c>
      <c r="D338" s="4">
        <f>34.5643 * CHOOSE(CONTROL!$C$9, $C$13, 100%, $E$13) + CHOOSE(CONTROL!$C$28, 0, 0)</f>
        <v>34.564300000000003</v>
      </c>
      <c r="E338" s="4">
        <f>160.615127826475 * CHOOSE(CONTROL!$C$9, $C$13, 100%, $E$13) + CHOOSE(CONTROL!$C$28, 0, 0)</f>
        <v>160.615127826475</v>
      </c>
    </row>
    <row r="339" spans="1:5" ht="15">
      <c r="A339" s="13">
        <v>51835</v>
      </c>
      <c r="B339" s="4">
        <f>26.7752 * CHOOSE(CONTROL!$C$9, $C$13, 100%, $E$13) + CHOOSE(CONTROL!$C$28, 0.0003, 0)</f>
        <v>26.775500000000001</v>
      </c>
      <c r="C339" s="4">
        <f>26.4627 * CHOOSE(CONTROL!$C$9, $C$13, 100%, $E$13) + CHOOSE(CONTROL!$C$28, 0.0003, 0)</f>
        <v>26.463000000000001</v>
      </c>
      <c r="D339" s="4">
        <f>34.4059 * CHOOSE(CONTROL!$C$9, $C$13, 100%, $E$13) + CHOOSE(CONTROL!$C$28, 0, 0)</f>
        <v>34.405900000000003</v>
      </c>
      <c r="E339" s="4">
        <f>157.059891720407 * CHOOSE(CONTROL!$C$9, $C$13, 100%, $E$13) + CHOOSE(CONTROL!$C$28, 0, 0)</f>
        <v>157.05989172040699</v>
      </c>
    </row>
    <row r="340" spans="1:5" ht="15">
      <c r="A340" s="13">
        <v>51866</v>
      </c>
      <c r="B340" s="4">
        <f>26.3852 * CHOOSE(CONTROL!$C$9, $C$13, 100%, $E$13) + CHOOSE(CONTROL!$C$28, 0.0003, 0)</f>
        <v>26.3855</v>
      </c>
      <c r="C340" s="4">
        <f>26.0727 * CHOOSE(CONTROL!$C$9, $C$13, 100%, $E$13) + CHOOSE(CONTROL!$C$28, 0.0003, 0)</f>
        <v>26.073</v>
      </c>
      <c r="D340" s="4">
        <f>33.2399 * CHOOSE(CONTROL!$C$9, $C$13, 100%, $E$13) + CHOOSE(CONTROL!$C$28, 0, 0)</f>
        <v>33.239899999999999</v>
      </c>
      <c r="E340" s="4">
        <f>154.600125340784 * CHOOSE(CONTROL!$C$9, $C$13, 100%, $E$13) + CHOOSE(CONTROL!$C$28, 0, 0)</f>
        <v>154.60012534078399</v>
      </c>
    </row>
    <row r="341" spans="1:5" ht="15">
      <c r="A341" s="13">
        <v>51897</v>
      </c>
      <c r="B341" s="4">
        <f>25.7516 * CHOOSE(CONTROL!$C$9, $C$13, 100%, $E$13) + CHOOSE(CONTROL!$C$28, 0.0003, 0)</f>
        <v>25.751899999999999</v>
      </c>
      <c r="C341" s="4">
        <f>25.4391 * CHOOSE(CONTROL!$C$9, $C$13, 100%, $E$13) + CHOOSE(CONTROL!$C$28, 0.0003, 0)</f>
        <v>25.439399999999999</v>
      </c>
      <c r="D341" s="4">
        <f>32.1682 * CHOOSE(CONTROL!$C$9, $C$13, 100%, $E$13) + CHOOSE(CONTROL!$C$28, 0, 0)</f>
        <v>32.168199999999999</v>
      </c>
      <c r="E341" s="4">
        <f>150.16678288022 * CHOOSE(CONTROL!$C$9, $C$13, 100%, $E$13) + CHOOSE(CONTROL!$C$28, 0, 0)</f>
        <v>150.16678288022001</v>
      </c>
    </row>
    <row r="342" spans="1:5" ht="15">
      <c r="A342" s="13">
        <v>51925</v>
      </c>
      <c r="B342" s="4">
        <f>26.3185 * CHOOSE(CONTROL!$C$9, $C$13, 100%, $E$13) + CHOOSE(CONTROL!$C$28, 0.0003, 0)</f>
        <v>26.3188</v>
      </c>
      <c r="C342" s="4">
        <f>26.006 * CHOOSE(CONTROL!$C$9, $C$13, 100%, $E$13) + CHOOSE(CONTROL!$C$28, 0.0003, 0)</f>
        <v>26.0063</v>
      </c>
      <c r="D342" s="4">
        <f>33.2474 * CHOOSE(CONTROL!$C$9, $C$13, 100%, $E$13) + CHOOSE(CONTROL!$C$28, 0, 0)</f>
        <v>33.247399999999999</v>
      </c>
      <c r="E342" s="4">
        <f>153.732334099489 * CHOOSE(CONTROL!$C$9, $C$13, 100%, $E$13) + CHOOSE(CONTROL!$C$28, 0, 0)</f>
        <v>153.73233409948901</v>
      </c>
    </row>
    <row r="343" spans="1:5" ht="15">
      <c r="A343" s="13">
        <v>51956</v>
      </c>
      <c r="B343" s="4">
        <f>27.8073 * CHOOSE(CONTROL!$C$9, $C$13, 100%, $E$13) + CHOOSE(CONTROL!$C$28, 0.0003, 0)</f>
        <v>27.807600000000001</v>
      </c>
      <c r="C343" s="4">
        <f>27.4948 * CHOOSE(CONTROL!$C$9, $C$13, 100%, $E$13) + CHOOSE(CONTROL!$C$28, 0.0003, 0)</f>
        <v>27.495100000000001</v>
      </c>
      <c r="D343" s="4">
        <f>34.9368 * CHOOSE(CONTROL!$C$9, $C$13, 100%, $E$13) + CHOOSE(CONTROL!$C$28, 0, 0)</f>
        <v>34.936799999999998</v>
      </c>
      <c r="E343" s="4">
        <f>163.095661086188 * CHOOSE(CONTROL!$C$9, $C$13, 100%, $E$13) + CHOOSE(CONTROL!$C$28, 0, 0)</f>
        <v>163.09566108618799</v>
      </c>
    </row>
    <row r="344" spans="1:5" ht="15">
      <c r="A344" s="13">
        <v>51986</v>
      </c>
      <c r="B344" s="4">
        <f>28.8651 * CHOOSE(CONTROL!$C$9, $C$13, 100%, $E$13) + CHOOSE(CONTROL!$C$28, 0.0003, 0)</f>
        <v>28.865400000000001</v>
      </c>
      <c r="C344" s="4">
        <f>28.5526 * CHOOSE(CONTROL!$C$9, $C$13, 100%, $E$13) + CHOOSE(CONTROL!$C$28, 0.0003, 0)</f>
        <v>28.552900000000001</v>
      </c>
      <c r="D344" s="4">
        <f>35.91 * CHOOSE(CONTROL!$C$9, $C$13, 100%, $E$13) + CHOOSE(CONTROL!$C$28, 0, 0)</f>
        <v>35.909999999999997</v>
      </c>
      <c r="E344" s="4">
        <f>169.748429692977 * CHOOSE(CONTROL!$C$9, $C$13, 100%, $E$13) + CHOOSE(CONTROL!$C$28, 0, 0)</f>
        <v>169.748429692977</v>
      </c>
    </row>
    <row r="345" spans="1:5" ht="15">
      <c r="A345" s="13">
        <v>52017</v>
      </c>
      <c r="B345" s="4">
        <f>29.5114 * CHOOSE(CONTROL!$C$9, $C$13, 100%, $E$13) + CHOOSE(CONTROL!$C$28, 0.0181, 0)</f>
        <v>29.529499999999999</v>
      </c>
      <c r="C345" s="4">
        <f>29.1989 * CHOOSE(CONTROL!$C$9, $C$13, 100%, $E$13) + CHOOSE(CONTROL!$C$28, 0.0181, 0)</f>
        <v>29.216999999999999</v>
      </c>
      <c r="D345" s="4">
        <f>35.5254 * CHOOSE(CONTROL!$C$9, $C$13, 100%, $E$13) + CHOOSE(CONTROL!$C$28, 0, 0)</f>
        <v>35.525399999999998</v>
      </c>
      <c r="E345" s="4">
        <f>173.813111867114 * CHOOSE(CONTROL!$C$9, $C$13, 100%, $E$13) + CHOOSE(CONTROL!$C$28, 0, 0)</f>
        <v>173.813111867114</v>
      </c>
    </row>
    <row r="346" spans="1:5" ht="15">
      <c r="A346" s="13">
        <v>52047</v>
      </c>
      <c r="B346" s="4">
        <f>29.5988 * CHOOSE(CONTROL!$C$9, $C$13, 100%, $E$13) + CHOOSE(CONTROL!$C$28, 0.0181, 0)</f>
        <v>29.616900000000001</v>
      </c>
      <c r="C346" s="4">
        <f>29.2863 * CHOOSE(CONTROL!$C$9, $C$13, 100%, $E$13) + CHOOSE(CONTROL!$C$28, 0.0181, 0)</f>
        <v>29.304400000000001</v>
      </c>
      <c r="D346" s="4">
        <f>35.8386 * CHOOSE(CONTROL!$C$9, $C$13, 100%, $E$13) + CHOOSE(CONTROL!$C$28, 0, 0)</f>
        <v>35.8386</v>
      </c>
      <c r="E346" s="4">
        <f>174.363080234053 * CHOOSE(CONTROL!$C$9, $C$13, 100%, $E$13) + CHOOSE(CONTROL!$C$28, 0, 0)</f>
        <v>174.363080234053</v>
      </c>
    </row>
    <row r="347" spans="1:5" ht="15">
      <c r="A347" s="13">
        <v>52078</v>
      </c>
      <c r="B347" s="4">
        <f>29.59 * CHOOSE(CONTROL!$C$9, $C$13, 100%, $E$13) + CHOOSE(CONTROL!$C$28, 0.0181, 0)</f>
        <v>29.6081</v>
      </c>
      <c r="C347" s="4">
        <f>29.2775 * CHOOSE(CONTROL!$C$9, $C$13, 100%, $E$13) + CHOOSE(CONTROL!$C$28, 0.0181, 0)</f>
        <v>29.2956</v>
      </c>
      <c r="D347" s="4">
        <f>36.4037 * CHOOSE(CONTROL!$C$9, $C$13, 100%, $E$13) + CHOOSE(CONTROL!$C$28, 0, 0)</f>
        <v>36.403700000000001</v>
      </c>
      <c r="E347" s="4">
        <f>174.307621239067 * CHOOSE(CONTROL!$C$9, $C$13, 100%, $E$13) + CHOOSE(CONTROL!$C$28, 0, 0)</f>
        <v>174.307621239067</v>
      </c>
    </row>
    <row r="348" spans="1:5" ht="15">
      <c r="A348" s="13">
        <v>52109</v>
      </c>
      <c r="B348" s="4">
        <f>30.2536 * CHOOSE(CONTROL!$C$9, $C$13, 100%, $E$13) + CHOOSE(CONTROL!$C$28, 0.0181, 0)</f>
        <v>30.271699999999999</v>
      </c>
      <c r="C348" s="4">
        <f>29.9411 * CHOOSE(CONTROL!$C$9, $C$13, 100%, $E$13) + CHOOSE(CONTROL!$C$28, 0.0181, 0)</f>
        <v>29.959199999999999</v>
      </c>
      <c r="D348" s="4">
        <f>36.0305 * CHOOSE(CONTROL!$C$9, $C$13, 100%, $E$13) + CHOOSE(CONTROL!$C$28, 0, 0)</f>
        <v>36.030500000000004</v>
      </c>
      <c r="E348" s="4">
        <f>178.480910611718 * CHOOSE(CONTROL!$C$9, $C$13, 100%, $E$13) + CHOOSE(CONTROL!$C$28, 0, 0)</f>
        <v>178.480910611718</v>
      </c>
    </row>
    <row r="349" spans="1:5" ht="15">
      <c r="A349" s="13">
        <v>52139</v>
      </c>
      <c r="B349" s="4">
        <f>29.1227 * CHOOSE(CONTROL!$C$9, $C$13, 100%, $E$13) + CHOOSE(CONTROL!$C$28, 0.0181, 0)</f>
        <v>29.140799999999999</v>
      </c>
      <c r="C349" s="4">
        <f>28.8102 * CHOOSE(CONTROL!$C$9, $C$13, 100%, $E$13) + CHOOSE(CONTROL!$C$28, 0.0181, 0)</f>
        <v>28.828299999999999</v>
      </c>
      <c r="D349" s="4">
        <f>35.8542 * CHOOSE(CONTROL!$C$9, $C$13, 100%, $E$13) + CHOOSE(CONTROL!$C$28, 0, 0)</f>
        <v>35.854199999999999</v>
      </c>
      <c r="E349" s="4">
        <f>171.368294504842 * CHOOSE(CONTROL!$C$9, $C$13, 100%, $E$13) + CHOOSE(CONTROL!$C$28, 0, 0)</f>
        <v>171.368294504842</v>
      </c>
    </row>
    <row r="350" spans="1:5" ht="15">
      <c r="A350" s="13">
        <v>52170</v>
      </c>
      <c r="B350" s="4">
        <f>28.2174 * CHOOSE(CONTROL!$C$9, $C$13, 100%, $E$13) + CHOOSE(CONTROL!$C$28, 0.0003, 0)</f>
        <v>28.217700000000001</v>
      </c>
      <c r="C350" s="4">
        <f>27.9049 * CHOOSE(CONTROL!$C$9, $C$13, 100%, $E$13) + CHOOSE(CONTROL!$C$28, 0.0003, 0)</f>
        <v>27.905200000000001</v>
      </c>
      <c r="D350" s="4">
        <f>35.3821 * CHOOSE(CONTROL!$C$9, $C$13, 100%, $E$13) + CHOOSE(CONTROL!$C$28, 0, 0)</f>
        <v>35.382100000000001</v>
      </c>
      <c r="E350" s="4">
        <f>165.674504353009 * CHOOSE(CONTROL!$C$9, $C$13, 100%, $E$13) + CHOOSE(CONTROL!$C$28, 0, 0)</f>
        <v>165.67450435300901</v>
      </c>
    </row>
    <row r="351" spans="1:5" ht="15">
      <c r="A351" s="13">
        <v>52200</v>
      </c>
      <c r="B351" s="4">
        <f>27.6343 * CHOOSE(CONTROL!$C$9, $C$13, 100%, $E$13) + CHOOSE(CONTROL!$C$28, 0.0003, 0)</f>
        <v>27.634599999999999</v>
      </c>
      <c r="C351" s="4">
        <f>27.3218 * CHOOSE(CONTROL!$C$9, $C$13, 100%, $E$13) + CHOOSE(CONTROL!$C$28, 0.0003, 0)</f>
        <v>27.322099999999999</v>
      </c>
      <c r="D351" s="4">
        <f>35.2198 * CHOOSE(CONTROL!$C$9, $C$13, 100%, $E$13) + CHOOSE(CONTROL!$C$28, 0, 0)</f>
        <v>35.219799999999999</v>
      </c>
      <c r="E351" s="4">
        <f>162.0072783096 * CHOOSE(CONTROL!$C$9, $C$13, 100%, $E$13) + CHOOSE(CONTROL!$C$28, 0, 0)</f>
        <v>162.0072783096</v>
      </c>
    </row>
    <row r="352" spans="1:5" ht="15">
      <c r="A352" s="13">
        <v>52231</v>
      </c>
      <c r="B352" s="4">
        <f>27.2308 * CHOOSE(CONTROL!$C$9, $C$13, 100%, $E$13) + CHOOSE(CONTROL!$C$28, 0.0003, 0)</f>
        <v>27.231099999999998</v>
      </c>
      <c r="C352" s="4">
        <f>26.9183 * CHOOSE(CONTROL!$C$9, $C$13, 100%, $E$13) + CHOOSE(CONTROL!$C$28, 0.0003, 0)</f>
        <v>26.918599999999998</v>
      </c>
      <c r="D352" s="4">
        <f>34.0248 * CHOOSE(CONTROL!$C$9, $C$13, 100%, $E$13) + CHOOSE(CONTROL!$C$28, 0, 0)</f>
        <v>34.024799999999999</v>
      </c>
      <c r="E352" s="4">
        <f>159.470029289019 * CHOOSE(CONTROL!$C$9, $C$13, 100%, $E$13) + CHOOSE(CONTROL!$C$28, 0, 0)</f>
        <v>159.47002928901901</v>
      </c>
    </row>
    <row r="353" spans="1:5" ht="15">
      <c r="A353" s="13">
        <v>52262</v>
      </c>
      <c r="B353" s="4">
        <f>26.5754 * CHOOSE(CONTROL!$C$9, $C$13, 100%, $E$13) + CHOOSE(CONTROL!$C$28, 0.0003, 0)</f>
        <v>26.575699999999998</v>
      </c>
      <c r="C353" s="4">
        <f>26.2629 * CHOOSE(CONTROL!$C$9, $C$13, 100%, $E$13) + CHOOSE(CONTROL!$C$28, 0.0003, 0)</f>
        <v>26.263199999999998</v>
      </c>
      <c r="D353" s="4">
        <f>32.9265 * CHOOSE(CONTROL!$C$9, $C$13, 100%, $E$13) + CHOOSE(CONTROL!$C$28, 0, 0)</f>
        <v>32.926499999999997</v>
      </c>
      <c r="E353" s="4">
        <f>154.897036540947 * CHOOSE(CONTROL!$C$9, $C$13, 100%, $E$13) + CHOOSE(CONTROL!$C$28, 0, 0)</f>
        <v>154.897036540947</v>
      </c>
    </row>
    <row r="354" spans="1:5" ht="15">
      <c r="A354" s="13">
        <v>52290</v>
      </c>
      <c r="B354" s="4">
        <f>27.1618 * CHOOSE(CONTROL!$C$9, $C$13, 100%, $E$13) + CHOOSE(CONTROL!$C$28, 0.0003, 0)</f>
        <v>27.162099999999999</v>
      </c>
      <c r="C354" s="4">
        <f>26.8493 * CHOOSE(CONTROL!$C$9, $C$13, 100%, $E$13) + CHOOSE(CONTROL!$C$28, 0.0003, 0)</f>
        <v>26.849599999999999</v>
      </c>
      <c r="D354" s="4">
        <f>34.0325 * CHOOSE(CONTROL!$C$9, $C$13, 100%, $E$13) + CHOOSE(CONTROL!$C$28, 0, 0)</f>
        <v>34.032499999999999</v>
      </c>
      <c r="E354" s="4">
        <f>158.574902623623 * CHOOSE(CONTROL!$C$9, $C$13, 100%, $E$13) + CHOOSE(CONTROL!$C$28, 0, 0)</f>
        <v>158.57490262362299</v>
      </c>
    </row>
    <row r="355" spans="1:5" ht="15">
      <c r="A355" s="13">
        <v>52321</v>
      </c>
      <c r="B355" s="4">
        <f>28.702 * CHOOSE(CONTROL!$C$9, $C$13, 100%, $E$13) + CHOOSE(CONTROL!$C$28, 0.0003, 0)</f>
        <v>28.702300000000001</v>
      </c>
      <c r="C355" s="4">
        <f>28.3895 * CHOOSE(CONTROL!$C$9, $C$13, 100%, $E$13) + CHOOSE(CONTROL!$C$28, 0.0003, 0)</f>
        <v>28.389800000000001</v>
      </c>
      <c r="D355" s="4">
        <f>35.7638 * CHOOSE(CONTROL!$C$9, $C$13, 100%, $E$13) + CHOOSE(CONTROL!$C$28, 0, 0)</f>
        <v>35.763800000000003</v>
      </c>
      <c r="E355" s="4">
        <f>168.233174410403 * CHOOSE(CONTROL!$C$9, $C$13, 100%, $E$13) + CHOOSE(CONTROL!$C$28, 0, 0)</f>
        <v>168.233174410403</v>
      </c>
    </row>
    <row r="356" spans="1:5" ht="15">
      <c r="A356" s="13">
        <v>52351</v>
      </c>
      <c r="B356" s="4">
        <f>29.7963 * CHOOSE(CONTROL!$C$9, $C$13, 100%, $E$13) + CHOOSE(CONTROL!$C$28, 0.0003, 0)</f>
        <v>29.796599999999998</v>
      </c>
      <c r="C356" s="4">
        <f>29.4838 * CHOOSE(CONTROL!$C$9, $C$13, 100%, $E$13) + CHOOSE(CONTROL!$C$28, 0.0003, 0)</f>
        <v>29.484099999999998</v>
      </c>
      <c r="D356" s="4">
        <f>36.7611 * CHOOSE(CONTROL!$C$9, $C$13, 100%, $E$13) + CHOOSE(CONTROL!$C$28, 0, 0)</f>
        <v>36.761099999999999</v>
      </c>
      <c r="E356" s="4">
        <f>175.095505228306 * CHOOSE(CONTROL!$C$9, $C$13, 100%, $E$13) + CHOOSE(CONTROL!$C$28, 0, 0)</f>
        <v>175.095505228306</v>
      </c>
    </row>
    <row r="357" spans="1:5" ht="15">
      <c r="A357" s="13">
        <v>52382</v>
      </c>
      <c r="B357" s="4">
        <f>30.4649 * CHOOSE(CONTROL!$C$9, $C$13, 100%, $E$13) + CHOOSE(CONTROL!$C$28, 0.0181, 0)</f>
        <v>30.483000000000001</v>
      </c>
      <c r="C357" s="4">
        <f>30.1524 * CHOOSE(CONTROL!$C$9, $C$13, 100%, $E$13) + CHOOSE(CONTROL!$C$28, 0.0181, 0)</f>
        <v>30.170500000000001</v>
      </c>
      <c r="D357" s="4">
        <f>36.367 * CHOOSE(CONTROL!$C$9, $C$13, 100%, $E$13) + CHOOSE(CONTROL!$C$28, 0, 0)</f>
        <v>36.366999999999997</v>
      </c>
      <c r="E357" s="4">
        <f>179.288224890928 * CHOOSE(CONTROL!$C$9, $C$13, 100%, $E$13) + CHOOSE(CONTROL!$C$28, 0, 0)</f>
        <v>179.28822489092801</v>
      </c>
    </row>
    <row r="358" spans="1:5" ht="15">
      <c r="A358" s="13">
        <v>52412</v>
      </c>
      <c r="B358" s="4">
        <f>30.5553 * CHOOSE(CONTROL!$C$9, $C$13, 100%, $E$13) + CHOOSE(CONTROL!$C$28, 0.0181, 0)</f>
        <v>30.573399999999999</v>
      </c>
      <c r="C358" s="4">
        <f>30.2428 * CHOOSE(CONTROL!$C$9, $C$13, 100%, $E$13) + CHOOSE(CONTROL!$C$28, 0.0181, 0)</f>
        <v>30.260899999999999</v>
      </c>
      <c r="D358" s="4">
        <f>36.6879 * CHOOSE(CONTROL!$C$9, $C$13, 100%, $E$13) + CHOOSE(CONTROL!$C$28, 0, 0)</f>
        <v>36.687899999999999</v>
      </c>
      <c r="E358" s="4">
        <f>179.855517261425 * CHOOSE(CONTROL!$C$9, $C$13, 100%, $E$13) + CHOOSE(CONTROL!$C$28, 0, 0)</f>
        <v>179.85551726142501</v>
      </c>
    </row>
    <row r="359" spans="1:5" ht="15">
      <c r="A359" s="13">
        <v>52443</v>
      </c>
      <c r="B359" s="4">
        <f>30.5462 * CHOOSE(CONTROL!$C$9, $C$13, 100%, $E$13) + CHOOSE(CONTROL!$C$28, 0.0181, 0)</f>
        <v>30.564299999999999</v>
      </c>
      <c r="C359" s="4">
        <f>30.2337 * CHOOSE(CONTROL!$C$9, $C$13, 100%, $E$13) + CHOOSE(CONTROL!$C$28, 0.0181, 0)</f>
        <v>30.251799999999999</v>
      </c>
      <c r="D359" s="4">
        <f>37.267 * CHOOSE(CONTROL!$C$9, $C$13, 100%, $E$13) + CHOOSE(CONTROL!$C$28, 0, 0)</f>
        <v>37.267000000000003</v>
      </c>
      <c r="E359" s="4">
        <f>179.798311308098 * CHOOSE(CONTROL!$C$9, $C$13, 100%, $E$13) + CHOOSE(CONTROL!$C$28, 0, 0)</f>
        <v>179.79831130809799</v>
      </c>
    </row>
    <row r="360" spans="1:5" ht="15">
      <c r="A360" s="13">
        <v>52474</v>
      </c>
      <c r="B360" s="4">
        <f>31.2326 * CHOOSE(CONTROL!$C$9, $C$13, 100%, $E$13) + CHOOSE(CONTROL!$C$28, 0.0181, 0)</f>
        <v>31.250700000000002</v>
      </c>
      <c r="C360" s="4">
        <f>30.9201 * CHOOSE(CONTROL!$C$9, $C$13, 100%, $E$13) + CHOOSE(CONTROL!$C$28, 0.0181, 0)</f>
        <v>30.938200000000002</v>
      </c>
      <c r="D360" s="4">
        <f>36.8846 * CHOOSE(CONTROL!$C$9, $C$13, 100%, $E$13) + CHOOSE(CONTROL!$C$28, 0, 0)</f>
        <v>36.884599999999999</v>
      </c>
      <c r="E360" s="4">
        <f>184.103059295987 * CHOOSE(CONTROL!$C$9, $C$13, 100%, $E$13) + CHOOSE(CONTROL!$C$28, 0, 0)</f>
        <v>184.10305929598701</v>
      </c>
    </row>
    <row r="361" spans="1:5" ht="15">
      <c r="A361" s="13">
        <v>52504</v>
      </c>
      <c r="B361" s="4">
        <f>30.0627 * CHOOSE(CONTROL!$C$9, $C$13, 100%, $E$13) + CHOOSE(CONTROL!$C$28, 0.0181, 0)</f>
        <v>30.0808</v>
      </c>
      <c r="C361" s="4">
        <f>29.7502 * CHOOSE(CONTROL!$C$9, $C$13, 100%, $E$13) + CHOOSE(CONTROL!$C$28, 0.0181, 0)</f>
        <v>29.7683</v>
      </c>
      <c r="D361" s="4">
        <f>36.7039 * CHOOSE(CONTROL!$C$9, $C$13, 100%, $E$13) + CHOOSE(CONTROL!$C$28, 0, 0)</f>
        <v>36.703899999999997</v>
      </c>
      <c r="E361" s="4">
        <f>176.766395781744 * CHOOSE(CONTROL!$C$9, $C$13, 100%, $E$13) + CHOOSE(CONTROL!$C$28, 0, 0)</f>
        <v>176.766395781744</v>
      </c>
    </row>
    <row r="362" spans="1:5" ht="15">
      <c r="A362" s="13">
        <v>52535</v>
      </c>
      <c r="B362" s="4">
        <f>29.1262 * CHOOSE(CONTROL!$C$9, $C$13, 100%, $E$13) + CHOOSE(CONTROL!$C$28, 0.0003, 0)</f>
        <v>29.1265</v>
      </c>
      <c r="C362" s="4">
        <f>28.8137 * CHOOSE(CONTROL!$C$9, $C$13, 100%, $E$13) + CHOOSE(CONTROL!$C$28, 0.0003, 0)</f>
        <v>28.814</v>
      </c>
      <c r="D362" s="4">
        <f>36.2201 * CHOOSE(CONTROL!$C$9, $C$13, 100%, $E$13) + CHOOSE(CONTROL!$C$28, 0, 0)</f>
        <v>36.220100000000002</v>
      </c>
      <c r="E362" s="4">
        <f>170.893251240129 * CHOOSE(CONTROL!$C$9, $C$13, 100%, $E$13) + CHOOSE(CONTROL!$C$28, 0, 0)</f>
        <v>170.89325124012899</v>
      </c>
    </row>
    <row r="363" spans="1:5" ht="15">
      <c r="A363" s="13">
        <v>52565</v>
      </c>
      <c r="B363" s="4">
        <f>28.523 * CHOOSE(CONTROL!$C$9, $C$13, 100%, $E$13) + CHOOSE(CONTROL!$C$28, 0.0003, 0)</f>
        <v>28.523299999999999</v>
      </c>
      <c r="C363" s="4">
        <f>28.2105 * CHOOSE(CONTROL!$C$9, $C$13, 100%, $E$13) + CHOOSE(CONTROL!$C$28, 0.0003, 0)</f>
        <v>28.210799999999999</v>
      </c>
      <c r="D363" s="4">
        <f>36.0538 * CHOOSE(CONTROL!$C$9, $C$13, 100%, $E$13) + CHOOSE(CONTROL!$C$28, 0, 0)</f>
        <v>36.053800000000003</v>
      </c>
      <c r="E363" s="4">
        <f>167.110507576353 * CHOOSE(CONTROL!$C$9, $C$13, 100%, $E$13) + CHOOSE(CONTROL!$C$28, 0, 0)</f>
        <v>167.110507576353</v>
      </c>
    </row>
    <row r="364" spans="1:5" ht="15">
      <c r="A364" s="13">
        <v>52596</v>
      </c>
      <c r="B364" s="4">
        <f>28.1056 * CHOOSE(CONTROL!$C$9, $C$13, 100%, $E$13) + CHOOSE(CONTROL!$C$28, 0.0003, 0)</f>
        <v>28.105899999999998</v>
      </c>
      <c r="C364" s="4">
        <f>27.7931 * CHOOSE(CONTROL!$C$9, $C$13, 100%, $E$13) + CHOOSE(CONTROL!$C$28, 0.0003, 0)</f>
        <v>27.793399999999998</v>
      </c>
      <c r="D364" s="4">
        <f>34.8292 * CHOOSE(CONTROL!$C$9, $C$13, 100%, $E$13) + CHOOSE(CONTROL!$C$28, 0, 0)</f>
        <v>34.8292</v>
      </c>
      <c r="E364" s="4">
        <f>164.493335211623 * CHOOSE(CONTROL!$C$9, $C$13, 100%, $E$13) + CHOOSE(CONTROL!$C$28, 0, 0)</f>
        <v>164.49333521162299</v>
      </c>
    </row>
    <row r="365" spans="1:5" ht="15">
      <c r="A365" s="13">
        <v>52627</v>
      </c>
      <c r="B365" s="4">
        <f>27.4275 * CHOOSE(CONTROL!$C$9, $C$13, 100%, $E$13) + CHOOSE(CONTROL!$C$28, 0.0003, 0)</f>
        <v>27.427799999999998</v>
      </c>
      <c r="C365" s="4">
        <f>27.115 * CHOOSE(CONTROL!$C$9, $C$13, 100%, $E$13) + CHOOSE(CONTROL!$C$28, 0.0003, 0)</f>
        <v>27.115299999999998</v>
      </c>
      <c r="D365" s="4">
        <f>33.7037 * CHOOSE(CONTROL!$C$9, $C$13, 100%, $E$13) + CHOOSE(CONTROL!$C$28, 0, 0)</f>
        <v>33.703699999999998</v>
      </c>
      <c r="E365" s="4">
        <f>159.776293191987 * CHOOSE(CONTROL!$C$9, $C$13, 100%, $E$13) + CHOOSE(CONTROL!$C$28, 0, 0)</f>
        <v>159.77629319198701</v>
      </c>
    </row>
    <row r="366" spans="1:5" ht="15">
      <c r="A366" s="13">
        <v>52655</v>
      </c>
      <c r="B366" s="4">
        <f>28.0342 * CHOOSE(CONTROL!$C$9, $C$13, 100%, $E$13) + CHOOSE(CONTROL!$C$28, 0.0003, 0)</f>
        <v>28.034499999999998</v>
      </c>
      <c r="C366" s="4">
        <f>27.7217 * CHOOSE(CONTROL!$C$9, $C$13, 100%, $E$13) + CHOOSE(CONTROL!$C$28, 0.0003, 0)</f>
        <v>27.721999999999998</v>
      </c>
      <c r="D366" s="4">
        <f>34.8371 * CHOOSE(CONTROL!$C$9, $C$13, 100%, $E$13) + CHOOSE(CONTROL!$C$28, 0, 0)</f>
        <v>34.8371</v>
      </c>
      <c r="E366" s="4">
        <f>163.570012056267 * CHOOSE(CONTROL!$C$9, $C$13, 100%, $E$13) + CHOOSE(CONTROL!$C$28, 0, 0)</f>
        <v>163.57001205626699</v>
      </c>
    </row>
    <row r="367" spans="1:5" ht="15">
      <c r="A367" s="13">
        <v>52687</v>
      </c>
      <c r="B367" s="4">
        <f>29.6275 * CHOOSE(CONTROL!$C$9, $C$13, 100%, $E$13) + CHOOSE(CONTROL!$C$28, 0.0003, 0)</f>
        <v>29.627800000000001</v>
      </c>
      <c r="C367" s="4">
        <f>29.315 * CHOOSE(CONTROL!$C$9, $C$13, 100%, $E$13) + CHOOSE(CONTROL!$C$28, 0.0003, 0)</f>
        <v>29.315300000000001</v>
      </c>
      <c r="D367" s="4">
        <f>36.6113 * CHOOSE(CONTROL!$C$9, $C$13, 100%, $E$13) + CHOOSE(CONTROL!$C$28, 0, 0)</f>
        <v>36.6113</v>
      </c>
      <c r="E367" s="4">
        <f>173.532519404331 * CHOOSE(CONTROL!$C$9, $C$13, 100%, $E$13) + CHOOSE(CONTROL!$C$28, 0, 0)</f>
        <v>173.532519404331</v>
      </c>
    </row>
    <row r="368" spans="1:5" ht="15">
      <c r="A368" s="13">
        <v>52717</v>
      </c>
      <c r="B368" s="4">
        <f>30.7596 * CHOOSE(CONTROL!$C$9, $C$13, 100%, $E$13) + CHOOSE(CONTROL!$C$28, 0.0003, 0)</f>
        <v>30.759899999999998</v>
      </c>
      <c r="C368" s="4">
        <f>30.4471 * CHOOSE(CONTROL!$C$9, $C$13, 100%, $E$13) + CHOOSE(CONTROL!$C$28, 0.0003, 0)</f>
        <v>30.447399999999998</v>
      </c>
      <c r="D368" s="4">
        <f>37.6333 * CHOOSE(CONTROL!$C$9, $C$13, 100%, $E$13) + CHOOSE(CONTROL!$C$28, 0, 0)</f>
        <v>37.633299999999998</v>
      </c>
      <c r="E368" s="4">
        <f>180.611013642998 * CHOOSE(CONTROL!$C$9, $C$13, 100%, $E$13) + CHOOSE(CONTROL!$C$28, 0, 0)</f>
        <v>180.61101364299799</v>
      </c>
    </row>
    <row r="369" spans="1:5" ht="15">
      <c r="A369" s="13">
        <v>52748</v>
      </c>
      <c r="B369" s="4">
        <f>31.4512 * CHOOSE(CONTROL!$C$9, $C$13, 100%, $E$13) + CHOOSE(CONTROL!$C$28, 0.0181, 0)</f>
        <v>31.4693</v>
      </c>
      <c r="C369" s="4">
        <f>31.1387 * CHOOSE(CONTROL!$C$9, $C$13, 100%, $E$13) + CHOOSE(CONTROL!$C$28, 0.0181, 0)</f>
        <v>31.1568</v>
      </c>
      <c r="D369" s="4">
        <f>37.2294 * CHOOSE(CONTROL!$C$9, $C$13, 100%, $E$13) + CHOOSE(CONTROL!$C$28, 0, 0)</f>
        <v>37.229399999999998</v>
      </c>
      <c r="E369" s="4">
        <f>184.935803974993 * CHOOSE(CONTROL!$C$9, $C$13, 100%, $E$13) + CHOOSE(CONTROL!$C$28, 0, 0)</f>
        <v>184.93580397499301</v>
      </c>
    </row>
    <row r="370" spans="1:5" ht="15">
      <c r="A370" s="13">
        <v>52778</v>
      </c>
      <c r="B370" s="4">
        <f>31.5448 * CHOOSE(CONTROL!$C$9, $C$13, 100%, $E$13) + CHOOSE(CONTROL!$C$28, 0.0181, 0)</f>
        <v>31.562899999999999</v>
      </c>
      <c r="C370" s="4">
        <f>31.2323 * CHOOSE(CONTROL!$C$9, $C$13, 100%, $E$13) + CHOOSE(CONTROL!$C$28, 0.0181, 0)</f>
        <v>31.250399999999999</v>
      </c>
      <c r="D370" s="4">
        <f>37.5584 * CHOOSE(CONTROL!$C$9, $C$13, 100%, $E$13) + CHOOSE(CONTROL!$C$28, 0, 0)</f>
        <v>37.558399999999999</v>
      </c>
      <c r="E370" s="4">
        <f>185.52096605516 * CHOOSE(CONTROL!$C$9, $C$13, 100%, $E$13) + CHOOSE(CONTROL!$C$28, 0, 0)</f>
        <v>185.52096605515999</v>
      </c>
    </row>
    <row r="371" spans="1:5" ht="15">
      <c r="A371" s="13">
        <v>52809</v>
      </c>
      <c r="B371" s="4">
        <f>31.5354 * CHOOSE(CONTROL!$C$9, $C$13, 100%, $E$13) + CHOOSE(CONTROL!$C$28, 0.0181, 0)</f>
        <v>31.5535</v>
      </c>
      <c r="C371" s="4">
        <f>31.2229 * CHOOSE(CONTROL!$C$9, $C$13, 100%, $E$13) + CHOOSE(CONTROL!$C$28, 0.0181, 0)</f>
        <v>31.241</v>
      </c>
      <c r="D371" s="4">
        <f>38.1518 * CHOOSE(CONTROL!$C$9, $C$13, 100%, $E$13) + CHOOSE(CONTROL!$C$28, 0, 0)</f>
        <v>38.151800000000001</v>
      </c>
      <c r="E371" s="4">
        <f>185.461958114303 * CHOOSE(CONTROL!$C$9, $C$13, 100%, $E$13) + CHOOSE(CONTROL!$C$28, 0, 0)</f>
        <v>185.461958114303</v>
      </c>
    </row>
    <row r="372" spans="1:5" ht="15">
      <c r="A372" s="13">
        <v>52840</v>
      </c>
      <c r="B372" s="4">
        <f>32.2455 * CHOOSE(CONTROL!$C$9, $C$13, 100%, $E$13) + CHOOSE(CONTROL!$C$28, 0.0181, 0)</f>
        <v>32.263599999999997</v>
      </c>
      <c r="C372" s="4">
        <f>31.933 * CHOOSE(CONTROL!$C$9, $C$13, 100%, $E$13) + CHOOSE(CONTROL!$C$28, 0.0181, 0)</f>
        <v>31.9511</v>
      </c>
      <c r="D372" s="4">
        <f>37.7599 * CHOOSE(CONTROL!$C$9, $C$13, 100%, $E$13) + CHOOSE(CONTROL!$C$28, 0, 0)</f>
        <v>37.759900000000002</v>
      </c>
      <c r="E372" s="4">
        <f>189.90230566381 * CHOOSE(CONTROL!$C$9, $C$13, 100%, $E$13) + CHOOSE(CONTROL!$C$28, 0, 0)</f>
        <v>189.90230566381001</v>
      </c>
    </row>
    <row r="373" spans="1:5" ht="15">
      <c r="A373" s="13">
        <v>52870</v>
      </c>
      <c r="B373" s="4">
        <f>31.0352 * CHOOSE(CONTROL!$C$9, $C$13, 100%, $E$13) + CHOOSE(CONTROL!$C$28, 0.0181, 0)</f>
        <v>31.0533</v>
      </c>
      <c r="C373" s="4">
        <f>30.7227 * CHOOSE(CONTROL!$C$9, $C$13, 100%, $E$13) + CHOOSE(CONTROL!$C$28, 0.0181, 0)</f>
        <v>30.7408</v>
      </c>
      <c r="D373" s="4">
        <f>37.5747 * CHOOSE(CONTROL!$C$9, $C$13, 100%, $E$13) + CHOOSE(CONTROL!$C$28, 0, 0)</f>
        <v>37.5747</v>
      </c>
      <c r="E373" s="4">
        <f>182.334537248869 * CHOOSE(CONTROL!$C$9, $C$13, 100%, $E$13) + CHOOSE(CONTROL!$C$28, 0, 0)</f>
        <v>182.334537248869</v>
      </c>
    </row>
    <row r="374" spans="1:5" ht="15">
      <c r="A374" s="13">
        <v>52901</v>
      </c>
      <c r="B374" s="4">
        <f>30.0663 * CHOOSE(CONTROL!$C$9, $C$13, 100%, $E$13) + CHOOSE(CONTROL!$C$28, 0.0003, 0)</f>
        <v>30.066599999999998</v>
      </c>
      <c r="C374" s="4">
        <f>29.7538 * CHOOSE(CONTROL!$C$9, $C$13, 100%, $E$13) + CHOOSE(CONTROL!$C$28, 0.0003, 0)</f>
        <v>29.754099999999998</v>
      </c>
      <c r="D374" s="4">
        <f>37.0789 * CHOOSE(CONTROL!$C$9, $C$13, 100%, $E$13) + CHOOSE(CONTROL!$C$28, 0, 0)</f>
        <v>37.078899999999997</v>
      </c>
      <c r="E374" s="4">
        <f>176.276388654193 * CHOOSE(CONTROL!$C$9, $C$13, 100%, $E$13) + CHOOSE(CONTROL!$C$28, 0, 0)</f>
        <v>176.276388654193</v>
      </c>
    </row>
    <row r="375" spans="1:5" ht="15">
      <c r="A375" s="13">
        <v>52931</v>
      </c>
      <c r="B375" s="4">
        <f>29.4423 * CHOOSE(CONTROL!$C$9, $C$13, 100%, $E$13) + CHOOSE(CONTROL!$C$28, 0.0003, 0)</f>
        <v>29.442599999999999</v>
      </c>
      <c r="C375" s="4">
        <f>29.1298 * CHOOSE(CONTROL!$C$9, $C$13, 100%, $E$13) + CHOOSE(CONTROL!$C$28, 0.0003, 0)</f>
        <v>29.130099999999999</v>
      </c>
      <c r="D375" s="4">
        <f>36.9084 * CHOOSE(CONTROL!$C$9, $C$13, 100%, $E$13) + CHOOSE(CONTROL!$C$28, 0, 0)</f>
        <v>36.9084</v>
      </c>
      <c r="E375" s="4">
        <f>172.374488565008 * CHOOSE(CONTROL!$C$9, $C$13, 100%, $E$13) + CHOOSE(CONTROL!$C$28, 0, 0)</f>
        <v>172.37448856500799</v>
      </c>
    </row>
    <row r="376" spans="1:5" ht="15">
      <c r="A376" s="13">
        <v>52962</v>
      </c>
      <c r="B376" s="4">
        <f>29.0106 * CHOOSE(CONTROL!$C$9, $C$13, 100%, $E$13) + CHOOSE(CONTROL!$C$28, 0.0003, 0)</f>
        <v>29.010899999999999</v>
      </c>
      <c r="C376" s="4">
        <f>28.6981 * CHOOSE(CONTROL!$C$9, $C$13, 100%, $E$13) + CHOOSE(CONTROL!$C$28, 0.0003, 0)</f>
        <v>28.698399999999999</v>
      </c>
      <c r="D376" s="4">
        <f>35.6535 * CHOOSE(CONTROL!$C$9, $C$13, 100%, $E$13) + CHOOSE(CONTROL!$C$28, 0, 0)</f>
        <v>35.653500000000001</v>
      </c>
      <c r="E376" s="4">
        <f>169.674875270789 * CHOOSE(CONTROL!$C$9, $C$13, 100%, $E$13) + CHOOSE(CONTROL!$C$28, 0, 0)</f>
        <v>169.67487527078899</v>
      </c>
    </row>
    <row r="377" spans="1:5" ht="15">
      <c r="A377" s="13">
        <v>52993</v>
      </c>
      <c r="B377" s="4">
        <f>28.3091 * CHOOSE(CONTROL!$C$9, $C$13, 100%, $E$13) + CHOOSE(CONTROL!$C$28, 0.0003, 0)</f>
        <v>28.3094</v>
      </c>
      <c r="C377" s="4">
        <f>27.9966 * CHOOSE(CONTROL!$C$9, $C$13, 100%, $E$13) + CHOOSE(CONTROL!$C$28, 0.0003, 0)</f>
        <v>27.9969</v>
      </c>
      <c r="D377" s="4">
        <f>34.5001 * CHOOSE(CONTROL!$C$9, $C$13, 100%, $E$13) + CHOOSE(CONTROL!$C$28, 0, 0)</f>
        <v>34.500100000000003</v>
      </c>
      <c r="E377" s="4">
        <f>164.809246427535 * CHOOSE(CONTROL!$C$9, $C$13, 100%, $E$13) + CHOOSE(CONTROL!$C$28, 0, 0)</f>
        <v>164.80924642753499</v>
      </c>
    </row>
    <row r="378" spans="1:5" ht="15">
      <c r="A378" s="13">
        <v>53021</v>
      </c>
      <c r="B378" s="4">
        <f>28.9367 * CHOOSE(CONTROL!$C$9, $C$13, 100%, $E$13) + CHOOSE(CONTROL!$C$28, 0.0003, 0)</f>
        <v>28.936999999999998</v>
      </c>
      <c r="C378" s="4">
        <f>28.6242 * CHOOSE(CONTROL!$C$9, $C$13, 100%, $E$13) + CHOOSE(CONTROL!$C$28, 0.0003, 0)</f>
        <v>28.624499999999998</v>
      </c>
      <c r="D378" s="4">
        <f>35.6616 * CHOOSE(CONTROL!$C$9, $C$13, 100%, $E$13) + CHOOSE(CONTROL!$C$28, 0, 0)</f>
        <v>35.6616</v>
      </c>
      <c r="E378" s="4">
        <f>168.72246743604 * CHOOSE(CONTROL!$C$9, $C$13, 100%, $E$13) + CHOOSE(CONTROL!$C$28, 0, 0)</f>
        <v>168.72246743604001</v>
      </c>
    </row>
    <row r="379" spans="1:5" ht="15">
      <c r="A379" s="13">
        <v>53052</v>
      </c>
      <c r="B379" s="4">
        <f>30.585 * CHOOSE(CONTROL!$C$9, $C$13, 100%, $E$13) + CHOOSE(CONTROL!$C$28, 0.0003, 0)</f>
        <v>30.5853</v>
      </c>
      <c r="C379" s="4">
        <f>30.2725 * CHOOSE(CONTROL!$C$9, $C$13, 100%, $E$13) + CHOOSE(CONTROL!$C$28, 0.0003, 0)</f>
        <v>30.2728</v>
      </c>
      <c r="D379" s="4">
        <f>37.4798 * CHOOSE(CONTROL!$C$9, $C$13, 100%, $E$13) + CHOOSE(CONTROL!$C$28, 0, 0)</f>
        <v>37.479799999999997</v>
      </c>
      <c r="E379" s="4">
        <f>178.998793765568 * CHOOSE(CONTROL!$C$9, $C$13, 100%, $E$13) + CHOOSE(CONTROL!$C$28, 0, 0)</f>
        <v>178.998793765568</v>
      </c>
    </row>
    <row r="380" spans="1:5" ht="15">
      <c r="A380" s="13">
        <v>53082</v>
      </c>
      <c r="B380" s="4">
        <f>31.7561 * CHOOSE(CONTROL!$C$9, $C$13, 100%, $E$13) + CHOOSE(CONTROL!$C$28, 0.0003, 0)</f>
        <v>31.756399999999999</v>
      </c>
      <c r="C380" s="4">
        <f>31.4436 * CHOOSE(CONTROL!$C$9, $C$13, 100%, $E$13) + CHOOSE(CONTROL!$C$28, 0.0003, 0)</f>
        <v>31.443899999999999</v>
      </c>
      <c r="D380" s="4">
        <f>38.5272 * CHOOSE(CONTROL!$C$9, $C$13, 100%, $E$13) + CHOOSE(CONTROL!$C$28, 0, 0)</f>
        <v>38.527200000000001</v>
      </c>
      <c r="E380" s="4">
        <f>186.300260572752 * CHOOSE(CONTROL!$C$9, $C$13, 100%, $E$13) + CHOOSE(CONTROL!$C$28, 0, 0)</f>
        <v>186.30026057275199</v>
      </c>
    </row>
    <row r="381" spans="1:5" ht="15">
      <c r="A381" s="13">
        <v>53113</v>
      </c>
      <c r="B381" s="4">
        <f>32.4716 * CHOOSE(CONTROL!$C$9, $C$13, 100%, $E$13) + CHOOSE(CONTROL!$C$28, 0.0181, 0)</f>
        <v>32.489699999999999</v>
      </c>
      <c r="C381" s="4">
        <f>32.1591 * CHOOSE(CONTROL!$C$9, $C$13, 100%, $E$13) + CHOOSE(CONTROL!$C$28, 0.0181, 0)</f>
        <v>32.177199999999999</v>
      </c>
      <c r="D381" s="4">
        <f>38.1133 * CHOOSE(CONTROL!$C$9, $C$13, 100%, $E$13) + CHOOSE(CONTROL!$C$28, 0, 0)</f>
        <v>38.113300000000002</v>
      </c>
      <c r="E381" s="4">
        <f>190.761281800205 * CHOOSE(CONTROL!$C$9, $C$13, 100%, $E$13) + CHOOSE(CONTROL!$C$28, 0, 0)</f>
        <v>190.76128180020501</v>
      </c>
    </row>
    <row r="382" spans="1:5" ht="15">
      <c r="A382" s="13">
        <v>53143</v>
      </c>
      <c r="B382" s="4">
        <f>32.5684 * CHOOSE(CONTROL!$C$9, $C$13, 100%, $E$13) + CHOOSE(CONTROL!$C$28, 0.0181, 0)</f>
        <v>32.586499999999994</v>
      </c>
      <c r="C382" s="4">
        <f>32.2559 * CHOOSE(CONTROL!$C$9, $C$13, 100%, $E$13) + CHOOSE(CONTROL!$C$28, 0.0181, 0)</f>
        <v>32.273999999999994</v>
      </c>
      <c r="D382" s="4">
        <f>38.4503 * CHOOSE(CONTROL!$C$9, $C$13, 100%, $E$13) + CHOOSE(CONTROL!$C$28, 0, 0)</f>
        <v>38.450299999999999</v>
      </c>
      <c r="E382" s="4">
        <f>191.364876485898 * CHOOSE(CONTROL!$C$9, $C$13, 100%, $E$13) + CHOOSE(CONTROL!$C$28, 0, 0)</f>
        <v>191.36487648589801</v>
      </c>
    </row>
    <row r="383" spans="1:5" ht="15">
      <c r="A383" s="13">
        <v>53174</v>
      </c>
      <c r="B383" s="4">
        <f>32.5586 * CHOOSE(CONTROL!$C$9, $C$13, 100%, $E$13) + CHOOSE(CONTROL!$C$28, 0.0181, 0)</f>
        <v>32.576699999999995</v>
      </c>
      <c r="C383" s="4">
        <f>32.2461 * CHOOSE(CONTROL!$C$9, $C$13, 100%, $E$13) + CHOOSE(CONTROL!$C$28, 0.0181, 0)</f>
        <v>32.264199999999995</v>
      </c>
      <c r="D383" s="4">
        <f>39.0585 * CHOOSE(CONTROL!$C$9, $C$13, 100%, $E$13) + CHOOSE(CONTROL!$C$28, 0, 0)</f>
        <v>39.058500000000002</v>
      </c>
      <c r="E383" s="4">
        <f>191.304009794904 * CHOOSE(CONTROL!$C$9, $C$13, 100%, $E$13) + CHOOSE(CONTROL!$C$28, 0, 0)</f>
        <v>191.304009794904</v>
      </c>
    </row>
    <row r="384" spans="1:5" ht="15">
      <c r="A384" s="13">
        <v>53205</v>
      </c>
      <c r="B384" s="4">
        <f>33.2933 * CHOOSE(CONTROL!$C$9, $C$13, 100%, $E$13) + CHOOSE(CONTROL!$C$28, 0.0181, 0)</f>
        <v>33.311399999999999</v>
      </c>
      <c r="C384" s="4">
        <f>32.9808 * CHOOSE(CONTROL!$C$9, $C$13, 100%, $E$13) + CHOOSE(CONTROL!$C$28, 0.0181, 0)</f>
        <v>32.998899999999999</v>
      </c>
      <c r="D384" s="4">
        <f>38.6569 * CHOOSE(CONTROL!$C$9, $C$13, 100%, $E$13) + CHOOSE(CONTROL!$C$28, 0, 0)</f>
        <v>38.6569</v>
      </c>
      <c r="E384" s="4">
        <f>195.88422829222 * CHOOSE(CONTROL!$C$9, $C$13, 100%, $E$13) + CHOOSE(CONTROL!$C$28, 0, 0)</f>
        <v>195.88422829222</v>
      </c>
    </row>
    <row r="385" spans="1:5" ht="15">
      <c r="A385" s="13">
        <v>53235</v>
      </c>
      <c r="B385" s="4">
        <f>32.0412 * CHOOSE(CONTROL!$C$9, $C$13, 100%, $E$13) + CHOOSE(CONTROL!$C$28, 0.0181, 0)</f>
        <v>32.0593</v>
      </c>
      <c r="C385" s="4">
        <f>31.7287 * CHOOSE(CONTROL!$C$9, $C$13, 100%, $E$13) + CHOOSE(CONTROL!$C$28, 0.0181, 0)</f>
        <v>31.7468</v>
      </c>
      <c r="D385" s="4">
        <f>38.4671 * CHOOSE(CONTROL!$C$9, $C$13, 100%, $E$13) + CHOOSE(CONTROL!$C$28, 0, 0)</f>
        <v>38.467100000000002</v>
      </c>
      <c r="E385" s="4">
        <f>188.078075172209 * CHOOSE(CONTROL!$C$9, $C$13, 100%, $E$13) + CHOOSE(CONTROL!$C$28, 0, 0)</f>
        <v>188.078075172209</v>
      </c>
    </row>
    <row r="386" spans="1:5" ht="15">
      <c r="A386" s="13">
        <v>53266</v>
      </c>
      <c r="B386" s="4">
        <f>31.0389 * CHOOSE(CONTROL!$C$9, $C$13, 100%, $E$13) + CHOOSE(CONTROL!$C$28, 0.0003, 0)</f>
        <v>31.039200000000001</v>
      </c>
      <c r="C386" s="4">
        <f>30.7264 * CHOOSE(CONTROL!$C$9, $C$13, 100%, $E$13) + CHOOSE(CONTROL!$C$28, 0.0003, 0)</f>
        <v>30.726700000000001</v>
      </c>
      <c r="D386" s="4">
        <f>37.959 * CHOOSE(CONTROL!$C$9, $C$13, 100%, $E$13) + CHOOSE(CONTROL!$C$28, 0, 0)</f>
        <v>37.959000000000003</v>
      </c>
      <c r="E386" s="4">
        <f>181.8290948968 * CHOOSE(CONTROL!$C$9, $C$13, 100%, $E$13) + CHOOSE(CONTROL!$C$28, 0, 0)</f>
        <v>181.8290948968</v>
      </c>
    </row>
    <row r="387" spans="1:5" ht="15">
      <c r="A387" s="13">
        <v>53296</v>
      </c>
      <c r="B387" s="4">
        <f>30.3934 * CHOOSE(CONTROL!$C$9, $C$13, 100%, $E$13) + CHOOSE(CONTROL!$C$28, 0.0003, 0)</f>
        <v>30.393699999999999</v>
      </c>
      <c r="C387" s="4">
        <f>30.0809 * CHOOSE(CONTROL!$C$9, $C$13, 100%, $E$13) + CHOOSE(CONTROL!$C$28, 0.0003, 0)</f>
        <v>30.081199999999999</v>
      </c>
      <c r="D387" s="4">
        <f>37.7843 * CHOOSE(CONTROL!$C$9, $C$13, 100%, $E$13) + CHOOSE(CONTROL!$C$28, 0, 0)</f>
        <v>37.784300000000002</v>
      </c>
      <c r="E387" s="4">
        <f>177.804284954806 * CHOOSE(CONTROL!$C$9, $C$13, 100%, $E$13) + CHOOSE(CONTROL!$C$28, 0, 0)</f>
        <v>177.80428495480601</v>
      </c>
    </row>
    <row r="388" spans="1:5" ht="15">
      <c r="A388" s="13">
        <v>53327</v>
      </c>
      <c r="B388" s="4">
        <f>29.9467 * CHOOSE(CONTROL!$C$9, $C$13, 100%, $E$13) + CHOOSE(CONTROL!$C$28, 0.0003, 0)</f>
        <v>29.946999999999999</v>
      </c>
      <c r="C388" s="4">
        <f>29.6342 * CHOOSE(CONTROL!$C$9, $C$13, 100%, $E$13) + CHOOSE(CONTROL!$C$28, 0.0003, 0)</f>
        <v>29.634499999999999</v>
      </c>
      <c r="D388" s="4">
        <f>36.4982 * CHOOSE(CONTROL!$C$9, $C$13, 100%, $E$13) + CHOOSE(CONTROL!$C$28, 0, 0)</f>
        <v>36.498199999999997</v>
      </c>
      <c r="E388" s="4">
        <f>175.019633841819 * CHOOSE(CONTROL!$C$9, $C$13, 100%, $E$13) + CHOOSE(CONTROL!$C$28, 0, 0)</f>
        <v>175.019633841819</v>
      </c>
    </row>
    <row r="389" spans="1:5" ht="15">
      <c r="A389" s="13">
        <v>53358</v>
      </c>
      <c r="B389" s="4">
        <f>29.2211 * CHOOSE(CONTROL!$C$9, $C$13, 100%, $E$13) + CHOOSE(CONTROL!$C$28, 0.0003, 0)</f>
        <v>29.221399999999999</v>
      </c>
      <c r="C389" s="4">
        <f>28.9086 * CHOOSE(CONTROL!$C$9, $C$13, 100%, $E$13) + CHOOSE(CONTROL!$C$28, 0.0003, 0)</f>
        <v>28.908899999999999</v>
      </c>
      <c r="D389" s="4">
        <f>35.3162 * CHOOSE(CONTROL!$C$9, $C$13, 100%, $E$13) + CHOOSE(CONTROL!$C$28, 0, 0)</f>
        <v>35.316200000000002</v>
      </c>
      <c r="E389" s="4">
        <f>170.000737690002 * CHOOSE(CONTROL!$C$9, $C$13, 100%, $E$13) + CHOOSE(CONTROL!$C$28, 0, 0)</f>
        <v>170.00073769000201</v>
      </c>
    </row>
    <row r="390" spans="1:5" ht="15">
      <c r="A390" s="13">
        <v>53386</v>
      </c>
      <c r="B390" s="4">
        <f>29.8704 * CHOOSE(CONTROL!$C$9, $C$13, 100%, $E$13) + CHOOSE(CONTROL!$C$28, 0.0003, 0)</f>
        <v>29.870699999999999</v>
      </c>
      <c r="C390" s="4">
        <f>29.5579 * CHOOSE(CONTROL!$C$9, $C$13, 100%, $E$13) + CHOOSE(CONTROL!$C$28, 0.0003, 0)</f>
        <v>29.558199999999999</v>
      </c>
      <c r="D390" s="4">
        <f>36.5065 * CHOOSE(CONTROL!$C$9, $C$13, 100%, $E$13) + CHOOSE(CONTROL!$C$28, 0, 0)</f>
        <v>36.506500000000003</v>
      </c>
      <c r="E390" s="4">
        <f>174.037225160275 * CHOOSE(CONTROL!$C$9, $C$13, 100%, $E$13) + CHOOSE(CONTROL!$C$28, 0, 0)</f>
        <v>174.037225160275</v>
      </c>
    </row>
    <row r="391" spans="1:5" ht="15">
      <c r="A391" s="13">
        <v>53417</v>
      </c>
      <c r="B391" s="4">
        <f>31.5755 * CHOOSE(CONTROL!$C$9, $C$13, 100%, $E$13) + CHOOSE(CONTROL!$C$28, 0.0003, 0)</f>
        <v>31.575800000000001</v>
      </c>
      <c r="C391" s="4">
        <f>31.263 * CHOOSE(CONTROL!$C$9, $C$13, 100%, $E$13) + CHOOSE(CONTROL!$C$28, 0.0003, 0)</f>
        <v>31.263300000000001</v>
      </c>
      <c r="D391" s="4">
        <f>38.3698 * CHOOSE(CONTROL!$C$9, $C$13, 100%, $E$13) + CHOOSE(CONTROL!$C$28, 0, 0)</f>
        <v>38.369799999999998</v>
      </c>
      <c r="E391" s="4">
        <f>184.637255769183 * CHOOSE(CONTROL!$C$9, $C$13, 100%, $E$13) + CHOOSE(CONTROL!$C$28, 0, 0)</f>
        <v>184.63725576918301</v>
      </c>
    </row>
    <row r="392" spans="1:5" ht="15">
      <c r="A392" s="13">
        <v>53447</v>
      </c>
      <c r="B392" s="4">
        <f>32.787 * CHOOSE(CONTROL!$C$9, $C$13, 100%, $E$13) + CHOOSE(CONTROL!$C$28, 0.0003, 0)</f>
        <v>32.787300000000002</v>
      </c>
      <c r="C392" s="4">
        <f>32.4745 * CHOOSE(CONTROL!$C$9, $C$13, 100%, $E$13) + CHOOSE(CONTROL!$C$28, 0.0003, 0)</f>
        <v>32.474800000000002</v>
      </c>
      <c r="D392" s="4">
        <f>39.4432 * CHOOSE(CONTROL!$C$9, $C$13, 100%, $E$13) + CHOOSE(CONTROL!$C$28, 0, 0)</f>
        <v>39.443199999999997</v>
      </c>
      <c r="E392" s="4">
        <f>192.168718780794 * CHOOSE(CONTROL!$C$9, $C$13, 100%, $E$13) + CHOOSE(CONTROL!$C$28, 0, 0)</f>
        <v>192.16871878079399</v>
      </c>
    </row>
    <row r="393" spans="1:5" ht="15">
      <c r="A393" s="13">
        <v>53478</v>
      </c>
      <c r="B393" s="4">
        <f>33.5272 * CHOOSE(CONTROL!$C$9, $C$13, 100%, $E$13) + CHOOSE(CONTROL!$C$28, 0.0181, 0)</f>
        <v>33.545299999999997</v>
      </c>
      <c r="C393" s="4">
        <f>33.2147 * CHOOSE(CONTROL!$C$9, $C$13, 100%, $E$13) + CHOOSE(CONTROL!$C$28, 0.0181, 0)</f>
        <v>33.232799999999997</v>
      </c>
      <c r="D393" s="4">
        <f>39.019 * CHOOSE(CONTROL!$C$9, $C$13, 100%, $E$13) + CHOOSE(CONTROL!$C$28, 0, 0)</f>
        <v>39.018999999999998</v>
      </c>
      <c r="E393" s="4">
        <f>196.770262176911 * CHOOSE(CONTROL!$C$9, $C$13, 100%, $E$13) + CHOOSE(CONTROL!$C$28, 0, 0)</f>
        <v>196.77026217691099</v>
      </c>
    </row>
    <row r="394" spans="1:5" ht="15">
      <c r="A394" s="13">
        <v>53508</v>
      </c>
      <c r="B394" s="4">
        <f>33.6273 * CHOOSE(CONTROL!$C$9, $C$13, 100%, $E$13) + CHOOSE(CONTROL!$C$28, 0.0181, 0)</f>
        <v>33.645399999999995</v>
      </c>
      <c r="C394" s="4">
        <f>33.3148 * CHOOSE(CONTROL!$C$9, $C$13, 100%, $E$13) + CHOOSE(CONTROL!$C$28, 0.0181, 0)</f>
        <v>33.332899999999995</v>
      </c>
      <c r="D394" s="4">
        <f>39.3645 * CHOOSE(CONTROL!$C$9, $C$13, 100%, $E$13) + CHOOSE(CONTROL!$C$28, 0, 0)</f>
        <v>39.3645</v>
      </c>
      <c r="E394" s="4">
        <f>197.392870095204 * CHOOSE(CONTROL!$C$9, $C$13, 100%, $E$13) + CHOOSE(CONTROL!$C$28, 0, 0)</f>
        <v>197.39287009520399</v>
      </c>
    </row>
    <row r="395" spans="1:5" ht="15">
      <c r="A395" s="13">
        <v>53539</v>
      </c>
      <c r="B395" s="4">
        <f>33.6172 * CHOOSE(CONTROL!$C$9, $C$13, 100%, $E$13) + CHOOSE(CONTROL!$C$28, 0.0181, 0)</f>
        <v>33.635299999999994</v>
      </c>
      <c r="C395" s="4">
        <f>33.3047 * CHOOSE(CONTROL!$C$9, $C$13, 100%, $E$13) + CHOOSE(CONTROL!$C$28, 0.0181, 0)</f>
        <v>33.322799999999994</v>
      </c>
      <c r="D395" s="4">
        <f>39.9877 * CHOOSE(CONTROL!$C$9, $C$13, 100%, $E$13) + CHOOSE(CONTROL!$C$28, 0, 0)</f>
        <v>39.987699999999997</v>
      </c>
      <c r="E395" s="4">
        <f>197.330086103443 * CHOOSE(CONTROL!$C$9, $C$13, 100%, $E$13) + CHOOSE(CONTROL!$C$28, 0, 0)</f>
        <v>197.33008610344299</v>
      </c>
    </row>
    <row r="396" spans="1:5" ht="15">
      <c r="A396" s="13">
        <v>53570</v>
      </c>
      <c r="B396" s="4">
        <f>34.3772 * CHOOSE(CONTROL!$C$9, $C$13, 100%, $E$13) + CHOOSE(CONTROL!$C$28, 0.0181, 0)</f>
        <v>34.395299999999999</v>
      </c>
      <c r="C396" s="4">
        <f>34.0647 * CHOOSE(CONTROL!$C$9, $C$13, 100%, $E$13) + CHOOSE(CONTROL!$C$28, 0.0181, 0)</f>
        <v>34.082799999999999</v>
      </c>
      <c r="D396" s="4">
        <f>39.5761 * CHOOSE(CONTROL!$C$9, $C$13, 100%, $E$13) + CHOOSE(CONTROL!$C$28, 0, 0)</f>
        <v>39.576099999999997</v>
      </c>
      <c r="E396" s="4">
        <f>202.054581483425 * CHOOSE(CONTROL!$C$9, $C$13, 100%, $E$13) + CHOOSE(CONTROL!$C$28, 0, 0)</f>
        <v>202.05458148342501</v>
      </c>
    </row>
    <row r="397" spans="1:5" ht="15">
      <c r="A397" s="13">
        <v>53600</v>
      </c>
      <c r="B397" s="4">
        <f>33.082 * CHOOSE(CONTROL!$C$9, $C$13, 100%, $E$13) + CHOOSE(CONTROL!$C$28, 0.0181, 0)</f>
        <v>33.100099999999998</v>
      </c>
      <c r="C397" s="4">
        <f>32.7695 * CHOOSE(CONTROL!$C$9, $C$13, 100%, $E$13) + CHOOSE(CONTROL!$C$28, 0.0181, 0)</f>
        <v>32.787599999999998</v>
      </c>
      <c r="D397" s="4">
        <f>39.3816 * CHOOSE(CONTROL!$C$9, $C$13, 100%, $E$13) + CHOOSE(CONTROL!$C$28, 0, 0)</f>
        <v>39.381599999999999</v>
      </c>
      <c r="E397" s="4">
        <f>194.002534540133 * CHOOSE(CONTROL!$C$9, $C$13, 100%, $E$13) + CHOOSE(CONTROL!$C$28, 0, 0)</f>
        <v>194.00253454013301</v>
      </c>
    </row>
    <row r="398" spans="1:5" ht="15">
      <c r="A398" s="13">
        <v>53631</v>
      </c>
      <c r="B398" s="4">
        <f>32.0451 * CHOOSE(CONTROL!$C$9, $C$13, 100%, $E$13) + CHOOSE(CONTROL!$C$28, 0.0003, 0)</f>
        <v>32.045400000000001</v>
      </c>
      <c r="C398" s="4">
        <f>31.7326 * CHOOSE(CONTROL!$C$9, $C$13, 100%, $E$13) + CHOOSE(CONTROL!$C$28, 0.0003, 0)</f>
        <v>31.732900000000001</v>
      </c>
      <c r="D398" s="4">
        <f>38.8609 * CHOOSE(CONTROL!$C$9, $C$13, 100%, $E$13) + CHOOSE(CONTROL!$C$28, 0, 0)</f>
        <v>38.860900000000001</v>
      </c>
      <c r="E398" s="4">
        <f>187.556711386049 * CHOOSE(CONTROL!$C$9, $C$13, 100%, $E$13) + CHOOSE(CONTROL!$C$28, 0, 0)</f>
        <v>187.55671138604899</v>
      </c>
    </row>
    <row r="399" spans="1:5" ht="15">
      <c r="A399" s="13">
        <v>53661</v>
      </c>
      <c r="B399" s="4">
        <f>31.3773 * CHOOSE(CONTROL!$C$9, $C$13, 100%, $E$13) + CHOOSE(CONTROL!$C$28, 0.0003, 0)</f>
        <v>31.377600000000001</v>
      </c>
      <c r="C399" s="4">
        <f>31.0648 * CHOOSE(CONTROL!$C$9, $C$13, 100%, $E$13) + CHOOSE(CONTROL!$C$28, 0.0003, 0)</f>
        <v>31.065100000000001</v>
      </c>
      <c r="D399" s="4">
        <f>38.6819 * CHOOSE(CONTROL!$C$9, $C$13, 100%, $E$13) + CHOOSE(CONTROL!$C$28, 0, 0)</f>
        <v>38.681899999999999</v>
      </c>
      <c r="E399" s="4">
        <f>183.405119930882 * CHOOSE(CONTROL!$C$9, $C$13, 100%, $E$13) + CHOOSE(CONTROL!$C$28, 0, 0)</f>
        <v>183.40511993088199</v>
      </c>
    </row>
    <row r="400" spans="1:5" ht="15">
      <c r="A400" s="13">
        <v>53692</v>
      </c>
      <c r="B400" s="4">
        <f>30.9152 * CHOOSE(CONTROL!$C$9, $C$13, 100%, $E$13) + CHOOSE(CONTROL!$C$28, 0.0003, 0)</f>
        <v>30.915499999999998</v>
      </c>
      <c r="C400" s="4">
        <f>30.6027 * CHOOSE(CONTROL!$C$9, $C$13, 100%, $E$13) + CHOOSE(CONTROL!$C$28, 0.0003, 0)</f>
        <v>30.602999999999998</v>
      </c>
      <c r="D400" s="4">
        <f>37.3639 * CHOOSE(CONTROL!$C$9, $C$13, 100%, $E$13) + CHOOSE(CONTROL!$C$28, 0, 0)</f>
        <v>37.363900000000001</v>
      </c>
      <c r="E400" s="4">
        <f>180.532752307836 * CHOOSE(CONTROL!$C$9, $C$13, 100%, $E$13) + CHOOSE(CONTROL!$C$28, 0, 0)</f>
        <v>180.53275230783601</v>
      </c>
    </row>
    <row r="401" spans="1:5" ht="15">
      <c r="A401" s="13">
        <v>53723</v>
      </c>
      <c r="B401" s="4">
        <f>30.1645 * CHOOSE(CONTROL!$C$9, $C$13, 100%, $E$13) + CHOOSE(CONTROL!$C$28, 0.0003, 0)</f>
        <v>30.1648</v>
      </c>
      <c r="C401" s="4">
        <f>29.852 * CHOOSE(CONTROL!$C$9, $C$13, 100%, $E$13) + CHOOSE(CONTROL!$C$28, 0.0003, 0)</f>
        <v>29.8523</v>
      </c>
      <c r="D401" s="4">
        <f>36.1526 * CHOOSE(CONTROL!$C$9, $C$13, 100%, $E$13) + CHOOSE(CONTROL!$C$28, 0, 0)</f>
        <v>36.1526</v>
      </c>
      <c r="E401" s="4">
        <f>175.355760927237 * CHOOSE(CONTROL!$C$9, $C$13, 100%, $E$13) + CHOOSE(CONTROL!$C$28, 0, 0)</f>
        <v>175.35576092723699</v>
      </c>
    </row>
    <row r="402" spans="1:5" ht="15">
      <c r="A402" s="13">
        <v>53751</v>
      </c>
      <c r="B402" s="4">
        <f>30.8362 * CHOOSE(CONTROL!$C$9, $C$13, 100%, $E$13) + CHOOSE(CONTROL!$C$28, 0.0003, 0)</f>
        <v>30.836500000000001</v>
      </c>
      <c r="C402" s="4">
        <f>30.5237 * CHOOSE(CONTROL!$C$9, $C$13, 100%, $E$13) + CHOOSE(CONTROL!$C$28, 0.0003, 0)</f>
        <v>30.524000000000001</v>
      </c>
      <c r="D402" s="4">
        <f>37.3724 * CHOOSE(CONTROL!$C$9, $C$13, 100%, $E$13) + CHOOSE(CONTROL!$C$28, 0, 0)</f>
        <v>37.372399999999999</v>
      </c>
      <c r="E402" s="4">
        <f>179.519397752824 * CHOOSE(CONTROL!$C$9, $C$13, 100%, $E$13) + CHOOSE(CONTROL!$C$28, 0, 0)</f>
        <v>179.51939775282401</v>
      </c>
    </row>
    <row r="403" spans="1:5" ht="15">
      <c r="A403" s="13">
        <v>53782</v>
      </c>
      <c r="B403" s="4">
        <f>32.6001 * CHOOSE(CONTROL!$C$9, $C$13, 100%, $E$13) + CHOOSE(CONTROL!$C$28, 0.0003, 0)</f>
        <v>32.6004</v>
      </c>
      <c r="C403" s="4">
        <f>32.2876 * CHOOSE(CONTROL!$C$9, $C$13, 100%, $E$13) + CHOOSE(CONTROL!$C$28, 0.0003, 0)</f>
        <v>32.2879</v>
      </c>
      <c r="D403" s="4">
        <f>39.282 * CHOOSE(CONTROL!$C$9, $C$13, 100%, $E$13) + CHOOSE(CONTROL!$C$28, 0, 0)</f>
        <v>39.281999999999996</v>
      </c>
      <c r="E403" s="4">
        <f>190.453329325912 * CHOOSE(CONTROL!$C$9, $C$13, 100%, $E$13) + CHOOSE(CONTROL!$C$28, 0, 0)</f>
        <v>190.45332932591199</v>
      </c>
    </row>
    <row r="404" spans="1:5" ht="15">
      <c r="A404" s="13">
        <v>53812</v>
      </c>
      <c r="B404" s="4">
        <f>33.8534 * CHOOSE(CONTROL!$C$9, $C$13, 100%, $E$13) + CHOOSE(CONTROL!$C$28, 0.0003, 0)</f>
        <v>33.853700000000003</v>
      </c>
      <c r="C404" s="4">
        <f>33.5409 * CHOOSE(CONTROL!$C$9, $C$13, 100%, $E$13) + CHOOSE(CONTROL!$C$28, 0.0003, 0)</f>
        <v>33.541200000000003</v>
      </c>
      <c r="D404" s="4">
        <f>40.3819 * CHOOSE(CONTROL!$C$9, $C$13, 100%, $E$13) + CHOOSE(CONTROL!$C$28, 0, 0)</f>
        <v>40.381900000000002</v>
      </c>
      <c r="E404" s="4">
        <f>198.222033422389 * CHOOSE(CONTROL!$C$9, $C$13, 100%, $E$13) + CHOOSE(CONTROL!$C$28, 0, 0)</f>
        <v>198.22203342238899</v>
      </c>
    </row>
    <row r="405" spans="1:5" ht="15">
      <c r="A405" s="13">
        <v>53843</v>
      </c>
      <c r="B405" s="4">
        <f>34.6192 * CHOOSE(CONTROL!$C$9, $C$13, 100%, $E$13) + CHOOSE(CONTROL!$C$28, 0.0181, 0)</f>
        <v>34.637299999999996</v>
      </c>
      <c r="C405" s="4">
        <f>34.3067 * CHOOSE(CONTROL!$C$9, $C$13, 100%, $E$13) + CHOOSE(CONTROL!$C$28, 0.0181, 0)</f>
        <v>34.324799999999996</v>
      </c>
      <c r="D405" s="4">
        <f>39.9473 * CHOOSE(CONTROL!$C$9, $C$13, 100%, $E$13) + CHOOSE(CONTROL!$C$28, 0, 0)</f>
        <v>39.947299999999998</v>
      </c>
      <c r="E405" s="4">
        <f>202.968525435484 * CHOOSE(CONTROL!$C$9, $C$13, 100%, $E$13) + CHOOSE(CONTROL!$C$28, 0, 0)</f>
        <v>202.968525435484</v>
      </c>
    </row>
    <row r="406" spans="1:5" ht="15">
      <c r="A406" s="13">
        <v>53873</v>
      </c>
      <c r="B406" s="4">
        <f>34.7228 * CHOOSE(CONTROL!$C$9, $C$13, 100%, $E$13) + CHOOSE(CONTROL!$C$28, 0.0181, 0)</f>
        <v>34.740899999999996</v>
      </c>
      <c r="C406" s="4">
        <f>34.4103 * CHOOSE(CONTROL!$C$9, $C$13, 100%, $E$13) + CHOOSE(CONTROL!$C$28, 0.0181, 0)</f>
        <v>34.428399999999996</v>
      </c>
      <c r="D406" s="4">
        <f>40.3012 * CHOOSE(CONTROL!$C$9, $C$13, 100%, $E$13) + CHOOSE(CONTROL!$C$28, 0, 0)</f>
        <v>40.301200000000001</v>
      </c>
      <c r="E406" s="4">
        <f>203.610745503203 * CHOOSE(CONTROL!$C$9, $C$13, 100%, $E$13) + CHOOSE(CONTROL!$C$28, 0, 0)</f>
        <v>203.61074550320299</v>
      </c>
    </row>
    <row r="407" spans="1:5" ht="15">
      <c r="A407" s="13">
        <v>53904</v>
      </c>
      <c r="B407" s="4">
        <f>34.7123 * CHOOSE(CONTROL!$C$9, $C$13, 100%, $E$13) + CHOOSE(CONTROL!$C$28, 0.0181, 0)</f>
        <v>34.730399999999996</v>
      </c>
      <c r="C407" s="4">
        <f>34.3998 * CHOOSE(CONTROL!$C$9, $C$13, 100%, $E$13) + CHOOSE(CONTROL!$C$28, 0.0181, 0)</f>
        <v>34.417899999999996</v>
      </c>
      <c r="D407" s="4">
        <f>40.94 * CHOOSE(CONTROL!$C$9, $C$13, 100%, $E$13) + CHOOSE(CONTROL!$C$28, 0, 0)</f>
        <v>40.94</v>
      </c>
      <c r="E407" s="4">
        <f>203.545983815702 * CHOOSE(CONTROL!$C$9, $C$13, 100%, $E$13) + CHOOSE(CONTROL!$C$28, 0, 0)</f>
        <v>203.54598381570199</v>
      </c>
    </row>
    <row r="408" spans="1:5" ht="15">
      <c r="A408" s="13">
        <v>53935</v>
      </c>
      <c r="B408" s="4">
        <f>35.4985 * CHOOSE(CONTROL!$C$9, $C$13, 100%, $E$13) + CHOOSE(CONTROL!$C$28, 0.0181, 0)</f>
        <v>35.516599999999997</v>
      </c>
      <c r="C408" s="4">
        <f>35.186 * CHOOSE(CONTROL!$C$9, $C$13, 100%, $E$13) + CHOOSE(CONTROL!$C$28, 0.0181, 0)</f>
        <v>35.204099999999997</v>
      </c>
      <c r="D408" s="4">
        <f>40.5182 * CHOOSE(CONTROL!$C$9, $C$13, 100%, $E$13) + CHOOSE(CONTROL!$C$28, 0, 0)</f>
        <v>40.5182</v>
      </c>
      <c r="E408" s="4">
        <f>208.419300800153 * CHOOSE(CONTROL!$C$9, $C$13, 100%, $E$13) + CHOOSE(CONTROL!$C$28, 0, 0)</f>
        <v>208.419300800153</v>
      </c>
    </row>
    <row r="409" spans="1:5" ht="15">
      <c r="A409" s="13">
        <v>53965</v>
      </c>
      <c r="B409" s="4">
        <f>34.1586 * CHOOSE(CONTROL!$C$9, $C$13, 100%, $E$13) + CHOOSE(CONTROL!$C$28, 0.0181, 0)</f>
        <v>34.176699999999997</v>
      </c>
      <c r="C409" s="4">
        <f>33.8461 * CHOOSE(CONTROL!$C$9, $C$13, 100%, $E$13) + CHOOSE(CONTROL!$C$28, 0.0181, 0)</f>
        <v>33.864199999999997</v>
      </c>
      <c r="D409" s="4">
        <f>40.3189 * CHOOSE(CONTROL!$C$9, $C$13, 100%, $E$13) + CHOOSE(CONTROL!$C$28, 0, 0)</f>
        <v>40.318899999999999</v>
      </c>
      <c r="E409" s="4">
        <f>200.113614378148 * CHOOSE(CONTROL!$C$9, $C$13, 100%, $E$13) + CHOOSE(CONTROL!$C$28, 0, 0)</f>
        <v>200.11361437814799</v>
      </c>
    </row>
    <row r="410" spans="1:5" ht="15">
      <c r="A410" s="13">
        <v>53996</v>
      </c>
      <c r="B410" s="4">
        <f>33.086 * CHOOSE(CONTROL!$C$9, $C$13, 100%, $E$13) + CHOOSE(CONTROL!$C$28, 0.0003, 0)</f>
        <v>33.086300000000001</v>
      </c>
      <c r="C410" s="4">
        <f>32.7735 * CHOOSE(CONTROL!$C$9, $C$13, 100%, $E$13) + CHOOSE(CONTROL!$C$28, 0.0003, 0)</f>
        <v>32.773800000000001</v>
      </c>
      <c r="D410" s="4">
        <f>39.7852 * CHOOSE(CONTROL!$C$9, $C$13, 100%, $E$13) + CHOOSE(CONTROL!$C$28, 0, 0)</f>
        <v>39.785200000000003</v>
      </c>
      <c r="E410" s="4">
        <f>193.46474779471 * CHOOSE(CONTROL!$C$9, $C$13, 100%, $E$13) + CHOOSE(CONTROL!$C$28, 0, 0)</f>
        <v>193.46474779471001</v>
      </c>
    </row>
    <row r="411" spans="1:5" ht="15">
      <c r="A411" s="13">
        <v>54026</v>
      </c>
      <c r="B411" s="4">
        <f>32.3951 * CHOOSE(CONTROL!$C$9, $C$13, 100%, $E$13) + CHOOSE(CONTROL!$C$28, 0.0003, 0)</f>
        <v>32.395400000000002</v>
      </c>
      <c r="C411" s="4">
        <f>32.0826 * CHOOSE(CONTROL!$C$9, $C$13, 100%, $E$13) + CHOOSE(CONTROL!$C$28, 0.0003, 0)</f>
        <v>32.082900000000002</v>
      </c>
      <c r="D411" s="4">
        <f>39.6018 * CHOOSE(CONTROL!$C$9, $C$13, 100%, $E$13) + CHOOSE(CONTROL!$C$28, 0, 0)</f>
        <v>39.601799999999997</v>
      </c>
      <c r="E411" s="4">
        <f>189.182381208705 * CHOOSE(CONTROL!$C$9, $C$13, 100%, $E$13) + CHOOSE(CONTROL!$C$28, 0, 0)</f>
        <v>189.18238120870501</v>
      </c>
    </row>
    <row r="412" spans="1:5" ht="15">
      <c r="A412" s="13">
        <v>54057</v>
      </c>
      <c r="B412" s="4">
        <f>31.9171 * CHOOSE(CONTROL!$C$9, $C$13, 100%, $E$13) + CHOOSE(CONTROL!$C$28, 0.0003, 0)</f>
        <v>31.917400000000001</v>
      </c>
      <c r="C412" s="4">
        <f>31.6046 * CHOOSE(CONTROL!$C$9, $C$13, 100%, $E$13) + CHOOSE(CONTROL!$C$28, 0.0003, 0)</f>
        <v>31.604900000000001</v>
      </c>
      <c r="D412" s="4">
        <f>38.2511 * CHOOSE(CONTROL!$C$9, $C$13, 100%, $E$13) + CHOOSE(CONTROL!$C$28, 0, 0)</f>
        <v>38.251100000000001</v>
      </c>
      <c r="E412" s="4">
        <f>186.219534005533 * CHOOSE(CONTROL!$C$9, $C$13, 100%, $E$13) + CHOOSE(CONTROL!$C$28, 0, 0)</f>
        <v>186.21953400553301</v>
      </c>
    </row>
    <row r="413" spans="1:5" ht="15">
      <c r="A413" s="13">
        <v>54088</v>
      </c>
      <c r="B413" s="4">
        <f>31.1405 * CHOOSE(CONTROL!$C$9, $C$13, 100%, $E$13) + CHOOSE(CONTROL!$C$28, 0.0003, 0)</f>
        <v>31.140799999999999</v>
      </c>
      <c r="C413" s="4">
        <f>30.828 * CHOOSE(CONTROL!$C$9, $C$13, 100%, $E$13) + CHOOSE(CONTROL!$C$28, 0.0003, 0)</f>
        <v>30.828299999999999</v>
      </c>
      <c r="D413" s="4">
        <f>37.0097 * CHOOSE(CONTROL!$C$9, $C$13, 100%, $E$13) + CHOOSE(CONTROL!$C$28, 0, 0)</f>
        <v>37.009700000000002</v>
      </c>
      <c r="E413" s="4">
        <f>180.879467396445 * CHOOSE(CONTROL!$C$9, $C$13, 100%, $E$13) + CHOOSE(CONTROL!$C$28, 0, 0)</f>
        <v>180.87946739644499</v>
      </c>
    </row>
    <row r="414" spans="1:5" ht="15">
      <c r="A414" s="13">
        <v>54116</v>
      </c>
      <c r="B414" s="4">
        <f>31.8354 * CHOOSE(CONTROL!$C$9, $C$13, 100%, $E$13) + CHOOSE(CONTROL!$C$28, 0.0003, 0)</f>
        <v>31.835699999999999</v>
      </c>
      <c r="C414" s="4">
        <f>31.5229 * CHOOSE(CONTROL!$C$9, $C$13, 100%, $E$13) + CHOOSE(CONTROL!$C$28, 0.0003, 0)</f>
        <v>31.523199999999999</v>
      </c>
      <c r="D414" s="4">
        <f>38.2598 * CHOOSE(CONTROL!$C$9, $C$13, 100%, $E$13) + CHOOSE(CONTROL!$C$28, 0, 0)</f>
        <v>38.259799999999998</v>
      </c>
      <c r="E414" s="4">
        <f>185.174258782038 * CHOOSE(CONTROL!$C$9, $C$13, 100%, $E$13) + CHOOSE(CONTROL!$C$28, 0, 0)</f>
        <v>185.17425878203801</v>
      </c>
    </row>
    <row r="415" spans="1:5" ht="15">
      <c r="A415" s="13">
        <v>54148</v>
      </c>
      <c r="B415" s="4">
        <f>33.6602 * CHOOSE(CONTROL!$C$9, $C$13, 100%, $E$13) + CHOOSE(CONTROL!$C$28, 0.0003, 0)</f>
        <v>33.660500000000006</v>
      </c>
      <c r="C415" s="4">
        <f>33.3477 * CHOOSE(CONTROL!$C$9, $C$13, 100%, $E$13) + CHOOSE(CONTROL!$C$28, 0.0003, 0)</f>
        <v>33.348000000000006</v>
      </c>
      <c r="D415" s="4">
        <f>40.2167 * CHOOSE(CONTROL!$C$9, $C$13, 100%, $E$13) + CHOOSE(CONTROL!$C$28, 0, 0)</f>
        <v>40.216700000000003</v>
      </c>
      <c r="E415" s="4">
        <f>196.452609199679 * CHOOSE(CONTROL!$C$9, $C$13, 100%, $E$13) + CHOOSE(CONTROL!$C$28, 0, 0)</f>
        <v>196.45260919967899</v>
      </c>
    </row>
    <row r="416" spans="1:5" ht="15">
      <c r="A416" s="13">
        <v>54178</v>
      </c>
      <c r="B416" s="4">
        <f>34.9567 * CHOOSE(CONTROL!$C$9, $C$13, 100%, $E$13) + CHOOSE(CONTROL!$C$28, 0.0003, 0)</f>
        <v>34.957000000000001</v>
      </c>
      <c r="C416" s="4">
        <f>34.6442 * CHOOSE(CONTROL!$C$9, $C$13, 100%, $E$13) + CHOOSE(CONTROL!$C$28, 0.0003, 0)</f>
        <v>34.644500000000001</v>
      </c>
      <c r="D416" s="4">
        <f>41.3439 * CHOOSE(CONTROL!$C$9, $C$13, 100%, $E$13) + CHOOSE(CONTROL!$C$28, 0, 0)</f>
        <v>41.343899999999998</v>
      </c>
      <c r="E416" s="4">
        <f>204.466027475194 * CHOOSE(CONTROL!$C$9, $C$13, 100%, $E$13) + CHOOSE(CONTROL!$C$28, 0, 0)</f>
        <v>204.46602747519401</v>
      </c>
    </row>
    <row r="417" spans="1:5" ht="15">
      <c r="A417" s="13">
        <v>54209</v>
      </c>
      <c r="B417" s="4">
        <f>35.7488 * CHOOSE(CONTROL!$C$9, $C$13, 100%, $E$13) + CHOOSE(CONTROL!$C$28, 0.0181, 0)</f>
        <v>35.7669</v>
      </c>
      <c r="C417" s="4">
        <f>35.4363 * CHOOSE(CONTROL!$C$9, $C$13, 100%, $E$13) + CHOOSE(CONTROL!$C$28, 0.0181, 0)</f>
        <v>35.4544</v>
      </c>
      <c r="D417" s="4">
        <f>40.8985 * CHOOSE(CONTROL!$C$9, $C$13, 100%, $E$13) + CHOOSE(CONTROL!$C$28, 0, 0)</f>
        <v>40.898499999999999</v>
      </c>
      <c r="E417" s="4">
        <f>209.362033986702 * CHOOSE(CONTROL!$C$9, $C$13, 100%, $E$13) + CHOOSE(CONTROL!$C$28, 0, 0)</f>
        <v>209.36203398670199</v>
      </c>
    </row>
    <row r="418" spans="1:5" ht="15">
      <c r="A418" s="13">
        <v>54239</v>
      </c>
      <c r="B418" s="4">
        <f>35.856 * CHOOSE(CONTROL!$C$9, $C$13, 100%, $E$13) + CHOOSE(CONTROL!$C$28, 0.0181, 0)</f>
        <v>35.874099999999999</v>
      </c>
      <c r="C418" s="4">
        <f>35.5435 * CHOOSE(CONTROL!$C$9, $C$13, 100%, $E$13) + CHOOSE(CONTROL!$C$28, 0.0181, 0)</f>
        <v>35.561599999999999</v>
      </c>
      <c r="D418" s="4">
        <f>41.2613 * CHOOSE(CONTROL!$C$9, $C$13, 100%, $E$13) + CHOOSE(CONTROL!$C$28, 0, 0)</f>
        <v>41.261299999999999</v>
      </c>
      <c r="E418" s="4">
        <f>210.024483986553 * CHOOSE(CONTROL!$C$9, $C$13, 100%, $E$13) + CHOOSE(CONTROL!$C$28, 0, 0)</f>
        <v>210.02448398655301</v>
      </c>
    </row>
    <row r="419" spans="1:5" ht="15">
      <c r="A419" s="13">
        <v>54270</v>
      </c>
      <c r="B419" s="4">
        <f>35.8452 * CHOOSE(CONTROL!$C$9, $C$13, 100%, $E$13) + CHOOSE(CONTROL!$C$28, 0.0181, 0)</f>
        <v>35.863299999999995</v>
      </c>
      <c r="C419" s="4">
        <f>35.5327 * CHOOSE(CONTROL!$C$9, $C$13, 100%, $E$13) + CHOOSE(CONTROL!$C$28, 0.0181, 0)</f>
        <v>35.550799999999995</v>
      </c>
      <c r="D419" s="4">
        <f>41.9158 * CHOOSE(CONTROL!$C$9, $C$13, 100%, $E$13) + CHOOSE(CONTROL!$C$28, 0, 0)</f>
        <v>41.915799999999997</v>
      </c>
      <c r="E419" s="4">
        <f>209.957682305896 * CHOOSE(CONTROL!$C$9, $C$13, 100%, $E$13) + CHOOSE(CONTROL!$C$28, 0, 0)</f>
        <v>209.95768230589599</v>
      </c>
    </row>
    <row r="420" spans="1:5" ht="15">
      <c r="A420" s="13">
        <v>54301</v>
      </c>
      <c r="B420" s="4">
        <f>36.6585 * CHOOSE(CONTROL!$C$9, $C$13, 100%, $E$13) + CHOOSE(CONTROL!$C$28, 0.0181, 0)</f>
        <v>36.676599999999993</v>
      </c>
      <c r="C420" s="4">
        <f>36.346 * CHOOSE(CONTROL!$C$9, $C$13, 100%, $E$13) + CHOOSE(CONTROL!$C$28, 0.0181, 0)</f>
        <v>36.364099999999993</v>
      </c>
      <c r="D420" s="4">
        <f>41.4836 * CHOOSE(CONTROL!$C$9, $C$13, 100%, $E$13) + CHOOSE(CONTROL!$C$28, 0, 0)</f>
        <v>41.483600000000003</v>
      </c>
      <c r="E420" s="4">
        <f>214.984508775358 * CHOOSE(CONTROL!$C$9, $C$13, 100%, $E$13) + CHOOSE(CONTROL!$C$28, 0, 0)</f>
        <v>214.98450877535799</v>
      </c>
    </row>
    <row r="421" spans="1:5" ht="15">
      <c r="A421" s="13">
        <v>54331</v>
      </c>
      <c r="B421" s="4">
        <f>35.2724 * CHOOSE(CONTROL!$C$9, $C$13, 100%, $E$13) + CHOOSE(CONTROL!$C$28, 0.0181, 0)</f>
        <v>35.290499999999994</v>
      </c>
      <c r="C421" s="4">
        <f>34.9599 * CHOOSE(CONTROL!$C$9, $C$13, 100%, $E$13) + CHOOSE(CONTROL!$C$28, 0.0181, 0)</f>
        <v>34.977999999999994</v>
      </c>
      <c r="D421" s="4">
        <f>41.2793 * CHOOSE(CONTROL!$C$9, $C$13, 100%, $E$13) + CHOOSE(CONTROL!$C$28, 0, 0)</f>
        <v>41.279299999999999</v>
      </c>
      <c r="E421" s="4">
        <f>206.417193231059 * CHOOSE(CONTROL!$C$9, $C$13, 100%, $E$13) + CHOOSE(CONTROL!$C$28, 0, 0)</f>
        <v>206.417193231059</v>
      </c>
    </row>
    <row r="422" spans="1:5" ht="15">
      <c r="A422" s="13">
        <v>54362</v>
      </c>
      <c r="B422" s="4">
        <f>34.1627 * CHOOSE(CONTROL!$C$9, $C$13, 100%, $E$13) + CHOOSE(CONTROL!$C$28, 0.0003, 0)</f>
        <v>34.163000000000004</v>
      </c>
      <c r="C422" s="4">
        <f>33.8502 * CHOOSE(CONTROL!$C$9, $C$13, 100%, $E$13) + CHOOSE(CONTROL!$C$28, 0.0003, 0)</f>
        <v>33.850500000000004</v>
      </c>
      <c r="D422" s="4">
        <f>40.7324 * CHOOSE(CONTROL!$C$9, $C$13, 100%, $E$13) + CHOOSE(CONTROL!$C$28, 0, 0)</f>
        <v>40.732399999999998</v>
      </c>
      <c r="E422" s="4">
        <f>199.558887350243 * CHOOSE(CONTROL!$C$9, $C$13, 100%, $E$13) + CHOOSE(CONTROL!$C$28, 0, 0)</f>
        <v>199.558887350243</v>
      </c>
    </row>
    <row r="423" spans="1:5" ht="15">
      <c r="A423" s="13">
        <v>54392</v>
      </c>
      <c r="B423" s="4">
        <f>33.448 * CHOOSE(CONTROL!$C$9, $C$13, 100%, $E$13) + CHOOSE(CONTROL!$C$28, 0.0003, 0)</f>
        <v>33.448300000000003</v>
      </c>
      <c r="C423" s="4">
        <f>33.1355 * CHOOSE(CONTROL!$C$9, $C$13, 100%, $E$13) + CHOOSE(CONTROL!$C$28, 0.0003, 0)</f>
        <v>33.135800000000003</v>
      </c>
      <c r="D423" s="4">
        <f>40.5444 * CHOOSE(CONTROL!$C$9, $C$13, 100%, $E$13) + CHOOSE(CONTROL!$C$28, 0, 0)</f>
        <v>40.544400000000003</v>
      </c>
      <c r="E423" s="4">
        <f>195.141626216779 * CHOOSE(CONTROL!$C$9, $C$13, 100%, $E$13) + CHOOSE(CONTROL!$C$28, 0, 0)</f>
        <v>195.141626216779</v>
      </c>
    </row>
    <row r="424" spans="1:5" ht="15">
      <c r="A424" s="13">
        <v>54423</v>
      </c>
      <c r="B424" s="4">
        <f>32.9536 * CHOOSE(CONTROL!$C$9, $C$13, 100%, $E$13) + CHOOSE(CONTROL!$C$28, 0.0003, 0)</f>
        <v>32.953900000000004</v>
      </c>
      <c r="C424" s="4">
        <f>32.6411 * CHOOSE(CONTROL!$C$9, $C$13, 100%, $E$13) + CHOOSE(CONTROL!$C$28, 0.0003, 0)</f>
        <v>32.641400000000004</v>
      </c>
      <c r="D424" s="4">
        <f>39.1603 * CHOOSE(CONTROL!$C$9, $C$13, 100%, $E$13) + CHOOSE(CONTROL!$C$28, 0, 0)</f>
        <v>39.160299999999999</v>
      </c>
      <c r="E424" s="4">
        <f>192.085449326708 * CHOOSE(CONTROL!$C$9, $C$13, 100%, $E$13) + CHOOSE(CONTROL!$C$28, 0, 0)</f>
        <v>192.08544932670799</v>
      </c>
    </row>
    <row r="425" spans="1:5" ht="15">
      <c r="A425" s="13">
        <v>54454</v>
      </c>
      <c r="B425" s="4">
        <f>32.1501 * CHOOSE(CONTROL!$C$9, $C$13, 100%, $E$13) + CHOOSE(CONTROL!$C$28, 0.0003, 0)</f>
        <v>32.150400000000005</v>
      </c>
      <c r="C425" s="4">
        <f>31.8376 * CHOOSE(CONTROL!$C$9, $C$13, 100%, $E$13) + CHOOSE(CONTROL!$C$28, 0.0003, 0)</f>
        <v>31.837899999999998</v>
      </c>
      <c r="D425" s="4">
        <f>37.8881 * CHOOSE(CONTROL!$C$9, $C$13, 100%, $E$13) + CHOOSE(CONTROL!$C$28, 0, 0)</f>
        <v>37.888100000000001</v>
      </c>
      <c r="E425" s="4">
        <f>186.577170619433 * CHOOSE(CONTROL!$C$9, $C$13, 100%, $E$13) + CHOOSE(CONTROL!$C$28, 0, 0)</f>
        <v>186.57717061943299</v>
      </c>
    </row>
    <row r="426" spans="1:5" ht="15">
      <c r="A426" s="13">
        <v>54482</v>
      </c>
      <c r="B426" s="4">
        <f>32.869 * CHOOSE(CONTROL!$C$9, $C$13, 100%, $E$13) + CHOOSE(CONTROL!$C$28, 0.0003, 0)</f>
        <v>32.869300000000003</v>
      </c>
      <c r="C426" s="4">
        <f>32.5565 * CHOOSE(CONTROL!$C$9, $C$13, 100%, $E$13) + CHOOSE(CONTROL!$C$28, 0.0003, 0)</f>
        <v>32.556800000000003</v>
      </c>
      <c r="D426" s="4">
        <f>39.1692 * CHOOSE(CONTROL!$C$9, $C$13, 100%, $E$13) + CHOOSE(CONTROL!$C$28, 0, 0)</f>
        <v>39.169199999999996</v>
      </c>
      <c r="E426" s="4">
        <f>191.007247933672 * CHOOSE(CONTROL!$C$9, $C$13, 100%, $E$13) + CHOOSE(CONTROL!$C$28, 0, 0)</f>
        <v>191.00724793367201</v>
      </c>
    </row>
    <row r="427" spans="1:5" ht="15">
      <c r="A427" s="13">
        <v>54513</v>
      </c>
      <c r="B427" s="4">
        <f>34.7567 * CHOOSE(CONTROL!$C$9, $C$13, 100%, $E$13) + CHOOSE(CONTROL!$C$28, 0.0003, 0)</f>
        <v>34.757000000000005</v>
      </c>
      <c r="C427" s="4">
        <f>34.4442 * CHOOSE(CONTROL!$C$9, $C$13, 100%, $E$13) + CHOOSE(CONTROL!$C$28, 0.0003, 0)</f>
        <v>34.444500000000005</v>
      </c>
      <c r="D427" s="4">
        <f>41.1746 * CHOOSE(CONTROL!$C$9, $C$13, 100%, $E$13) + CHOOSE(CONTROL!$C$28, 0, 0)</f>
        <v>41.174599999999998</v>
      </c>
      <c r="E427" s="4">
        <f>202.640866389468 * CHOOSE(CONTROL!$C$9, $C$13, 100%, $E$13) + CHOOSE(CONTROL!$C$28, 0, 0)</f>
        <v>202.64086638946799</v>
      </c>
    </row>
    <row r="428" spans="1:5" ht="15">
      <c r="A428" s="13">
        <v>54543</v>
      </c>
      <c r="B428" s="4">
        <f>36.098 * CHOOSE(CONTROL!$C$9, $C$13, 100%, $E$13) + CHOOSE(CONTROL!$C$28, 0.0003, 0)</f>
        <v>36.098300000000002</v>
      </c>
      <c r="C428" s="4">
        <f>35.7855 * CHOOSE(CONTROL!$C$9, $C$13, 100%, $E$13) + CHOOSE(CONTROL!$C$28, 0.0003, 0)</f>
        <v>35.785800000000002</v>
      </c>
      <c r="D428" s="4">
        <f>42.3298 * CHOOSE(CONTROL!$C$9, $C$13, 100%, $E$13) + CHOOSE(CONTROL!$C$28, 0, 0)</f>
        <v>42.329799999999999</v>
      </c>
      <c r="E428" s="4">
        <f>210.906707340663 * CHOOSE(CONTROL!$C$9, $C$13, 100%, $E$13) + CHOOSE(CONTROL!$C$28, 0, 0)</f>
        <v>210.90670734066299</v>
      </c>
    </row>
    <row r="429" spans="1:5" ht="15">
      <c r="A429" s="13">
        <v>54574</v>
      </c>
      <c r="B429" s="4">
        <f>36.9175 * CHOOSE(CONTROL!$C$9, $C$13, 100%, $E$13) + CHOOSE(CONTROL!$C$28, 0.0181, 0)</f>
        <v>36.935599999999994</v>
      </c>
      <c r="C429" s="4">
        <f>36.605 * CHOOSE(CONTROL!$C$9, $C$13, 100%, $E$13) + CHOOSE(CONTROL!$C$28, 0.0181, 0)</f>
        <v>36.623099999999994</v>
      </c>
      <c r="D429" s="4">
        <f>41.8733 * CHOOSE(CONTROL!$C$9, $C$13, 100%, $E$13) + CHOOSE(CONTROL!$C$28, 0, 0)</f>
        <v>41.8733</v>
      </c>
      <c r="E429" s="4">
        <f>215.956938057283 * CHOOSE(CONTROL!$C$9, $C$13, 100%, $E$13) + CHOOSE(CONTROL!$C$28, 0, 0)</f>
        <v>215.956938057283</v>
      </c>
    </row>
    <row r="430" spans="1:5" ht="15">
      <c r="A430" s="13">
        <v>54604</v>
      </c>
      <c r="B430" s="4">
        <f>37.0284 * CHOOSE(CONTROL!$C$9, $C$13, 100%, $E$13) + CHOOSE(CONTROL!$C$28, 0.0181, 0)</f>
        <v>37.046499999999995</v>
      </c>
      <c r="C430" s="4">
        <f>36.7159 * CHOOSE(CONTROL!$C$9, $C$13, 100%, $E$13) + CHOOSE(CONTROL!$C$28, 0.0181, 0)</f>
        <v>36.733999999999995</v>
      </c>
      <c r="D430" s="4">
        <f>42.2451 * CHOOSE(CONTROL!$C$9, $C$13, 100%, $E$13) + CHOOSE(CONTROL!$C$28, 0, 0)</f>
        <v>42.245100000000001</v>
      </c>
      <c r="E430" s="4">
        <f>216.64025523213 * CHOOSE(CONTROL!$C$9, $C$13, 100%, $E$13) + CHOOSE(CONTROL!$C$28, 0, 0)</f>
        <v>216.64025523212999</v>
      </c>
    </row>
    <row r="431" spans="1:5" ht="15">
      <c r="A431" s="13">
        <v>54635</v>
      </c>
      <c r="B431" s="4">
        <f>37.0172 * CHOOSE(CONTROL!$C$9, $C$13, 100%, $E$13) + CHOOSE(CONTROL!$C$28, 0.0181, 0)</f>
        <v>37.035299999999999</v>
      </c>
      <c r="C431" s="4">
        <f>36.7047 * CHOOSE(CONTROL!$C$9, $C$13, 100%, $E$13) + CHOOSE(CONTROL!$C$28, 0.0181, 0)</f>
        <v>36.722799999999999</v>
      </c>
      <c r="D431" s="4">
        <f>42.9159 * CHOOSE(CONTROL!$C$9, $C$13, 100%, $E$13) + CHOOSE(CONTROL!$C$28, 0, 0)</f>
        <v>42.915900000000001</v>
      </c>
      <c r="E431" s="4">
        <f>216.571349298532 * CHOOSE(CONTROL!$C$9, $C$13, 100%, $E$13) + CHOOSE(CONTROL!$C$28, 0, 0)</f>
        <v>216.571349298532</v>
      </c>
    </row>
    <row r="432" spans="1:5" ht="15">
      <c r="A432" s="13">
        <v>54666</v>
      </c>
      <c r="B432" s="4">
        <f>37.8586 * CHOOSE(CONTROL!$C$9, $C$13, 100%, $E$13) + CHOOSE(CONTROL!$C$28, 0.0181, 0)</f>
        <v>37.8767</v>
      </c>
      <c r="C432" s="4">
        <f>37.5461 * CHOOSE(CONTROL!$C$9, $C$13, 100%, $E$13) + CHOOSE(CONTROL!$C$28, 0.0181, 0)</f>
        <v>37.5642</v>
      </c>
      <c r="D432" s="4">
        <f>42.4729 * CHOOSE(CONTROL!$C$9, $C$13, 100%, $E$13) + CHOOSE(CONTROL!$C$28, 0, 0)</f>
        <v>42.472900000000003</v>
      </c>
      <c r="E432" s="4">
        <f>221.756520801782 * CHOOSE(CONTROL!$C$9, $C$13, 100%, $E$13) + CHOOSE(CONTROL!$C$28, 0, 0)</f>
        <v>221.75652080178199</v>
      </c>
    </row>
    <row r="433" spans="1:5" ht="15">
      <c r="A433" s="13">
        <v>54696</v>
      </c>
      <c r="B433" s="4">
        <f>36.4246 * CHOOSE(CONTROL!$C$9, $C$13, 100%, $E$13) + CHOOSE(CONTROL!$C$28, 0.0181, 0)</f>
        <v>36.442699999999995</v>
      </c>
      <c r="C433" s="4">
        <f>36.1121 * CHOOSE(CONTROL!$C$9, $C$13, 100%, $E$13) + CHOOSE(CONTROL!$C$28, 0.0181, 0)</f>
        <v>36.130199999999995</v>
      </c>
      <c r="D433" s="4">
        <f>42.2636 * CHOOSE(CONTROL!$C$9, $C$13, 100%, $E$13) + CHOOSE(CONTROL!$C$28, 0, 0)</f>
        <v>42.263599999999997</v>
      </c>
      <c r="E433" s="4">
        <f>212.919334817838 * CHOOSE(CONTROL!$C$9, $C$13, 100%, $E$13) + CHOOSE(CONTROL!$C$28, 0, 0)</f>
        <v>212.91933481783801</v>
      </c>
    </row>
    <row r="434" spans="1:5" ht="15">
      <c r="A434" s="13">
        <v>54727</v>
      </c>
      <c r="B434" s="4">
        <f>35.2767 * CHOOSE(CONTROL!$C$9, $C$13, 100%, $E$13) + CHOOSE(CONTROL!$C$28, 0.0003, 0)</f>
        <v>35.277000000000001</v>
      </c>
      <c r="C434" s="4">
        <f>34.9642 * CHOOSE(CONTROL!$C$9, $C$13, 100%, $E$13) + CHOOSE(CONTROL!$C$28, 0.0003, 0)</f>
        <v>34.964500000000001</v>
      </c>
      <c r="D434" s="4">
        <f>41.7032 * CHOOSE(CONTROL!$C$9, $C$13, 100%, $E$13) + CHOOSE(CONTROL!$C$28, 0, 0)</f>
        <v>41.703200000000002</v>
      </c>
      <c r="E434" s="4">
        <f>205.844992301776 * CHOOSE(CONTROL!$C$9, $C$13, 100%, $E$13) + CHOOSE(CONTROL!$C$28, 0, 0)</f>
        <v>205.84499230177599</v>
      </c>
    </row>
    <row r="435" spans="1:5" ht="15">
      <c r="A435" s="13">
        <v>54757</v>
      </c>
      <c r="B435" s="4">
        <f>34.5373 * CHOOSE(CONTROL!$C$9, $C$13, 100%, $E$13) + CHOOSE(CONTROL!$C$28, 0.0003, 0)</f>
        <v>34.537600000000005</v>
      </c>
      <c r="C435" s="4">
        <f>34.2248 * CHOOSE(CONTROL!$C$9, $C$13, 100%, $E$13) + CHOOSE(CONTROL!$C$28, 0.0003, 0)</f>
        <v>34.225100000000005</v>
      </c>
      <c r="D435" s="4">
        <f>41.5105 * CHOOSE(CONTROL!$C$9, $C$13, 100%, $E$13) + CHOOSE(CONTROL!$C$28, 0, 0)</f>
        <v>41.5105</v>
      </c>
      <c r="E435" s="4">
        <f>201.288587442608 * CHOOSE(CONTROL!$C$9, $C$13, 100%, $E$13) + CHOOSE(CONTROL!$C$28, 0, 0)</f>
        <v>201.28858744260799</v>
      </c>
    </row>
    <row r="436" spans="1:5" ht="15">
      <c r="A436" s="13">
        <v>54788</v>
      </c>
      <c r="B436" s="4">
        <f>34.0258 * CHOOSE(CONTROL!$C$9, $C$13, 100%, $E$13) + CHOOSE(CONTROL!$C$28, 0.0003, 0)</f>
        <v>34.0261</v>
      </c>
      <c r="C436" s="4">
        <f>33.7133 * CHOOSE(CONTROL!$C$9, $C$13, 100%, $E$13) + CHOOSE(CONTROL!$C$28, 0.0003, 0)</f>
        <v>33.7136</v>
      </c>
      <c r="D436" s="4">
        <f>40.092 * CHOOSE(CONTROL!$C$9, $C$13, 100%, $E$13) + CHOOSE(CONTROL!$C$28, 0, 0)</f>
        <v>40.091999999999999</v>
      </c>
      <c r="E436" s="4">
        <f>198.136140980499 * CHOOSE(CONTROL!$C$9, $C$13, 100%, $E$13) + CHOOSE(CONTROL!$C$28, 0, 0)</f>
        <v>198.13614098049899</v>
      </c>
    </row>
    <row r="437" spans="1:5" ht="15">
      <c r="A437" s="13">
        <v>54819</v>
      </c>
      <c r="B437" s="4">
        <f>33.1946 * CHOOSE(CONTROL!$C$9, $C$13, 100%, $E$13) + CHOOSE(CONTROL!$C$28, 0.0003, 0)</f>
        <v>33.194900000000004</v>
      </c>
      <c r="C437" s="4">
        <f>32.8821 * CHOOSE(CONTROL!$C$9, $C$13, 100%, $E$13) + CHOOSE(CONTROL!$C$28, 0.0003, 0)</f>
        <v>32.882400000000004</v>
      </c>
      <c r="D437" s="4">
        <f>38.7883 * CHOOSE(CONTROL!$C$9, $C$13, 100%, $E$13) + CHOOSE(CONTROL!$C$28, 0, 0)</f>
        <v>38.7883</v>
      </c>
      <c r="E437" s="4">
        <f>192.454351493945 * CHOOSE(CONTROL!$C$9, $C$13, 100%, $E$13) + CHOOSE(CONTROL!$C$28, 0, 0)</f>
        <v>192.45435149394501</v>
      </c>
    </row>
    <row r="438" spans="1:5" ht="15">
      <c r="A438" s="13">
        <v>54847</v>
      </c>
      <c r="B438" s="4">
        <f>33.9383 * CHOOSE(CONTROL!$C$9, $C$13, 100%, $E$13) + CHOOSE(CONTROL!$C$28, 0.0003, 0)</f>
        <v>33.938600000000001</v>
      </c>
      <c r="C438" s="4">
        <f>33.6258 * CHOOSE(CONTROL!$C$9, $C$13, 100%, $E$13) + CHOOSE(CONTROL!$C$28, 0.0003, 0)</f>
        <v>33.626100000000001</v>
      </c>
      <c r="D438" s="4">
        <f>40.1011 * CHOOSE(CONTROL!$C$9, $C$13, 100%, $E$13) + CHOOSE(CONTROL!$C$28, 0, 0)</f>
        <v>40.101100000000002</v>
      </c>
      <c r="E438" s="4">
        <f>197.023976243582 * CHOOSE(CONTROL!$C$9, $C$13, 100%, $E$13) + CHOOSE(CONTROL!$C$28, 0, 0)</f>
        <v>197.02397624358201</v>
      </c>
    </row>
    <row r="439" spans="1:5" ht="15">
      <c r="A439" s="13">
        <v>54878</v>
      </c>
      <c r="B439" s="4">
        <f>35.8912 * CHOOSE(CONTROL!$C$9, $C$13, 100%, $E$13) + CHOOSE(CONTROL!$C$28, 0.0003, 0)</f>
        <v>35.891500000000001</v>
      </c>
      <c r="C439" s="4">
        <f>35.5787 * CHOOSE(CONTROL!$C$9, $C$13, 100%, $E$13) + CHOOSE(CONTROL!$C$28, 0.0003, 0)</f>
        <v>35.579000000000001</v>
      </c>
      <c r="D439" s="4">
        <f>42.1563 * CHOOSE(CONTROL!$C$9, $C$13, 100%, $E$13) + CHOOSE(CONTROL!$C$28, 0, 0)</f>
        <v>42.156300000000002</v>
      </c>
      <c r="E439" s="4">
        <f>209.024053680737 * CHOOSE(CONTROL!$C$9, $C$13, 100%, $E$13) + CHOOSE(CONTROL!$C$28, 0, 0)</f>
        <v>209.02405368073701</v>
      </c>
    </row>
    <row r="440" spans="1:5" ht="15">
      <c r="A440" s="13">
        <v>54908</v>
      </c>
      <c r="B440" s="4">
        <f>37.2787 * CHOOSE(CONTROL!$C$9, $C$13, 100%, $E$13) + CHOOSE(CONTROL!$C$28, 0.0003, 0)</f>
        <v>37.279000000000003</v>
      </c>
      <c r="C440" s="4">
        <f>36.9662 * CHOOSE(CONTROL!$C$9, $C$13, 100%, $E$13) + CHOOSE(CONTROL!$C$28, 0.0003, 0)</f>
        <v>36.966500000000003</v>
      </c>
      <c r="D440" s="4">
        <f>43.3401 * CHOOSE(CONTROL!$C$9, $C$13, 100%, $E$13) + CHOOSE(CONTROL!$C$28, 0, 0)</f>
        <v>43.3401</v>
      </c>
      <c r="E440" s="4">
        <f>217.550268621893 * CHOOSE(CONTROL!$C$9, $C$13, 100%, $E$13) + CHOOSE(CONTROL!$C$28, 0, 0)</f>
        <v>217.550268621893</v>
      </c>
    </row>
    <row r="441" spans="1:5" ht="15">
      <c r="A441" s="13">
        <v>54939</v>
      </c>
      <c r="B441" s="4">
        <f>38.1265 * CHOOSE(CONTROL!$C$9, $C$13, 100%, $E$13) + CHOOSE(CONTROL!$C$28, 0.0181, 0)</f>
        <v>38.144599999999997</v>
      </c>
      <c r="C441" s="4">
        <f>37.814 * CHOOSE(CONTROL!$C$9, $C$13, 100%, $E$13) + CHOOSE(CONTROL!$C$28, 0.0181, 0)</f>
        <v>37.832099999999997</v>
      </c>
      <c r="D441" s="4">
        <f>42.8723 * CHOOSE(CONTROL!$C$9, $C$13, 100%, $E$13) + CHOOSE(CONTROL!$C$28, 0, 0)</f>
        <v>42.872300000000003</v>
      </c>
      <c r="E441" s="4">
        <f>222.759581606087 * CHOOSE(CONTROL!$C$9, $C$13, 100%, $E$13) + CHOOSE(CONTROL!$C$28, 0, 0)</f>
        <v>222.75958160608701</v>
      </c>
    </row>
    <row r="442" spans="1:5" ht="15">
      <c r="A442" s="13">
        <v>54969</v>
      </c>
      <c r="B442" s="4">
        <f>38.2412 * CHOOSE(CONTROL!$C$9, $C$13, 100%, $E$13) + CHOOSE(CONTROL!$C$28, 0.0181, 0)</f>
        <v>38.259299999999996</v>
      </c>
      <c r="C442" s="4">
        <f>37.9287 * CHOOSE(CONTROL!$C$9, $C$13, 100%, $E$13) + CHOOSE(CONTROL!$C$28, 0.0181, 0)</f>
        <v>37.946799999999996</v>
      </c>
      <c r="D442" s="4">
        <f>43.2533 * CHOOSE(CONTROL!$C$9, $C$13, 100%, $E$13) + CHOOSE(CONTROL!$C$28, 0, 0)</f>
        <v>43.253300000000003</v>
      </c>
      <c r="E442" s="4">
        <f>223.464423271942 * CHOOSE(CONTROL!$C$9, $C$13, 100%, $E$13) + CHOOSE(CONTROL!$C$28, 0, 0)</f>
        <v>223.464423271942</v>
      </c>
    </row>
    <row r="443" spans="1:5" ht="15">
      <c r="A443" s="13">
        <v>55000</v>
      </c>
      <c r="B443" s="4">
        <f>38.2296 * CHOOSE(CONTROL!$C$9, $C$13, 100%, $E$13) + CHOOSE(CONTROL!$C$28, 0.0181, 0)</f>
        <v>38.247699999999995</v>
      </c>
      <c r="C443" s="4">
        <f>37.9171 * CHOOSE(CONTROL!$C$9, $C$13, 100%, $E$13) + CHOOSE(CONTROL!$C$28, 0.0181, 0)</f>
        <v>37.935199999999995</v>
      </c>
      <c r="D443" s="4">
        <f>43.9408 * CHOOSE(CONTROL!$C$9, $C$13, 100%, $E$13) + CHOOSE(CONTROL!$C$28, 0, 0)</f>
        <v>43.940800000000003</v>
      </c>
      <c r="E443" s="4">
        <f>223.393346801436 * CHOOSE(CONTROL!$C$9, $C$13, 100%, $E$13) + CHOOSE(CONTROL!$C$28, 0, 0)</f>
        <v>223.393346801436</v>
      </c>
    </row>
    <row r="444" spans="1:5" ht="15">
      <c r="A444" s="13">
        <v>55031</v>
      </c>
      <c r="B444" s="4">
        <f>39.1 * CHOOSE(CONTROL!$C$9, $C$13, 100%, $E$13) + CHOOSE(CONTROL!$C$28, 0.0181, 0)</f>
        <v>39.118099999999998</v>
      </c>
      <c r="C444" s="4">
        <f>38.7875 * CHOOSE(CONTROL!$C$9, $C$13, 100%, $E$13) + CHOOSE(CONTROL!$C$28, 0.0181, 0)</f>
        <v>38.805599999999998</v>
      </c>
      <c r="D444" s="4">
        <f>43.4868 * CHOOSE(CONTROL!$C$9, $C$13, 100%, $E$13) + CHOOSE(CONTROL!$C$28, 0, 0)</f>
        <v>43.486800000000002</v>
      </c>
      <c r="E444" s="4">
        <f>228.741851207038 * CHOOSE(CONTROL!$C$9, $C$13, 100%, $E$13) + CHOOSE(CONTROL!$C$28, 0, 0)</f>
        <v>228.741851207038</v>
      </c>
    </row>
    <row r="445" spans="1:5" ht="15">
      <c r="A445" s="13">
        <v>55061</v>
      </c>
      <c r="B445" s="4">
        <f>37.6165 * CHOOSE(CONTROL!$C$9, $C$13, 100%, $E$13) + CHOOSE(CONTROL!$C$28, 0.0181, 0)</f>
        <v>37.634599999999999</v>
      </c>
      <c r="C445" s="4">
        <f>37.304 * CHOOSE(CONTROL!$C$9, $C$13, 100%, $E$13) + CHOOSE(CONTROL!$C$28, 0.0181, 0)</f>
        <v>37.322099999999999</v>
      </c>
      <c r="D445" s="4">
        <f>43.2723 * CHOOSE(CONTROL!$C$9, $C$13, 100%, $E$13) + CHOOSE(CONTROL!$C$28, 0, 0)</f>
        <v>43.272300000000001</v>
      </c>
      <c r="E445" s="4">
        <f>219.6262938646 * CHOOSE(CONTROL!$C$9, $C$13, 100%, $E$13) + CHOOSE(CONTROL!$C$28, 0, 0)</f>
        <v>219.6262938646</v>
      </c>
    </row>
    <row r="446" spans="1:5" ht="15">
      <c r="A446" s="13">
        <v>55092</v>
      </c>
      <c r="B446" s="4">
        <f>36.429 * CHOOSE(CONTROL!$C$9, $C$13, 100%, $E$13) + CHOOSE(CONTROL!$C$28, 0.0003, 0)</f>
        <v>36.429300000000005</v>
      </c>
      <c r="C446" s="4">
        <f>36.1165 * CHOOSE(CONTROL!$C$9, $C$13, 100%, $E$13) + CHOOSE(CONTROL!$C$28, 0.0003, 0)</f>
        <v>36.116800000000005</v>
      </c>
      <c r="D446" s="4">
        <f>42.6979 * CHOOSE(CONTROL!$C$9, $C$13, 100%, $E$13) + CHOOSE(CONTROL!$C$28, 0, 0)</f>
        <v>42.697899999999997</v>
      </c>
      <c r="E446" s="4">
        <f>212.329109559282 * CHOOSE(CONTROL!$C$9, $C$13, 100%, $E$13) + CHOOSE(CONTROL!$C$28, 0, 0)</f>
        <v>212.32910955928199</v>
      </c>
    </row>
    <row r="447" spans="1:5" ht="15">
      <c r="A447" s="13">
        <v>55122</v>
      </c>
      <c r="B447" s="4">
        <f>35.6642 * CHOOSE(CONTROL!$C$9, $C$13, 100%, $E$13) + CHOOSE(CONTROL!$C$28, 0.0003, 0)</f>
        <v>35.664500000000004</v>
      </c>
      <c r="C447" s="4">
        <f>35.3517 * CHOOSE(CONTROL!$C$9, $C$13, 100%, $E$13) + CHOOSE(CONTROL!$C$28, 0.0003, 0)</f>
        <v>35.352000000000004</v>
      </c>
      <c r="D447" s="4">
        <f>42.5005 * CHOOSE(CONTROL!$C$9, $C$13, 100%, $E$13) + CHOOSE(CONTROL!$C$28, 0, 0)</f>
        <v>42.500500000000002</v>
      </c>
      <c r="E447" s="4">
        <f>207.62917794705 * CHOOSE(CONTROL!$C$9, $C$13, 100%, $E$13) + CHOOSE(CONTROL!$C$28, 0, 0)</f>
        <v>207.62917794705001</v>
      </c>
    </row>
    <row r="448" spans="1:5" ht="15">
      <c r="A448" s="13">
        <v>55153</v>
      </c>
      <c r="B448" s="4">
        <f>35.135 * CHOOSE(CONTROL!$C$9, $C$13, 100%, $E$13) + CHOOSE(CONTROL!$C$28, 0.0003, 0)</f>
        <v>35.135300000000001</v>
      </c>
      <c r="C448" s="4">
        <f>34.8225 * CHOOSE(CONTROL!$C$9, $C$13, 100%, $E$13) + CHOOSE(CONTROL!$C$28, 0.0003, 0)</f>
        <v>34.822800000000001</v>
      </c>
      <c r="D448" s="4">
        <f>41.0468 * CHOOSE(CONTROL!$C$9, $C$13, 100%, $E$13) + CHOOSE(CONTROL!$C$28, 0, 0)</f>
        <v>41.046799999999998</v>
      </c>
      <c r="E448" s="4">
        <f>204.377429421385 * CHOOSE(CONTROL!$C$9, $C$13, 100%, $E$13) + CHOOSE(CONTROL!$C$28, 0, 0)</f>
        <v>204.37742942138499</v>
      </c>
    </row>
    <row r="449" spans="1:5" ht="15">
      <c r="A449" s="13">
        <v>55184</v>
      </c>
      <c r="B449" s="4">
        <f>34.2752 * CHOOSE(CONTROL!$C$9, $C$13, 100%, $E$13) + CHOOSE(CONTROL!$C$28, 0.0003, 0)</f>
        <v>34.275500000000001</v>
      </c>
      <c r="C449" s="4">
        <f>33.9627 * CHOOSE(CONTROL!$C$9, $C$13, 100%, $E$13) + CHOOSE(CONTROL!$C$28, 0.0003, 0)</f>
        <v>33.963000000000001</v>
      </c>
      <c r="D449" s="4">
        <f>39.7108 * CHOOSE(CONTROL!$C$9, $C$13, 100%, $E$13) + CHOOSE(CONTROL!$C$28, 0, 0)</f>
        <v>39.710799999999999</v>
      </c>
      <c r="E449" s="4">
        <f>198.516663566005 * CHOOSE(CONTROL!$C$9, $C$13, 100%, $E$13) + CHOOSE(CONTROL!$C$28, 0, 0)</f>
        <v>198.51666356600501</v>
      </c>
    </row>
    <row r="450" spans="1:5" ht="15">
      <c r="A450" s="13">
        <v>55212</v>
      </c>
      <c r="B450" s="4">
        <f>35.0445 * CHOOSE(CONTROL!$C$9, $C$13, 100%, $E$13) + CHOOSE(CONTROL!$C$28, 0.0003, 0)</f>
        <v>35.044800000000002</v>
      </c>
      <c r="C450" s="4">
        <f>34.732 * CHOOSE(CONTROL!$C$9, $C$13, 100%, $E$13) + CHOOSE(CONTROL!$C$28, 0.0003, 0)</f>
        <v>34.732300000000002</v>
      </c>
      <c r="D450" s="4">
        <f>41.0562 * CHOOSE(CONTROL!$C$9, $C$13, 100%, $E$13) + CHOOSE(CONTROL!$C$28, 0, 0)</f>
        <v>41.056199999999997</v>
      </c>
      <c r="E450" s="4">
        <f>203.230231495255 * CHOOSE(CONTROL!$C$9, $C$13, 100%, $E$13) + CHOOSE(CONTROL!$C$28, 0, 0)</f>
        <v>203.230231495255</v>
      </c>
    </row>
    <row r="451" spans="1:5" ht="15">
      <c r="A451" s="13">
        <v>55243</v>
      </c>
      <c r="B451" s="4">
        <f>37.0647 * CHOOSE(CONTROL!$C$9, $C$13, 100%, $E$13) + CHOOSE(CONTROL!$C$28, 0.0003, 0)</f>
        <v>37.065000000000005</v>
      </c>
      <c r="C451" s="4">
        <f>36.7522 * CHOOSE(CONTROL!$C$9, $C$13, 100%, $E$13) + CHOOSE(CONTROL!$C$28, 0.0003, 0)</f>
        <v>36.752500000000005</v>
      </c>
      <c r="D451" s="4">
        <f>43.1623 * CHOOSE(CONTROL!$C$9, $C$13, 100%, $E$13) + CHOOSE(CONTROL!$C$28, 0, 0)</f>
        <v>43.162300000000002</v>
      </c>
      <c r="E451" s="4">
        <f>215.60831137168 * CHOOSE(CONTROL!$C$9, $C$13, 100%, $E$13) + CHOOSE(CONTROL!$C$28, 0, 0)</f>
        <v>215.60831137168</v>
      </c>
    </row>
    <row r="452" spans="1:5" ht="15">
      <c r="A452" s="13">
        <v>55273</v>
      </c>
      <c r="B452" s="4">
        <f>38.5001 * CHOOSE(CONTROL!$C$9, $C$13, 100%, $E$13) + CHOOSE(CONTROL!$C$28, 0.0003, 0)</f>
        <v>38.500400000000006</v>
      </c>
      <c r="C452" s="4">
        <f>38.1876 * CHOOSE(CONTROL!$C$9, $C$13, 100%, $E$13) + CHOOSE(CONTROL!$C$28, 0.0003, 0)</f>
        <v>38.187900000000006</v>
      </c>
      <c r="D452" s="4">
        <f>44.3755 * CHOOSE(CONTROL!$C$9, $C$13, 100%, $E$13) + CHOOSE(CONTROL!$C$28, 0, 0)</f>
        <v>44.375500000000002</v>
      </c>
      <c r="E452" s="4">
        <f>224.403102083483 * CHOOSE(CONTROL!$C$9, $C$13, 100%, $E$13) + CHOOSE(CONTROL!$C$28, 0, 0)</f>
        <v>224.40310208348299</v>
      </c>
    </row>
    <row r="453" spans="1:5" ht="15">
      <c r="A453" s="13">
        <v>55304</v>
      </c>
      <c r="B453" s="4">
        <f>39.3771 * CHOOSE(CONTROL!$C$9, $C$13, 100%, $E$13) + CHOOSE(CONTROL!$C$28, 0.0181, 0)</f>
        <v>39.395199999999996</v>
      </c>
      <c r="C453" s="4">
        <f>39.0646 * CHOOSE(CONTROL!$C$9, $C$13, 100%, $E$13) + CHOOSE(CONTROL!$C$28, 0.0181, 0)</f>
        <v>39.082699999999996</v>
      </c>
      <c r="D453" s="4">
        <f>43.8961 * CHOOSE(CONTROL!$C$9, $C$13, 100%, $E$13) + CHOOSE(CONTROL!$C$28, 0, 0)</f>
        <v>43.896099999999997</v>
      </c>
      <c r="E453" s="4">
        <f>229.776508426679 * CHOOSE(CONTROL!$C$9, $C$13, 100%, $E$13) + CHOOSE(CONTROL!$C$28, 0, 0)</f>
        <v>229.77650842667899</v>
      </c>
    </row>
    <row r="454" spans="1:5" ht="15">
      <c r="A454" s="13">
        <v>55334</v>
      </c>
      <c r="B454" s="4">
        <f>39.4958 * CHOOSE(CONTROL!$C$9, $C$13, 100%, $E$13) + CHOOSE(CONTROL!$C$28, 0.0181, 0)</f>
        <v>39.5139</v>
      </c>
      <c r="C454" s="4">
        <f>39.1833 * CHOOSE(CONTROL!$C$9, $C$13, 100%, $E$13) + CHOOSE(CONTROL!$C$28, 0.0181, 0)</f>
        <v>39.2014</v>
      </c>
      <c r="D454" s="4">
        <f>44.2865 * CHOOSE(CONTROL!$C$9, $C$13, 100%, $E$13) + CHOOSE(CONTROL!$C$28, 0, 0)</f>
        <v>44.286499999999997</v>
      </c>
      <c r="E454" s="4">
        <f>230.503552605008 * CHOOSE(CONTROL!$C$9, $C$13, 100%, $E$13) + CHOOSE(CONTROL!$C$28, 0, 0)</f>
        <v>230.503552605008</v>
      </c>
    </row>
    <row r="455" spans="1:5" ht="15">
      <c r="A455" s="13">
        <v>55365</v>
      </c>
      <c r="B455" s="4">
        <f>39.4838 * CHOOSE(CONTROL!$C$9, $C$13, 100%, $E$13) + CHOOSE(CONTROL!$C$28, 0.0181, 0)</f>
        <v>39.501899999999999</v>
      </c>
      <c r="C455" s="4">
        <f>39.1713 * CHOOSE(CONTROL!$C$9, $C$13, 100%, $E$13) + CHOOSE(CONTROL!$C$28, 0.0181, 0)</f>
        <v>39.189399999999999</v>
      </c>
      <c r="D455" s="4">
        <f>44.991 * CHOOSE(CONTROL!$C$9, $C$13, 100%, $E$13) + CHOOSE(CONTROL!$C$28, 0, 0)</f>
        <v>44.991</v>
      </c>
      <c r="E455" s="4">
        <f>230.430237225681 * CHOOSE(CONTROL!$C$9, $C$13, 100%, $E$13) + CHOOSE(CONTROL!$C$28, 0, 0)</f>
        <v>230.430237225681</v>
      </c>
    </row>
    <row r="456" spans="1:5" ht="15">
      <c r="A456" s="13">
        <v>55396</v>
      </c>
      <c r="B456" s="4">
        <f>40.3843 * CHOOSE(CONTROL!$C$9, $C$13, 100%, $E$13) + CHOOSE(CONTROL!$C$28, 0.0181, 0)</f>
        <v>40.4024</v>
      </c>
      <c r="C456" s="4">
        <f>40.0718 * CHOOSE(CONTROL!$C$9, $C$13, 100%, $E$13) + CHOOSE(CONTROL!$C$28, 0.0181, 0)</f>
        <v>40.0899</v>
      </c>
      <c r="D456" s="4">
        <f>44.5258 * CHOOSE(CONTROL!$C$9, $C$13, 100%, $E$13) + CHOOSE(CONTROL!$C$28, 0, 0)</f>
        <v>44.525799999999997</v>
      </c>
      <c r="E456" s="4">
        <f>235.94721952006 * CHOOSE(CONTROL!$C$9, $C$13, 100%, $E$13) + CHOOSE(CONTROL!$C$28, 0, 0)</f>
        <v>235.94721952006</v>
      </c>
    </row>
    <row r="457" spans="1:5" ht="15">
      <c r="A457" s="13">
        <v>55426</v>
      </c>
      <c r="B457" s="4">
        <f>38.8496 * CHOOSE(CONTROL!$C$9, $C$13, 100%, $E$13) + CHOOSE(CONTROL!$C$28, 0.0181, 0)</f>
        <v>38.867699999999999</v>
      </c>
      <c r="C457" s="4">
        <f>38.5371 * CHOOSE(CONTROL!$C$9, $C$13, 100%, $E$13) + CHOOSE(CONTROL!$C$28, 0.0181, 0)</f>
        <v>38.555199999999999</v>
      </c>
      <c r="D457" s="4">
        <f>44.306 * CHOOSE(CONTROL!$C$9, $C$13, 100%, $E$13) + CHOOSE(CONTROL!$C$28, 0, 0)</f>
        <v>44.305999999999997</v>
      </c>
      <c r="E457" s="4">
        <f>226.544522121334 * CHOOSE(CONTROL!$C$9, $C$13, 100%, $E$13) + CHOOSE(CONTROL!$C$28, 0, 0)</f>
        <v>226.54452212133401</v>
      </c>
    </row>
    <row r="458" spans="1:5" ht="15">
      <c r="A458" s="13">
        <v>55457</v>
      </c>
      <c r="B458" s="4">
        <f>37.6211 * CHOOSE(CONTROL!$C$9, $C$13, 100%, $E$13) + CHOOSE(CONTROL!$C$28, 0.0003, 0)</f>
        <v>37.621400000000001</v>
      </c>
      <c r="C458" s="4">
        <f>37.3086 * CHOOSE(CONTROL!$C$9, $C$13, 100%, $E$13) + CHOOSE(CONTROL!$C$28, 0.0003, 0)</f>
        <v>37.308900000000001</v>
      </c>
      <c r="D458" s="4">
        <f>43.7174 * CHOOSE(CONTROL!$C$9, $C$13, 100%, $E$13) + CHOOSE(CONTROL!$C$28, 0, 0)</f>
        <v>43.717399999999998</v>
      </c>
      <c r="E458" s="4">
        <f>219.017476510399 * CHOOSE(CONTROL!$C$9, $C$13, 100%, $E$13) + CHOOSE(CONTROL!$C$28, 0, 0)</f>
        <v>219.01747651039901</v>
      </c>
    </row>
    <row r="459" spans="1:5" ht="15">
      <c r="A459" s="13">
        <v>55487</v>
      </c>
      <c r="B459" s="4">
        <f>36.8299 * CHOOSE(CONTROL!$C$9, $C$13, 100%, $E$13) + CHOOSE(CONTROL!$C$28, 0.0003, 0)</f>
        <v>36.830200000000005</v>
      </c>
      <c r="C459" s="4">
        <f>36.5174 * CHOOSE(CONTROL!$C$9, $C$13, 100%, $E$13) + CHOOSE(CONTROL!$C$28, 0.0003, 0)</f>
        <v>36.517700000000005</v>
      </c>
      <c r="D459" s="4">
        <f>43.5151 * CHOOSE(CONTROL!$C$9, $C$13, 100%, $E$13) + CHOOSE(CONTROL!$C$28, 0, 0)</f>
        <v>43.515099999999997</v>
      </c>
      <c r="E459" s="4">
        <f>214.169497052382 * CHOOSE(CONTROL!$C$9, $C$13, 100%, $E$13) + CHOOSE(CONTROL!$C$28, 0, 0)</f>
        <v>214.16949705238201</v>
      </c>
    </row>
    <row r="460" spans="1:5" ht="15">
      <c r="A460" s="13">
        <v>55518</v>
      </c>
      <c r="B460" s="4">
        <f>36.2824 * CHOOSE(CONTROL!$C$9, $C$13, 100%, $E$13) + CHOOSE(CONTROL!$C$28, 0.0003, 0)</f>
        <v>36.282700000000006</v>
      </c>
      <c r="C460" s="4">
        <f>35.9699 * CHOOSE(CONTROL!$C$9, $C$13, 100%, $E$13) + CHOOSE(CONTROL!$C$28, 0.0003, 0)</f>
        <v>35.970200000000006</v>
      </c>
      <c r="D460" s="4">
        <f>42.0253 * CHOOSE(CONTROL!$C$9, $C$13, 100%, $E$13) + CHOOSE(CONTROL!$C$28, 0, 0)</f>
        <v>42.025300000000001</v>
      </c>
      <c r="E460" s="4">
        <f>210.815318448158 * CHOOSE(CONTROL!$C$9, $C$13, 100%, $E$13) + CHOOSE(CONTROL!$C$28, 0, 0)</f>
        <v>210.815318448158</v>
      </c>
    </row>
    <row r="461" spans="1:5" ht="15">
      <c r="A461" s="13">
        <v>55549</v>
      </c>
      <c r="B461" s="4">
        <f>35.393 * CHOOSE(CONTROL!$C$9, $C$13, 100%, $E$13) + CHOOSE(CONTROL!$C$28, 0.0003, 0)</f>
        <v>35.393300000000004</v>
      </c>
      <c r="C461" s="4">
        <f>35.0805 * CHOOSE(CONTROL!$C$9, $C$13, 100%, $E$13) + CHOOSE(CONTROL!$C$28, 0.0003, 0)</f>
        <v>35.080800000000004</v>
      </c>
      <c r="D461" s="4">
        <f>40.6562 * CHOOSE(CONTROL!$C$9, $C$13, 100%, $E$13) + CHOOSE(CONTROL!$C$28, 0, 0)</f>
        <v>40.656199999999998</v>
      </c>
      <c r="E461" s="4">
        <f>204.769938468334 * CHOOSE(CONTROL!$C$9, $C$13, 100%, $E$13) + CHOOSE(CONTROL!$C$28, 0, 0)</f>
        <v>204.769938468334</v>
      </c>
    </row>
    <row r="462" spans="1:5" ht="15">
      <c r="A462" s="13">
        <v>55577</v>
      </c>
      <c r="B462" s="4">
        <f>36.1888 * CHOOSE(CONTROL!$C$9, $C$13, 100%, $E$13) + CHOOSE(CONTROL!$C$28, 0.0003, 0)</f>
        <v>36.189100000000003</v>
      </c>
      <c r="C462" s="4">
        <f>35.8763 * CHOOSE(CONTROL!$C$9, $C$13, 100%, $E$13) + CHOOSE(CONTROL!$C$28, 0.0003, 0)</f>
        <v>35.876600000000003</v>
      </c>
      <c r="D462" s="4">
        <f>42.0349 * CHOOSE(CONTROL!$C$9, $C$13, 100%, $E$13) + CHOOSE(CONTROL!$C$28, 0, 0)</f>
        <v>42.0349</v>
      </c>
      <c r="E462" s="4">
        <f>209.631983787356 * CHOOSE(CONTROL!$C$9, $C$13, 100%, $E$13) + CHOOSE(CONTROL!$C$28, 0, 0)</f>
        <v>209.63198378735601</v>
      </c>
    </row>
    <row r="463" spans="1:5" ht="15">
      <c r="A463" s="13">
        <v>55609</v>
      </c>
      <c r="B463" s="4">
        <f>38.2788 * CHOOSE(CONTROL!$C$9, $C$13, 100%, $E$13) + CHOOSE(CONTROL!$C$28, 0.0003, 0)</f>
        <v>38.2791</v>
      </c>
      <c r="C463" s="4">
        <f>37.9663 * CHOOSE(CONTROL!$C$9, $C$13, 100%, $E$13) + CHOOSE(CONTROL!$C$28, 0.0003, 0)</f>
        <v>37.9666</v>
      </c>
      <c r="D463" s="4">
        <f>44.1933 * CHOOSE(CONTROL!$C$9, $C$13, 100%, $E$13) + CHOOSE(CONTROL!$C$28, 0, 0)</f>
        <v>44.193300000000001</v>
      </c>
      <c r="E463" s="4">
        <f>222.399973179888 * CHOOSE(CONTROL!$C$9, $C$13, 100%, $E$13) + CHOOSE(CONTROL!$C$28, 0, 0)</f>
        <v>222.39997317988801</v>
      </c>
    </row>
    <row r="464" spans="1:5" ht="15">
      <c r="A464" s="13">
        <v>55639</v>
      </c>
      <c r="B464" s="4">
        <f>39.7637 * CHOOSE(CONTROL!$C$9, $C$13, 100%, $E$13) + CHOOSE(CONTROL!$C$28, 0.0003, 0)</f>
        <v>39.764000000000003</v>
      </c>
      <c r="C464" s="4">
        <f>39.4512 * CHOOSE(CONTROL!$C$9, $C$13, 100%, $E$13) + CHOOSE(CONTROL!$C$28, 0.0003, 0)</f>
        <v>39.451500000000003</v>
      </c>
      <c r="D464" s="4">
        <f>45.4366 * CHOOSE(CONTROL!$C$9, $C$13, 100%, $E$13) + CHOOSE(CONTROL!$C$28, 0, 0)</f>
        <v>45.436599999999999</v>
      </c>
      <c r="E464" s="4">
        <f>231.471799799113 * CHOOSE(CONTROL!$C$9, $C$13, 100%, $E$13) + CHOOSE(CONTROL!$C$28, 0, 0)</f>
        <v>231.471799799113</v>
      </c>
    </row>
    <row r="465" spans="1:5" ht="15">
      <c r="A465" s="13">
        <v>55670</v>
      </c>
      <c r="B465" s="4">
        <f>40.671 * CHOOSE(CONTROL!$C$9, $C$13, 100%, $E$13) + CHOOSE(CONTROL!$C$28, 0.0181, 0)</f>
        <v>40.689099999999996</v>
      </c>
      <c r="C465" s="4">
        <f>40.3585 * CHOOSE(CONTROL!$C$9, $C$13, 100%, $E$13) + CHOOSE(CONTROL!$C$28, 0.0181, 0)</f>
        <v>40.376599999999996</v>
      </c>
      <c r="D465" s="4">
        <f>44.9453 * CHOOSE(CONTROL!$C$9, $C$13, 100%, $E$13) + CHOOSE(CONTROL!$C$28, 0, 0)</f>
        <v>44.945300000000003</v>
      </c>
      <c r="E465" s="4">
        <f>237.01446844212 * CHOOSE(CONTROL!$C$9, $C$13, 100%, $E$13) + CHOOSE(CONTROL!$C$28, 0, 0)</f>
        <v>237.01446844212001</v>
      </c>
    </row>
    <row r="466" spans="1:5" ht="15">
      <c r="A466" s="13">
        <v>55700</v>
      </c>
      <c r="B466" s="4">
        <f>40.7937 * CHOOSE(CONTROL!$C$9, $C$13, 100%, $E$13) + CHOOSE(CONTROL!$C$28, 0.0181, 0)</f>
        <v>40.811799999999998</v>
      </c>
      <c r="C466" s="4">
        <f>40.4812 * CHOOSE(CONTROL!$C$9, $C$13, 100%, $E$13) + CHOOSE(CONTROL!$C$28, 0.0181, 0)</f>
        <v>40.499299999999998</v>
      </c>
      <c r="D466" s="4">
        <f>45.3454 * CHOOSE(CONTROL!$C$9, $C$13, 100%, $E$13) + CHOOSE(CONTROL!$C$28, 0, 0)</f>
        <v>45.345399999999998</v>
      </c>
      <c r="E466" s="4">
        <f>237.764414512066 * CHOOSE(CONTROL!$C$9, $C$13, 100%, $E$13) + CHOOSE(CONTROL!$C$28, 0, 0)</f>
        <v>237.764414512066</v>
      </c>
    </row>
    <row r="467" spans="1:5" ht="15">
      <c r="A467" s="13">
        <v>55731</v>
      </c>
      <c r="B467" s="4">
        <f>40.7813 * CHOOSE(CONTROL!$C$9, $C$13, 100%, $E$13) + CHOOSE(CONTROL!$C$28, 0.0181, 0)</f>
        <v>40.799399999999999</v>
      </c>
      <c r="C467" s="4">
        <f>40.4688 * CHOOSE(CONTROL!$C$9, $C$13, 100%, $E$13) + CHOOSE(CONTROL!$C$28, 0.0181, 0)</f>
        <v>40.486899999999999</v>
      </c>
      <c r="D467" s="4">
        <f>46.0674 * CHOOSE(CONTROL!$C$9, $C$13, 100%, $E$13) + CHOOSE(CONTROL!$C$28, 0, 0)</f>
        <v>46.067399999999999</v>
      </c>
      <c r="E467" s="4">
        <f>237.68878969829 * CHOOSE(CONTROL!$C$9, $C$13, 100%, $E$13) + CHOOSE(CONTROL!$C$28, 0, 0)</f>
        <v>237.68878969829001</v>
      </c>
    </row>
    <row r="468" spans="1:5" ht="15">
      <c r="A468" s="13">
        <v>55762</v>
      </c>
      <c r="B468" s="4">
        <f>41.7128 * CHOOSE(CONTROL!$C$9, $C$13, 100%, $E$13) + CHOOSE(CONTROL!$C$28, 0.0181, 0)</f>
        <v>41.730899999999998</v>
      </c>
      <c r="C468" s="4">
        <f>41.4003 * CHOOSE(CONTROL!$C$9, $C$13, 100%, $E$13) + CHOOSE(CONTROL!$C$28, 0.0181, 0)</f>
        <v>41.418399999999998</v>
      </c>
      <c r="D468" s="4">
        <f>45.5906 * CHOOSE(CONTROL!$C$9, $C$13, 100%, $E$13) + CHOOSE(CONTROL!$C$28, 0, 0)</f>
        <v>45.590600000000002</v>
      </c>
      <c r="E468" s="4">
        <f>243.379556934942 * CHOOSE(CONTROL!$C$9, $C$13, 100%, $E$13) + CHOOSE(CONTROL!$C$28, 0, 0)</f>
        <v>243.379556934942</v>
      </c>
    </row>
    <row r="469" spans="1:5" ht="15">
      <c r="A469" s="13">
        <v>55792</v>
      </c>
      <c r="B469" s="4">
        <f>40.1253 * CHOOSE(CONTROL!$C$9, $C$13, 100%, $E$13) + CHOOSE(CONTROL!$C$28, 0.0181, 0)</f>
        <v>40.1434</v>
      </c>
      <c r="C469" s="4">
        <f>39.8128 * CHOOSE(CONTROL!$C$9, $C$13, 100%, $E$13) + CHOOSE(CONTROL!$C$28, 0.0181, 0)</f>
        <v>39.8309</v>
      </c>
      <c r="D469" s="4">
        <f>45.3653 * CHOOSE(CONTROL!$C$9, $C$13, 100%, $E$13) + CHOOSE(CONTROL!$C$28, 0, 0)</f>
        <v>45.365299999999998</v>
      </c>
      <c r="E469" s="4">
        <f>233.680674568157 * CHOOSE(CONTROL!$C$9, $C$13, 100%, $E$13) + CHOOSE(CONTROL!$C$28, 0, 0)</f>
        <v>233.680674568157</v>
      </c>
    </row>
    <row r="470" spans="1:5" ht="15">
      <c r="A470" s="13">
        <v>55823</v>
      </c>
      <c r="B470" s="4">
        <f>38.8544 * CHOOSE(CONTROL!$C$9, $C$13, 100%, $E$13) + CHOOSE(CONTROL!$C$28, 0.0003, 0)</f>
        <v>38.854700000000001</v>
      </c>
      <c r="C470" s="4">
        <f>38.5419 * CHOOSE(CONTROL!$C$9, $C$13, 100%, $E$13) + CHOOSE(CONTROL!$C$28, 0.0003, 0)</f>
        <v>38.542200000000001</v>
      </c>
      <c r="D470" s="4">
        <f>44.7621 * CHOOSE(CONTROL!$C$9, $C$13, 100%, $E$13) + CHOOSE(CONTROL!$C$28, 0, 0)</f>
        <v>44.762099999999997</v>
      </c>
      <c r="E470" s="4">
        <f>225.916527020477 * CHOOSE(CONTROL!$C$9, $C$13, 100%, $E$13) + CHOOSE(CONTROL!$C$28, 0, 0)</f>
        <v>225.91652702047699</v>
      </c>
    </row>
    <row r="471" spans="1:5" ht="15">
      <c r="A471" s="13">
        <v>55853</v>
      </c>
      <c r="B471" s="4">
        <f>38.0358 * CHOOSE(CONTROL!$C$9, $C$13, 100%, $E$13) + CHOOSE(CONTROL!$C$28, 0.0003, 0)</f>
        <v>38.036100000000005</v>
      </c>
      <c r="C471" s="4">
        <f>37.7233 * CHOOSE(CONTROL!$C$9, $C$13, 100%, $E$13) + CHOOSE(CONTROL!$C$28, 0.0003, 0)</f>
        <v>37.723600000000005</v>
      </c>
      <c r="D471" s="4">
        <f>44.5548 * CHOOSE(CONTROL!$C$9, $C$13, 100%, $E$13) + CHOOSE(CONTROL!$C$28, 0, 0)</f>
        <v>44.5548</v>
      </c>
      <c r="E471" s="4">
        <f>220.915836209532 * CHOOSE(CONTROL!$C$9, $C$13, 100%, $E$13) + CHOOSE(CONTROL!$C$28, 0, 0)</f>
        <v>220.91583620953199</v>
      </c>
    </row>
    <row r="472" spans="1:5" ht="15">
      <c r="A472" s="13">
        <v>55884</v>
      </c>
      <c r="B472" s="4">
        <f>37.4695 * CHOOSE(CONTROL!$C$9, $C$13, 100%, $E$13) + CHOOSE(CONTROL!$C$28, 0.0003, 0)</f>
        <v>37.469799999999999</v>
      </c>
      <c r="C472" s="4">
        <f>37.157 * CHOOSE(CONTROL!$C$9, $C$13, 100%, $E$13) + CHOOSE(CONTROL!$C$28, 0.0003, 0)</f>
        <v>37.157299999999999</v>
      </c>
      <c r="D472" s="4">
        <f>43.0281 * CHOOSE(CONTROL!$C$9, $C$13, 100%, $E$13) + CHOOSE(CONTROL!$C$28, 0, 0)</f>
        <v>43.028100000000002</v>
      </c>
      <c r="E472" s="4">
        <f>217.456000979275 * CHOOSE(CONTROL!$C$9, $C$13, 100%, $E$13) + CHOOSE(CONTROL!$C$28, 0, 0)</f>
        <v>217.45600097927499</v>
      </c>
    </row>
    <row r="473" spans="1:5" ht="15">
      <c r="A473" s="13">
        <v>55915</v>
      </c>
      <c r="B473" s="4">
        <f>36.5493 * CHOOSE(CONTROL!$C$9, $C$13, 100%, $E$13) + CHOOSE(CONTROL!$C$28, 0.0003, 0)</f>
        <v>36.549600000000005</v>
      </c>
      <c r="C473" s="4">
        <f>36.2368 * CHOOSE(CONTROL!$C$9, $C$13, 100%, $E$13) + CHOOSE(CONTROL!$C$28, 0.0003, 0)</f>
        <v>36.237100000000005</v>
      </c>
      <c r="D473" s="4">
        <f>41.625 * CHOOSE(CONTROL!$C$9, $C$13, 100%, $E$13) + CHOOSE(CONTROL!$C$28, 0, 0)</f>
        <v>41.625</v>
      </c>
      <c r="E473" s="4">
        <f>211.220191530086 * CHOOSE(CONTROL!$C$9, $C$13, 100%, $E$13) + CHOOSE(CONTROL!$C$28, 0, 0)</f>
        <v>211.220191530086</v>
      </c>
    </row>
    <row r="474" spans="1:5" ht="15">
      <c r="A474" s="13">
        <v>55943</v>
      </c>
      <c r="B474" s="4">
        <f>37.3726 * CHOOSE(CONTROL!$C$9, $C$13, 100%, $E$13) + CHOOSE(CONTROL!$C$28, 0.0003, 0)</f>
        <v>37.372900000000001</v>
      </c>
      <c r="C474" s="4">
        <f>37.0601 * CHOOSE(CONTROL!$C$9, $C$13, 100%, $E$13) + CHOOSE(CONTROL!$C$28, 0.0003, 0)</f>
        <v>37.060400000000001</v>
      </c>
      <c r="D474" s="4">
        <f>43.0379 * CHOOSE(CONTROL!$C$9, $C$13, 100%, $E$13) + CHOOSE(CONTROL!$C$28, 0, 0)</f>
        <v>43.0379</v>
      </c>
      <c r="E474" s="4">
        <f>216.235391276658 * CHOOSE(CONTROL!$C$9, $C$13, 100%, $E$13) + CHOOSE(CONTROL!$C$28, 0, 0)</f>
        <v>216.23539127665799</v>
      </c>
    </row>
    <row r="475" spans="1:5" ht="15">
      <c r="A475" s="13">
        <v>55974</v>
      </c>
      <c r="B475" s="4">
        <f>39.5347 * CHOOSE(CONTROL!$C$9, $C$13, 100%, $E$13) + CHOOSE(CONTROL!$C$28, 0.0003, 0)</f>
        <v>39.535000000000004</v>
      </c>
      <c r="C475" s="4">
        <f>39.2222 * CHOOSE(CONTROL!$C$9, $C$13, 100%, $E$13) + CHOOSE(CONTROL!$C$28, 0.0003, 0)</f>
        <v>39.222500000000004</v>
      </c>
      <c r="D475" s="4">
        <f>45.2498 * CHOOSE(CONTROL!$C$9, $C$13, 100%, $E$13) + CHOOSE(CONTROL!$C$28, 0, 0)</f>
        <v>45.2498</v>
      </c>
      <c r="E475" s="4">
        <f>229.405572335054 * CHOOSE(CONTROL!$C$9, $C$13, 100%, $E$13) + CHOOSE(CONTROL!$C$28, 0, 0)</f>
        <v>229.40557233505399</v>
      </c>
    </row>
    <row r="476" spans="1:5" ht="15">
      <c r="A476" s="13">
        <v>56004</v>
      </c>
      <c r="B476" s="4">
        <f>41.0709 * CHOOSE(CONTROL!$C$9, $C$13, 100%, $E$13) + CHOOSE(CONTROL!$C$28, 0.0003, 0)</f>
        <v>41.071200000000005</v>
      </c>
      <c r="C476" s="4">
        <f>40.7584 * CHOOSE(CONTROL!$C$9, $C$13, 100%, $E$13) + CHOOSE(CONTROL!$C$28, 0.0003, 0)</f>
        <v>40.758700000000005</v>
      </c>
      <c r="D476" s="4">
        <f>46.5239 * CHOOSE(CONTROL!$C$9, $C$13, 100%, $E$13) + CHOOSE(CONTROL!$C$28, 0, 0)</f>
        <v>46.523899999999998</v>
      </c>
      <c r="E476" s="4">
        <f>238.763161492785 * CHOOSE(CONTROL!$C$9, $C$13, 100%, $E$13) + CHOOSE(CONTROL!$C$28, 0, 0)</f>
        <v>238.763161492785</v>
      </c>
    </row>
    <row r="477" spans="1:5" ht="15">
      <c r="A477" s="13">
        <v>56035</v>
      </c>
      <c r="B477" s="4">
        <f>42.0094 * CHOOSE(CONTROL!$C$9, $C$13, 100%, $E$13) + CHOOSE(CONTROL!$C$28, 0.0181, 0)</f>
        <v>42.027499999999996</v>
      </c>
      <c r="C477" s="4">
        <f>41.6969 * CHOOSE(CONTROL!$C$9, $C$13, 100%, $E$13) + CHOOSE(CONTROL!$C$28, 0.0181, 0)</f>
        <v>41.714999999999996</v>
      </c>
      <c r="D477" s="4">
        <f>46.0205 * CHOOSE(CONTROL!$C$9, $C$13, 100%, $E$13) + CHOOSE(CONTROL!$C$28, 0, 0)</f>
        <v>46.020499999999998</v>
      </c>
      <c r="E477" s="4">
        <f>244.480424198046 * CHOOSE(CONTROL!$C$9, $C$13, 100%, $E$13) + CHOOSE(CONTROL!$C$28, 0, 0)</f>
        <v>244.48042419804599</v>
      </c>
    </row>
    <row r="478" spans="1:5" ht="15">
      <c r="A478" s="13">
        <v>56065</v>
      </c>
      <c r="B478" s="4">
        <f>42.1364 * CHOOSE(CONTROL!$C$9, $C$13, 100%, $E$13) + CHOOSE(CONTROL!$C$28, 0.0181, 0)</f>
        <v>42.154499999999999</v>
      </c>
      <c r="C478" s="4">
        <f>41.8239 * CHOOSE(CONTROL!$C$9, $C$13, 100%, $E$13) + CHOOSE(CONTROL!$C$28, 0.0181, 0)</f>
        <v>41.841999999999999</v>
      </c>
      <c r="D478" s="4">
        <f>46.4305 * CHOOSE(CONTROL!$C$9, $C$13, 100%, $E$13) + CHOOSE(CONTROL!$C$28, 0, 0)</f>
        <v>46.430500000000002</v>
      </c>
      <c r="E478" s="4">
        <f>245.253993569196 * CHOOSE(CONTROL!$C$9, $C$13, 100%, $E$13) + CHOOSE(CONTROL!$C$28, 0, 0)</f>
        <v>245.25399356919601</v>
      </c>
    </row>
    <row r="479" spans="1:5" ht="15">
      <c r="A479" s="13">
        <v>56096</v>
      </c>
      <c r="B479" s="4">
        <f>42.1236 * CHOOSE(CONTROL!$C$9, $C$13, 100%, $E$13) + CHOOSE(CONTROL!$C$28, 0.0181, 0)</f>
        <v>42.1417</v>
      </c>
      <c r="C479" s="4">
        <f>41.8111 * CHOOSE(CONTROL!$C$9, $C$13, 100%, $E$13) + CHOOSE(CONTROL!$C$28, 0.0181, 0)</f>
        <v>41.8292</v>
      </c>
      <c r="D479" s="4">
        <f>47.1704 * CHOOSE(CONTROL!$C$9, $C$13, 100%, $E$13) + CHOOSE(CONTROL!$C$28, 0, 0)</f>
        <v>47.170400000000001</v>
      </c>
      <c r="E479" s="4">
        <f>245.175986573786 * CHOOSE(CONTROL!$C$9, $C$13, 100%, $E$13) + CHOOSE(CONTROL!$C$28, 0, 0)</f>
        <v>245.17598657378599</v>
      </c>
    </row>
    <row r="480" spans="1:5" ht="15">
      <c r="A480" s="13">
        <v>56127</v>
      </c>
      <c r="B480" s="4">
        <f>43.0872 * CHOOSE(CONTROL!$C$9, $C$13, 100%, $E$13) + CHOOSE(CONTROL!$C$28, 0.0181, 0)</f>
        <v>43.1053</v>
      </c>
      <c r="C480" s="4">
        <f>42.7747 * CHOOSE(CONTROL!$C$9, $C$13, 100%, $E$13) + CHOOSE(CONTROL!$C$28, 0.0181, 0)</f>
        <v>42.7928</v>
      </c>
      <c r="D480" s="4">
        <f>46.6818 * CHOOSE(CONTROL!$C$9, $C$13, 100%, $E$13) + CHOOSE(CONTROL!$C$28, 0, 0)</f>
        <v>46.681800000000003</v>
      </c>
      <c r="E480" s="4">
        <f>251.046012978392 * CHOOSE(CONTROL!$C$9, $C$13, 100%, $E$13) + CHOOSE(CONTROL!$C$28, 0, 0)</f>
        <v>251.04601297839201</v>
      </c>
    </row>
    <row r="481" spans="1:5" ht="15">
      <c r="A481" s="13">
        <v>56157</v>
      </c>
      <c r="B481" s="4">
        <f>41.4449 * CHOOSE(CONTROL!$C$9, $C$13, 100%, $E$13) + CHOOSE(CONTROL!$C$28, 0.0181, 0)</f>
        <v>41.462999999999994</v>
      </c>
      <c r="C481" s="4">
        <f>41.1324 * CHOOSE(CONTROL!$C$9, $C$13, 100%, $E$13) + CHOOSE(CONTROL!$C$28, 0.0181, 0)</f>
        <v>41.150499999999994</v>
      </c>
      <c r="D481" s="4">
        <f>46.4509 * CHOOSE(CONTROL!$C$9, $C$13, 100%, $E$13) + CHOOSE(CONTROL!$C$28, 0, 0)</f>
        <v>46.450899999999997</v>
      </c>
      <c r="E481" s="4">
        <f>241.041615817053 * CHOOSE(CONTROL!$C$9, $C$13, 100%, $E$13) + CHOOSE(CONTROL!$C$28, 0, 0)</f>
        <v>241.04161581705301</v>
      </c>
    </row>
    <row r="482" spans="1:5" ht="15">
      <c r="A482" s="13">
        <v>56188</v>
      </c>
      <c r="B482" s="4">
        <f>40.1302 * CHOOSE(CONTROL!$C$9, $C$13, 100%, $E$13) + CHOOSE(CONTROL!$C$28, 0.0003, 0)</f>
        <v>40.130500000000005</v>
      </c>
      <c r="C482" s="4">
        <f>39.8177 * CHOOSE(CONTROL!$C$9, $C$13, 100%, $E$13) + CHOOSE(CONTROL!$C$28, 0.0003, 0)</f>
        <v>39.818000000000005</v>
      </c>
      <c r="D482" s="4">
        <f>45.8328 * CHOOSE(CONTROL!$C$9, $C$13, 100%, $E$13) + CHOOSE(CONTROL!$C$28, 0, 0)</f>
        <v>45.832799999999999</v>
      </c>
      <c r="E482" s="4">
        <f>233.032897621622 * CHOOSE(CONTROL!$C$9, $C$13, 100%, $E$13) + CHOOSE(CONTROL!$C$28, 0, 0)</f>
        <v>233.032897621622</v>
      </c>
    </row>
    <row r="483" spans="1:5" ht="15">
      <c r="A483" s="13">
        <v>56218</v>
      </c>
      <c r="B483" s="4">
        <f>39.2834 * CHOOSE(CONTROL!$C$9, $C$13, 100%, $E$13) + CHOOSE(CONTROL!$C$28, 0.0003, 0)</f>
        <v>39.283700000000003</v>
      </c>
      <c r="C483" s="4">
        <f>38.9709 * CHOOSE(CONTROL!$C$9, $C$13, 100%, $E$13) + CHOOSE(CONTROL!$C$28, 0.0003, 0)</f>
        <v>38.971200000000003</v>
      </c>
      <c r="D483" s="4">
        <f>45.6203 * CHOOSE(CONTROL!$C$9, $C$13, 100%, $E$13) + CHOOSE(CONTROL!$C$28, 0, 0)</f>
        <v>45.6203</v>
      </c>
      <c r="E483" s="4">
        <f>227.874685050132 * CHOOSE(CONTROL!$C$9, $C$13, 100%, $E$13) + CHOOSE(CONTROL!$C$28, 0, 0)</f>
        <v>227.874685050132</v>
      </c>
    </row>
    <row r="484" spans="1:5" ht="15">
      <c r="A484" s="13">
        <v>56249</v>
      </c>
      <c r="B484" s="4">
        <f>38.6975 * CHOOSE(CONTROL!$C$9, $C$13, 100%, $E$13) + CHOOSE(CONTROL!$C$28, 0.0003, 0)</f>
        <v>38.697800000000001</v>
      </c>
      <c r="C484" s="4">
        <f>38.385 * CHOOSE(CONTROL!$C$9, $C$13, 100%, $E$13) + CHOOSE(CONTROL!$C$28, 0.0003, 0)</f>
        <v>38.385300000000001</v>
      </c>
      <c r="D484" s="4">
        <f>44.0558 * CHOOSE(CONTROL!$C$9, $C$13, 100%, $E$13) + CHOOSE(CONTROL!$C$28, 0, 0)</f>
        <v>44.055799999999998</v>
      </c>
      <c r="E484" s="4">
        <f>224.305865010122 * CHOOSE(CONTROL!$C$9, $C$13, 100%, $E$13) + CHOOSE(CONTROL!$C$28, 0, 0)</f>
        <v>224.30586501012201</v>
      </c>
    </row>
    <row r="485" spans="1:5" ht="15">
      <c r="A485" s="13">
        <v>56280</v>
      </c>
      <c r="B485" s="4">
        <f>37.7456 * CHOOSE(CONTROL!$C$9, $C$13, 100%, $E$13) + CHOOSE(CONTROL!$C$28, 0.0003, 0)</f>
        <v>37.745900000000006</v>
      </c>
      <c r="C485" s="4">
        <f>37.4331 * CHOOSE(CONTROL!$C$9, $C$13, 100%, $E$13) + CHOOSE(CONTROL!$C$28, 0.0003, 0)</f>
        <v>37.433400000000006</v>
      </c>
      <c r="D485" s="4">
        <f>42.6178 * CHOOSE(CONTROL!$C$9, $C$13, 100%, $E$13) + CHOOSE(CONTROL!$C$28, 0, 0)</f>
        <v>42.617800000000003</v>
      </c>
      <c r="E485" s="4">
        <f>217.873627563284 * CHOOSE(CONTROL!$C$9, $C$13, 100%, $E$13) + CHOOSE(CONTROL!$C$28, 0, 0)</f>
        <v>217.873627563284</v>
      </c>
    </row>
    <row r="486" spans="1:5" ht="15">
      <c r="A486" s="13">
        <v>56308</v>
      </c>
      <c r="B486" s="4">
        <f>38.5973 * CHOOSE(CONTROL!$C$9, $C$13, 100%, $E$13) + CHOOSE(CONTROL!$C$28, 0.0003, 0)</f>
        <v>38.5976</v>
      </c>
      <c r="C486" s="4">
        <f>38.2848 * CHOOSE(CONTROL!$C$9, $C$13, 100%, $E$13) + CHOOSE(CONTROL!$C$28, 0.0003, 0)</f>
        <v>38.2851</v>
      </c>
      <c r="D486" s="4">
        <f>44.0658 * CHOOSE(CONTROL!$C$9, $C$13, 100%, $E$13) + CHOOSE(CONTROL!$C$28, 0, 0)</f>
        <v>44.065800000000003</v>
      </c>
      <c r="E486" s="4">
        <f>223.046806101872 * CHOOSE(CONTROL!$C$9, $C$13, 100%, $E$13) + CHOOSE(CONTROL!$C$28, 0, 0)</f>
        <v>223.04680610187199</v>
      </c>
    </row>
    <row r="487" spans="1:5" ht="15">
      <c r="A487" s="13">
        <v>56339</v>
      </c>
      <c r="B487" s="4">
        <f>40.834 * CHOOSE(CONTROL!$C$9, $C$13, 100%, $E$13) + CHOOSE(CONTROL!$C$28, 0.0003, 0)</f>
        <v>40.834300000000006</v>
      </c>
      <c r="C487" s="4">
        <f>40.5215 * CHOOSE(CONTROL!$C$9, $C$13, 100%, $E$13) + CHOOSE(CONTROL!$C$28, 0.0003, 0)</f>
        <v>40.521800000000006</v>
      </c>
      <c r="D487" s="4">
        <f>46.3326 * CHOOSE(CONTROL!$C$9, $C$13, 100%, $E$13) + CHOOSE(CONTROL!$C$28, 0, 0)</f>
        <v>46.332599999999999</v>
      </c>
      <c r="E487" s="4">
        <f>236.631847863609 * CHOOSE(CONTROL!$C$9, $C$13, 100%, $E$13) + CHOOSE(CONTROL!$C$28, 0, 0)</f>
        <v>236.63184786360901</v>
      </c>
    </row>
    <row r="488" spans="1:5" ht="15">
      <c r="A488" s="13">
        <v>56369</v>
      </c>
      <c r="B488" s="4">
        <f>42.4231 * CHOOSE(CONTROL!$C$9, $C$13, 100%, $E$13) + CHOOSE(CONTROL!$C$28, 0.0003, 0)</f>
        <v>42.423400000000001</v>
      </c>
      <c r="C488" s="4">
        <f>42.1106 * CHOOSE(CONTROL!$C$9, $C$13, 100%, $E$13) + CHOOSE(CONTROL!$C$28, 0.0003, 0)</f>
        <v>42.110900000000001</v>
      </c>
      <c r="D488" s="4">
        <f>47.6383 * CHOOSE(CONTROL!$C$9, $C$13, 100%, $E$13) + CHOOSE(CONTROL!$C$28, 0, 0)</f>
        <v>47.638300000000001</v>
      </c>
      <c r="E488" s="4">
        <f>246.284201079808 * CHOOSE(CONTROL!$C$9, $C$13, 100%, $E$13) + CHOOSE(CONTROL!$C$28, 0, 0)</f>
        <v>246.28420107980801</v>
      </c>
    </row>
    <row r="489" spans="1:5" ht="15">
      <c r="A489" s="13">
        <v>56400</v>
      </c>
      <c r="B489" s="4">
        <f>43.394 * CHOOSE(CONTROL!$C$9, $C$13, 100%, $E$13) + CHOOSE(CONTROL!$C$28, 0.0181, 0)</f>
        <v>43.412099999999995</v>
      </c>
      <c r="C489" s="4">
        <f>43.0815 * CHOOSE(CONTROL!$C$9, $C$13, 100%, $E$13) + CHOOSE(CONTROL!$C$28, 0.0181, 0)</f>
        <v>43.099599999999995</v>
      </c>
      <c r="D489" s="4">
        <f>47.1223 * CHOOSE(CONTROL!$C$9, $C$13, 100%, $E$13) + CHOOSE(CONTROL!$C$28, 0, 0)</f>
        <v>47.122300000000003</v>
      </c>
      <c r="E489" s="4">
        <f>252.181557560285 * CHOOSE(CONTROL!$C$9, $C$13, 100%, $E$13) + CHOOSE(CONTROL!$C$28, 0, 0)</f>
        <v>252.181557560285</v>
      </c>
    </row>
    <row r="490" spans="1:5" ht="15">
      <c r="A490" s="13">
        <v>56430</v>
      </c>
      <c r="B490" s="4">
        <f>43.5254 * CHOOSE(CONTROL!$C$9, $C$13, 100%, $E$13) + CHOOSE(CONTROL!$C$28, 0.0181, 0)</f>
        <v>43.543499999999995</v>
      </c>
      <c r="C490" s="4">
        <f>43.2129 * CHOOSE(CONTROL!$C$9, $C$13, 100%, $E$13) + CHOOSE(CONTROL!$C$28, 0.0181, 0)</f>
        <v>43.230999999999995</v>
      </c>
      <c r="D490" s="4">
        <f>47.5425 * CHOOSE(CONTROL!$C$9, $C$13, 100%, $E$13) + CHOOSE(CONTROL!$C$28, 0, 0)</f>
        <v>47.542499999999997</v>
      </c>
      <c r="E490" s="4">
        <f>252.979494366626 * CHOOSE(CONTROL!$C$9, $C$13, 100%, $E$13) + CHOOSE(CONTROL!$C$28, 0, 0)</f>
        <v>252.979494366626</v>
      </c>
    </row>
    <row r="491" spans="1:5" ht="15">
      <c r="A491" s="13">
        <v>56461</v>
      </c>
      <c r="B491" s="4">
        <f>43.5122 * CHOOSE(CONTROL!$C$9, $C$13, 100%, $E$13) + CHOOSE(CONTROL!$C$28, 0.0181, 0)</f>
        <v>43.530299999999997</v>
      </c>
      <c r="C491" s="4">
        <f>43.1997 * CHOOSE(CONTROL!$C$9, $C$13, 100%, $E$13) + CHOOSE(CONTROL!$C$28, 0.0181, 0)</f>
        <v>43.217799999999997</v>
      </c>
      <c r="D491" s="4">
        <f>48.3007 * CHOOSE(CONTROL!$C$9, $C$13, 100%, $E$13) + CHOOSE(CONTROL!$C$28, 0, 0)</f>
        <v>48.300699999999999</v>
      </c>
      <c r="E491" s="4">
        <f>252.89903015086 * CHOOSE(CONTROL!$C$9, $C$13, 100%, $E$13) + CHOOSE(CONTROL!$C$28, 0, 0)</f>
        <v>252.89903015086</v>
      </c>
    </row>
    <row r="492" spans="1:5" ht="15">
      <c r="A492" s="13">
        <v>56492</v>
      </c>
      <c r="B492" s="4">
        <f>44.5091 * CHOOSE(CONTROL!$C$9, $C$13, 100%, $E$13) + CHOOSE(CONTROL!$C$28, 0.0181, 0)</f>
        <v>44.527199999999993</v>
      </c>
      <c r="C492" s="4">
        <f>44.1966 * CHOOSE(CONTROL!$C$9, $C$13, 100%, $E$13) + CHOOSE(CONTROL!$C$28, 0.0181, 0)</f>
        <v>44.214699999999993</v>
      </c>
      <c r="D492" s="4">
        <f>47.8 * CHOOSE(CONTROL!$C$9, $C$13, 100%, $E$13) + CHOOSE(CONTROL!$C$28, 0, 0)</f>
        <v>47.8</v>
      </c>
      <c r="E492" s="4">
        <f>258.953962387212 * CHOOSE(CONTROL!$C$9, $C$13, 100%, $E$13) + CHOOSE(CONTROL!$C$28, 0, 0)</f>
        <v>258.95396238721202</v>
      </c>
    </row>
    <row r="493" spans="1:5" ht="15">
      <c r="A493" s="13">
        <v>56522</v>
      </c>
      <c r="B493" s="4">
        <f>42.81 * CHOOSE(CONTROL!$C$9, $C$13, 100%, $E$13) + CHOOSE(CONTROL!$C$28, 0.0181, 0)</f>
        <v>42.828099999999999</v>
      </c>
      <c r="C493" s="4">
        <f>42.4975 * CHOOSE(CONTROL!$C$9, $C$13, 100%, $E$13) + CHOOSE(CONTROL!$C$28, 0.0181, 0)</f>
        <v>42.515599999999999</v>
      </c>
      <c r="D493" s="4">
        <f>47.5634 * CHOOSE(CONTROL!$C$9, $C$13, 100%, $E$13) + CHOOSE(CONTROL!$C$28, 0, 0)</f>
        <v>47.563400000000001</v>
      </c>
      <c r="E493" s="4">
        <f>248.634426715291 * CHOOSE(CONTROL!$C$9, $C$13, 100%, $E$13) + CHOOSE(CONTROL!$C$28, 0, 0)</f>
        <v>248.634426715291</v>
      </c>
    </row>
    <row r="494" spans="1:5" ht="15">
      <c r="A494" s="13">
        <v>56553</v>
      </c>
      <c r="B494" s="4">
        <f>41.45 * CHOOSE(CONTROL!$C$9, $C$13, 100%, $E$13) + CHOOSE(CONTROL!$C$28, 0.0003, 0)</f>
        <v>41.450300000000006</v>
      </c>
      <c r="C494" s="4">
        <f>41.1375 * CHOOSE(CONTROL!$C$9, $C$13, 100%, $E$13) + CHOOSE(CONTROL!$C$28, 0.0003, 0)</f>
        <v>41.137800000000006</v>
      </c>
      <c r="D494" s="4">
        <f>46.93 * CHOOSE(CONTROL!$C$9, $C$13, 100%, $E$13) + CHOOSE(CONTROL!$C$28, 0, 0)</f>
        <v>46.93</v>
      </c>
      <c r="E494" s="4">
        <f>240.373433896703 * CHOOSE(CONTROL!$C$9, $C$13, 100%, $E$13) + CHOOSE(CONTROL!$C$28, 0, 0)</f>
        <v>240.37343389670301</v>
      </c>
    </row>
    <row r="495" spans="1:5" ht="15">
      <c r="A495" s="13">
        <v>56583</v>
      </c>
      <c r="B495" s="4">
        <f>40.574 * CHOOSE(CONTROL!$C$9, $C$13, 100%, $E$13) + CHOOSE(CONTROL!$C$28, 0.0003, 0)</f>
        <v>40.574300000000001</v>
      </c>
      <c r="C495" s="4">
        <f>40.2615 * CHOOSE(CONTROL!$C$9, $C$13, 100%, $E$13) + CHOOSE(CONTROL!$C$28, 0.0003, 0)</f>
        <v>40.261800000000001</v>
      </c>
      <c r="D495" s="4">
        <f>46.7122 * CHOOSE(CONTROL!$C$9, $C$13, 100%, $E$13) + CHOOSE(CONTROL!$C$28, 0, 0)</f>
        <v>46.712200000000003</v>
      </c>
      <c r="E495" s="4">
        <f>235.052737629211 * CHOOSE(CONTROL!$C$9, $C$13, 100%, $E$13) + CHOOSE(CONTROL!$C$28, 0, 0)</f>
        <v>235.05273762921101</v>
      </c>
    </row>
    <row r="496" spans="1:5" ht="15">
      <c r="A496" s="13">
        <v>56614</v>
      </c>
      <c r="B496" s="4">
        <f>39.9679 * CHOOSE(CONTROL!$C$9, $C$13, 100%, $E$13) + CHOOSE(CONTROL!$C$28, 0.0003, 0)</f>
        <v>39.968200000000003</v>
      </c>
      <c r="C496" s="4">
        <f>39.6554 * CHOOSE(CONTROL!$C$9, $C$13, 100%, $E$13) + CHOOSE(CONTROL!$C$28, 0.0003, 0)</f>
        <v>39.655700000000003</v>
      </c>
      <c r="D496" s="4">
        <f>45.1089 * CHOOSE(CONTROL!$C$9, $C$13, 100%, $E$13) + CHOOSE(CONTROL!$C$28, 0, 0)</f>
        <v>45.108899999999998</v>
      </c>
      <c r="E496" s="4">
        <f>231.371499757941 * CHOOSE(CONTROL!$C$9, $C$13, 100%, $E$13) + CHOOSE(CONTROL!$C$28, 0, 0)</f>
        <v>231.371499757941</v>
      </c>
    </row>
    <row r="497" spans="1:5" ht="15">
      <c r="A497" s="13">
        <v>56645</v>
      </c>
      <c r="B497" s="4">
        <f>38.9831 * CHOOSE(CONTROL!$C$9, $C$13, 100%, $E$13) + CHOOSE(CONTROL!$C$28, 0.0003, 0)</f>
        <v>38.983400000000003</v>
      </c>
      <c r="C497" s="4">
        <f>38.6706 * CHOOSE(CONTROL!$C$9, $C$13, 100%, $E$13) + CHOOSE(CONTROL!$C$28, 0.0003, 0)</f>
        <v>38.670900000000003</v>
      </c>
      <c r="D497" s="4">
        <f>43.6353 * CHOOSE(CONTROL!$C$9, $C$13, 100%, $E$13) + CHOOSE(CONTROL!$C$28, 0, 0)</f>
        <v>43.635300000000001</v>
      </c>
      <c r="E497" s="4">
        <f>224.736646831528 * CHOOSE(CONTROL!$C$9, $C$13, 100%, $E$13) + CHOOSE(CONTROL!$C$28, 0, 0)</f>
        <v>224.73664683152799</v>
      </c>
    </row>
    <row r="498" spans="1:5" ht="15">
      <c r="A498" s="13">
        <v>56673</v>
      </c>
      <c r="B498" s="4">
        <f>39.8642 * CHOOSE(CONTROL!$C$9, $C$13, 100%, $E$13) + CHOOSE(CONTROL!$C$28, 0.0003, 0)</f>
        <v>39.8645</v>
      </c>
      <c r="C498" s="4">
        <f>39.5517 * CHOOSE(CONTROL!$C$9, $C$13, 100%, $E$13) + CHOOSE(CONTROL!$C$28, 0.0003, 0)</f>
        <v>39.552</v>
      </c>
      <c r="D498" s="4">
        <f>45.1192 * CHOOSE(CONTROL!$C$9, $C$13, 100%, $E$13) + CHOOSE(CONTROL!$C$28, 0, 0)</f>
        <v>45.119199999999999</v>
      </c>
      <c r="E498" s="4">
        <f>230.072780494081 * CHOOSE(CONTROL!$C$9, $C$13, 100%, $E$13) + CHOOSE(CONTROL!$C$28, 0, 0)</f>
        <v>230.072780494081</v>
      </c>
    </row>
    <row r="499" spans="1:5" ht="15">
      <c r="A499" s="13">
        <v>56704</v>
      </c>
      <c r="B499" s="4">
        <f>42.178 * CHOOSE(CONTROL!$C$9, $C$13, 100%, $E$13) + CHOOSE(CONTROL!$C$28, 0.0003, 0)</f>
        <v>42.1783</v>
      </c>
      <c r="C499" s="4">
        <f>41.8655 * CHOOSE(CONTROL!$C$9, $C$13, 100%, $E$13) + CHOOSE(CONTROL!$C$28, 0.0003, 0)</f>
        <v>41.8658</v>
      </c>
      <c r="D499" s="4">
        <f>47.4422 * CHOOSE(CONTROL!$C$9, $C$13, 100%, $E$13) + CHOOSE(CONTROL!$C$28, 0, 0)</f>
        <v>47.4422</v>
      </c>
      <c r="E499" s="4">
        <f>244.085751071312 * CHOOSE(CONTROL!$C$9, $C$13, 100%, $E$13) + CHOOSE(CONTROL!$C$28, 0, 0)</f>
        <v>244.08575107131199</v>
      </c>
    </row>
    <row r="500" spans="1:5" ht="15">
      <c r="A500" s="13">
        <v>56734</v>
      </c>
      <c r="B500" s="4">
        <f>43.822 * CHOOSE(CONTROL!$C$9, $C$13, 100%, $E$13) + CHOOSE(CONTROL!$C$28, 0.0003, 0)</f>
        <v>43.822300000000006</v>
      </c>
      <c r="C500" s="4">
        <f>43.5095 * CHOOSE(CONTROL!$C$9, $C$13, 100%, $E$13) + CHOOSE(CONTROL!$C$28, 0.0003, 0)</f>
        <v>43.509800000000006</v>
      </c>
      <c r="D500" s="4">
        <f>48.7803 * CHOOSE(CONTROL!$C$9, $C$13, 100%, $E$13) + CHOOSE(CONTROL!$C$28, 0, 0)</f>
        <v>48.780299999999997</v>
      </c>
      <c r="E500" s="4">
        <f>254.042153413822 * CHOOSE(CONTROL!$C$9, $C$13, 100%, $E$13) + CHOOSE(CONTROL!$C$28, 0, 0)</f>
        <v>254.04215341382201</v>
      </c>
    </row>
    <row r="501" spans="1:5" ht="15">
      <c r="A501" s="13">
        <v>56765</v>
      </c>
      <c r="B501" s="4">
        <f>44.8265 * CHOOSE(CONTROL!$C$9, $C$13, 100%, $E$13) + CHOOSE(CONTROL!$C$28, 0.0181, 0)</f>
        <v>44.8446</v>
      </c>
      <c r="C501" s="4">
        <f>44.514 * CHOOSE(CONTROL!$C$9, $C$13, 100%, $E$13) + CHOOSE(CONTROL!$C$28, 0.0181, 0)</f>
        <v>44.5321</v>
      </c>
      <c r="D501" s="4">
        <f>48.2515 * CHOOSE(CONTROL!$C$9, $C$13, 100%, $E$13) + CHOOSE(CONTROL!$C$28, 0, 0)</f>
        <v>48.2515</v>
      </c>
      <c r="E501" s="4">
        <f>260.125276623434 * CHOOSE(CONTROL!$C$9, $C$13, 100%, $E$13) + CHOOSE(CONTROL!$C$28, 0, 0)</f>
        <v>260.12527662343399</v>
      </c>
    </row>
    <row r="502" spans="1:5" ht="15">
      <c r="A502" s="13">
        <v>56795</v>
      </c>
      <c r="B502" s="4">
        <f>44.9624 * CHOOSE(CONTROL!$C$9, $C$13, 100%, $E$13) + CHOOSE(CONTROL!$C$28, 0.0181, 0)</f>
        <v>44.980499999999999</v>
      </c>
      <c r="C502" s="4">
        <f>44.6499 * CHOOSE(CONTROL!$C$9, $C$13, 100%, $E$13) + CHOOSE(CONTROL!$C$28, 0.0181, 0)</f>
        <v>44.667999999999999</v>
      </c>
      <c r="D502" s="4">
        <f>48.6821 * CHOOSE(CONTROL!$C$9, $C$13, 100%, $E$13) + CHOOSE(CONTROL!$C$28, 0, 0)</f>
        <v>48.682099999999998</v>
      </c>
      <c r="E502" s="4">
        <f>260.948348439174 * CHOOSE(CONTROL!$C$9, $C$13, 100%, $E$13) + CHOOSE(CONTROL!$C$28, 0, 0)</f>
        <v>260.94834843917403</v>
      </c>
    </row>
    <row r="503" spans="1:5" ht="15">
      <c r="A503" s="13">
        <v>56826</v>
      </c>
      <c r="B503" s="4">
        <f>44.9487 * CHOOSE(CONTROL!$C$9, $C$13, 100%, $E$13) + CHOOSE(CONTROL!$C$28, 0.0181, 0)</f>
        <v>44.966799999999999</v>
      </c>
      <c r="C503" s="4">
        <f>44.6362 * CHOOSE(CONTROL!$C$9, $C$13, 100%, $E$13) + CHOOSE(CONTROL!$C$28, 0.0181, 0)</f>
        <v>44.654299999999999</v>
      </c>
      <c r="D503" s="4">
        <f>49.4591 * CHOOSE(CONTROL!$C$9, $C$13, 100%, $E$13) + CHOOSE(CONTROL!$C$28, 0, 0)</f>
        <v>49.459099999999999</v>
      </c>
      <c r="E503" s="4">
        <f>260.865349600612 * CHOOSE(CONTROL!$C$9, $C$13, 100%, $E$13) + CHOOSE(CONTROL!$C$28, 0, 0)</f>
        <v>260.86534960061198</v>
      </c>
    </row>
    <row r="504" spans="1:5" ht="15">
      <c r="A504" s="13">
        <v>56857</v>
      </c>
      <c r="B504" s="4">
        <f>45.9799 * CHOOSE(CONTROL!$C$9, $C$13, 100%, $E$13) + CHOOSE(CONTROL!$C$28, 0.0181, 0)</f>
        <v>45.997999999999998</v>
      </c>
      <c r="C504" s="4">
        <f>45.6674 * CHOOSE(CONTROL!$C$9, $C$13, 100%, $E$13) + CHOOSE(CONTROL!$C$28, 0.0181, 0)</f>
        <v>45.685499999999998</v>
      </c>
      <c r="D504" s="4">
        <f>48.946 * CHOOSE(CONTROL!$C$9, $C$13, 100%, $E$13) + CHOOSE(CONTROL!$C$28, 0, 0)</f>
        <v>48.945999999999998</v>
      </c>
      <c r="E504" s="4">
        <f>267.111012202409 * CHOOSE(CONTROL!$C$9, $C$13, 100%, $E$13) + CHOOSE(CONTROL!$C$28, 0, 0)</f>
        <v>267.11101220240897</v>
      </c>
    </row>
    <row r="505" spans="1:5" ht="15">
      <c r="A505" s="13">
        <v>56887</v>
      </c>
      <c r="B505" s="4">
        <f>44.2223 * CHOOSE(CONTROL!$C$9, $C$13, 100%, $E$13) + CHOOSE(CONTROL!$C$28, 0.0181, 0)</f>
        <v>44.240399999999994</v>
      </c>
      <c r="C505" s="4">
        <f>43.9098 * CHOOSE(CONTROL!$C$9, $C$13, 100%, $E$13) + CHOOSE(CONTROL!$C$28, 0.0181, 0)</f>
        <v>43.927899999999994</v>
      </c>
      <c r="D505" s="4">
        <f>48.7036 * CHOOSE(CONTROL!$C$9, $C$13, 100%, $E$13) + CHOOSE(CONTROL!$C$28, 0, 0)</f>
        <v>48.703600000000002</v>
      </c>
      <c r="E505" s="4">
        <f>256.466411156822 * CHOOSE(CONTROL!$C$9, $C$13, 100%, $E$13) + CHOOSE(CONTROL!$C$28, 0, 0)</f>
        <v>256.46641115682201</v>
      </c>
    </row>
    <row r="506" spans="1:5" ht="15">
      <c r="A506" s="13">
        <v>56918</v>
      </c>
      <c r="B506" s="4">
        <f>42.8153 * CHOOSE(CONTROL!$C$9, $C$13, 100%, $E$13) + CHOOSE(CONTROL!$C$28, 0.0003, 0)</f>
        <v>42.815600000000003</v>
      </c>
      <c r="C506" s="4">
        <f>42.5028 * CHOOSE(CONTROL!$C$9, $C$13, 100%, $E$13) + CHOOSE(CONTROL!$C$28, 0.0003, 0)</f>
        <v>42.503100000000003</v>
      </c>
      <c r="D506" s="4">
        <f>48.0544 * CHOOSE(CONTROL!$C$9, $C$13, 100%, $E$13) + CHOOSE(CONTROL!$C$28, 0, 0)</f>
        <v>48.054400000000001</v>
      </c>
      <c r="E506" s="4">
        <f>247.945197064449 * CHOOSE(CONTROL!$C$9, $C$13, 100%, $E$13) + CHOOSE(CONTROL!$C$28, 0, 0)</f>
        <v>247.94519706444899</v>
      </c>
    </row>
    <row r="507" spans="1:5" ht="15">
      <c r="A507" s="13">
        <v>56948</v>
      </c>
      <c r="B507" s="4">
        <f>41.9091 * CHOOSE(CONTROL!$C$9, $C$13, 100%, $E$13) + CHOOSE(CONTROL!$C$28, 0.0003, 0)</f>
        <v>41.909400000000005</v>
      </c>
      <c r="C507" s="4">
        <f>41.5966 * CHOOSE(CONTROL!$C$9, $C$13, 100%, $E$13) + CHOOSE(CONTROL!$C$28, 0.0003, 0)</f>
        <v>41.596900000000005</v>
      </c>
      <c r="D507" s="4">
        <f>47.8312 * CHOOSE(CONTROL!$C$9, $C$13, 100%, $E$13) + CHOOSE(CONTROL!$C$28, 0, 0)</f>
        <v>47.831200000000003</v>
      </c>
      <c r="E507" s="4">
        <f>242.456898864531 * CHOOSE(CONTROL!$C$9, $C$13, 100%, $E$13) + CHOOSE(CONTROL!$C$28, 0, 0)</f>
        <v>242.45689886453101</v>
      </c>
    </row>
    <row r="508" spans="1:5" ht="15">
      <c r="A508" s="13">
        <v>56979</v>
      </c>
      <c r="B508" s="4">
        <f>41.2821 * CHOOSE(CONTROL!$C$9, $C$13, 100%, $E$13) + CHOOSE(CONTROL!$C$28, 0.0003, 0)</f>
        <v>41.282400000000003</v>
      </c>
      <c r="C508" s="4">
        <f>40.9696 * CHOOSE(CONTROL!$C$9, $C$13, 100%, $E$13) + CHOOSE(CONTROL!$C$28, 0.0003, 0)</f>
        <v>40.969900000000003</v>
      </c>
      <c r="D508" s="4">
        <f>46.1881 * CHOOSE(CONTROL!$C$9, $C$13, 100%, $E$13) + CHOOSE(CONTROL!$C$28, 0, 0)</f>
        <v>46.188099999999999</v>
      </c>
      <c r="E508" s="4">
        <f>238.659702000316 * CHOOSE(CONTROL!$C$9, $C$13, 100%, $E$13) + CHOOSE(CONTROL!$C$28, 0, 0)</f>
        <v>238.659702000316</v>
      </c>
    </row>
    <row r="509" spans="1:5" ht="15">
      <c r="A509" s="13">
        <v>57010</v>
      </c>
      <c r="B509" s="4">
        <f>40.2634 * CHOOSE(CONTROL!$C$9, $C$13, 100%, $E$13) + CHOOSE(CONTROL!$C$28, 0.0003, 0)</f>
        <v>40.2637</v>
      </c>
      <c r="C509" s="4">
        <f>39.9509 * CHOOSE(CONTROL!$C$9, $C$13, 100%, $E$13) + CHOOSE(CONTROL!$C$28, 0.0003, 0)</f>
        <v>39.9512</v>
      </c>
      <c r="D509" s="4">
        <f>44.678 * CHOOSE(CONTROL!$C$9, $C$13, 100%, $E$13) + CHOOSE(CONTROL!$C$28, 0, 0)</f>
        <v>44.677999999999997</v>
      </c>
      <c r="E509" s="4">
        <f>231.815851206721 * CHOOSE(CONTROL!$C$9, $C$13, 100%, $E$13) + CHOOSE(CONTROL!$C$28, 0, 0)</f>
        <v>231.81585120672099</v>
      </c>
    </row>
    <row r="510" spans="1:5" ht="15">
      <c r="A510" s="13">
        <v>57038</v>
      </c>
      <c r="B510" s="4">
        <f>41.1749 * CHOOSE(CONTROL!$C$9, $C$13, 100%, $E$13) + CHOOSE(CONTROL!$C$28, 0.0003, 0)</f>
        <v>41.175200000000004</v>
      </c>
      <c r="C510" s="4">
        <f>40.8624 * CHOOSE(CONTROL!$C$9, $C$13, 100%, $E$13) + CHOOSE(CONTROL!$C$28, 0.0003, 0)</f>
        <v>40.862700000000004</v>
      </c>
      <c r="D510" s="4">
        <f>46.1987 * CHOOSE(CONTROL!$C$9, $C$13, 100%, $E$13) + CHOOSE(CONTROL!$C$28, 0, 0)</f>
        <v>46.198700000000002</v>
      </c>
      <c r="E510" s="4">
        <f>237.320073079645 * CHOOSE(CONTROL!$C$9, $C$13, 100%, $E$13) + CHOOSE(CONTROL!$C$28, 0, 0)</f>
        <v>237.320073079645</v>
      </c>
    </row>
    <row r="511" spans="1:5" ht="15">
      <c r="A511" s="13">
        <v>57070</v>
      </c>
      <c r="B511" s="4">
        <f>43.5685 * CHOOSE(CONTROL!$C$9, $C$13, 100%, $E$13) + CHOOSE(CONTROL!$C$28, 0.0003, 0)</f>
        <v>43.568800000000003</v>
      </c>
      <c r="C511" s="4">
        <f>43.256 * CHOOSE(CONTROL!$C$9, $C$13, 100%, $E$13) + CHOOSE(CONTROL!$C$28, 0.0003, 0)</f>
        <v>43.256300000000003</v>
      </c>
      <c r="D511" s="4">
        <f>48.5793 * CHOOSE(CONTROL!$C$9, $C$13, 100%, $E$13) + CHOOSE(CONTROL!$C$28, 0, 0)</f>
        <v>48.579300000000003</v>
      </c>
      <c r="E511" s="4">
        <f>251.774452230059 * CHOOSE(CONTROL!$C$9, $C$13, 100%, $E$13) + CHOOSE(CONTROL!$C$28, 0, 0)</f>
        <v>251.77445223005901</v>
      </c>
    </row>
    <row r="512" spans="1:5" ht="15">
      <c r="A512" s="13">
        <v>57100</v>
      </c>
      <c r="B512" s="4">
        <f>45.2692 * CHOOSE(CONTROL!$C$9, $C$13, 100%, $E$13) + CHOOSE(CONTROL!$C$28, 0.0003, 0)</f>
        <v>45.269500000000001</v>
      </c>
      <c r="C512" s="4">
        <f>44.9567 * CHOOSE(CONTROL!$C$9, $C$13, 100%, $E$13) + CHOOSE(CONTROL!$C$28, 0.0003, 0)</f>
        <v>44.957000000000001</v>
      </c>
      <c r="D512" s="4">
        <f>49.9506 * CHOOSE(CONTROL!$C$9, $C$13, 100%, $E$13) + CHOOSE(CONTROL!$C$28, 0, 0)</f>
        <v>49.950600000000001</v>
      </c>
      <c r="E512" s="4">
        <f>262.044481246357 * CHOOSE(CONTROL!$C$9, $C$13, 100%, $E$13) + CHOOSE(CONTROL!$C$28, 0, 0)</f>
        <v>262.04448124635701</v>
      </c>
    </row>
    <row r="513" spans="1:5" ht="15">
      <c r="A513" s="13">
        <v>57131</v>
      </c>
      <c r="B513" s="4">
        <f>46.3083 * CHOOSE(CONTROL!$C$9, $C$13, 100%, $E$13) + CHOOSE(CONTROL!$C$28, 0.0181, 0)</f>
        <v>46.3264</v>
      </c>
      <c r="C513" s="4">
        <f>45.9958 * CHOOSE(CONTROL!$C$9, $C$13, 100%, $E$13) + CHOOSE(CONTROL!$C$28, 0.0181, 0)</f>
        <v>46.0139</v>
      </c>
      <c r="D513" s="4">
        <f>49.4087 * CHOOSE(CONTROL!$C$9, $C$13, 100%, $E$13) + CHOOSE(CONTROL!$C$28, 0, 0)</f>
        <v>49.408700000000003</v>
      </c>
      <c r="E513" s="4">
        <f>268.319222837072 * CHOOSE(CONTROL!$C$9, $C$13, 100%, $E$13) + CHOOSE(CONTROL!$C$28, 0, 0)</f>
        <v>268.319222837072</v>
      </c>
    </row>
    <row r="514" spans="1:5" ht="15">
      <c r="A514" s="13">
        <v>57161</v>
      </c>
      <c r="B514" s="4">
        <f>46.4489 * CHOOSE(CONTROL!$C$9, $C$13, 100%, $E$13) + CHOOSE(CONTROL!$C$28, 0.0181, 0)</f>
        <v>46.466999999999999</v>
      </c>
      <c r="C514" s="4">
        <f>46.1364 * CHOOSE(CONTROL!$C$9, $C$13, 100%, $E$13) + CHOOSE(CONTROL!$C$28, 0.0181, 0)</f>
        <v>46.154499999999999</v>
      </c>
      <c r="D514" s="4">
        <f>49.85 * CHOOSE(CONTROL!$C$9, $C$13, 100%, $E$13) + CHOOSE(CONTROL!$C$28, 0, 0)</f>
        <v>49.85</v>
      </c>
      <c r="E514" s="4">
        <f>269.168221415008 * CHOOSE(CONTROL!$C$9, $C$13, 100%, $E$13) + CHOOSE(CONTROL!$C$28, 0, 0)</f>
        <v>269.16822141500802</v>
      </c>
    </row>
    <row r="515" spans="1:5" ht="15">
      <c r="A515" s="13">
        <v>57192</v>
      </c>
      <c r="B515" s="4">
        <f>46.4347 * CHOOSE(CONTROL!$C$9, $C$13, 100%, $E$13) + CHOOSE(CONTROL!$C$28, 0.0181, 0)</f>
        <v>46.452799999999996</v>
      </c>
      <c r="C515" s="4">
        <f>46.1222 * CHOOSE(CONTROL!$C$9, $C$13, 100%, $E$13) + CHOOSE(CONTROL!$C$28, 0.0181, 0)</f>
        <v>46.140299999999996</v>
      </c>
      <c r="D515" s="4">
        <f>50.6463 * CHOOSE(CONTROL!$C$9, $C$13, 100%, $E$13) + CHOOSE(CONTROL!$C$28, 0, 0)</f>
        <v>50.646299999999997</v>
      </c>
      <c r="E515" s="4">
        <f>269.082608113032 * CHOOSE(CONTROL!$C$9, $C$13, 100%, $E$13) + CHOOSE(CONTROL!$C$28, 0, 0)</f>
        <v>269.08260811303199</v>
      </c>
    </row>
    <row r="516" spans="1:5" ht="15">
      <c r="A516" s="13">
        <v>57223</v>
      </c>
      <c r="B516" s="4">
        <f>47.5015 * CHOOSE(CONTROL!$C$9, $C$13, 100%, $E$13) + CHOOSE(CONTROL!$C$28, 0.0181, 0)</f>
        <v>47.519599999999997</v>
      </c>
      <c r="C516" s="4">
        <f>47.189 * CHOOSE(CONTROL!$C$9, $C$13, 100%, $E$13) + CHOOSE(CONTROL!$C$28, 0.0181, 0)</f>
        <v>47.207099999999997</v>
      </c>
      <c r="D516" s="4">
        <f>50.1204 * CHOOSE(CONTROL!$C$9, $C$13, 100%, $E$13) + CHOOSE(CONTROL!$C$28, 0, 0)</f>
        <v>50.120399999999997</v>
      </c>
      <c r="E516" s="4">
        <f>275.525009086785 * CHOOSE(CONTROL!$C$9, $C$13, 100%, $E$13) + CHOOSE(CONTROL!$C$28, 0, 0)</f>
        <v>275.52500908678502</v>
      </c>
    </row>
    <row r="517" spans="1:5" ht="15">
      <c r="A517" s="13">
        <v>57253</v>
      </c>
      <c r="B517" s="4">
        <f>45.6833 * CHOOSE(CONTROL!$C$9, $C$13, 100%, $E$13) + CHOOSE(CONTROL!$C$28, 0.0181, 0)</f>
        <v>45.7014</v>
      </c>
      <c r="C517" s="4">
        <f>45.3708 * CHOOSE(CONTROL!$C$9, $C$13, 100%, $E$13) + CHOOSE(CONTROL!$C$28, 0.0181, 0)</f>
        <v>45.3889</v>
      </c>
      <c r="D517" s="4">
        <f>49.872 * CHOOSE(CONTROL!$C$9, $C$13, 100%, $E$13) + CHOOSE(CONTROL!$C$28, 0, 0)</f>
        <v>49.872</v>
      </c>
      <c r="E517" s="4">
        <f>264.545103108262 * CHOOSE(CONTROL!$C$9, $C$13, 100%, $E$13) + CHOOSE(CONTROL!$C$28, 0, 0)</f>
        <v>264.54510310826203</v>
      </c>
    </row>
    <row r="518" spans="1:5" ht="15">
      <c r="A518" s="13">
        <v>57284</v>
      </c>
      <c r="B518" s="4">
        <f>44.2277 * CHOOSE(CONTROL!$C$9, $C$13, 100%, $E$13) + CHOOSE(CONTROL!$C$28, 0.0003, 0)</f>
        <v>44.228000000000002</v>
      </c>
      <c r="C518" s="4">
        <f>43.9152 * CHOOSE(CONTROL!$C$9, $C$13, 100%, $E$13) + CHOOSE(CONTROL!$C$28, 0.0003, 0)</f>
        <v>43.915500000000002</v>
      </c>
      <c r="D518" s="4">
        <f>49.2067 * CHOOSE(CONTROL!$C$9, $C$13, 100%, $E$13) + CHOOSE(CONTROL!$C$28, 0, 0)</f>
        <v>49.206699999999998</v>
      </c>
      <c r="E518" s="4">
        <f>255.755470771979 * CHOOSE(CONTROL!$C$9, $C$13, 100%, $E$13) + CHOOSE(CONTROL!$C$28, 0, 0)</f>
        <v>255.75547077197899</v>
      </c>
    </row>
    <row r="519" spans="1:5" ht="15">
      <c r="A519" s="13">
        <v>57314</v>
      </c>
      <c r="B519" s="4">
        <f>43.2903 * CHOOSE(CONTROL!$C$9, $C$13, 100%, $E$13) + CHOOSE(CONTROL!$C$28, 0.0003, 0)</f>
        <v>43.290600000000005</v>
      </c>
      <c r="C519" s="4">
        <f>42.9778 * CHOOSE(CONTROL!$C$9, $C$13, 100%, $E$13) + CHOOSE(CONTROL!$C$28, 0.0003, 0)</f>
        <v>42.978100000000005</v>
      </c>
      <c r="D519" s="4">
        <f>48.978 * CHOOSE(CONTROL!$C$9, $C$13, 100%, $E$13) + CHOOSE(CONTROL!$C$28, 0, 0)</f>
        <v>48.978000000000002</v>
      </c>
      <c r="E519" s="4">
        <f>250.094291178764 * CHOOSE(CONTROL!$C$9, $C$13, 100%, $E$13) + CHOOSE(CONTROL!$C$28, 0, 0)</f>
        <v>250.094291178764</v>
      </c>
    </row>
    <row r="520" spans="1:5" ht="15">
      <c r="A520" s="13">
        <v>57345</v>
      </c>
      <c r="B520" s="4">
        <f>42.6416 * CHOOSE(CONTROL!$C$9, $C$13, 100%, $E$13) + CHOOSE(CONTROL!$C$28, 0.0003, 0)</f>
        <v>42.6419</v>
      </c>
      <c r="C520" s="4">
        <f>42.3291 * CHOOSE(CONTROL!$C$9, $C$13, 100%, $E$13) + CHOOSE(CONTROL!$C$28, 0.0003, 0)</f>
        <v>42.3294</v>
      </c>
      <c r="D520" s="4">
        <f>47.2942 * CHOOSE(CONTROL!$C$9, $C$13, 100%, $E$13) + CHOOSE(CONTROL!$C$28, 0, 0)</f>
        <v>47.294199999999996</v>
      </c>
      <c r="E520" s="4">
        <f>246.177482613326 * CHOOSE(CONTROL!$C$9, $C$13, 100%, $E$13) + CHOOSE(CONTROL!$C$28, 0, 0)</f>
        <v>246.17748261332599</v>
      </c>
    </row>
    <row r="521" spans="1:5" ht="15">
      <c r="A521" s="13">
        <v>57376</v>
      </c>
      <c r="B521" s="4">
        <f>41.5878 * CHOOSE(CONTROL!$C$9, $C$13, 100%, $E$13) + CHOOSE(CONTROL!$C$28, 0.0003, 0)</f>
        <v>41.588100000000004</v>
      </c>
      <c r="C521" s="4">
        <f>41.2753 * CHOOSE(CONTROL!$C$9, $C$13, 100%, $E$13) + CHOOSE(CONTROL!$C$28, 0.0003, 0)</f>
        <v>41.275600000000004</v>
      </c>
      <c r="D521" s="4">
        <f>45.7466 * CHOOSE(CONTROL!$C$9, $C$13, 100%, $E$13) + CHOOSE(CONTROL!$C$28, 0, 0)</f>
        <v>45.746600000000001</v>
      </c>
      <c r="E521" s="4">
        <f>239.118050519733 * CHOOSE(CONTROL!$C$9, $C$13, 100%, $E$13) + CHOOSE(CONTROL!$C$28, 0, 0)</f>
        <v>239.118050519733</v>
      </c>
    </row>
    <row r="522" spans="1:5" ht="15">
      <c r="A522" s="13">
        <v>57404</v>
      </c>
      <c r="B522" s="4">
        <f>42.5307 * CHOOSE(CONTROL!$C$9, $C$13, 100%, $E$13) + CHOOSE(CONTROL!$C$28, 0.0003, 0)</f>
        <v>42.531000000000006</v>
      </c>
      <c r="C522" s="4">
        <f>42.2182 * CHOOSE(CONTROL!$C$9, $C$13, 100%, $E$13) + CHOOSE(CONTROL!$C$28, 0.0003, 0)</f>
        <v>42.218500000000006</v>
      </c>
      <c r="D522" s="4">
        <f>47.305 * CHOOSE(CONTROL!$C$9, $C$13, 100%, $E$13) + CHOOSE(CONTROL!$C$28, 0, 0)</f>
        <v>47.305</v>
      </c>
      <c r="E522" s="4">
        <f>244.795655381654 * CHOOSE(CONTROL!$C$9, $C$13, 100%, $E$13) + CHOOSE(CONTROL!$C$28, 0, 0)</f>
        <v>244.795655381654</v>
      </c>
    </row>
    <row r="523" spans="1:5" ht="15">
      <c r="A523" s="13">
        <v>57435</v>
      </c>
      <c r="B523" s="4">
        <f>45.0069 * CHOOSE(CONTROL!$C$9, $C$13, 100%, $E$13) + CHOOSE(CONTROL!$C$28, 0.0003, 0)</f>
        <v>45.007200000000005</v>
      </c>
      <c r="C523" s="4">
        <f>44.6944 * CHOOSE(CONTROL!$C$9, $C$13, 100%, $E$13) + CHOOSE(CONTROL!$C$28, 0.0003, 0)</f>
        <v>44.694700000000005</v>
      </c>
      <c r="D523" s="4">
        <f>49.7446 * CHOOSE(CONTROL!$C$9, $C$13, 100%, $E$13) + CHOOSE(CONTROL!$C$28, 0, 0)</f>
        <v>49.744599999999998</v>
      </c>
      <c r="E523" s="4">
        <f>259.705347475305 * CHOOSE(CONTROL!$C$9, $C$13, 100%, $E$13) + CHOOSE(CONTROL!$C$28, 0, 0)</f>
        <v>259.70534747530502</v>
      </c>
    </row>
    <row r="524" spans="1:5" ht="15">
      <c r="A524" s="13">
        <v>57465</v>
      </c>
      <c r="B524" s="4">
        <f>46.7663 * CHOOSE(CONTROL!$C$9, $C$13, 100%, $E$13) + CHOOSE(CONTROL!$C$28, 0.0003, 0)</f>
        <v>46.766600000000004</v>
      </c>
      <c r="C524" s="4">
        <f>46.4538 * CHOOSE(CONTROL!$C$9, $C$13, 100%, $E$13) + CHOOSE(CONTROL!$C$28, 0.0003, 0)</f>
        <v>46.454100000000004</v>
      </c>
      <c r="D524" s="4">
        <f>51.1499 * CHOOSE(CONTROL!$C$9, $C$13, 100%, $E$13) + CHOOSE(CONTROL!$C$28, 0, 0)</f>
        <v>51.149900000000002</v>
      </c>
      <c r="E524" s="4">
        <f>270.298882405617 * CHOOSE(CONTROL!$C$9, $C$13, 100%, $E$13) + CHOOSE(CONTROL!$C$28, 0, 0)</f>
        <v>270.29888240561701</v>
      </c>
    </row>
    <row r="525" spans="1:5" ht="15">
      <c r="A525" s="13">
        <v>57496</v>
      </c>
      <c r="B525" s="4">
        <f>47.8412 * CHOOSE(CONTROL!$C$9, $C$13, 100%, $E$13) + CHOOSE(CONTROL!$C$28, 0.0181, 0)</f>
        <v>47.859299999999998</v>
      </c>
      <c r="C525" s="4">
        <f>47.5287 * CHOOSE(CONTROL!$C$9, $C$13, 100%, $E$13) + CHOOSE(CONTROL!$C$28, 0.0181, 0)</f>
        <v>47.546799999999998</v>
      </c>
      <c r="D525" s="4">
        <f>50.5946 * CHOOSE(CONTROL!$C$9, $C$13, 100%, $E$13) + CHOOSE(CONTROL!$C$28, 0, 0)</f>
        <v>50.5946</v>
      </c>
      <c r="E525" s="4">
        <f>276.77127835644 * CHOOSE(CONTROL!$C$9, $C$13, 100%, $E$13) + CHOOSE(CONTROL!$C$28, 0, 0)</f>
        <v>276.77127835644001</v>
      </c>
    </row>
    <row r="526" spans="1:5" ht="15">
      <c r="A526" s="13">
        <v>57526</v>
      </c>
      <c r="B526" s="4">
        <f>47.9867 * CHOOSE(CONTROL!$C$9, $C$13, 100%, $E$13) + CHOOSE(CONTROL!$C$28, 0.0181, 0)</f>
        <v>48.004799999999996</v>
      </c>
      <c r="C526" s="4">
        <f>47.6742 * CHOOSE(CONTROL!$C$9, $C$13, 100%, $E$13) + CHOOSE(CONTROL!$C$28, 0.0181, 0)</f>
        <v>47.692299999999996</v>
      </c>
      <c r="D526" s="4">
        <f>51.0468 * CHOOSE(CONTROL!$C$9, $C$13, 100%, $E$13) + CHOOSE(CONTROL!$C$28, 0, 0)</f>
        <v>51.046799999999998</v>
      </c>
      <c r="E526" s="4">
        <f>277.647020389581 * CHOOSE(CONTROL!$C$9, $C$13, 100%, $E$13) + CHOOSE(CONTROL!$C$28, 0, 0)</f>
        <v>277.64702038958097</v>
      </c>
    </row>
    <row r="527" spans="1:5" ht="15">
      <c r="A527" s="13">
        <v>57557</v>
      </c>
      <c r="B527" s="4">
        <f>47.972 * CHOOSE(CONTROL!$C$9, $C$13, 100%, $E$13) + CHOOSE(CONTROL!$C$28, 0.0181, 0)</f>
        <v>47.990099999999998</v>
      </c>
      <c r="C527" s="4">
        <f>47.6595 * CHOOSE(CONTROL!$C$9, $C$13, 100%, $E$13) + CHOOSE(CONTROL!$C$28, 0.0181, 0)</f>
        <v>47.677599999999998</v>
      </c>
      <c r="D527" s="4">
        <f>51.8629 * CHOOSE(CONTROL!$C$9, $C$13, 100%, $E$13) + CHOOSE(CONTROL!$C$28, 0, 0)</f>
        <v>51.862900000000003</v>
      </c>
      <c r="E527" s="4">
        <f>277.558710268592 * CHOOSE(CONTROL!$C$9, $C$13, 100%, $E$13) + CHOOSE(CONTROL!$C$28, 0, 0)</f>
        <v>277.55871026859199</v>
      </c>
    </row>
    <row r="528" spans="1:5" ht="15">
      <c r="A528" s="13">
        <v>57588</v>
      </c>
      <c r="B528" s="4">
        <f>49.0757 * CHOOSE(CONTROL!$C$9, $C$13, 100%, $E$13) + CHOOSE(CONTROL!$C$28, 0.0181, 0)</f>
        <v>49.093799999999995</v>
      </c>
      <c r="C528" s="4">
        <f>48.7632 * CHOOSE(CONTROL!$C$9, $C$13, 100%, $E$13) + CHOOSE(CONTROL!$C$28, 0.0181, 0)</f>
        <v>48.781299999999995</v>
      </c>
      <c r="D528" s="4">
        <f>51.3239 * CHOOSE(CONTROL!$C$9, $C$13, 100%, $E$13) + CHOOSE(CONTROL!$C$28, 0, 0)</f>
        <v>51.323900000000002</v>
      </c>
      <c r="E528" s="4">
        <f>284.204046873018 * CHOOSE(CONTROL!$C$9, $C$13, 100%, $E$13) + CHOOSE(CONTROL!$C$28, 0, 0)</f>
        <v>284.204046873018</v>
      </c>
    </row>
    <row r="529" spans="1:5" ht="15">
      <c r="A529" s="13">
        <v>57618</v>
      </c>
      <c r="B529" s="4">
        <f>47.1947 * CHOOSE(CONTROL!$C$9, $C$13, 100%, $E$13) + CHOOSE(CONTROL!$C$28, 0.0181, 0)</f>
        <v>47.212799999999994</v>
      </c>
      <c r="C529" s="4">
        <f>46.8822 * CHOOSE(CONTROL!$C$9, $C$13, 100%, $E$13) + CHOOSE(CONTROL!$C$28, 0.0181, 0)</f>
        <v>46.900299999999994</v>
      </c>
      <c r="D529" s="4">
        <f>51.0693 * CHOOSE(CONTROL!$C$9, $C$13, 100%, $E$13) + CHOOSE(CONTROL!$C$28, 0, 0)</f>
        <v>51.069299999999998</v>
      </c>
      <c r="E529" s="4">
        <f>272.878273856173 * CHOOSE(CONTROL!$C$9, $C$13, 100%, $E$13) + CHOOSE(CONTROL!$C$28, 0, 0)</f>
        <v>272.878273856173</v>
      </c>
    </row>
    <row r="530" spans="1:5" ht="15">
      <c r="A530" s="13">
        <v>57649</v>
      </c>
      <c r="B530" s="4">
        <f>45.6889 * CHOOSE(CONTROL!$C$9, $C$13, 100%, $E$13) + CHOOSE(CONTROL!$C$28, 0.0003, 0)</f>
        <v>45.6892</v>
      </c>
      <c r="C530" s="4">
        <f>45.3764 * CHOOSE(CONTROL!$C$9, $C$13, 100%, $E$13) + CHOOSE(CONTROL!$C$28, 0.0003, 0)</f>
        <v>45.3767</v>
      </c>
      <c r="D530" s="4">
        <f>50.3876 * CHOOSE(CONTROL!$C$9, $C$13, 100%, $E$13) + CHOOSE(CONTROL!$C$28, 0, 0)</f>
        <v>50.387599999999999</v>
      </c>
      <c r="E530" s="4">
        <f>263.811768101296 * CHOOSE(CONTROL!$C$9, $C$13, 100%, $E$13) + CHOOSE(CONTROL!$C$28, 0, 0)</f>
        <v>263.81176810129602</v>
      </c>
    </row>
    <row r="531" spans="1:5" ht="15">
      <c r="A531" s="13">
        <v>57679</v>
      </c>
      <c r="B531" s="4">
        <f>44.7191 * CHOOSE(CONTROL!$C$9, $C$13, 100%, $E$13) + CHOOSE(CONTROL!$C$28, 0.0003, 0)</f>
        <v>44.7194</v>
      </c>
      <c r="C531" s="4">
        <f>44.4066 * CHOOSE(CONTROL!$C$9, $C$13, 100%, $E$13) + CHOOSE(CONTROL!$C$28, 0.0003, 0)</f>
        <v>44.4069</v>
      </c>
      <c r="D531" s="4">
        <f>50.1532 * CHOOSE(CONTROL!$C$9, $C$13, 100%, $E$13) + CHOOSE(CONTROL!$C$28, 0, 0)</f>
        <v>50.153199999999998</v>
      </c>
      <c r="E531" s="4">
        <f>257.972261350895 * CHOOSE(CONTROL!$C$9, $C$13, 100%, $E$13) + CHOOSE(CONTROL!$C$28, 0, 0)</f>
        <v>257.972261350895</v>
      </c>
    </row>
    <row r="532" spans="1:5" ht="15">
      <c r="A532" s="13">
        <v>57710</v>
      </c>
      <c r="B532" s="4">
        <f>44.0481 * CHOOSE(CONTROL!$C$9, $C$13, 100%, $E$13) + CHOOSE(CONTROL!$C$28, 0.0003, 0)</f>
        <v>44.048400000000001</v>
      </c>
      <c r="C532" s="4">
        <f>43.7356 * CHOOSE(CONTROL!$C$9, $C$13, 100%, $E$13) + CHOOSE(CONTROL!$C$28, 0.0003, 0)</f>
        <v>43.735900000000001</v>
      </c>
      <c r="D532" s="4">
        <f>48.4276 * CHOOSE(CONTROL!$C$9, $C$13, 100%, $E$13) + CHOOSE(CONTROL!$C$28, 0, 0)</f>
        <v>48.427599999999998</v>
      </c>
      <c r="E532" s="4">
        <f>253.932073315646 * CHOOSE(CONTROL!$C$9, $C$13, 100%, $E$13) + CHOOSE(CONTROL!$C$28, 0, 0)</f>
        <v>253.93207331564599</v>
      </c>
    </row>
    <row r="533" spans="1:5" ht="15">
      <c r="A533" s="13">
        <v>57741</v>
      </c>
      <c r="B533" s="4">
        <f>42.9579 * CHOOSE(CONTROL!$C$9, $C$13, 100%, $E$13) + CHOOSE(CONTROL!$C$28, 0.0003, 0)</f>
        <v>42.958200000000005</v>
      </c>
      <c r="C533" s="4">
        <f>42.6454 * CHOOSE(CONTROL!$C$9, $C$13, 100%, $E$13) + CHOOSE(CONTROL!$C$28, 0.0003, 0)</f>
        <v>42.645700000000005</v>
      </c>
      <c r="D533" s="4">
        <f>46.8416 * CHOOSE(CONTROL!$C$9, $C$13, 100%, $E$13) + CHOOSE(CONTROL!$C$28, 0, 0)</f>
        <v>46.8416</v>
      </c>
      <c r="E533" s="4">
        <f>246.650269111104 * CHOOSE(CONTROL!$C$9, $C$13, 100%, $E$13) + CHOOSE(CONTROL!$C$28, 0, 0)</f>
        <v>246.650269111104</v>
      </c>
    </row>
    <row r="534" spans="1:5" ht="15">
      <c r="A534" s="13">
        <v>57769</v>
      </c>
      <c r="B534" s="4">
        <f>43.9333 * CHOOSE(CONTROL!$C$9, $C$13, 100%, $E$13) + CHOOSE(CONTROL!$C$28, 0.0003, 0)</f>
        <v>43.933600000000006</v>
      </c>
      <c r="C534" s="4">
        <f>43.6208 * CHOOSE(CONTROL!$C$9, $C$13, 100%, $E$13) + CHOOSE(CONTROL!$C$28, 0.0003, 0)</f>
        <v>43.621100000000006</v>
      </c>
      <c r="D534" s="4">
        <f>48.4387 * CHOOSE(CONTROL!$C$9, $C$13, 100%, $E$13) + CHOOSE(CONTROL!$C$28, 0, 0)</f>
        <v>48.438699999999997</v>
      </c>
      <c r="E534" s="4">
        <f>252.506718526176 * CHOOSE(CONTROL!$C$9, $C$13, 100%, $E$13) + CHOOSE(CONTROL!$C$28, 0, 0)</f>
        <v>252.506718526176</v>
      </c>
    </row>
    <row r="535" spans="1:5" ht="15">
      <c r="A535" s="13">
        <v>57800</v>
      </c>
      <c r="B535" s="4">
        <f>46.495 * CHOOSE(CONTROL!$C$9, $C$13, 100%, $E$13) + CHOOSE(CONTROL!$C$28, 0.0003, 0)</f>
        <v>46.4953</v>
      </c>
      <c r="C535" s="4">
        <f>46.1825 * CHOOSE(CONTROL!$C$9, $C$13, 100%, $E$13) + CHOOSE(CONTROL!$C$28, 0.0003, 0)</f>
        <v>46.1828</v>
      </c>
      <c r="D535" s="4">
        <f>50.9388 * CHOOSE(CONTROL!$C$9, $C$13, 100%, $E$13) + CHOOSE(CONTROL!$C$28, 0, 0)</f>
        <v>50.938800000000001</v>
      </c>
      <c r="E535" s="4">
        <f>267.886065920778 * CHOOSE(CONTROL!$C$9, $C$13, 100%, $E$13) + CHOOSE(CONTROL!$C$28, 0, 0)</f>
        <v>267.88606592077798</v>
      </c>
    </row>
    <row r="536" spans="1:5" ht="15">
      <c r="A536" s="13">
        <v>57830</v>
      </c>
      <c r="B536" s="4">
        <f>48.315 * CHOOSE(CONTROL!$C$9, $C$13, 100%, $E$13) + CHOOSE(CONTROL!$C$28, 0.0003, 0)</f>
        <v>48.315300000000001</v>
      </c>
      <c r="C536" s="4">
        <f>48.0025 * CHOOSE(CONTROL!$C$9, $C$13, 100%, $E$13) + CHOOSE(CONTROL!$C$28, 0.0003, 0)</f>
        <v>48.002800000000001</v>
      </c>
      <c r="D536" s="4">
        <f>52.3789 * CHOOSE(CONTROL!$C$9, $C$13, 100%, $E$13) + CHOOSE(CONTROL!$C$28, 0, 0)</f>
        <v>52.378900000000002</v>
      </c>
      <c r="E536" s="4">
        <f>278.813297201394 * CHOOSE(CONTROL!$C$9, $C$13, 100%, $E$13) + CHOOSE(CONTROL!$C$28, 0, 0)</f>
        <v>278.81329720139399</v>
      </c>
    </row>
    <row r="537" spans="1:5" ht="15">
      <c r="A537" s="13">
        <v>57861</v>
      </c>
      <c r="B537" s="4">
        <f>49.4271 * CHOOSE(CONTROL!$C$9, $C$13, 100%, $E$13) + CHOOSE(CONTROL!$C$28, 0.0181, 0)</f>
        <v>49.4452</v>
      </c>
      <c r="C537" s="4">
        <f>49.1146 * CHOOSE(CONTROL!$C$9, $C$13, 100%, $E$13) + CHOOSE(CONTROL!$C$28, 0.0181, 0)</f>
        <v>49.1327</v>
      </c>
      <c r="D537" s="4">
        <f>51.8099 * CHOOSE(CONTROL!$C$9, $C$13, 100%, $E$13) + CHOOSE(CONTROL!$C$28, 0, 0)</f>
        <v>51.809899999999999</v>
      </c>
      <c r="E537" s="4">
        <f>285.489573624668 * CHOOSE(CONTROL!$C$9, $C$13, 100%, $E$13) + CHOOSE(CONTROL!$C$28, 0, 0)</f>
        <v>285.48957362466803</v>
      </c>
    </row>
    <row r="538" spans="1:5" ht="15">
      <c r="A538" s="13">
        <v>57891</v>
      </c>
      <c r="B538" s="4">
        <f>49.5775 * CHOOSE(CONTROL!$C$9, $C$13, 100%, $E$13) + CHOOSE(CONTROL!$C$28, 0.0181, 0)</f>
        <v>49.595599999999997</v>
      </c>
      <c r="C538" s="4">
        <f>49.265 * CHOOSE(CONTROL!$C$9, $C$13, 100%, $E$13) + CHOOSE(CONTROL!$C$28, 0.0181, 0)</f>
        <v>49.283099999999997</v>
      </c>
      <c r="D538" s="4">
        <f>52.2733 * CHOOSE(CONTROL!$C$9, $C$13, 100%, $E$13) + CHOOSE(CONTROL!$C$28, 0, 0)</f>
        <v>52.273299999999999</v>
      </c>
      <c r="E538" s="4">
        <f>286.392901531853 * CHOOSE(CONTROL!$C$9, $C$13, 100%, $E$13) + CHOOSE(CONTROL!$C$28, 0, 0)</f>
        <v>286.392901531853</v>
      </c>
    </row>
    <row r="539" spans="1:5" ht="15">
      <c r="A539" s="13">
        <v>57922</v>
      </c>
      <c r="B539" s="4">
        <f>49.5624 * CHOOSE(CONTROL!$C$9, $C$13, 100%, $E$13) + CHOOSE(CONTROL!$C$28, 0.0181, 0)</f>
        <v>49.580499999999994</v>
      </c>
      <c r="C539" s="4">
        <f>49.2499 * CHOOSE(CONTROL!$C$9, $C$13, 100%, $E$13) + CHOOSE(CONTROL!$C$28, 0.0181, 0)</f>
        <v>49.267999999999994</v>
      </c>
      <c r="D539" s="4">
        <f>53.1096 * CHOOSE(CONTROL!$C$9, $C$13, 100%, $E$13) + CHOOSE(CONTROL!$C$28, 0, 0)</f>
        <v>53.1096</v>
      </c>
      <c r="E539" s="4">
        <f>286.301809642053 * CHOOSE(CONTROL!$C$9, $C$13, 100%, $E$13) + CHOOSE(CONTROL!$C$28, 0, 0)</f>
        <v>286.301809642053</v>
      </c>
    </row>
    <row r="540" spans="1:5" ht="15">
      <c r="A540" s="13">
        <v>57953</v>
      </c>
      <c r="B540" s="4">
        <f>50.7041 * CHOOSE(CONTROL!$C$9, $C$13, 100%, $E$13) + CHOOSE(CONTROL!$C$28, 0.0181, 0)</f>
        <v>50.722199999999994</v>
      </c>
      <c r="C540" s="4">
        <f>50.3916 * CHOOSE(CONTROL!$C$9, $C$13, 100%, $E$13) + CHOOSE(CONTROL!$C$28, 0.0181, 0)</f>
        <v>50.409699999999994</v>
      </c>
      <c r="D540" s="4">
        <f>52.5573 * CHOOSE(CONTROL!$C$9, $C$13, 100%, $E$13) + CHOOSE(CONTROL!$C$28, 0, 0)</f>
        <v>52.557299999999998</v>
      </c>
      <c r="E540" s="4">
        <f>293.156474349519 * CHOOSE(CONTROL!$C$9, $C$13, 100%, $E$13) + CHOOSE(CONTROL!$C$28, 0, 0)</f>
        <v>293.15647434951899</v>
      </c>
    </row>
    <row r="541" spans="1:5" ht="15">
      <c r="A541" s="13">
        <v>57983</v>
      </c>
      <c r="B541" s="4">
        <f>48.7582 * CHOOSE(CONTROL!$C$9, $C$13, 100%, $E$13) + CHOOSE(CONTROL!$C$28, 0.0181, 0)</f>
        <v>48.776299999999999</v>
      </c>
      <c r="C541" s="4">
        <f>48.4457 * CHOOSE(CONTROL!$C$9, $C$13, 100%, $E$13) + CHOOSE(CONTROL!$C$28, 0.0181, 0)</f>
        <v>48.463799999999999</v>
      </c>
      <c r="D541" s="4">
        <f>52.2964 * CHOOSE(CONTROL!$C$9, $C$13, 100%, $E$13) + CHOOSE(CONTROL!$C$28, 0, 0)</f>
        <v>52.296399999999998</v>
      </c>
      <c r="E541" s="4">
        <f>281.473939482642 * CHOOSE(CONTROL!$C$9, $C$13, 100%, $E$13) + CHOOSE(CONTROL!$C$28, 0, 0)</f>
        <v>281.47393948264198</v>
      </c>
    </row>
    <row r="542" spans="1:5" ht="15">
      <c r="A542" s="13">
        <v>58014</v>
      </c>
      <c r="B542" s="4">
        <f>47.2005 * CHOOSE(CONTROL!$C$9, $C$13, 100%, $E$13) + CHOOSE(CONTROL!$C$28, 0.0003, 0)</f>
        <v>47.200800000000001</v>
      </c>
      <c r="C542" s="4">
        <f>46.888 * CHOOSE(CONTROL!$C$9, $C$13, 100%, $E$13) + CHOOSE(CONTROL!$C$28, 0.0003, 0)</f>
        <v>46.888300000000001</v>
      </c>
      <c r="D542" s="4">
        <f>51.5977 * CHOOSE(CONTROL!$C$9, $C$13, 100%, $E$13) + CHOOSE(CONTROL!$C$28, 0, 0)</f>
        <v>51.597700000000003</v>
      </c>
      <c r="E542" s="4">
        <f>272.121838796487 * CHOOSE(CONTROL!$C$9, $C$13, 100%, $E$13) + CHOOSE(CONTROL!$C$28, 0, 0)</f>
        <v>272.121838796487</v>
      </c>
    </row>
    <row r="543" spans="1:5" ht="15">
      <c r="A543" s="13">
        <v>58044</v>
      </c>
      <c r="B543" s="4">
        <f>46.1972 * CHOOSE(CONTROL!$C$9, $C$13, 100%, $E$13) + CHOOSE(CONTROL!$C$28, 0.0003, 0)</f>
        <v>46.197500000000005</v>
      </c>
      <c r="C543" s="4">
        <f>45.8847 * CHOOSE(CONTROL!$C$9, $C$13, 100%, $E$13) + CHOOSE(CONTROL!$C$28, 0.0003, 0)</f>
        <v>45.885000000000005</v>
      </c>
      <c r="D543" s="4">
        <f>51.3575 * CHOOSE(CONTROL!$C$9, $C$13, 100%, $E$13) + CHOOSE(CONTROL!$C$28, 0, 0)</f>
        <v>51.357500000000002</v>
      </c>
      <c r="E543" s="4">
        <f>266.098387583449 * CHOOSE(CONTROL!$C$9, $C$13, 100%, $E$13) + CHOOSE(CONTROL!$C$28, 0, 0)</f>
        <v>266.09838758344898</v>
      </c>
    </row>
    <row r="544" spans="1:5" ht="15">
      <c r="A544" s="13">
        <v>58075</v>
      </c>
      <c r="B544" s="4">
        <f>45.5031 * CHOOSE(CONTROL!$C$9, $C$13, 100%, $E$13) + CHOOSE(CONTROL!$C$28, 0.0003, 0)</f>
        <v>45.503400000000006</v>
      </c>
      <c r="C544" s="4">
        <f>45.1906 * CHOOSE(CONTROL!$C$9, $C$13, 100%, $E$13) + CHOOSE(CONTROL!$C$28, 0.0003, 0)</f>
        <v>45.190900000000006</v>
      </c>
      <c r="D544" s="4">
        <f>49.5891 * CHOOSE(CONTROL!$C$9, $C$13, 100%, $E$13) + CHOOSE(CONTROL!$C$28, 0, 0)</f>
        <v>49.589100000000002</v>
      </c>
      <c r="E544" s="4">
        <f>261.930933625089 * CHOOSE(CONTROL!$C$9, $C$13, 100%, $E$13) + CHOOSE(CONTROL!$C$28, 0, 0)</f>
        <v>261.93093362508898</v>
      </c>
    </row>
    <row r="545" spans="1:5" ht="15">
      <c r="A545" s="13">
        <v>58106</v>
      </c>
      <c r="B545" s="4">
        <f>44.3752 * CHOOSE(CONTROL!$C$9, $C$13, 100%, $E$13) + CHOOSE(CONTROL!$C$28, 0.0003, 0)</f>
        <v>44.375500000000002</v>
      </c>
      <c r="C545" s="4">
        <f>44.0627 * CHOOSE(CONTROL!$C$9, $C$13, 100%, $E$13) + CHOOSE(CONTROL!$C$28, 0.0003, 0)</f>
        <v>44.063000000000002</v>
      </c>
      <c r="D545" s="4">
        <f>47.9638 * CHOOSE(CONTROL!$C$9, $C$13, 100%, $E$13) + CHOOSE(CONTROL!$C$28, 0, 0)</f>
        <v>47.963799999999999</v>
      </c>
      <c r="E545" s="4">
        <f>254.419752588104 * CHOOSE(CONTROL!$C$9, $C$13, 100%, $E$13) + CHOOSE(CONTROL!$C$28, 0, 0)</f>
        <v>254.41975258810399</v>
      </c>
    </row>
    <row r="546" spans="1:5" ht="15">
      <c r="A546" s="13">
        <v>58134</v>
      </c>
      <c r="B546" s="4">
        <f>45.3843 * CHOOSE(CONTROL!$C$9, $C$13, 100%, $E$13) + CHOOSE(CONTROL!$C$28, 0.0003, 0)</f>
        <v>45.384600000000006</v>
      </c>
      <c r="C546" s="4">
        <f>45.0718 * CHOOSE(CONTROL!$C$9, $C$13, 100%, $E$13) + CHOOSE(CONTROL!$C$28, 0.0003, 0)</f>
        <v>45.072100000000006</v>
      </c>
      <c r="D546" s="4">
        <f>49.6005 * CHOOSE(CONTROL!$C$9, $C$13, 100%, $E$13) + CHOOSE(CONTROL!$C$28, 0, 0)</f>
        <v>49.600499999999997</v>
      </c>
      <c r="E546" s="4">
        <f>260.460680159751 * CHOOSE(CONTROL!$C$9, $C$13, 100%, $E$13) + CHOOSE(CONTROL!$C$28, 0, 0)</f>
        <v>260.46068015975101</v>
      </c>
    </row>
    <row r="547" spans="1:5" ht="15">
      <c r="A547" s="13">
        <v>58165</v>
      </c>
      <c r="B547" s="4">
        <f>48.0344 * CHOOSE(CONTROL!$C$9, $C$13, 100%, $E$13) + CHOOSE(CONTROL!$C$28, 0.0003, 0)</f>
        <v>48.034700000000001</v>
      </c>
      <c r="C547" s="4">
        <f>47.7219 * CHOOSE(CONTROL!$C$9, $C$13, 100%, $E$13) + CHOOSE(CONTROL!$C$28, 0.0003, 0)</f>
        <v>47.722200000000001</v>
      </c>
      <c r="D547" s="4">
        <f>52.1626 * CHOOSE(CONTROL!$C$9, $C$13, 100%, $E$13) + CHOOSE(CONTROL!$C$28, 0, 0)</f>
        <v>52.162599999999998</v>
      </c>
      <c r="E547" s="4">
        <f>276.324476997282 * CHOOSE(CONTROL!$C$9, $C$13, 100%, $E$13) + CHOOSE(CONTROL!$C$28, 0, 0)</f>
        <v>276.32447699728198</v>
      </c>
    </row>
    <row r="548" spans="1:5" ht="15">
      <c r="A548" s="13">
        <v>58195</v>
      </c>
      <c r="B548" s="4">
        <f>49.9172 * CHOOSE(CONTROL!$C$9, $C$13, 100%, $E$13) + CHOOSE(CONTROL!$C$28, 0.0003, 0)</f>
        <v>49.917500000000004</v>
      </c>
      <c r="C548" s="4">
        <f>49.6047 * CHOOSE(CONTROL!$C$9, $C$13, 100%, $E$13) + CHOOSE(CONTROL!$C$28, 0.0003, 0)</f>
        <v>49.605000000000004</v>
      </c>
      <c r="D548" s="4">
        <f>53.6385 * CHOOSE(CONTROL!$C$9, $C$13, 100%, $E$13) + CHOOSE(CONTROL!$C$28, 0, 0)</f>
        <v>53.638500000000001</v>
      </c>
      <c r="E548" s="4">
        <f>287.595916063238 * CHOOSE(CONTROL!$C$9, $C$13, 100%, $E$13) + CHOOSE(CONTROL!$C$28, 0, 0)</f>
        <v>287.59591606323801</v>
      </c>
    </row>
    <row r="549" spans="1:5" ht="15">
      <c r="A549" s="13">
        <v>58226</v>
      </c>
      <c r="B549" s="4">
        <f>51.0676 * CHOOSE(CONTROL!$C$9, $C$13, 100%, $E$13) + CHOOSE(CONTROL!$C$28, 0.0181, 0)</f>
        <v>51.085699999999996</v>
      </c>
      <c r="C549" s="4">
        <f>50.7551 * CHOOSE(CONTROL!$C$9, $C$13, 100%, $E$13) + CHOOSE(CONTROL!$C$28, 0.0181, 0)</f>
        <v>50.773199999999996</v>
      </c>
      <c r="D549" s="4">
        <f>53.0553 * CHOOSE(CONTROL!$C$9, $C$13, 100%, $E$13) + CHOOSE(CONTROL!$C$28, 0, 0)</f>
        <v>53.055300000000003</v>
      </c>
      <c r="E549" s="4">
        <f>294.482495193845 * CHOOSE(CONTROL!$C$9, $C$13, 100%, $E$13) + CHOOSE(CONTROL!$C$28, 0, 0)</f>
        <v>294.48249519384501</v>
      </c>
    </row>
    <row r="550" spans="1:5" ht="15">
      <c r="A550" s="13">
        <v>58256</v>
      </c>
      <c r="B550" s="4">
        <f>51.2233 * CHOOSE(CONTROL!$C$9, $C$13, 100%, $E$13) + CHOOSE(CONTROL!$C$28, 0.0181, 0)</f>
        <v>51.241399999999999</v>
      </c>
      <c r="C550" s="4">
        <f>50.9108 * CHOOSE(CONTROL!$C$9, $C$13, 100%, $E$13) + CHOOSE(CONTROL!$C$28, 0.0181, 0)</f>
        <v>50.928899999999999</v>
      </c>
      <c r="D550" s="4">
        <f>53.5303 * CHOOSE(CONTROL!$C$9, $C$13, 100%, $E$13) + CHOOSE(CONTROL!$C$28, 0, 0)</f>
        <v>53.530299999999997</v>
      </c>
      <c r="E550" s="4">
        <f>295.414277930106 * CHOOSE(CONTROL!$C$9, $C$13, 100%, $E$13) + CHOOSE(CONTROL!$C$28, 0, 0)</f>
        <v>295.41427793010598</v>
      </c>
    </row>
    <row r="551" spans="1:5" ht="15">
      <c r="A551" s="13">
        <v>58287</v>
      </c>
      <c r="B551" s="4">
        <f>51.2076 * CHOOSE(CONTROL!$C$9, $C$13, 100%, $E$13) + CHOOSE(CONTROL!$C$28, 0.0181, 0)</f>
        <v>51.225699999999996</v>
      </c>
      <c r="C551" s="4">
        <f>50.8951 * CHOOSE(CONTROL!$C$9, $C$13, 100%, $E$13) + CHOOSE(CONTROL!$C$28, 0.0181, 0)</f>
        <v>50.913199999999996</v>
      </c>
      <c r="D551" s="4">
        <f>54.3873 * CHOOSE(CONTROL!$C$9, $C$13, 100%, $E$13) + CHOOSE(CONTROL!$C$28, 0, 0)</f>
        <v>54.387300000000003</v>
      </c>
      <c r="E551" s="4">
        <f>295.320316645778 * CHOOSE(CONTROL!$C$9, $C$13, 100%, $E$13) + CHOOSE(CONTROL!$C$28, 0, 0)</f>
        <v>295.32031664577801</v>
      </c>
    </row>
    <row r="552" spans="1:5" ht="15">
      <c r="A552" s="13">
        <v>58318</v>
      </c>
      <c r="B552" s="4">
        <f>52.3887 * CHOOSE(CONTROL!$C$9, $C$13, 100%, $E$13) + CHOOSE(CONTROL!$C$28, 0.0181, 0)</f>
        <v>52.406799999999997</v>
      </c>
      <c r="C552" s="4">
        <f>52.0762 * CHOOSE(CONTROL!$C$9, $C$13, 100%, $E$13) + CHOOSE(CONTROL!$C$28, 0.0181, 0)</f>
        <v>52.094299999999997</v>
      </c>
      <c r="D552" s="4">
        <f>53.8213 * CHOOSE(CONTROL!$C$9, $C$13, 100%, $E$13) + CHOOSE(CONTROL!$C$28, 0, 0)</f>
        <v>53.821300000000001</v>
      </c>
      <c r="E552" s="4">
        <f>302.390903291528 * CHOOSE(CONTROL!$C$9, $C$13, 100%, $E$13) + CHOOSE(CONTROL!$C$28, 0, 0)</f>
        <v>302.39090329152799</v>
      </c>
    </row>
    <row r="553" spans="1:5" ht="15">
      <c r="A553" s="13">
        <v>58348</v>
      </c>
      <c r="B553" s="4">
        <f>50.3757 * CHOOSE(CONTROL!$C$9, $C$13, 100%, $E$13) + CHOOSE(CONTROL!$C$28, 0.0181, 0)</f>
        <v>50.393799999999999</v>
      </c>
      <c r="C553" s="4">
        <f>50.0632 * CHOOSE(CONTROL!$C$9, $C$13, 100%, $E$13) + CHOOSE(CONTROL!$C$28, 0.0181, 0)</f>
        <v>50.081299999999999</v>
      </c>
      <c r="D553" s="4">
        <f>53.5539 * CHOOSE(CONTROL!$C$9, $C$13, 100%, $E$13) + CHOOSE(CONTROL!$C$28, 0, 0)</f>
        <v>53.553899999999999</v>
      </c>
      <c r="E553" s="4">
        <f>290.340368576345 * CHOOSE(CONTROL!$C$9, $C$13, 100%, $E$13) + CHOOSE(CONTROL!$C$28, 0, 0)</f>
        <v>290.34036857634499</v>
      </c>
    </row>
    <row r="554" spans="1:5" ht="15">
      <c r="A554" s="13">
        <v>58379</v>
      </c>
      <c r="B554" s="4">
        <f>48.7642 * CHOOSE(CONTROL!$C$9, $C$13, 100%, $E$13) + CHOOSE(CONTROL!$C$28, 0.0003, 0)</f>
        <v>48.764500000000005</v>
      </c>
      <c r="C554" s="4">
        <f>48.4517 * CHOOSE(CONTROL!$C$9, $C$13, 100%, $E$13) + CHOOSE(CONTROL!$C$28, 0.0003, 0)</f>
        <v>48.452000000000005</v>
      </c>
      <c r="D554" s="4">
        <f>52.8379 * CHOOSE(CONTROL!$C$9, $C$13, 100%, $E$13) + CHOOSE(CONTROL!$C$28, 0, 0)</f>
        <v>52.837899999999998</v>
      </c>
      <c r="E554" s="4">
        <f>280.693676718577 * CHOOSE(CONTROL!$C$9, $C$13, 100%, $E$13) + CHOOSE(CONTROL!$C$28, 0, 0)</f>
        <v>280.69367671857702</v>
      </c>
    </row>
    <row r="555" spans="1:5" ht="15">
      <c r="A555" s="13">
        <v>58409</v>
      </c>
      <c r="B555" s="4">
        <f>47.7263 * CHOOSE(CONTROL!$C$9, $C$13, 100%, $E$13) + CHOOSE(CONTROL!$C$28, 0.0003, 0)</f>
        <v>47.726600000000005</v>
      </c>
      <c r="C555" s="4">
        <f>47.4138 * CHOOSE(CONTROL!$C$9, $C$13, 100%, $E$13) + CHOOSE(CONTROL!$C$28, 0.0003, 0)</f>
        <v>47.414100000000005</v>
      </c>
      <c r="D555" s="4">
        <f>52.5917 * CHOOSE(CONTROL!$C$9, $C$13, 100%, $E$13) + CHOOSE(CONTROL!$C$28, 0, 0)</f>
        <v>52.591700000000003</v>
      </c>
      <c r="E555" s="4">
        <f>274.480486792327 * CHOOSE(CONTROL!$C$9, $C$13, 100%, $E$13) + CHOOSE(CONTROL!$C$28, 0, 0)</f>
        <v>274.48048679232699</v>
      </c>
    </row>
    <row r="556" spans="1:5" ht="15">
      <c r="A556" s="13">
        <v>58440</v>
      </c>
      <c r="B556" s="4">
        <f>47.0082 * CHOOSE(CONTROL!$C$9, $C$13, 100%, $E$13) + CHOOSE(CONTROL!$C$28, 0.0003, 0)</f>
        <v>47.008500000000005</v>
      </c>
      <c r="C556" s="4">
        <f>46.6957 * CHOOSE(CONTROL!$C$9, $C$13, 100%, $E$13) + CHOOSE(CONTROL!$C$28, 0.0003, 0)</f>
        <v>46.696000000000005</v>
      </c>
      <c r="D556" s="4">
        <f>50.7795 * CHOOSE(CONTROL!$C$9, $C$13, 100%, $E$13) + CHOOSE(CONTROL!$C$28, 0, 0)</f>
        <v>50.779499999999999</v>
      </c>
      <c r="E556" s="4">
        <f>270.181758034279 * CHOOSE(CONTROL!$C$9, $C$13, 100%, $E$13) + CHOOSE(CONTROL!$C$28, 0, 0)</f>
        <v>270.18175803427903</v>
      </c>
    </row>
    <row r="557" spans="1:5" ht="15">
      <c r="A557" s="13">
        <v>58471</v>
      </c>
      <c r="B557" s="4">
        <f>45.8415 * CHOOSE(CONTROL!$C$9, $C$13, 100%, $E$13) + CHOOSE(CONTROL!$C$28, 0.0003, 0)</f>
        <v>45.841800000000006</v>
      </c>
      <c r="C557" s="4">
        <f>45.529 * CHOOSE(CONTROL!$C$9, $C$13, 100%, $E$13) + CHOOSE(CONTROL!$C$28, 0.0003, 0)</f>
        <v>45.529300000000006</v>
      </c>
      <c r="D557" s="4">
        <f>49.1139 * CHOOSE(CONTROL!$C$9, $C$13, 100%, $E$13) + CHOOSE(CONTROL!$C$28, 0, 0)</f>
        <v>49.113900000000001</v>
      </c>
      <c r="E557" s="4">
        <f>262.433974794629 * CHOOSE(CONTROL!$C$9, $C$13, 100%, $E$13) + CHOOSE(CONTROL!$C$28, 0, 0)</f>
        <v>262.43397479462902</v>
      </c>
    </row>
    <row r="558" spans="1:5" ht="15">
      <c r="A558" s="13">
        <v>58499</v>
      </c>
      <c r="B558" s="4">
        <f>46.8854 * CHOOSE(CONTROL!$C$9, $C$13, 100%, $E$13) + CHOOSE(CONTROL!$C$28, 0.0003, 0)</f>
        <v>46.8857</v>
      </c>
      <c r="C558" s="4">
        <f>46.5729 * CHOOSE(CONTROL!$C$9, $C$13, 100%, $E$13) + CHOOSE(CONTROL!$C$28, 0.0003, 0)</f>
        <v>46.5732</v>
      </c>
      <c r="D558" s="4">
        <f>50.7912 * CHOOSE(CONTROL!$C$9, $C$13, 100%, $E$13) + CHOOSE(CONTROL!$C$28, 0, 0)</f>
        <v>50.791200000000003</v>
      </c>
      <c r="E558" s="4">
        <f>268.665191584783 * CHOOSE(CONTROL!$C$9, $C$13, 100%, $E$13) + CHOOSE(CONTROL!$C$28, 0, 0)</f>
        <v>268.66519158478297</v>
      </c>
    </row>
    <row r="559" spans="1:5" ht="15">
      <c r="A559" s="13">
        <v>58531</v>
      </c>
      <c r="B559" s="4">
        <f>49.6269 * CHOOSE(CONTROL!$C$9, $C$13, 100%, $E$13) + CHOOSE(CONTROL!$C$28, 0.0003, 0)</f>
        <v>49.627200000000002</v>
      </c>
      <c r="C559" s="4">
        <f>49.3144 * CHOOSE(CONTROL!$C$9, $C$13, 100%, $E$13) + CHOOSE(CONTROL!$C$28, 0.0003, 0)</f>
        <v>49.314700000000002</v>
      </c>
      <c r="D559" s="4">
        <f>53.4168 * CHOOSE(CONTROL!$C$9, $C$13, 100%, $E$13) + CHOOSE(CONTROL!$C$28, 0, 0)</f>
        <v>53.416800000000002</v>
      </c>
      <c r="E559" s="4">
        <f>285.028698022697 * CHOOSE(CONTROL!$C$9, $C$13, 100%, $E$13) + CHOOSE(CONTROL!$C$28, 0, 0)</f>
        <v>285.02869802269697</v>
      </c>
    </row>
    <row r="560" spans="1:5" ht="15">
      <c r="A560" s="13">
        <v>58561</v>
      </c>
      <c r="B560" s="4">
        <f>51.5747 * CHOOSE(CONTROL!$C$9, $C$13, 100%, $E$13) + CHOOSE(CONTROL!$C$28, 0.0003, 0)</f>
        <v>51.575000000000003</v>
      </c>
      <c r="C560" s="4">
        <f>51.2622 * CHOOSE(CONTROL!$C$9, $C$13, 100%, $E$13) + CHOOSE(CONTROL!$C$28, 0.0003, 0)</f>
        <v>51.262500000000003</v>
      </c>
      <c r="D560" s="4">
        <f>54.9293 * CHOOSE(CONTROL!$C$9, $C$13, 100%, $E$13) + CHOOSE(CONTROL!$C$28, 0, 0)</f>
        <v>54.929299999999998</v>
      </c>
      <c r="E560" s="4">
        <f>296.65518741923 * CHOOSE(CONTROL!$C$9, $C$13, 100%, $E$13) + CHOOSE(CONTROL!$C$28, 0, 0)</f>
        <v>296.65518741923</v>
      </c>
    </row>
    <row r="561" spans="1:5" ht="15">
      <c r="A561" s="13">
        <v>58592</v>
      </c>
      <c r="B561" s="4">
        <f>52.7648 * CHOOSE(CONTROL!$C$9, $C$13, 100%, $E$13) + CHOOSE(CONTROL!$C$28, 0.0181, 0)</f>
        <v>52.782899999999998</v>
      </c>
      <c r="C561" s="4">
        <f>52.4523 * CHOOSE(CONTROL!$C$9, $C$13, 100%, $E$13) + CHOOSE(CONTROL!$C$28, 0.0181, 0)</f>
        <v>52.470399999999998</v>
      </c>
      <c r="D561" s="4">
        <f>54.3316 * CHOOSE(CONTROL!$C$9, $C$13, 100%, $E$13) + CHOOSE(CONTROL!$C$28, 0, 0)</f>
        <v>54.331600000000002</v>
      </c>
      <c r="E561" s="4">
        <f>303.758693792451 * CHOOSE(CONTROL!$C$9, $C$13, 100%, $E$13) + CHOOSE(CONTROL!$C$28, 0, 0)</f>
        <v>303.75869379245103</v>
      </c>
    </row>
    <row r="562" spans="1:5" ht="15">
      <c r="A562" s="13">
        <v>58622</v>
      </c>
      <c r="B562" s="4">
        <f>52.9258 * CHOOSE(CONTROL!$C$9, $C$13, 100%, $E$13) + CHOOSE(CONTROL!$C$28, 0.0181, 0)</f>
        <v>52.943899999999999</v>
      </c>
      <c r="C562" s="4">
        <f>52.6133 * CHOOSE(CONTROL!$C$9, $C$13, 100%, $E$13) + CHOOSE(CONTROL!$C$28, 0.0181, 0)</f>
        <v>52.631399999999999</v>
      </c>
      <c r="D562" s="4">
        <f>54.8184 * CHOOSE(CONTROL!$C$9, $C$13, 100%, $E$13) + CHOOSE(CONTROL!$C$28, 0, 0)</f>
        <v>54.818399999999997</v>
      </c>
      <c r="E562" s="4">
        <f>304.719827684905 * CHOOSE(CONTROL!$C$9, $C$13, 100%, $E$13) + CHOOSE(CONTROL!$C$28, 0, 0)</f>
        <v>304.719827684905</v>
      </c>
    </row>
    <row r="563" spans="1:5" ht="15">
      <c r="A563" s="13">
        <v>58653</v>
      </c>
      <c r="B563" s="4">
        <f>52.9095 * CHOOSE(CONTROL!$C$9, $C$13, 100%, $E$13) + CHOOSE(CONTROL!$C$28, 0.0181, 0)</f>
        <v>52.927599999999998</v>
      </c>
      <c r="C563" s="4">
        <f>52.597 * CHOOSE(CONTROL!$C$9, $C$13, 100%, $E$13) + CHOOSE(CONTROL!$C$28, 0.0181, 0)</f>
        <v>52.615099999999998</v>
      </c>
      <c r="D563" s="4">
        <f>55.6966 * CHOOSE(CONTROL!$C$9, $C$13, 100%, $E$13) + CHOOSE(CONTROL!$C$28, 0, 0)</f>
        <v>55.696599999999997</v>
      </c>
      <c r="E563" s="4">
        <f>304.62290662012 * CHOOSE(CONTROL!$C$9, $C$13, 100%, $E$13) + CHOOSE(CONTROL!$C$28, 0, 0)</f>
        <v>304.62290662011998</v>
      </c>
    </row>
    <row r="564" spans="1:5" ht="15">
      <c r="A564" s="13">
        <v>58684</v>
      </c>
      <c r="B564" s="4">
        <f>54.1314 * CHOOSE(CONTROL!$C$9, $C$13, 100%, $E$13) + CHOOSE(CONTROL!$C$28, 0.0181, 0)</f>
        <v>54.149499999999996</v>
      </c>
      <c r="C564" s="4">
        <f>53.8189 * CHOOSE(CONTROL!$C$9, $C$13, 100%, $E$13) + CHOOSE(CONTROL!$C$28, 0.0181, 0)</f>
        <v>53.836999999999996</v>
      </c>
      <c r="D564" s="4">
        <f>55.1166 * CHOOSE(CONTROL!$C$9, $C$13, 100%, $E$13) + CHOOSE(CONTROL!$C$28, 0, 0)</f>
        <v>55.116599999999998</v>
      </c>
      <c r="E564" s="4">
        <f>311.916216745212 * CHOOSE(CONTROL!$C$9, $C$13, 100%, $E$13) + CHOOSE(CONTROL!$C$28, 0, 0)</f>
        <v>311.91621674521201</v>
      </c>
    </row>
    <row r="565" spans="1:5" ht="15">
      <c r="A565" s="13">
        <v>58714</v>
      </c>
      <c r="B565" s="4">
        <f>52.0489 * CHOOSE(CONTROL!$C$9, $C$13, 100%, $E$13) + CHOOSE(CONTROL!$C$28, 0.0181, 0)</f>
        <v>52.067</v>
      </c>
      <c r="C565" s="4">
        <f>51.7364 * CHOOSE(CONTROL!$C$9, $C$13, 100%, $E$13) + CHOOSE(CONTROL!$C$28, 0.0181, 0)</f>
        <v>51.7545</v>
      </c>
      <c r="D565" s="4">
        <f>54.8426 * CHOOSE(CONTROL!$C$9, $C$13, 100%, $E$13) + CHOOSE(CONTROL!$C$28, 0, 0)</f>
        <v>54.842599999999997</v>
      </c>
      <c r="E565" s="4">
        <f>299.4860901865 * CHOOSE(CONTROL!$C$9, $C$13, 100%, $E$13) + CHOOSE(CONTROL!$C$28, 0, 0)</f>
        <v>299.48609018650001</v>
      </c>
    </row>
    <row r="566" spans="1:5" ht="15">
      <c r="A566" s="13">
        <v>58745</v>
      </c>
      <c r="B566" s="4">
        <f>50.3819 * CHOOSE(CONTROL!$C$9, $C$13, 100%, $E$13) + CHOOSE(CONTROL!$C$28, 0.0003, 0)</f>
        <v>50.382200000000005</v>
      </c>
      <c r="C566" s="4">
        <f>50.0694 * CHOOSE(CONTROL!$C$9, $C$13, 100%, $E$13) + CHOOSE(CONTROL!$C$28, 0.0003, 0)</f>
        <v>50.069700000000005</v>
      </c>
      <c r="D566" s="4">
        <f>54.1088 * CHOOSE(CONTROL!$C$9, $C$13, 100%, $E$13) + CHOOSE(CONTROL!$C$28, 0, 0)</f>
        <v>54.108800000000002</v>
      </c>
      <c r="E566" s="4">
        <f>289.535527535212 * CHOOSE(CONTROL!$C$9, $C$13, 100%, $E$13) + CHOOSE(CONTROL!$C$28, 0, 0)</f>
        <v>289.535527535212</v>
      </c>
    </row>
    <row r="567" spans="1:5" ht="15">
      <c r="A567" s="13">
        <v>58775</v>
      </c>
      <c r="B567" s="4">
        <f>49.3082 * CHOOSE(CONTROL!$C$9, $C$13, 100%, $E$13) + CHOOSE(CONTROL!$C$28, 0.0003, 0)</f>
        <v>49.308500000000002</v>
      </c>
      <c r="C567" s="4">
        <f>48.9957 * CHOOSE(CONTROL!$C$9, $C$13, 100%, $E$13) + CHOOSE(CONTROL!$C$28, 0.0003, 0)</f>
        <v>48.996000000000002</v>
      </c>
      <c r="D567" s="4">
        <f>53.8566 * CHOOSE(CONTROL!$C$9, $C$13, 100%, $E$13) + CHOOSE(CONTROL!$C$28, 0, 0)</f>
        <v>53.8566</v>
      </c>
      <c r="E567" s="4">
        <f>283.126622126286 * CHOOSE(CONTROL!$C$9, $C$13, 100%, $E$13) + CHOOSE(CONTROL!$C$28, 0, 0)</f>
        <v>283.12662212628601</v>
      </c>
    </row>
    <row r="568" spans="1:5" ht="15">
      <c r="A568" s="13">
        <v>58806</v>
      </c>
      <c r="B568" s="4">
        <f>48.5653 * CHOOSE(CONTROL!$C$9, $C$13, 100%, $E$13) + CHOOSE(CONTROL!$C$28, 0.0003, 0)</f>
        <v>48.565600000000003</v>
      </c>
      <c r="C568" s="4">
        <f>48.2528 * CHOOSE(CONTROL!$C$9, $C$13, 100%, $E$13) + CHOOSE(CONTROL!$C$28, 0.0003, 0)</f>
        <v>48.253100000000003</v>
      </c>
      <c r="D568" s="4">
        <f>51.9994 * CHOOSE(CONTROL!$C$9, $C$13, 100%, $E$13) + CHOOSE(CONTROL!$C$28, 0, 0)</f>
        <v>51.999400000000001</v>
      </c>
      <c r="E568" s="4">
        <f>278.692483412359 * CHOOSE(CONTROL!$C$9, $C$13, 100%, $E$13) + CHOOSE(CONTROL!$C$28, 0, 0)</f>
        <v>278.69248341235902</v>
      </c>
    </row>
    <row r="569" spans="1:5" ht="15">
      <c r="A569" s="13">
        <v>58837</v>
      </c>
      <c r="B569" s="4">
        <f>47.3583 * CHOOSE(CONTROL!$C$9, $C$13, 100%, $E$13) + CHOOSE(CONTROL!$C$28, 0.0003, 0)</f>
        <v>47.358600000000003</v>
      </c>
      <c r="C569" s="4">
        <f>47.0458 * CHOOSE(CONTROL!$C$9, $C$13, 100%, $E$13) + CHOOSE(CONTROL!$C$28, 0.0003, 0)</f>
        <v>47.046100000000003</v>
      </c>
      <c r="D569" s="4">
        <f>50.2925 * CHOOSE(CONTROL!$C$9, $C$13, 100%, $E$13) + CHOOSE(CONTROL!$C$28, 0, 0)</f>
        <v>50.292499999999997</v>
      </c>
      <c r="E569" s="4">
        <f>270.70064500066 * CHOOSE(CONTROL!$C$9, $C$13, 100%, $E$13) + CHOOSE(CONTROL!$C$28, 0, 0)</f>
        <v>270.70064500066002</v>
      </c>
    </row>
    <row r="570" spans="1:5" ht="15">
      <c r="A570" s="13">
        <v>58865</v>
      </c>
      <c r="B570" s="4">
        <f>48.4383 * CHOOSE(CONTROL!$C$9, $C$13, 100%, $E$13) + CHOOSE(CONTROL!$C$28, 0.0003, 0)</f>
        <v>48.438600000000001</v>
      </c>
      <c r="C570" s="4">
        <f>48.1258 * CHOOSE(CONTROL!$C$9, $C$13, 100%, $E$13) + CHOOSE(CONTROL!$C$28, 0.0003, 0)</f>
        <v>48.126100000000001</v>
      </c>
      <c r="D570" s="4">
        <f>52.0113 * CHOOSE(CONTROL!$C$9, $C$13, 100%, $E$13) + CHOOSE(CONTROL!$C$28, 0, 0)</f>
        <v>52.011299999999999</v>
      </c>
      <c r="E570" s="4">
        <f>277.128145119703 * CHOOSE(CONTROL!$C$9, $C$13, 100%, $E$13) + CHOOSE(CONTROL!$C$28, 0, 0)</f>
        <v>277.12814511970299</v>
      </c>
    </row>
    <row r="571" spans="1:5" ht="15">
      <c r="A571" s="13">
        <v>58893</v>
      </c>
      <c r="B571" s="4">
        <f>51.2743 * CHOOSE(CONTROL!$C$9, $C$13, 100%, $E$13) + CHOOSE(CONTROL!$C$28, 0.0003, 0)</f>
        <v>51.2746</v>
      </c>
      <c r="C571" s="4">
        <f>50.9618 * CHOOSE(CONTROL!$C$9, $C$13, 100%, $E$13) + CHOOSE(CONTROL!$C$28, 0.0003, 0)</f>
        <v>50.9621</v>
      </c>
      <c r="D571" s="4">
        <f>54.7021 * CHOOSE(CONTROL!$C$9, $C$13, 100%, $E$13) + CHOOSE(CONTROL!$C$28, 0, 0)</f>
        <v>54.702100000000002</v>
      </c>
      <c r="E571" s="4">
        <f>294.007102010411 * CHOOSE(CONTROL!$C$9, $C$13, 100%, $E$13) + CHOOSE(CONTROL!$C$28, 0, 0)</f>
        <v>294.00710201041102</v>
      </c>
    </row>
    <row r="572" spans="1:5" ht="15">
      <c r="A572" s="13">
        <v>58926</v>
      </c>
      <c r="B572" s="4">
        <f>53.2893 * CHOOSE(CONTROL!$C$9, $C$13, 100%, $E$13) + CHOOSE(CONTROL!$C$28, 0.0003, 0)</f>
        <v>53.2896</v>
      </c>
      <c r="C572" s="4">
        <f>52.9768 * CHOOSE(CONTROL!$C$9, $C$13, 100%, $E$13) + CHOOSE(CONTROL!$C$28, 0.0003, 0)</f>
        <v>52.9771</v>
      </c>
      <c r="D572" s="4">
        <f>56.2521 * CHOOSE(CONTROL!$C$9, $C$13, 100%, $E$13) + CHOOSE(CONTROL!$C$28, 0, 0)</f>
        <v>56.252099999999999</v>
      </c>
      <c r="E572" s="4">
        <f>305.999825822936 * CHOOSE(CONTROL!$C$9, $C$13, 100%, $E$13) + CHOOSE(CONTROL!$C$28, 0, 0)</f>
        <v>305.99982582293597</v>
      </c>
    </row>
    <row r="573" spans="1:5" ht="15">
      <c r="A573" s="13">
        <v>58957</v>
      </c>
      <c r="B573" s="4">
        <f>54.5205 * CHOOSE(CONTROL!$C$9, $C$13, 100%, $E$13) + CHOOSE(CONTROL!$C$28, 0.0181, 0)</f>
        <v>54.538599999999995</v>
      </c>
      <c r="C573" s="4">
        <f>54.208 * CHOOSE(CONTROL!$C$9, $C$13, 100%, $E$13) + CHOOSE(CONTROL!$C$28, 0.0181, 0)</f>
        <v>54.226099999999995</v>
      </c>
      <c r="D573" s="4">
        <f>55.6396 * CHOOSE(CONTROL!$C$9, $C$13, 100%, $E$13) + CHOOSE(CONTROL!$C$28, 0, 0)</f>
        <v>55.639600000000002</v>
      </c>
      <c r="E573" s="4">
        <f>313.327092646913 * CHOOSE(CONTROL!$C$9, $C$13, 100%, $E$13) + CHOOSE(CONTROL!$C$28, 0, 0)</f>
        <v>313.327092646913</v>
      </c>
    </row>
    <row r="574" spans="1:5" ht="15">
      <c r="A574" s="13">
        <v>58987</v>
      </c>
      <c r="B574" s="4">
        <f>54.687 * CHOOSE(CONTROL!$C$9, $C$13, 100%, $E$13) + CHOOSE(CONTROL!$C$28, 0.0181, 0)</f>
        <v>54.705099999999995</v>
      </c>
      <c r="C574" s="4">
        <f>54.3745 * CHOOSE(CONTROL!$C$9, $C$13, 100%, $E$13) + CHOOSE(CONTROL!$C$28, 0.0181, 0)</f>
        <v>54.392599999999995</v>
      </c>
      <c r="D574" s="4">
        <f>56.1384 * CHOOSE(CONTROL!$C$9, $C$13, 100%, $E$13) + CHOOSE(CONTROL!$C$28, 0, 0)</f>
        <v>56.138399999999997</v>
      </c>
      <c r="E574" s="4">
        <f>314.318502256979 * CHOOSE(CONTROL!$C$9, $C$13, 100%, $E$13) + CHOOSE(CONTROL!$C$28, 0, 0)</f>
        <v>314.318502256979</v>
      </c>
    </row>
    <row r="575" spans="1:5" ht="15">
      <c r="A575" s="13">
        <v>59018</v>
      </c>
      <c r="B575" s="4">
        <f>54.6702 * CHOOSE(CONTROL!$C$9, $C$13, 100%, $E$13) + CHOOSE(CONTROL!$C$28, 0.0181, 0)</f>
        <v>54.688299999999998</v>
      </c>
      <c r="C575" s="4">
        <f>54.3577 * CHOOSE(CONTROL!$C$9, $C$13, 100%, $E$13) + CHOOSE(CONTROL!$C$28, 0.0181, 0)</f>
        <v>54.375799999999998</v>
      </c>
      <c r="D575" s="4">
        <f>57.0384 * CHOOSE(CONTROL!$C$9, $C$13, 100%, $E$13) + CHOOSE(CONTROL!$C$28, 0, 0)</f>
        <v>57.038400000000003</v>
      </c>
      <c r="E575" s="4">
        <f>314.218528178653 * CHOOSE(CONTROL!$C$9, $C$13, 100%, $E$13) + CHOOSE(CONTROL!$C$28, 0, 0)</f>
        <v>314.218528178653</v>
      </c>
    </row>
    <row r="576" spans="1:5" ht="15">
      <c r="A576" s="13">
        <v>59049</v>
      </c>
      <c r="B576" s="4">
        <f>55.9343 * CHOOSE(CONTROL!$C$9, $C$13, 100%, $E$13) + CHOOSE(CONTROL!$C$28, 0.0181, 0)</f>
        <v>55.952399999999997</v>
      </c>
      <c r="C576" s="4">
        <f>55.6218 * CHOOSE(CONTROL!$C$9, $C$13, 100%, $E$13) + CHOOSE(CONTROL!$C$28, 0.0181, 0)</f>
        <v>55.639899999999997</v>
      </c>
      <c r="D576" s="4">
        <f>56.4441 * CHOOSE(CONTROL!$C$9, $C$13, 100%, $E$13) + CHOOSE(CONTROL!$C$28, 0, 0)</f>
        <v>56.444099999999999</v>
      </c>
      <c r="E576" s="4">
        <f>321.741577572686 * CHOOSE(CONTROL!$C$9, $C$13, 100%, $E$13) + CHOOSE(CONTROL!$C$28, 0, 0)</f>
        <v>321.74157757268603</v>
      </c>
    </row>
    <row r="577" spans="1:5" ht="15">
      <c r="A577" s="13">
        <v>59079</v>
      </c>
      <c r="B577" s="4">
        <f>53.78 * CHOOSE(CONTROL!$C$9, $C$13, 100%, $E$13) + CHOOSE(CONTROL!$C$28, 0.0181, 0)</f>
        <v>53.798099999999998</v>
      </c>
      <c r="C577" s="4">
        <f>53.4675 * CHOOSE(CONTROL!$C$9, $C$13, 100%, $E$13) + CHOOSE(CONTROL!$C$28, 0.0181, 0)</f>
        <v>53.485599999999998</v>
      </c>
      <c r="D577" s="4">
        <f>56.1632 * CHOOSE(CONTROL!$C$9, $C$13, 100%, $E$13) + CHOOSE(CONTROL!$C$28, 0, 0)</f>
        <v>56.163200000000003</v>
      </c>
      <c r="E577" s="4">
        <f>308.919902027375 * CHOOSE(CONTROL!$C$9, $C$13, 100%, $E$13) + CHOOSE(CONTROL!$C$28, 0, 0)</f>
        <v>308.91990202737497</v>
      </c>
    </row>
    <row r="578" spans="1:5" ht="15">
      <c r="A578" s="13">
        <v>59110</v>
      </c>
      <c r="B578" s="4">
        <f>52.0554 * CHOOSE(CONTROL!$C$9, $C$13, 100%, $E$13) + CHOOSE(CONTROL!$C$28, 0.0003, 0)</f>
        <v>52.055700000000002</v>
      </c>
      <c r="C578" s="4">
        <f>51.7429 * CHOOSE(CONTROL!$C$9, $C$13, 100%, $E$13) + CHOOSE(CONTROL!$C$28, 0.0003, 0)</f>
        <v>51.743200000000002</v>
      </c>
      <c r="D578" s="4">
        <f>55.4113 * CHOOSE(CONTROL!$C$9, $C$13, 100%, $E$13) + CHOOSE(CONTROL!$C$28, 0, 0)</f>
        <v>55.411299999999997</v>
      </c>
      <c r="E578" s="4">
        <f>298.655896652571 * CHOOSE(CONTROL!$C$9, $C$13, 100%, $E$13) + CHOOSE(CONTROL!$C$28, 0, 0)</f>
        <v>298.65589665257102</v>
      </c>
    </row>
    <row r="579" spans="1:5" ht="15">
      <c r="A579" s="13">
        <v>59140</v>
      </c>
      <c r="B579" s="4">
        <f>50.9446 * CHOOSE(CONTROL!$C$9, $C$13, 100%, $E$13) + CHOOSE(CONTROL!$C$28, 0.0003, 0)</f>
        <v>50.944900000000004</v>
      </c>
      <c r="C579" s="4">
        <f>50.6321 * CHOOSE(CONTROL!$C$9, $C$13, 100%, $E$13) + CHOOSE(CONTROL!$C$28, 0.0003, 0)</f>
        <v>50.632400000000004</v>
      </c>
      <c r="D579" s="4">
        <f>55.1528 * CHOOSE(CONTROL!$C$9, $C$13, 100%, $E$13) + CHOOSE(CONTROL!$C$28, 0, 0)</f>
        <v>55.152799999999999</v>
      </c>
      <c r="E579" s="4">
        <f>292.045110723263 * CHOOSE(CONTROL!$C$9, $C$13, 100%, $E$13) + CHOOSE(CONTROL!$C$28, 0, 0)</f>
        <v>292.04511072326301</v>
      </c>
    </row>
    <row r="580" spans="1:5" ht="15">
      <c r="A580" s="13">
        <v>59171</v>
      </c>
      <c r="B580" s="4">
        <f>50.1761 * CHOOSE(CONTROL!$C$9, $C$13, 100%, $E$13) + CHOOSE(CONTROL!$C$28, 0.0003, 0)</f>
        <v>50.176400000000001</v>
      </c>
      <c r="C580" s="4">
        <f>49.8636 * CHOOSE(CONTROL!$C$9, $C$13, 100%, $E$13) + CHOOSE(CONTROL!$C$28, 0.0003, 0)</f>
        <v>49.863900000000001</v>
      </c>
      <c r="D580" s="4">
        <f>53.2495 * CHOOSE(CONTROL!$C$9, $C$13, 100%, $E$13) + CHOOSE(CONTROL!$C$28, 0, 0)</f>
        <v>53.249499999999998</v>
      </c>
      <c r="E580" s="4">
        <f>287.471296639849 * CHOOSE(CONTROL!$C$9, $C$13, 100%, $E$13) + CHOOSE(CONTROL!$C$28, 0, 0)</f>
        <v>287.47129663984902</v>
      </c>
    </row>
    <row r="581" spans="1:5" ht="15">
      <c r="A581" s="13">
        <v>59202</v>
      </c>
      <c r="B581" s="4">
        <f>48.9275 * CHOOSE(CONTROL!$C$9, $C$13, 100%, $E$13) + CHOOSE(CONTROL!$C$28, 0.0003, 0)</f>
        <v>48.927800000000005</v>
      </c>
      <c r="C581" s="4">
        <f>48.615 * CHOOSE(CONTROL!$C$9, $C$13, 100%, $E$13) + CHOOSE(CONTROL!$C$28, 0.0003, 0)</f>
        <v>48.615300000000005</v>
      </c>
      <c r="D581" s="4">
        <f>51.5003 * CHOOSE(CONTROL!$C$9, $C$13, 100%, $E$13) + CHOOSE(CONTROL!$C$28, 0, 0)</f>
        <v>51.500300000000003</v>
      </c>
      <c r="E581" s="4">
        <f>279.227715318181 * CHOOSE(CONTROL!$C$9, $C$13, 100%, $E$13) + CHOOSE(CONTROL!$C$28, 0, 0)</f>
        <v>279.22771531818103</v>
      </c>
    </row>
    <row r="582" spans="1:5" ht="15">
      <c r="A582" s="13">
        <v>59230</v>
      </c>
      <c r="B582" s="4">
        <f>50.0447 * CHOOSE(CONTROL!$C$9, $C$13, 100%, $E$13) + CHOOSE(CONTROL!$C$28, 0.0003, 0)</f>
        <v>50.045000000000002</v>
      </c>
      <c r="C582" s="4">
        <f>49.7322 * CHOOSE(CONTROL!$C$9, $C$13, 100%, $E$13) + CHOOSE(CONTROL!$C$28, 0.0003, 0)</f>
        <v>49.732500000000002</v>
      </c>
      <c r="D582" s="4">
        <f>53.2618 * CHOOSE(CONTROL!$C$9, $C$13, 100%, $E$13) + CHOOSE(CONTROL!$C$28, 0, 0)</f>
        <v>53.261800000000001</v>
      </c>
      <c r="E582" s="4">
        <f>285.857681690974 * CHOOSE(CONTROL!$C$9, $C$13, 100%, $E$13) + CHOOSE(CONTROL!$C$28, 0, 0)</f>
        <v>285.857681690974</v>
      </c>
    </row>
    <row r="583" spans="1:5" ht="15">
      <c r="A583" s="13">
        <v>59261</v>
      </c>
      <c r="B583" s="4">
        <f>52.9786 * CHOOSE(CONTROL!$C$9, $C$13, 100%, $E$13) + CHOOSE(CONTROL!$C$28, 0.0003, 0)</f>
        <v>52.978900000000003</v>
      </c>
      <c r="C583" s="4">
        <f>52.6661 * CHOOSE(CONTROL!$C$9, $C$13, 100%, $E$13) + CHOOSE(CONTROL!$C$28, 0.0003, 0)</f>
        <v>52.666400000000003</v>
      </c>
      <c r="D583" s="4">
        <f>56.0193 * CHOOSE(CONTROL!$C$9, $C$13, 100%, $E$13) + CHOOSE(CONTROL!$C$28, 0, 0)</f>
        <v>56.019300000000001</v>
      </c>
      <c r="E583" s="4">
        <f>303.268325723739 * CHOOSE(CONTROL!$C$9, $C$13, 100%, $E$13) + CHOOSE(CONTROL!$C$28, 0, 0)</f>
        <v>303.268325723739</v>
      </c>
    </row>
    <row r="584" spans="1:5" ht="15">
      <c r="A584" s="13">
        <v>59291</v>
      </c>
      <c r="B584" s="4">
        <f>55.0631 * CHOOSE(CONTROL!$C$9, $C$13, 100%, $E$13) + CHOOSE(CONTROL!$C$28, 0.0003, 0)</f>
        <v>55.063400000000001</v>
      </c>
      <c r="C584" s="4">
        <f>54.7506 * CHOOSE(CONTROL!$C$9, $C$13, 100%, $E$13) + CHOOSE(CONTROL!$C$28, 0.0003, 0)</f>
        <v>54.750900000000001</v>
      </c>
      <c r="D584" s="4">
        <f>57.6077 * CHOOSE(CONTROL!$C$9, $C$13, 100%, $E$13) + CHOOSE(CONTROL!$C$28, 0, 0)</f>
        <v>57.607700000000001</v>
      </c>
      <c r="E584" s="4">
        <f>315.638820336358 * CHOOSE(CONTROL!$C$9, $C$13, 100%, $E$13) + CHOOSE(CONTROL!$C$28, 0, 0)</f>
        <v>315.63882033635798</v>
      </c>
    </row>
    <row r="585" spans="1:5" ht="15">
      <c r="A585" s="13">
        <v>59322</v>
      </c>
      <c r="B585" s="4">
        <f>56.3367 * CHOOSE(CONTROL!$C$9, $C$13, 100%, $E$13) + CHOOSE(CONTROL!$C$28, 0.0181, 0)</f>
        <v>56.354799999999997</v>
      </c>
      <c r="C585" s="4">
        <f>56.0242 * CHOOSE(CONTROL!$C$9, $C$13, 100%, $E$13) + CHOOSE(CONTROL!$C$28, 0.0181, 0)</f>
        <v>56.042299999999997</v>
      </c>
      <c r="D585" s="4">
        <f>56.98 * CHOOSE(CONTROL!$C$9, $C$13, 100%, $E$13) + CHOOSE(CONTROL!$C$28, 0, 0)</f>
        <v>56.98</v>
      </c>
      <c r="E585" s="4">
        <f>323.196896065291 * CHOOSE(CONTROL!$C$9, $C$13, 100%, $E$13) + CHOOSE(CONTROL!$C$28, 0, 0)</f>
        <v>323.19689606529101</v>
      </c>
    </row>
    <row r="586" spans="1:5" ht="15">
      <c r="A586" s="13">
        <v>59352</v>
      </c>
      <c r="B586" s="4">
        <f>56.509 * CHOOSE(CONTROL!$C$9, $C$13, 100%, $E$13) + CHOOSE(CONTROL!$C$28, 0.0181, 0)</f>
        <v>56.527099999999997</v>
      </c>
      <c r="C586" s="4">
        <f>56.1965 * CHOOSE(CONTROL!$C$9, $C$13, 100%, $E$13) + CHOOSE(CONTROL!$C$28, 0.0181, 0)</f>
        <v>56.214599999999997</v>
      </c>
      <c r="D586" s="4">
        <f>57.4912 * CHOOSE(CONTROL!$C$9, $C$13, 100%, $E$13) + CHOOSE(CONTROL!$C$28, 0, 0)</f>
        <v>57.491199999999999</v>
      </c>
      <c r="E586" s="4">
        <f>324.219535078074 * CHOOSE(CONTROL!$C$9, $C$13, 100%, $E$13) + CHOOSE(CONTROL!$C$28, 0, 0)</f>
        <v>324.21953507807399</v>
      </c>
    </row>
    <row r="587" spans="1:5" ht="15">
      <c r="A587" s="13">
        <v>59383</v>
      </c>
      <c r="B587" s="4">
        <f>56.4917 * CHOOSE(CONTROL!$C$9, $C$13, 100%, $E$13) + CHOOSE(CONTROL!$C$28, 0.0181, 0)</f>
        <v>56.509799999999998</v>
      </c>
      <c r="C587" s="4">
        <f>56.1792 * CHOOSE(CONTROL!$C$9, $C$13, 100%, $E$13) + CHOOSE(CONTROL!$C$28, 0.0181, 0)</f>
        <v>56.197299999999998</v>
      </c>
      <c r="D587" s="4">
        <f>58.4135 * CHOOSE(CONTROL!$C$9, $C$13, 100%, $E$13) + CHOOSE(CONTROL!$C$28, 0, 0)</f>
        <v>58.413499999999999</v>
      </c>
      <c r="E587" s="4">
        <f>324.116411816281 * CHOOSE(CONTROL!$C$9, $C$13, 100%, $E$13) + CHOOSE(CONTROL!$C$28, 0, 0)</f>
        <v>324.11641181628102</v>
      </c>
    </row>
    <row r="588" spans="1:5" ht="15">
      <c r="A588" s="13">
        <v>59414</v>
      </c>
      <c r="B588" s="4">
        <f>57.7993 * CHOOSE(CONTROL!$C$9, $C$13, 100%, $E$13) + CHOOSE(CONTROL!$C$28, 0.0181, 0)</f>
        <v>57.817399999999999</v>
      </c>
      <c r="C588" s="4">
        <f>57.4868 * CHOOSE(CONTROL!$C$9, $C$13, 100%, $E$13) + CHOOSE(CONTROL!$C$28, 0.0181, 0)</f>
        <v>57.504899999999999</v>
      </c>
      <c r="D588" s="4">
        <f>57.8044 * CHOOSE(CONTROL!$C$9, $C$13, 100%, $E$13) + CHOOSE(CONTROL!$C$28, 0, 0)</f>
        <v>57.804400000000001</v>
      </c>
      <c r="E588" s="4">
        <f>331.876437266225 * CHOOSE(CONTROL!$C$9, $C$13, 100%, $E$13) + CHOOSE(CONTROL!$C$28, 0, 0)</f>
        <v>331.87643726622503</v>
      </c>
    </row>
    <row r="589" spans="1:5" ht="15">
      <c r="A589" s="13">
        <v>59444</v>
      </c>
      <c r="B589" s="4">
        <f>55.5707 * CHOOSE(CONTROL!$C$9, $C$13, 100%, $E$13) + CHOOSE(CONTROL!$C$28, 0.0181, 0)</f>
        <v>55.588799999999999</v>
      </c>
      <c r="C589" s="4">
        <f>55.2582 * CHOOSE(CONTROL!$C$9, $C$13, 100%, $E$13) + CHOOSE(CONTROL!$C$28, 0.0181, 0)</f>
        <v>55.276299999999999</v>
      </c>
      <c r="D589" s="4">
        <f>57.5166 * CHOOSE(CONTROL!$C$9, $C$13, 100%, $E$13) + CHOOSE(CONTROL!$C$28, 0, 0)</f>
        <v>57.516599999999997</v>
      </c>
      <c r="E589" s="4">
        <f>318.650878941237 * CHOOSE(CONTROL!$C$9, $C$13, 100%, $E$13) + CHOOSE(CONTROL!$C$28, 0, 0)</f>
        <v>318.65087894123701</v>
      </c>
    </row>
    <row r="590" spans="1:5" ht="15">
      <c r="A590" s="13">
        <v>59475</v>
      </c>
      <c r="B590" s="4">
        <f>53.7866 * CHOOSE(CONTROL!$C$9, $C$13, 100%, $E$13) + CHOOSE(CONTROL!$C$28, 0.0003, 0)</f>
        <v>53.786900000000003</v>
      </c>
      <c r="C590" s="4">
        <f>53.4741 * CHOOSE(CONTROL!$C$9, $C$13, 100%, $E$13) + CHOOSE(CONTROL!$C$28, 0.0003, 0)</f>
        <v>53.474400000000003</v>
      </c>
      <c r="D590" s="4">
        <f>56.746 * CHOOSE(CONTROL!$C$9, $C$13, 100%, $E$13) + CHOOSE(CONTROL!$C$28, 0, 0)</f>
        <v>56.746000000000002</v>
      </c>
      <c r="E590" s="4">
        <f>308.063557397127 * CHOOSE(CONTROL!$C$9, $C$13, 100%, $E$13) + CHOOSE(CONTROL!$C$28, 0, 0)</f>
        <v>308.063557397127</v>
      </c>
    </row>
    <row r="591" spans="1:5" ht="15">
      <c r="A591" s="13">
        <v>59505</v>
      </c>
      <c r="B591" s="4">
        <f>52.6375 * CHOOSE(CONTROL!$C$9, $C$13, 100%, $E$13) + CHOOSE(CONTROL!$C$28, 0.0003, 0)</f>
        <v>52.637800000000006</v>
      </c>
      <c r="C591" s="4">
        <f>52.325 * CHOOSE(CONTROL!$C$9, $C$13, 100%, $E$13) + CHOOSE(CONTROL!$C$28, 0.0003, 0)</f>
        <v>52.325300000000006</v>
      </c>
      <c r="D591" s="4">
        <f>56.4811 * CHOOSE(CONTROL!$C$9, $C$13, 100%, $E$13) + CHOOSE(CONTROL!$C$28, 0, 0)</f>
        <v>56.481099999999998</v>
      </c>
      <c r="E591" s="4">
        <f>301.244531711046 * CHOOSE(CONTROL!$C$9, $C$13, 100%, $E$13) + CHOOSE(CONTROL!$C$28, 0, 0)</f>
        <v>301.24453171104602</v>
      </c>
    </row>
    <row r="592" spans="1:5" ht="15">
      <c r="A592" s="13">
        <v>59536</v>
      </c>
      <c r="B592" s="4">
        <f>51.8425 * CHOOSE(CONTROL!$C$9, $C$13, 100%, $E$13) + CHOOSE(CONTROL!$C$28, 0.0003, 0)</f>
        <v>51.842800000000004</v>
      </c>
      <c r="C592" s="4">
        <f>51.53 * CHOOSE(CONTROL!$C$9, $C$13, 100%, $E$13) + CHOOSE(CONTROL!$C$28, 0.0003, 0)</f>
        <v>51.530300000000004</v>
      </c>
      <c r="D592" s="4">
        <f>54.5306 * CHOOSE(CONTROL!$C$9, $C$13, 100%, $E$13) + CHOOSE(CONTROL!$C$28, 0, 0)</f>
        <v>54.5306</v>
      </c>
      <c r="E592" s="4">
        <f>296.526642484004 * CHOOSE(CONTROL!$C$9, $C$13, 100%, $E$13) + CHOOSE(CONTROL!$C$28, 0, 0)</f>
        <v>296.52664248400401</v>
      </c>
    </row>
    <row r="593" spans="1:5" ht="15">
      <c r="A593" s="13">
        <v>59567</v>
      </c>
      <c r="B593" s="4">
        <f>50.5508 * CHOOSE(CONTROL!$C$9, $C$13, 100%, $E$13) + CHOOSE(CONTROL!$C$28, 0.0003, 0)</f>
        <v>50.551100000000005</v>
      </c>
      <c r="C593" s="4">
        <f>50.2383 * CHOOSE(CONTROL!$C$9, $C$13, 100%, $E$13) + CHOOSE(CONTROL!$C$28, 0.0003, 0)</f>
        <v>50.238600000000005</v>
      </c>
      <c r="D593" s="4">
        <f>52.738 * CHOOSE(CONTROL!$C$9, $C$13, 100%, $E$13) + CHOOSE(CONTROL!$C$28, 0, 0)</f>
        <v>52.738</v>
      </c>
      <c r="E593" s="4">
        <f>288.023388350704 * CHOOSE(CONTROL!$C$9, $C$13, 100%, $E$13) + CHOOSE(CONTROL!$C$28, 0, 0)</f>
        <v>288.02338835070401</v>
      </c>
    </row>
    <row r="594" spans="1:5" ht="15">
      <c r="A594" s="13">
        <v>59595</v>
      </c>
      <c r="B594" s="4">
        <f>51.7066 * CHOOSE(CONTROL!$C$9, $C$13, 100%, $E$13) + CHOOSE(CONTROL!$C$28, 0.0003, 0)</f>
        <v>51.706900000000005</v>
      </c>
      <c r="C594" s="4">
        <f>51.3941 * CHOOSE(CONTROL!$C$9, $C$13, 100%, $E$13) + CHOOSE(CONTROL!$C$28, 0.0003, 0)</f>
        <v>51.394400000000005</v>
      </c>
      <c r="D594" s="4">
        <f>54.5432 * CHOOSE(CONTROL!$C$9, $C$13, 100%, $E$13) + CHOOSE(CONTROL!$C$28, 0, 0)</f>
        <v>54.543199999999999</v>
      </c>
      <c r="E594" s="4">
        <f>294.86219866424 * CHOOSE(CONTROL!$C$9, $C$13, 100%, $E$13) + CHOOSE(CONTROL!$C$28, 0, 0)</f>
        <v>294.86219866424</v>
      </c>
    </row>
    <row r="595" spans="1:5" ht="15">
      <c r="A595" s="13">
        <v>59626</v>
      </c>
      <c r="B595" s="4">
        <f>54.7416 * CHOOSE(CONTROL!$C$9, $C$13, 100%, $E$13) + CHOOSE(CONTROL!$C$28, 0.0003, 0)</f>
        <v>54.741900000000001</v>
      </c>
      <c r="C595" s="4">
        <f>54.4291 * CHOOSE(CONTROL!$C$9, $C$13, 100%, $E$13) + CHOOSE(CONTROL!$C$28, 0.0003, 0)</f>
        <v>54.429400000000001</v>
      </c>
      <c r="D595" s="4">
        <f>57.3691 * CHOOSE(CONTROL!$C$9, $C$13, 100%, $E$13) + CHOOSE(CONTROL!$C$28, 0, 0)</f>
        <v>57.369100000000003</v>
      </c>
      <c r="E595" s="4">
        <f>312.821277984037 * CHOOSE(CONTROL!$C$9, $C$13, 100%, $E$13) + CHOOSE(CONTROL!$C$28, 0, 0)</f>
        <v>312.82127798403701</v>
      </c>
    </row>
    <row r="596" spans="1:5" ht="15">
      <c r="A596" s="13">
        <v>59656</v>
      </c>
      <c r="B596" s="4">
        <f>56.8981 * CHOOSE(CONTROL!$C$9, $C$13, 100%, $E$13) + CHOOSE(CONTROL!$C$28, 0.0003, 0)</f>
        <v>56.898400000000002</v>
      </c>
      <c r="C596" s="4">
        <f>56.5856 * CHOOSE(CONTROL!$C$9, $C$13, 100%, $E$13) + CHOOSE(CONTROL!$C$28, 0.0003, 0)</f>
        <v>56.585900000000002</v>
      </c>
      <c r="D596" s="4">
        <f>58.9969 * CHOOSE(CONTROL!$C$9, $C$13, 100%, $E$13) + CHOOSE(CONTROL!$C$28, 0, 0)</f>
        <v>58.996899999999997</v>
      </c>
      <c r="E596" s="4">
        <f>325.581443176954 * CHOOSE(CONTROL!$C$9, $C$13, 100%, $E$13) + CHOOSE(CONTROL!$C$28, 0, 0)</f>
        <v>325.581443176954</v>
      </c>
    </row>
    <row r="597" spans="1:5" ht="15">
      <c r="A597" s="13">
        <v>59687</v>
      </c>
      <c r="B597" s="4">
        <f>58.2156 * CHOOSE(CONTROL!$C$9, $C$13, 100%, $E$13) + CHOOSE(CONTROL!$C$28, 0.0181, 0)</f>
        <v>58.233699999999999</v>
      </c>
      <c r="C597" s="4">
        <f>57.9031 * CHOOSE(CONTROL!$C$9, $C$13, 100%, $E$13) + CHOOSE(CONTROL!$C$28, 0.0181, 0)</f>
        <v>57.921199999999999</v>
      </c>
      <c r="D597" s="4">
        <f>58.3537 * CHOOSE(CONTROL!$C$9, $C$13, 100%, $E$13) + CHOOSE(CONTROL!$C$28, 0, 0)</f>
        <v>58.353700000000003</v>
      </c>
      <c r="E597" s="4">
        <f>333.377598291348 * CHOOSE(CONTROL!$C$9, $C$13, 100%, $E$13) + CHOOSE(CONTROL!$C$28, 0, 0)</f>
        <v>333.37759829134802</v>
      </c>
    </row>
    <row r="598" spans="1:5" ht="15">
      <c r="A598" s="13">
        <v>59717</v>
      </c>
      <c r="B598" s="4">
        <f>58.3939 * CHOOSE(CONTROL!$C$9, $C$13, 100%, $E$13) + CHOOSE(CONTROL!$C$28, 0.0181, 0)</f>
        <v>58.411999999999999</v>
      </c>
      <c r="C598" s="4">
        <f>58.0814 * CHOOSE(CONTROL!$C$9, $C$13, 100%, $E$13) + CHOOSE(CONTROL!$C$28, 0.0181, 0)</f>
        <v>58.099499999999999</v>
      </c>
      <c r="D598" s="4">
        <f>58.8775 * CHOOSE(CONTROL!$C$9, $C$13, 100%, $E$13) + CHOOSE(CONTROL!$C$28, 0, 0)</f>
        <v>58.877499999999998</v>
      </c>
      <c r="E598" s="4">
        <f>334.432450433034 * CHOOSE(CONTROL!$C$9, $C$13, 100%, $E$13) + CHOOSE(CONTROL!$C$28, 0, 0)</f>
        <v>334.43245043303398</v>
      </c>
    </row>
    <row r="599" spans="1:5" ht="15">
      <c r="A599" s="13">
        <v>59748</v>
      </c>
      <c r="B599" s="4">
        <f>58.3759 * CHOOSE(CONTROL!$C$9, $C$13, 100%, $E$13) + CHOOSE(CONTROL!$C$28, 0.0181, 0)</f>
        <v>58.393999999999998</v>
      </c>
      <c r="C599" s="4">
        <f>58.0634 * CHOOSE(CONTROL!$C$9, $C$13, 100%, $E$13) + CHOOSE(CONTROL!$C$28, 0.0181, 0)</f>
        <v>58.081499999999998</v>
      </c>
      <c r="D599" s="4">
        <f>59.8227 * CHOOSE(CONTROL!$C$9, $C$13, 100%, $E$13) + CHOOSE(CONTROL!$C$28, 0, 0)</f>
        <v>59.822699999999998</v>
      </c>
      <c r="E599" s="4">
        <f>334.326078788494 * CHOOSE(CONTROL!$C$9, $C$13, 100%, $E$13) + CHOOSE(CONTROL!$C$28, 0, 0)</f>
        <v>334.32607878849399</v>
      </c>
    </row>
    <row r="600" spans="1:5" ht="15">
      <c r="A600" s="13">
        <v>59779</v>
      </c>
      <c r="B600" s="4">
        <f>59.7287 * CHOOSE(CONTROL!$C$9, $C$13, 100%, $E$13) + CHOOSE(CONTROL!$C$28, 0.0181, 0)</f>
        <v>59.7468</v>
      </c>
      <c r="C600" s="4">
        <f>59.4162 * CHOOSE(CONTROL!$C$9, $C$13, 100%, $E$13) + CHOOSE(CONTROL!$C$28, 0.0181, 0)</f>
        <v>59.4343</v>
      </c>
      <c r="D600" s="4">
        <f>59.1985 * CHOOSE(CONTROL!$C$9, $C$13, 100%, $E$13) + CHOOSE(CONTROL!$C$28, 0, 0)</f>
        <v>59.198500000000003</v>
      </c>
      <c r="E600" s="4">
        <f>342.330545040111 * CHOOSE(CONTROL!$C$9, $C$13, 100%, $E$13) + CHOOSE(CONTROL!$C$28, 0, 0)</f>
        <v>342.33054504011102</v>
      </c>
    </row>
    <row r="601" spans="1:5" ht="15">
      <c r="A601" s="13">
        <v>59809</v>
      </c>
      <c r="B601" s="4">
        <f>57.4232 * CHOOSE(CONTROL!$C$9, $C$13, 100%, $E$13) + CHOOSE(CONTROL!$C$28, 0.0181, 0)</f>
        <v>57.441299999999998</v>
      </c>
      <c r="C601" s="4">
        <f>57.1107 * CHOOSE(CONTROL!$C$9, $C$13, 100%, $E$13) + CHOOSE(CONTROL!$C$28, 0.0181, 0)</f>
        <v>57.128799999999998</v>
      </c>
      <c r="D601" s="4">
        <f>58.9036 * CHOOSE(CONTROL!$C$9, $C$13, 100%, $E$13) + CHOOSE(CONTROL!$C$28, 0, 0)</f>
        <v>58.903599999999997</v>
      </c>
      <c r="E601" s="4">
        <f>328.688381627886 * CHOOSE(CONTROL!$C$9, $C$13, 100%, $E$13) + CHOOSE(CONTROL!$C$28, 0, 0)</f>
        <v>328.68838162788597</v>
      </c>
    </row>
    <row r="602" spans="1:5" ht="15">
      <c r="A602" s="13">
        <v>59840</v>
      </c>
      <c r="B602" s="4">
        <f>55.5776 * CHOOSE(CONTROL!$C$9, $C$13, 100%, $E$13) + CHOOSE(CONTROL!$C$28, 0.0003, 0)</f>
        <v>55.5779</v>
      </c>
      <c r="C602" s="4">
        <f>55.2651 * CHOOSE(CONTROL!$C$9, $C$13, 100%, $E$13) + CHOOSE(CONTROL!$C$28, 0.0003, 0)</f>
        <v>55.2654</v>
      </c>
      <c r="D602" s="4">
        <f>58.1139 * CHOOSE(CONTROL!$C$9, $C$13, 100%, $E$13) + CHOOSE(CONTROL!$C$28, 0, 0)</f>
        <v>58.113900000000001</v>
      </c>
      <c r="E602" s="4">
        <f>317.767559455137 * CHOOSE(CONTROL!$C$9, $C$13, 100%, $E$13) + CHOOSE(CONTROL!$C$28, 0, 0)</f>
        <v>317.76755945513702</v>
      </c>
    </row>
    <row r="603" spans="1:5" ht="15">
      <c r="A603" s="13">
        <v>59870</v>
      </c>
      <c r="B603" s="4">
        <f>54.3888 * CHOOSE(CONTROL!$C$9, $C$13, 100%, $E$13) + CHOOSE(CONTROL!$C$28, 0.0003, 0)</f>
        <v>54.389100000000006</v>
      </c>
      <c r="C603" s="4">
        <f>54.0763 * CHOOSE(CONTROL!$C$9, $C$13, 100%, $E$13) + CHOOSE(CONTROL!$C$28, 0.0003, 0)</f>
        <v>54.076600000000006</v>
      </c>
      <c r="D603" s="4">
        <f>57.8424 * CHOOSE(CONTROL!$C$9, $C$13, 100%, $E$13) + CHOOSE(CONTROL!$C$28, 0, 0)</f>
        <v>57.842399999999998</v>
      </c>
      <c r="E603" s="4">
        <f>310.733734459944 * CHOOSE(CONTROL!$C$9, $C$13, 100%, $E$13) + CHOOSE(CONTROL!$C$28, 0, 0)</f>
        <v>310.733734459944</v>
      </c>
    </row>
    <row r="604" spans="1:5" ht="15">
      <c r="A604" s="13">
        <v>59901</v>
      </c>
      <c r="B604" s="4">
        <f>53.5664 * CHOOSE(CONTROL!$C$9, $C$13, 100%, $E$13) + CHOOSE(CONTROL!$C$28, 0.0003, 0)</f>
        <v>53.566700000000004</v>
      </c>
      <c r="C604" s="4">
        <f>53.2539 * CHOOSE(CONTROL!$C$9, $C$13, 100%, $E$13) + CHOOSE(CONTROL!$C$28, 0.0003, 0)</f>
        <v>53.254200000000004</v>
      </c>
      <c r="D604" s="4">
        <f>55.8436 * CHOOSE(CONTROL!$C$9, $C$13, 100%, $E$13) + CHOOSE(CONTROL!$C$28, 0, 0)</f>
        <v>55.843600000000002</v>
      </c>
      <c r="E604" s="4">
        <f>305.86723172225 * CHOOSE(CONTROL!$C$9, $C$13, 100%, $E$13) + CHOOSE(CONTROL!$C$28, 0, 0)</f>
        <v>305.86723172224998</v>
      </c>
    </row>
    <row r="605" spans="1:5" ht="15">
      <c r="A605" s="13">
        <v>59932</v>
      </c>
      <c r="B605" s="4">
        <f>52.2301 * CHOOSE(CONTROL!$C$9, $C$13, 100%, $E$13) + CHOOSE(CONTROL!$C$28, 0.0003, 0)</f>
        <v>52.230400000000003</v>
      </c>
      <c r="C605" s="4">
        <f>51.9176 * CHOOSE(CONTROL!$C$9, $C$13, 100%, $E$13) + CHOOSE(CONTROL!$C$28, 0.0003, 0)</f>
        <v>51.917900000000003</v>
      </c>
      <c r="D605" s="4">
        <f>54.0065 * CHOOSE(CONTROL!$C$9, $C$13, 100%, $E$13) + CHOOSE(CONTROL!$C$28, 0, 0)</f>
        <v>54.006500000000003</v>
      </c>
      <c r="E605" s="4">
        <f>297.096125083751 * CHOOSE(CONTROL!$C$9, $C$13, 100%, $E$13) + CHOOSE(CONTROL!$C$28, 0, 0)</f>
        <v>297.09612508375102</v>
      </c>
    </row>
    <row r="606" spans="1:5" ht="15">
      <c r="A606" s="13">
        <v>59961</v>
      </c>
      <c r="B606" s="4">
        <f>53.4258 * CHOOSE(CONTROL!$C$9, $C$13, 100%, $E$13) + CHOOSE(CONTROL!$C$28, 0.0003, 0)</f>
        <v>53.426100000000005</v>
      </c>
      <c r="C606" s="4">
        <f>53.1133 * CHOOSE(CONTROL!$C$9, $C$13, 100%, $E$13) + CHOOSE(CONTROL!$C$28, 0.0003, 0)</f>
        <v>53.113600000000005</v>
      </c>
      <c r="D606" s="4">
        <f>55.8564 * CHOOSE(CONTROL!$C$9, $C$13, 100%, $E$13) + CHOOSE(CONTROL!$C$28, 0, 0)</f>
        <v>55.856400000000001</v>
      </c>
      <c r="E606" s="4">
        <f>304.150357922163 * CHOOSE(CONTROL!$C$9, $C$13, 100%, $E$13) + CHOOSE(CONTROL!$C$28, 0, 0)</f>
        <v>304.15035792216298</v>
      </c>
    </row>
    <row r="607" spans="1:5" ht="15">
      <c r="A607" s="13">
        <v>59992</v>
      </c>
      <c r="B607" s="4">
        <f>56.5655 * CHOOSE(CONTROL!$C$9, $C$13, 100%, $E$13) + CHOOSE(CONTROL!$C$28, 0.0003, 0)</f>
        <v>56.565800000000003</v>
      </c>
      <c r="C607" s="4">
        <f>56.253 * CHOOSE(CONTROL!$C$9, $C$13, 100%, $E$13) + CHOOSE(CONTROL!$C$28, 0.0003, 0)</f>
        <v>56.253300000000003</v>
      </c>
      <c r="D607" s="4">
        <f>58.7524 * CHOOSE(CONTROL!$C$9, $C$13, 100%, $E$13) + CHOOSE(CONTROL!$C$28, 0, 0)</f>
        <v>58.752400000000002</v>
      </c>
      <c r="E607" s="4">
        <f>322.675148240534 * CHOOSE(CONTROL!$C$9, $C$13, 100%, $E$13) + CHOOSE(CONTROL!$C$28, 0, 0)</f>
        <v>322.67514824053399</v>
      </c>
    </row>
    <row r="608" spans="1:5" ht="15">
      <c r="A608" s="13">
        <v>60022</v>
      </c>
      <c r="B608" s="4">
        <f>58.7964 * CHOOSE(CONTROL!$C$9, $C$13, 100%, $E$13) + CHOOSE(CONTROL!$C$28, 0.0003, 0)</f>
        <v>58.796700000000001</v>
      </c>
      <c r="C608" s="4">
        <f>58.4839 * CHOOSE(CONTROL!$C$9, $C$13, 100%, $E$13) + CHOOSE(CONTROL!$C$28, 0.0003, 0)</f>
        <v>58.484200000000001</v>
      </c>
      <c r="D608" s="4">
        <f>60.4206 * CHOOSE(CONTROL!$C$9, $C$13, 100%, $E$13) + CHOOSE(CONTROL!$C$28, 0, 0)</f>
        <v>60.4206</v>
      </c>
      <c r="E608" s="4">
        <f>335.837258637028 * CHOOSE(CONTROL!$C$9, $C$13, 100%, $E$13) + CHOOSE(CONTROL!$C$28, 0, 0)</f>
        <v>335.83725863702801</v>
      </c>
    </row>
    <row r="609" spans="1:5" ht="15">
      <c r="A609" s="13">
        <v>60053</v>
      </c>
      <c r="B609" s="4">
        <f>60.1594 * CHOOSE(CONTROL!$C$9, $C$13, 100%, $E$13) + CHOOSE(CONTROL!$C$28, 0.0181, 0)</f>
        <v>60.177499999999995</v>
      </c>
      <c r="C609" s="4">
        <f>59.8469 * CHOOSE(CONTROL!$C$9, $C$13, 100%, $E$13) + CHOOSE(CONTROL!$C$28, 0.0181, 0)</f>
        <v>59.864999999999995</v>
      </c>
      <c r="D609" s="4">
        <f>59.7614 * CHOOSE(CONTROL!$C$9, $C$13, 100%, $E$13) + CHOOSE(CONTROL!$C$28, 0, 0)</f>
        <v>59.761400000000002</v>
      </c>
      <c r="E609" s="4">
        <f>343.878992637525 * CHOOSE(CONTROL!$C$9, $C$13, 100%, $E$13) + CHOOSE(CONTROL!$C$28, 0, 0)</f>
        <v>343.87899263752502</v>
      </c>
    </row>
    <row r="610" spans="1:5" ht="15">
      <c r="A610" s="13">
        <v>60083</v>
      </c>
      <c r="B610" s="4">
        <f>60.3438 * CHOOSE(CONTROL!$C$9, $C$13, 100%, $E$13) + CHOOSE(CONTROL!$C$28, 0.0181, 0)</f>
        <v>60.361899999999999</v>
      </c>
      <c r="C610" s="4">
        <f>60.0313 * CHOOSE(CONTROL!$C$9, $C$13, 100%, $E$13) + CHOOSE(CONTROL!$C$28, 0.0181, 0)</f>
        <v>60.049399999999999</v>
      </c>
      <c r="D610" s="4">
        <f>60.2982 * CHOOSE(CONTROL!$C$9, $C$13, 100%, $E$13) + CHOOSE(CONTROL!$C$28, 0, 0)</f>
        <v>60.298200000000001</v>
      </c>
      <c r="E610" s="4">
        <f>344.967072621674 * CHOOSE(CONTROL!$C$9, $C$13, 100%, $E$13) + CHOOSE(CONTROL!$C$28, 0, 0)</f>
        <v>344.96707262167399</v>
      </c>
    </row>
    <row r="611" spans="1:5" ht="15">
      <c r="A611" s="13">
        <v>60114</v>
      </c>
      <c r="B611" s="4">
        <f>60.3252 * CHOOSE(CONTROL!$C$9, $C$13, 100%, $E$13) + CHOOSE(CONTROL!$C$28, 0.0181, 0)</f>
        <v>60.343299999999999</v>
      </c>
      <c r="C611" s="4">
        <f>60.0127 * CHOOSE(CONTROL!$C$9, $C$13, 100%, $E$13) + CHOOSE(CONTROL!$C$28, 0.0181, 0)</f>
        <v>60.030799999999999</v>
      </c>
      <c r="D611" s="4">
        <f>61.2669 * CHOOSE(CONTROL!$C$9, $C$13, 100%, $E$13) + CHOOSE(CONTROL!$C$28, 0, 0)</f>
        <v>61.2669</v>
      </c>
      <c r="E611" s="4">
        <f>344.857350270331 * CHOOSE(CONTROL!$C$9, $C$13, 100%, $E$13) + CHOOSE(CONTROL!$C$28, 0, 0)</f>
        <v>344.85735027033098</v>
      </c>
    </row>
    <row r="612" spans="1:5" ht="15">
      <c r="A612" s="13">
        <v>60145</v>
      </c>
      <c r="B612" s="4">
        <f>61.7246 * CHOOSE(CONTROL!$C$9, $C$13, 100%, $E$13) + CHOOSE(CONTROL!$C$28, 0.0181, 0)</f>
        <v>61.742699999999999</v>
      </c>
      <c r="C612" s="4">
        <f>61.4121 * CHOOSE(CONTROL!$C$9, $C$13, 100%, $E$13) + CHOOSE(CONTROL!$C$28, 0.0181, 0)</f>
        <v>61.430199999999999</v>
      </c>
      <c r="D612" s="4">
        <f>60.6272 * CHOOSE(CONTROL!$C$9, $C$13, 100%, $E$13) + CHOOSE(CONTROL!$C$28, 0, 0)</f>
        <v>60.627200000000002</v>
      </c>
      <c r="E612" s="4">
        <f>353.113957208875 * CHOOSE(CONTROL!$C$9, $C$13, 100%, $E$13) + CHOOSE(CONTROL!$C$28, 0, 0)</f>
        <v>353.11395720887498</v>
      </c>
    </row>
    <row r="613" spans="1:5" ht="15">
      <c r="A613" s="13">
        <v>60175</v>
      </c>
      <c r="B613" s="4">
        <f>59.3396 * CHOOSE(CONTROL!$C$9, $C$13, 100%, $E$13) + CHOOSE(CONTROL!$C$28, 0.0181, 0)</f>
        <v>59.357699999999994</v>
      </c>
      <c r="C613" s="4">
        <f>59.0271 * CHOOSE(CONTROL!$C$9, $C$13, 100%, $E$13) + CHOOSE(CONTROL!$C$28, 0.0181, 0)</f>
        <v>59.045199999999994</v>
      </c>
      <c r="D613" s="4">
        <f>60.3249 * CHOOSE(CONTROL!$C$9, $C$13, 100%, $E$13) + CHOOSE(CONTROL!$C$28, 0, 0)</f>
        <v>60.3249</v>
      </c>
      <c r="E613" s="4">
        <f>339.042065649165 * CHOOSE(CONTROL!$C$9, $C$13, 100%, $E$13) + CHOOSE(CONTROL!$C$28, 0, 0)</f>
        <v>339.04206564916501</v>
      </c>
    </row>
    <row r="614" spans="1:5" ht="15">
      <c r="A614" s="13">
        <v>60206</v>
      </c>
      <c r="B614" s="4">
        <f>57.4303 * CHOOSE(CONTROL!$C$9, $C$13, 100%, $E$13) + CHOOSE(CONTROL!$C$28, 0.0003, 0)</f>
        <v>57.430600000000005</v>
      </c>
      <c r="C614" s="4">
        <f>57.1178 * CHOOSE(CONTROL!$C$9, $C$13, 100%, $E$13) + CHOOSE(CONTROL!$C$28, 0.0003, 0)</f>
        <v>57.118100000000005</v>
      </c>
      <c r="D614" s="4">
        <f>59.5156 * CHOOSE(CONTROL!$C$9, $C$13, 100%, $E$13) + CHOOSE(CONTROL!$C$28, 0, 0)</f>
        <v>59.515599999999999</v>
      </c>
      <c r="E614" s="4">
        <f>327.777237577973 * CHOOSE(CONTROL!$C$9, $C$13, 100%, $E$13) + CHOOSE(CONTROL!$C$28, 0, 0)</f>
        <v>327.77723757797298</v>
      </c>
    </row>
    <row r="615" spans="1:5" ht="15">
      <c r="A615" s="13">
        <v>60236</v>
      </c>
      <c r="B615" s="4">
        <f>56.2006 * CHOOSE(CONTROL!$C$9, $C$13, 100%, $E$13) + CHOOSE(CONTROL!$C$28, 0.0003, 0)</f>
        <v>56.200900000000004</v>
      </c>
      <c r="C615" s="4">
        <f>55.8881 * CHOOSE(CONTROL!$C$9, $C$13, 100%, $E$13) + CHOOSE(CONTROL!$C$28, 0.0003, 0)</f>
        <v>55.888400000000004</v>
      </c>
      <c r="D615" s="4">
        <f>59.2374 * CHOOSE(CONTROL!$C$9, $C$13, 100%, $E$13) + CHOOSE(CONTROL!$C$28, 0, 0)</f>
        <v>59.237400000000001</v>
      </c>
      <c r="E615" s="4">
        <f>320.521847095433 * CHOOSE(CONTROL!$C$9, $C$13, 100%, $E$13) + CHOOSE(CONTROL!$C$28, 0, 0)</f>
        <v>320.52184709543297</v>
      </c>
    </row>
    <row r="616" spans="1:5" ht="15">
      <c r="A616" s="13">
        <v>60267</v>
      </c>
      <c r="B616" s="4">
        <f>55.3498 * CHOOSE(CONTROL!$C$9, $C$13, 100%, $E$13) + CHOOSE(CONTROL!$C$28, 0.0003, 0)</f>
        <v>55.350100000000005</v>
      </c>
      <c r="C616" s="4">
        <f>55.0373 * CHOOSE(CONTROL!$C$9, $C$13, 100%, $E$13) + CHOOSE(CONTROL!$C$28, 0.0003, 0)</f>
        <v>55.037600000000005</v>
      </c>
      <c r="D616" s="4">
        <f>57.189 * CHOOSE(CONTROL!$C$9, $C$13, 100%, $E$13) + CHOOSE(CONTROL!$C$28, 0, 0)</f>
        <v>57.189</v>
      </c>
      <c r="E616" s="4">
        <f>315.502049521501 * CHOOSE(CONTROL!$C$9, $C$13, 100%, $E$13) + CHOOSE(CONTROL!$C$28, 0, 0)</f>
        <v>315.50204952150102</v>
      </c>
    </row>
    <row r="617" spans="1:5" ht="15">
      <c r="A617" s="13">
        <v>60298</v>
      </c>
      <c r="B617" s="4">
        <f>53.9674 * CHOOSE(CONTROL!$C$9, $C$13, 100%, $E$13) + CHOOSE(CONTROL!$C$28, 0.0003, 0)</f>
        <v>53.967700000000001</v>
      </c>
      <c r="C617" s="4">
        <f>53.6549 * CHOOSE(CONTROL!$C$9, $C$13, 100%, $E$13) + CHOOSE(CONTROL!$C$28, 0.0003, 0)</f>
        <v>53.655200000000001</v>
      </c>
      <c r="D617" s="4">
        <f>55.3064 * CHOOSE(CONTROL!$C$9, $C$13, 100%, $E$13) + CHOOSE(CONTROL!$C$28, 0, 0)</f>
        <v>55.306399999999996</v>
      </c>
      <c r="E617" s="4">
        <f>306.454653023889 * CHOOSE(CONTROL!$C$9, $C$13, 100%, $E$13) + CHOOSE(CONTROL!$C$28, 0, 0)</f>
        <v>306.45465302388902</v>
      </c>
    </row>
    <row r="618" spans="1:5" ht="15">
      <c r="A618" s="13">
        <v>60326</v>
      </c>
      <c r="B618" s="4">
        <f>55.2043 * CHOOSE(CONTROL!$C$9, $C$13, 100%, $E$13) + CHOOSE(CONTROL!$C$28, 0.0003, 0)</f>
        <v>55.204600000000006</v>
      </c>
      <c r="C618" s="4">
        <f>54.8918 * CHOOSE(CONTROL!$C$9, $C$13, 100%, $E$13) + CHOOSE(CONTROL!$C$28, 0.0003, 0)</f>
        <v>54.892100000000006</v>
      </c>
      <c r="D618" s="4">
        <f>57.2022 * CHOOSE(CONTROL!$C$9, $C$13, 100%, $E$13) + CHOOSE(CONTROL!$C$28, 0, 0)</f>
        <v>57.202199999999998</v>
      </c>
      <c r="E618" s="4">
        <f>313.731094196711 * CHOOSE(CONTROL!$C$9, $C$13, 100%, $E$13) + CHOOSE(CONTROL!$C$28, 0, 0)</f>
        <v>313.73109419671101</v>
      </c>
    </row>
    <row r="619" spans="1:5" ht="15">
      <c r="A619" s="13">
        <v>60357</v>
      </c>
      <c r="B619" s="4">
        <f>58.4524 * CHOOSE(CONTROL!$C$9, $C$13, 100%, $E$13) + CHOOSE(CONTROL!$C$28, 0.0003, 0)</f>
        <v>58.4527</v>
      </c>
      <c r="C619" s="4">
        <f>58.1399 * CHOOSE(CONTROL!$C$9, $C$13, 100%, $E$13) + CHOOSE(CONTROL!$C$28, 0.0003, 0)</f>
        <v>58.1402</v>
      </c>
      <c r="D619" s="4">
        <f>60.17 * CHOOSE(CONTROL!$C$9, $C$13, 100%, $E$13) + CHOOSE(CONTROL!$C$28, 0, 0)</f>
        <v>60.17</v>
      </c>
      <c r="E619" s="4">
        <f>332.839415410111 * CHOOSE(CONTROL!$C$9, $C$13, 100%, $E$13) + CHOOSE(CONTROL!$C$28, 0, 0)</f>
        <v>332.83941541011097</v>
      </c>
    </row>
    <row r="620" spans="1:5" ht="15">
      <c r="A620" s="13">
        <v>60387</v>
      </c>
      <c r="B620" s="4">
        <f>60.7602 * CHOOSE(CONTROL!$C$9, $C$13, 100%, $E$13) + CHOOSE(CONTROL!$C$28, 0.0003, 0)</f>
        <v>60.7605</v>
      </c>
      <c r="C620" s="4">
        <f>60.4477 * CHOOSE(CONTROL!$C$9, $C$13, 100%, $E$13) + CHOOSE(CONTROL!$C$28, 0.0003, 0)</f>
        <v>60.448</v>
      </c>
      <c r="D620" s="4">
        <f>61.8795 * CHOOSE(CONTROL!$C$9, $C$13, 100%, $E$13) + CHOOSE(CONTROL!$C$28, 0, 0)</f>
        <v>61.8795</v>
      </c>
      <c r="E620" s="4">
        <f>346.416132284094 * CHOOSE(CONTROL!$C$9, $C$13, 100%, $E$13) + CHOOSE(CONTROL!$C$28, 0, 0)</f>
        <v>346.41613228409398</v>
      </c>
    </row>
    <row r="621" spans="1:5" ht="15">
      <c r="A621" s="13">
        <v>60418</v>
      </c>
      <c r="B621" s="4">
        <f>62.1702 * CHOOSE(CONTROL!$C$9, $C$13, 100%, $E$13) + CHOOSE(CONTROL!$C$28, 0.0181, 0)</f>
        <v>62.188299999999998</v>
      </c>
      <c r="C621" s="4">
        <f>61.8577 * CHOOSE(CONTROL!$C$9, $C$13, 100%, $E$13) + CHOOSE(CONTROL!$C$28, 0.0181, 0)</f>
        <v>61.875799999999998</v>
      </c>
      <c r="D621" s="4">
        <f>61.204 * CHOOSE(CONTROL!$C$9, $C$13, 100%, $E$13) + CHOOSE(CONTROL!$C$28, 0, 0)</f>
        <v>61.204000000000001</v>
      </c>
      <c r="E621" s="4">
        <f>354.711180905607 * CHOOSE(CONTROL!$C$9, $C$13, 100%, $E$13) + CHOOSE(CONTROL!$C$28, 0, 0)</f>
        <v>354.71118090560702</v>
      </c>
    </row>
    <row r="622" spans="1:5" ht="15">
      <c r="A622" s="13">
        <v>60448</v>
      </c>
      <c r="B622" s="4">
        <f>62.361 * CHOOSE(CONTROL!$C$9, $C$13, 100%, $E$13) + CHOOSE(CONTROL!$C$28, 0.0181, 0)</f>
        <v>62.379099999999994</v>
      </c>
      <c r="C622" s="4">
        <f>62.0485 * CHOOSE(CONTROL!$C$9, $C$13, 100%, $E$13) + CHOOSE(CONTROL!$C$28, 0.0181, 0)</f>
        <v>62.066599999999994</v>
      </c>
      <c r="D622" s="4">
        <f>61.7542 * CHOOSE(CONTROL!$C$9, $C$13, 100%, $E$13) + CHOOSE(CONTROL!$C$28, 0, 0)</f>
        <v>61.754199999999997</v>
      </c>
      <c r="E622" s="4">
        <f>355.833535409257 * CHOOSE(CONTROL!$C$9, $C$13, 100%, $E$13) + CHOOSE(CONTROL!$C$28, 0, 0)</f>
        <v>355.83353540925702</v>
      </c>
    </row>
    <row r="623" spans="1:5" ht="15">
      <c r="A623" s="13">
        <v>60479</v>
      </c>
      <c r="B623" s="4">
        <f>62.3418 * CHOOSE(CONTROL!$C$9, $C$13, 100%, $E$13) + CHOOSE(CONTROL!$C$28, 0.0181, 0)</f>
        <v>62.359899999999996</v>
      </c>
      <c r="C623" s="4">
        <f>62.0293 * CHOOSE(CONTROL!$C$9, $C$13, 100%, $E$13) + CHOOSE(CONTROL!$C$28, 0.0181, 0)</f>
        <v>62.047399999999996</v>
      </c>
      <c r="D623" s="4">
        <f>62.7469 * CHOOSE(CONTROL!$C$9, $C$13, 100%, $E$13) + CHOOSE(CONTROL!$C$28, 0, 0)</f>
        <v>62.746899999999997</v>
      </c>
      <c r="E623" s="4">
        <f>355.720356803847 * CHOOSE(CONTROL!$C$9, $C$13, 100%, $E$13) + CHOOSE(CONTROL!$C$28, 0, 0)</f>
        <v>355.72035680384698</v>
      </c>
    </row>
    <row r="624" spans="1:5" ht="15">
      <c r="A624" s="13">
        <v>60510</v>
      </c>
      <c r="B624" s="4">
        <f>63.7895 * CHOOSE(CONTROL!$C$9, $C$13, 100%, $E$13) + CHOOSE(CONTROL!$C$28, 0.0181, 0)</f>
        <v>63.807599999999994</v>
      </c>
      <c r="C624" s="4">
        <f>63.477 * CHOOSE(CONTROL!$C$9, $C$13, 100%, $E$13) + CHOOSE(CONTROL!$C$28, 0.0181, 0)</f>
        <v>63.495099999999994</v>
      </c>
      <c r="D624" s="4">
        <f>62.0913 * CHOOSE(CONTROL!$C$9, $C$13, 100%, $E$13) + CHOOSE(CONTROL!$C$28, 0, 0)</f>
        <v>62.091299999999997</v>
      </c>
      <c r="E624" s="4">
        <f>364.237046860955 * CHOOSE(CONTROL!$C$9, $C$13, 100%, $E$13) + CHOOSE(CONTROL!$C$28, 0, 0)</f>
        <v>364.23704686095499</v>
      </c>
    </row>
    <row r="625" spans="1:5" ht="15">
      <c r="A625" s="13">
        <v>60540</v>
      </c>
      <c r="B625" s="4">
        <f>61.3221 * CHOOSE(CONTROL!$C$9, $C$13, 100%, $E$13) + CHOOSE(CONTROL!$C$28, 0.0181, 0)</f>
        <v>61.340199999999996</v>
      </c>
      <c r="C625" s="4">
        <f>61.0096 * CHOOSE(CONTROL!$C$9, $C$13, 100%, $E$13) + CHOOSE(CONTROL!$C$28, 0.0181, 0)</f>
        <v>61.027699999999996</v>
      </c>
      <c r="D625" s="4">
        <f>61.7815 * CHOOSE(CONTROL!$C$9, $C$13, 100%, $E$13) + CHOOSE(CONTROL!$C$28, 0, 0)</f>
        <v>61.781500000000001</v>
      </c>
      <c r="E625" s="4">
        <f>349.721890717113 * CHOOSE(CONTROL!$C$9, $C$13, 100%, $E$13) + CHOOSE(CONTROL!$C$28, 0, 0)</f>
        <v>349.72189071711301</v>
      </c>
    </row>
    <row r="626" spans="1:5" ht="15">
      <c r="A626" s="13">
        <v>60571</v>
      </c>
      <c r="B626" s="4">
        <f>59.347 * CHOOSE(CONTROL!$C$9, $C$13, 100%, $E$13) + CHOOSE(CONTROL!$C$28, 0.0003, 0)</f>
        <v>59.347300000000004</v>
      </c>
      <c r="C626" s="4">
        <f>59.0345 * CHOOSE(CONTROL!$C$9, $C$13, 100%, $E$13) + CHOOSE(CONTROL!$C$28, 0.0003, 0)</f>
        <v>59.034800000000004</v>
      </c>
      <c r="D626" s="4">
        <f>60.9522 * CHOOSE(CONTROL!$C$9, $C$13, 100%, $E$13) + CHOOSE(CONTROL!$C$28, 0, 0)</f>
        <v>60.952199999999998</v>
      </c>
      <c r="E626" s="4">
        <f>338.10222056168 * CHOOSE(CONTROL!$C$9, $C$13, 100%, $E$13) + CHOOSE(CONTROL!$C$28, 0, 0)</f>
        <v>338.10222056167999</v>
      </c>
    </row>
    <row r="627" spans="1:5" ht="15">
      <c r="A627" s="13">
        <v>60601</v>
      </c>
      <c r="B627" s="4">
        <f>58.0748 * CHOOSE(CONTROL!$C$9, $C$13, 100%, $E$13) + CHOOSE(CONTROL!$C$28, 0.0003, 0)</f>
        <v>58.075100000000006</v>
      </c>
      <c r="C627" s="4">
        <f>57.7623 * CHOOSE(CONTROL!$C$9, $C$13, 100%, $E$13) + CHOOSE(CONTROL!$C$28, 0.0003, 0)</f>
        <v>57.762600000000006</v>
      </c>
      <c r="D627" s="4">
        <f>60.667 * CHOOSE(CONTROL!$C$9, $C$13, 100%, $E$13) + CHOOSE(CONTROL!$C$28, 0, 0)</f>
        <v>60.667000000000002</v>
      </c>
      <c r="E627" s="4">
        <f>330.618285278939 * CHOOSE(CONTROL!$C$9, $C$13, 100%, $E$13) + CHOOSE(CONTROL!$C$28, 0, 0)</f>
        <v>330.61828527893903</v>
      </c>
    </row>
    <row r="628" spans="1:5" ht="15">
      <c r="A628" s="13">
        <v>60632</v>
      </c>
      <c r="B628" s="4">
        <f>57.1946 * CHOOSE(CONTROL!$C$9, $C$13, 100%, $E$13) + CHOOSE(CONTROL!$C$28, 0.0003, 0)</f>
        <v>57.194900000000004</v>
      </c>
      <c r="C628" s="4">
        <f>56.8821 * CHOOSE(CONTROL!$C$9, $C$13, 100%, $E$13) + CHOOSE(CONTROL!$C$28, 0.0003, 0)</f>
        <v>56.882400000000004</v>
      </c>
      <c r="D628" s="4">
        <f>58.5679 * CHOOSE(CONTROL!$C$9, $C$13, 100%, $E$13) + CHOOSE(CONTROL!$C$28, 0, 0)</f>
        <v>58.567900000000002</v>
      </c>
      <c r="E628" s="4">
        <f>325.440364081428 * CHOOSE(CONTROL!$C$9, $C$13, 100%, $E$13) + CHOOSE(CONTROL!$C$28, 0, 0)</f>
        <v>325.44036408142802</v>
      </c>
    </row>
    <row r="629" spans="1:5" ht="15">
      <c r="A629" s="13">
        <v>60663</v>
      </c>
      <c r="B629" s="4">
        <f>55.7646 * CHOOSE(CONTROL!$C$9, $C$13, 100%, $E$13) + CHOOSE(CONTROL!$C$28, 0.0003, 0)</f>
        <v>55.764900000000004</v>
      </c>
      <c r="C629" s="4">
        <f>55.4521 * CHOOSE(CONTROL!$C$9, $C$13, 100%, $E$13) + CHOOSE(CONTROL!$C$28, 0.0003, 0)</f>
        <v>55.452400000000004</v>
      </c>
      <c r="D629" s="4">
        <f>56.6385 * CHOOSE(CONTROL!$C$9, $C$13, 100%, $E$13) + CHOOSE(CONTROL!$C$28, 0, 0)</f>
        <v>56.638500000000001</v>
      </c>
      <c r="E629" s="4">
        <f>316.107974594142 * CHOOSE(CONTROL!$C$9, $C$13, 100%, $E$13) + CHOOSE(CONTROL!$C$28, 0, 0)</f>
        <v>316.10797459414198</v>
      </c>
    </row>
    <row r="630" spans="1:5" ht="15">
      <c r="A630" s="13">
        <v>60691</v>
      </c>
      <c r="B630" s="4">
        <f>57.0441 * CHOOSE(CONTROL!$C$9, $C$13, 100%, $E$13) + CHOOSE(CONTROL!$C$28, 0.0003, 0)</f>
        <v>57.044400000000003</v>
      </c>
      <c r="C630" s="4">
        <f>56.7316 * CHOOSE(CONTROL!$C$9, $C$13, 100%, $E$13) + CHOOSE(CONTROL!$C$28, 0.0003, 0)</f>
        <v>56.731900000000003</v>
      </c>
      <c r="D630" s="4">
        <f>58.5814 * CHOOSE(CONTROL!$C$9, $C$13, 100%, $E$13) + CHOOSE(CONTROL!$C$28, 0, 0)</f>
        <v>58.581400000000002</v>
      </c>
      <c r="E630" s="4">
        <f>323.613623663908 * CHOOSE(CONTROL!$C$9, $C$13, 100%, $E$13) + CHOOSE(CONTROL!$C$28, 0, 0)</f>
        <v>323.61362366390802</v>
      </c>
    </row>
    <row r="631" spans="1:5" ht="15">
      <c r="A631" s="13">
        <v>60722</v>
      </c>
      <c r="B631" s="4">
        <f>60.4043 * CHOOSE(CONTROL!$C$9, $C$13, 100%, $E$13) + CHOOSE(CONTROL!$C$28, 0.0003, 0)</f>
        <v>60.404600000000002</v>
      </c>
      <c r="C631" s="4">
        <f>60.0918 * CHOOSE(CONTROL!$C$9, $C$13, 100%, $E$13) + CHOOSE(CONTROL!$C$28, 0.0003, 0)</f>
        <v>60.092100000000002</v>
      </c>
      <c r="D631" s="4">
        <f>61.6228 * CHOOSE(CONTROL!$C$9, $C$13, 100%, $E$13) + CHOOSE(CONTROL!$C$28, 0, 0)</f>
        <v>61.622799999999998</v>
      </c>
      <c r="E631" s="4">
        <f>343.32385699553 * CHOOSE(CONTROL!$C$9, $C$13, 100%, $E$13) + CHOOSE(CONTROL!$C$28, 0, 0)</f>
        <v>343.32385699552998</v>
      </c>
    </row>
    <row r="632" spans="1:5" ht="15">
      <c r="A632" s="13">
        <v>60752</v>
      </c>
      <c r="B632" s="4">
        <f>62.7917 * CHOOSE(CONTROL!$C$9, $C$13, 100%, $E$13) + CHOOSE(CONTROL!$C$28, 0.0003, 0)</f>
        <v>62.792000000000002</v>
      </c>
      <c r="C632" s="4">
        <f>62.4792 * CHOOSE(CONTROL!$C$9, $C$13, 100%, $E$13) + CHOOSE(CONTROL!$C$28, 0.0003, 0)</f>
        <v>62.479500000000002</v>
      </c>
      <c r="D632" s="4">
        <f>63.3747 * CHOOSE(CONTROL!$C$9, $C$13, 100%, $E$13) + CHOOSE(CONTROL!$C$28, 0, 0)</f>
        <v>63.374699999999997</v>
      </c>
      <c r="E632" s="4">
        <f>357.328240451043 * CHOOSE(CONTROL!$C$9, $C$13, 100%, $E$13) + CHOOSE(CONTROL!$C$28, 0, 0)</f>
        <v>357.32824045104297</v>
      </c>
    </row>
    <row r="633" spans="1:5" ht="15">
      <c r="A633" s="13">
        <v>60783</v>
      </c>
      <c r="B633" s="4">
        <f>64.2504 * CHOOSE(CONTROL!$C$9, $C$13, 100%, $E$13) + CHOOSE(CONTROL!$C$28, 0.0181, 0)</f>
        <v>64.268500000000003</v>
      </c>
      <c r="C633" s="4">
        <f>63.9379 * CHOOSE(CONTROL!$C$9, $C$13, 100%, $E$13) + CHOOSE(CONTROL!$C$28, 0.0181, 0)</f>
        <v>63.955999999999996</v>
      </c>
      <c r="D633" s="4">
        <f>62.6824 * CHOOSE(CONTROL!$C$9, $C$13, 100%, $E$13) + CHOOSE(CONTROL!$C$28, 0, 0)</f>
        <v>62.682400000000001</v>
      </c>
      <c r="E633" s="4">
        <f>365.884583104134 * CHOOSE(CONTROL!$C$9, $C$13, 100%, $E$13) + CHOOSE(CONTROL!$C$28, 0, 0)</f>
        <v>365.88458310413398</v>
      </c>
    </row>
    <row r="634" spans="1:5" ht="15">
      <c r="A634" s="13">
        <v>60813</v>
      </c>
      <c r="B634" s="4">
        <f>64.4478 * CHOOSE(CONTROL!$C$9, $C$13, 100%, $E$13) + CHOOSE(CONTROL!$C$28, 0.0181, 0)</f>
        <v>64.465900000000005</v>
      </c>
      <c r="C634" s="4">
        <f>64.1353 * CHOOSE(CONTROL!$C$9, $C$13, 100%, $E$13) + CHOOSE(CONTROL!$C$28, 0.0181, 0)</f>
        <v>64.153400000000005</v>
      </c>
      <c r="D634" s="4">
        <f>63.2462 * CHOOSE(CONTROL!$C$9, $C$13, 100%, $E$13) + CHOOSE(CONTROL!$C$28, 0, 0)</f>
        <v>63.246200000000002</v>
      </c>
      <c r="E634" s="4">
        <f>367.042291774649 * CHOOSE(CONTROL!$C$9, $C$13, 100%, $E$13) + CHOOSE(CONTROL!$C$28, 0, 0)</f>
        <v>367.04229177464902</v>
      </c>
    </row>
    <row r="635" spans="1:5" ht="15">
      <c r="A635" s="13">
        <v>60844</v>
      </c>
      <c r="B635" s="4">
        <f>64.4279 * CHOOSE(CONTROL!$C$9, $C$13, 100%, $E$13) + CHOOSE(CONTROL!$C$28, 0.0181, 0)</f>
        <v>64.445999999999998</v>
      </c>
      <c r="C635" s="4">
        <f>64.1154 * CHOOSE(CONTROL!$C$9, $C$13, 100%, $E$13) + CHOOSE(CONTROL!$C$28, 0.0181, 0)</f>
        <v>64.133499999999998</v>
      </c>
      <c r="D635" s="4">
        <f>64.2635 * CHOOSE(CONTROL!$C$9, $C$13, 100%, $E$13) + CHOOSE(CONTROL!$C$28, 0, 0)</f>
        <v>64.263499999999993</v>
      </c>
      <c r="E635" s="4">
        <f>366.925548043168 * CHOOSE(CONTROL!$C$9, $C$13, 100%, $E$13) + CHOOSE(CONTROL!$C$28, 0, 0)</f>
        <v>366.92554804316802</v>
      </c>
    </row>
    <row r="636" spans="1:5" ht="15">
      <c r="A636" s="13">
        <v>60875</v>
      </c>
      <c r="B636" s="4">
        <f>65.9255 * CHOOSE(CONTROL!$C$9, $C$13, 100%, $E$13) + CHOOSE(CONTROL!$C$28, 0.0181, 0)</f>
        <v>65.943600000000004</v>
      </c>
      <c r="C636" s="4">
        <f>65.613 * CHOOSE(CONTROL!$C$9, $C$13, 100%, $E$13) + CHOOSE(CONTROL!$C$28, 0.0181, 0)</f>
        <v>65.631100000000004</v>
      </c>
      <c r="D636" s="4">
        <f>63.5917 * CHOOSE(CONTROL!$C$9, $C$13, 100%, $E$13) + CHOOSE(CONTROL!$C$28, 0, 0)</f>
        <v>63.591700000000003</v>
      </c>
      <c r="E636" s="4">
        <f>375.710513837075 * CHOOSE(CONTROL!$C$9, $C$13, 100%, $E$13) + CHOOSE(CONTROL!$C$28, 0, 0)</f>
        <v>375.71051383707498</v>
      </c>
    </row>
    <row r="637" spans="1:5" ht="15">
      <c r="A637" s="13">
        <v>60905</v>
      </c>
      <c r="B637" s="4">
        <f>63.373 * CHOOSE(CONTROL!$C$9, $C$13, 100%, $E$13) + CHOOSE(CONTROL!$C$28, 0.0181, 0)</f>
        <v>63.391099999999994</v>
      </c>
      <c r="C637" s="4">
        <f>63.0605 * CHOOSE(CONTROL!$C$9, $C$13, 100%, $E$13) + CHOOSE(CONTROL!$C$28, 0.0181, 0)</f>
        <v>63.078599999999994</v>
      </c>
      <c r="D637" s="4">
        <f>63.2743 * CHOOSE(CONTROL!$C$9, $C$13, 100%, $E$13) + CHOOSE(CONTROL!$C$28, 0, 0)</f>
        <v>63.274299999999997</v>
      </c>
      <c r="E637" s="4">
        <f>360.738130274702 * CHOOSE(CONTROL!$C$9, $C$13, 100%, $E$13) + CHOOSE(CONTROL!$C$28, 0, 0)</f>
        <v>360.73813027470197</v>
      </c>
    </row>
    <row r="638" spans="1:5" ht="15">
      <c r="A638" s="13">
        <v>60936</v>
      </c>
      <c r="B638" s="4">
        <f>61.3297 * CHOOSE(CONTROL!$C$9, $C$13, 100%, $E$13) + CHOOSE(CONTROL!$C$28, 0.0003, 0)</f>
        <v>61.330000000000005</v>
      </c>
      <c r="C638" s="4">
        <f>61.0172 * CHOOSE(CONTROL!$C$9, $C$13, 100%, $E$13) + CHOOSE(CONTROL!$C$28, 0.0003, 0)</f>
        <v>61.017500000000005</v>
      </c>
      <c r="D638" s="4">
        <f>62.4243 * CHOOSE(CONTROL!$C$9, $C$13, 100%, $E$13) + CHOOSE(CONTROL!$C$28, 0, 0)</f>
        <v>62.424300000000002</v>
      </c>
      <c r="E638" s="4">
        <f>348.752440509372 * CHOOSE(CONTROL!$C$9, $C$13, 100%, $E$13) + CHOOSE(CONTROL!$C$28, 0, 0)</f>
        <v>348.75244050937198</v>
      </c>
    </row>
    <row r="639" spans="1:5" ht="15">
      <c r="A639" s="13">
        <v>60966</v>
      </c>
      <c r="B639" s="4">
        <f>60.0137 * CHOOSE(CONTROL!$C$9, $C$13, 100%, $E$13) + CHOOSE(CONTROL!$C$28, 0.0003, 0)</f>
        <v>60.014000000000003</v>
      </c>
      <c r="C639" s="4">
        <f>59.7012 * CHOOSE(CONTROL!$C$9, $C$13, 100%, $E$13) + CHOOSE(CONTROL!$C$28, 0.0003, 0)</f>
        <v>59.701500000000003</v>
      </c>
      <c r="D639" s="4">
        <f>62.1321 * CHOOSE(CONTROL!$C$9, $C$13, 100%, $E$13) + CHOOSE(CONTROL!$C$28, 0, 0)</f>
        <v>62.132100000000001</v>
      </c>
      <c r="E639" s="4">
        <f>341.032761265225 * CHOOSE(CONTROL!$C$9, $C$13, 100%, $E$13) + CHOOSE(CONTROL!$C$28, 0, 0)</f>
        <v>341.03276126522502</v>
      </c>
    </row>
    <row r="640" spans="1:5" ht="15">
      <c r="A640" s="13">
        <v>60997</v>
      </c>
      <c r="B640" s="4">
        <f>59.1032 * CHOOSE(CONTROL!$C$9, $C$13, 100%, $E$13) + CHOOSE(CONTROL!$C$28, 0.0003, 0)</f>
        <v>59.103500000000004</v>
      </c>
      <c r="C640" s="4">
        <f>58.7907 * CHOOSE(CONTROL!$C$9, $C$13, 100%, $E$13) + CHOOSE(CONTROL!$C$28, 0.0003, 0)</f>
        <v>58.791000000000004</v>
      </c>
      <c r="D640" s="4">
        <f>59.9809 * CHOOSE(CONTROL!$C$9, $C$13, 100%, $E$13) + CHOOSE(CONTROL!$C$28, 0, 0)</f>
        <v>59.980899999999998</v>
      </c>
      <c r="E640" s="4">
        <f>335.691735549993 * CHOOSE(CONTROL!$C$9, $C$13, 100%, $E$13) + CHOOSE(CONTROL!$C$28, 0, 0)</f>
        <v>335.69173554999298</v>
      </c>
    </row>
    <row r="641" spans="1:5" ht="15">
      <c r="A641" s="13">
        <v>61028</v>
      </c>
      <c r="B641" s="4">
        <f>57.6238 * CHOOSE(CONTROL!$C$9, $C$13, 100%, $E$13) + CHOOSE(CONTROL!$C$28, 0.0003, 0)</f>
        <v>57.624100000000006</v>
      </c>
      <c r="C641" s="4">
        <f>57.3113 * CHOOSE(CONTROL!$C$9, $C$13, 100%, $E$13) + CHOOSE(CONTROL!$C$28, 0.0003, 0)</f>
        <v>57.311600000000006</v>
      </c>
      <c r="D641" s="4">
        <f>58.0037 * CHOOSE(CONTROL!$C$9, $C$13, 100%, $E$13) + CHOOSE(CONTROL!$C$28, 0, 0)</f>
        <v>58.003700000000002</v>
      </c>
      <c r="E641" s="4">
        <f>326.065375793857 * CHOOSE(CONTROL!$C$9, $C$13, 100%, $E$13) + CHOOSE(CONTROL!$C$28, 0, 0)</f>
        <v>326.06537579385702</v>
      </c>
    </row>
    <row r="642" spans="1:5" ht="15">
      <c r="A642" s="13">
        <v>61056</v>
      </c>
      <c r="B642" s="4">
        <f>58.9474 * CHOOSE(CONTROL!$C$9, $C$13, 100%, $E$13) + CHOOSE(CONTROL!$C$28, 0.0003, 0)</f>
        <v>58.947700000000005</v>
      </c>
      <c r="C642" s="4">
        <f>58.6349 * CHOOSE(CONTROL!$C$9, $C$13, 100%, $E$13) + CHOOSE(CONTROL!$C$28, 0.0003, 0)</f>
        <v>58.635200000000005</v>
      </c>
      <c r="D642" s="4">
        <f>59.9947 * CHOOSE(CONTROL!$C$9, $C$13, 100%, $E$13) + CHOOSE(CONTROL!$C$28, 0, 0)</f>
        <v>59.994700000000002</v>
      </c>
      <c r="E642" s="4">
        <f>333.807452809321 * CHOOSE(CONTROL!$C$9, $C$13, 100%, $E$13) + CHOOSE(CONTROL!$C$28, 0, 0)</f>
        <v>333.80745280932098</v>
      </c>
    </row>
    <row r="643" spans="1:5" ht="15">
      <c r="A643" s="13">
        <v>61087</v>
      </c>
      <c r="B643" s="4">
        <f>62.4235 * CHOOSE(CONTROL!$C$9, $C$13, 100%, $E$13) + CHOOSE(CONTROL!$C$28, 0.0003, 0)</f>
        <v>62.4238</v>
      </c>
      <c r="C643" s="4">
        <f>62.111 * CHOOSE(CONTROL!$C$9, $C$13, 100%, $E$13) + CHOOSE(CONTROL!$C$28, 0.0003, 0)</f>
        <v>62.1113</v>
      </c>
      <c r="D643" s="4">
        <f>63.1115 * CHOOSE(CONTROL!$C$9, $C$13, 100%, $E$13) + CHOOSE(CONTROL!$C$28, 0, 0)</f>
        <v>63.111499999999999</v>
      </c>
      <c r="E643" s="4">
        <f>354.138558490889 * CHOOSE(CONTROL!$C$9, $C$13, 100%, $E$13) + CHOOSE(CONTROL!$C$28, 0, 0)</f>
        <v>354.13855849088901</v>
      </c>
    </row>
    <row r="644" spans="1:5" ht="15">
      <c r="A644" s="13">
        <v>61117</v>
      </c>
      <c r="B644" s="4">
        <f>64.8934 * CHOOSE(CONTROL!$C$9, $C$13, 100%, $E$13) + CHOOSE(CONTROL!$C$28, 0.0003, 0)</f>
        <v>64.893699999999995</v>
      </c>
      <c r="C644" s="4">
        <f>64.5809 * CHOOSE(CONTROL!$C$9, $C$13, 100%, $E$13) + CHOOSE(CONTROL!$C$28, 0.0003, 0)</f>
        <v>64.581199999999995</v>
      </c>
      <c r="D644" s="4">
        <f>64.9069 * CHOOSE(CONTROL!$C$9, $C$13, 100%, $E$13) + CHOOSE(CONTROL!$C$28, 0, 0)</f>
        <v>64.906899999999993</v>
      </c>
      <c r="E644" s="4">
        <f>368.584080025251 * CHOOSE(CONTROL!$C$9, $C$13, 100%, $E$13) + CHOOSE(CONTROL!$C$28, 0, 0)</f>
        <v>368.58408002525101</v>
      </c>
    </row>
    <row r="645" spans="1:5" ht="15">
      <c r="A645" s="13">
        <v>61148</v>
      </c>
      <c r="B645" s="4">
        <f>66.4023 * CHOOSE(CONTROL!$C$9, $C$13, 100%, $E$13) + CHOOSE(CONTROL!$C$28, 0.0181, 0)</f>
        <v>66.420400000000001</v>
      </c>
      <c r="C645" s="4">
        <f>66.0898 * CHOOSE(CONTROL!$C$9, $C$13, 100%, $E$13) + CHOOSE(CONTROL!$C$28, 0.0181, 0)</f>
        <v>66.107900000000001</v>
      </c>
      <c r="D645" s="4">
        <f>64.1975 * CHOOSE(CONTROL!$C$9, $C$13, 100%, $E$13) + CHOOSE(CONTROL!$C$28, 0, 0)</f>
        <v>64.197500000000005</v>
      </c>
      <c r="E645" s="4">
        <f>377.409947471914 * CHOOSE(CONTROL!$C$9, $C$13, 100%, $E$13) + CHOOSE(CONTROL!$C$28, 0, 0)</f>
        <v>377.40994747191399</v>
      </c>
    </row>
    <row r="646" spans="1:5" ht="15">
      <c r="A646" s="13">
        <v>61178</v>
      </c>
      <c r="B646" s="4">
        <f>66.6065 * CHOOSE(CONTROL!$C$9, $C$13, 100%, $E$13) + CHOOSE(CONTROL!$C$28, 0.0181, 0)</f>
        <v>66.624600000000001</v>
      </c>
      <c r="C646" s="4">
        <f>66.294 * CHOOSE(CONTROL!$C$9, $C$13, 100%, $E$13) + CHOOSE(CONTROL!$C$28, 0.0181, 0)</f>
        <v>66.312100000000001</v>
      </c>
      <c r="D646" s="4">
        <f>64.7753 * CHOOSE(CONTROL!$C$9, $C$13, 100%, $E$13) + CHOOSE(CONTROL!$C$28, 0, 0)</f>
        <v>64.775300000000001</v>
      </c>
      <c r="E646" s="4">
        <f>378.60412396555 * CHOOSE(CONTROL!$C$9, $C$13, 100%, $E$13) + CHOOSE(CONTROL!$C$28, 0, 0)</f>
        <v>378.60412396555</v>
      </c>
    </row>
    <row r="647" spans="1:5" ht="15">
      <c r="A647" s="13">
        <v>61209</v>
      </c>
      <c r="B647" s="4">
        <f>66.5859 * CHOOSE(CONTROL!$C$9, $C$13, 100%, $E$13) + CHOOSE(CONTROL!$C$28, 0.0181, 0)</f>
        <v>66.603999999999999</v>
      </c>
      <c r="C647" s="4">
        <f>66.2734 * CHOOSE(CONTROL!$C$9, $C$13, 100%, $E$13) + CHOOSE(CONTROL!$C$28, 0.0181, 0)</f>
        <v>66.291499999999999</v>
      </c>
      <c r="D647" s="4">
        <f>65.8178 * CHOOSE(CONTROL!$C$9, $C$13, 100%, $E$13) + CHOOSE(CONTROL!$C$28, 0, 0)</f>
        <v>65.817800000000005</v>
      </c>
      <c r="E647" s="4">
        <f>378.483702806528 * CHOOSE(CONTROL!$C$9, $C$13, 100%, $E$13) + CHOOSE(CONTROL!$C$28, 0, 0)</f>
        <v>378.48370280652802</v>
      </c>
    </row>
    <row r="648" spans="1:5" ht="15">
      <c r="A648" s="13">
        <v>61240</v>
      </c>
      <c r="B648" s="4">
        <f>68.1352 * CHOOSE(CONTROL!$C$9, $C$13, 100%, $E$13) + CHOOSE(CONTROL!$C$28, 0.0181, 0)</f>
        <v>68.153300000000002</v>
      </c>
      <c r="C648" s="4">
        <f>67.8227 * CHOOSE(CONTROL!$C$9, $C$13, 100%, $E$13) + CHOOSE(CONTROL!$C$28, 0.0181, 0)</f>
        <v>67.840800000000002</v>
      </c>
      <c r="D648" s="4">
        <f>65.1293 * CHOOSE(CONTROL!$C$9, $C$13, 100%, $E$13) + CHOOSE(CONTROL!$C$28, 0, 0)</f>
        <v>65.129300000000001</v>
      </c>
      <c r="E648" s="4">
        <f>387.545395022943 * CHOOSE(CONTROL!$C$9, $C$13, 100%, $E$13) + CHOOSE(CONTROL!$C$28, 0, 0)</f>
        <v>387.54539502294301</v>
      </c>
    </row>
    <row r="649" spans="1:5" ht="15">
      <c r="A649" s="13">
        <v>61270</v>
      </c>
      <c r="B649" s="4">
        <f>65.4947 * CHOOSE(CONTROL!$C$9, $C$13, 100%, $E$13) + CHOOSE(CONTROL!$C$28, 0.0181, 0)</f>
        <v>65.512799999999999</v>
      </c>
      <c r="C649" s="4">
        <f>65.1822 * CHOOSE(CONTROL!$C$9, $C$13, 100%, $E$13) + CHOOSE(CONTROL!$C$28, 0.0181, 0)</f>
        <v>65.200299999999999</v>
      </c>
      <c r="D649" s="4">
        <f>64.804 * CHOOSE(CONTROL!$C$9, $C$13, 100%, $E$13) + CHOOSE(CONTROL!$C$28, 0, 0)</f>
        <v>64.804000000000002</v>
      </c>
      <c r="E649" s="4">
        <f>372.101381378356 * CHOOSE(CONTROL!$C$9, $C$13, 100%, $E$13) + CHOOSE(CONTROL!$C$28, 0, 0)</f>
        <v>372.101381378356</v>
      </c>
    </row>
    <row r="650" spans="1:5" ht="15">
      <c r="A650" s="13">
        <v>61301</v>
      </c>
      <c r="B650" s="4">
        <f>63.3809 * CHOOSE(CONTROL!$C$9, $C$13, 100%, $E$13) + CHOOSE(CONTROL!$C$28, 0.0003, 0)</f>
        <v>63.3812</v>
      </c>
      <c r="C650" s="4">
        <f>63.0684 * CHOOSE(CONTROL!$C$9, $C$13, 100%, $E$13) + CHOOSE(CONTROL!$C$28, 0.0003, 0)</f>
        <v>63.0687</v>
      </c>
      <c r="D650" s="4">
        <f>63.933 * CHOOSE(CONTROL!$C$9, $C$13, 100%, $E$13) + CHOOSE(CONTROL!$C$28, 0, 0)</f>
        <v>63.933</v>
      </c>
      <c r="E650" s="4">
        <f>359.738142385418 * CHOOSE(CONTROL!$C$9, $C$13, 100%, $E$13) + CHOOSE(CONTROL!$C$28, 0, 0)</f>
        <v>359.73814238541797</v>
      </c>
    </row>
    <row r="651" spans="1:5" ht="15">
      <c r="A651" s="13">
        <v>61331</v>
      </c>
      <c r="B651" s="4">
        <f>62.0195 * CHOOSE(CONTROL!$C$9, $C$13, 100%, $E$13) + CHOOSE(CONTROL!$C$28, 0.0003, 0)</f>
        <v>62.019800000000004</v>
      </c>
      <c r="C651" s="4">
        <f>61.707 * CHOOSE(CONTROL!$C$9, $C$13, 100%, $E$13) + CHOOSE(CONTROL!$C$28, 0.0003, 0)</f>
        <v>61.707300000000004</v>
      </c>
      <c r="D651" s="4">
        <f>63.6336 * CHOOSE(CONTROL!$C$9, $C$13, 100%, $E$13) + CHOOSE(CONTROL!$C$28, 0, 0)</f>
        <v>63.633600000000001</v>
      </c>
      <c r="E651" s="4">
        <f>351.77529324508 * CHOOSE(CONTROL!$C$9, $C$13, 100%, $E$13) + CHOOSE(CONTROL!$C$28, 0, 0)</f>
        <v>351.77529324507998</v>
      </c>
    </row>
    <row r="652" spans="1:5" ht="15">
      <c r="A652" s="13">
        <v>61362</v>
      </c>
      <c r="B652" s="4">
        <f>61.0775 * CHOOSE(CONTROL!$C$9, $C$13, 100%, $E$13) + CHOOSE(CONTROL!$C$28, 0.0003, 0)</f>
        <v>61.077800000000003</v>
      </c>
      <c r="C652" s="4">
        <f>60.765 * CHOOSE(CONTROL!$C$9, $C$13, 100%, $E$13) + CHOOSE(CONTROL!$C$28, 0.0003, 0)</f>
        <v>60.765300000000003</v>
      </c>
      <c r="D652" s="4">
        <f>61.429 * CHOOSE(CONTROL!$C$9, $C$13, 100%, $E$13) + CHOOSE(CONTROL!$C$28, 0, 0)</f>
        <v>61.429000000000002</v>
      </c>
      <c r="E652" s="4">
        <f>346.266025219818 * CHOOSE(CONTROL!$C$9, $C$13, 100%, $E$13) + CHOOSE(CONTROL!$C$28, 0, 0)</f>
        <v>346.266025219818</v>
      </c>
    </row>
    <row r="653" spans="1:5" ht="15">
      <c r="A653" s="13">
        <v>61393</v>
      </c>
      <c r="B653" s="4">
        <f>59.5471 * CHOOSE(CONTROL!$C$9, $C$13, 100%, $E$13) + CHOOSE(CONTROL!$C$28, 0.0003, 0)</f>
        <v>59.547400000000003</v>
      </c>
      <c r="C653" s="4">
        <f>59.2346 * CHOOSE(CONTROL!$C$9, $C$13, 100%, $E$13) + CHOOSE(CONTROL!$C$28, 0.0003, 0)</f>
        <v>59.234900000000003</v>
      </c>
      <c r="D653" s="4">
        <f>59.4027 * CHOOSE(CONTROL!$C$9, $C$13, 100%, $E$13) + CHOOSE(CONTROL!$C$28, 0, 0)</f>
        <v>59.402700000000003</v>
      </c>
      <c r="E653" s="4">
        <f>336.336435131364 * CHOOSE(CONTROL!$C$9, $C$13, 100%, $E$13) + CHOOSE(CONTROL!$C$28, 0, 0)</f>
        <v>336.336435131364</v>
      </c>
    </row>
    <row r="654" spans="1:5" ht="15">
      <c r="A654" s="13">
        <v>61422</v>
      </c>
      <c r="B654" s="4">
        <f>60.9164 * CHOOSE(CONTROL!$C$9, $C$13, 100%, $E$13) + CHOOSE(CONTROL!$C$28, 0.0003, 0)</f>
        <v>60.916700000000006</v>
      </c>
      <c r="C654" s="4">
        <f>60.6039 * CHOOSE(CONTROL!$C$9, $C$13, 100%, $E$13) + CHOOSE(CONTROL!$C$28, 0.0003, 0)</f>
        <v>60.604200000000006</v>
      </c>
      <c r="D654" s="4">
        <f>61.4432 * CHOOSE(CONTROL!$C$9, $C$13, 100%, $E$13) + CHOOSE(CONTROL!$C$28, 0, 0)</f>
        <v>61.443199999999997</v>
      </c>
      <c r="E654" s="4">
        <f>344.322387572815 * CHOOSE(CONTROL!$C$9, $C$13, 100%, $E$13) + CHOOSE(CONTROL!$C$28, 0, 0)</f>
        <v>344.32238757281499</v>
      </c>
    </row>
    <row r="655" spans="1:5" ht="15">
      <c r="A655" s="13">
        <v>61453</v>
      </c>
      <c r="B655" s="4">
        <f>64.5125 * CHOOSE(CONTROL!$C$9, $C$13, 100%, $E$13) + CHOOSE(CONTROL!$C$28, 0.0003, 0)</f>
        <v>64.512799999999999</v>
      </c>
      <c r="C655" s="4">
        <f>64.2 * CHOOSE(CONTROL!$C$9, $C$13, 100%, $E$13) + CHOOSE(CONTROL!$C$28, 0.0003, 0)</f>
        <v>64.200299999999999</v>
      </c>
      <c r="D655" s="4">
        <f>64.6373 * CHOOSE(CONTROL!$C$9, $C$13, 100%, $E$13) + CHOOSE(CONTROL!$C$28, 0, 0)</f>
        <v>64.637299999999996</v>
      </c>
      <c r="E655" s="4">
        <f>365.293923083352 * CHOOSE(CONTROL!$C$9, $C$13, 100%, $E$13) + CHOOSE(CONTROL!$C$28, 0, 0)</f>
        <v>365.29392308335201</v>
      </c>
    </row>
    <row r="656" spans="1:5" ht="15">
      <c r="A656" s="13">
        <v>61483</v>
      </c>
      <c r="B656" s="4">
        <f>67.0675 * CHOOSE(CONTROL!$C$9, $C$13, 100%, $E$13) + CHOOSE(CONTROL!$C$28, 0.0003, 0)</f>
        <v>67.067799999999991</v>
      </c>
      <c r="C656" s="4">
        <f>66.755 * CHOOSE(CONTROL!$C$9, $C$13, 100%, $E$13) + CHOOSE(CONTROL!$C$28, 0.0003, 0)</f>
        <v>66.755299999999991</v>
      </c>
      <c r="D656" s="4">
        <f>66.4772 * CHOOSE(CONTROL!$C$9, $C$13, 100%, $E$13) + CHOOSE(CONTROL!$C$28, 0, 0)</f>
        <v>66.477199999999996</v>
      </c>
      <c r="E656" s="4">
        <f>380.194478546047 * CHOOSE(CONTROL!$C$9, $C$13, 100%, $E$13) + CHOOSE(CONTROL!$C$28, 0, 0)</f>
        <v>380.19447854604698</v>
      </c>
    </row>
    <row r="657" spans="1:5" ht="15">
      <c r="A657" s="13">
        <v>61514</v>
      </c>
      <c r="B657" s="4">
        <f>68.6285 * CHOOSE(CONTROL!$C$9, $C$13, 100%, $E$13) + CHOOSE(CONTROL!$C$28, 0.0181, 0)</f>
        <v>68.646600000000007</v>
      </c>
      <c r="C657" s="4">
        <f>68.316 * CHOOSE(CONTROL!$C$9, $C$13, 100%, $E$13) + CHOOSE(CONTROL!$C$28, 0.0181, 0)</f>
        <v>68.334100000000007</v>
      </c>
      <c r="D657" s="4">
        <f>65.7501 * CHOOSE(CONTROL!$C$9, $C$13, 100%, $E$13) + CHOOSE(CONTROL!$C$28, 0, 0)</f>
        <v>65.750100000000003</v>
      </c>
      <c r="E657" s="4">
        <f>389.298360817279 * CHOOSE(CONTROL!$C$9, $C$13, 100%, $E$13) + CHOOSE(CONTROL!$C$28, 0, 0)</f>
        <v>389.29836081727899</v>
      </c>
    </row>
    <row r="658" spans="1:5" ht="15">
      <c r="A658" s="13">
        <v>61544</v>
      </c>
      <c r="B658" s="4">
        <f>68.8398 * CHOOSE(CONTROL!$C$9, $C$13, 100%, $E$13) + CHOOSE(CONTROL!$C$28, 0.0181, 0)</f>
        <v>68.857900000000001</v>
      </c>
      <c r="C658" s="4">
        <f>68.5273 * CHOOSE(CONTROL!$C$9, $C$13, 100%, $E$13) + CHOOSE(CONTROL!$C$28, 0.0181, 0)</f>
        <v>68.545400000000001</v>
      </c>
      <c r="D658" s="4">
        <f>66.3422 * CHOOSE(CONTROL!$C$9, $C$13, 100%, $E$13) + CHOOSE(CONTROL!$C$28, 0, 0)</f>
        <v>66.342200000000005</v>
      </c>
      <c r="E658" s="4">
        <f>390.530153870465 * CHOOSE(CONTROL!$C$9, $C$13, 100%, $E$13) + CHOOSE(CONTROL!$C$28, 0, 0)</f>
        <v>390.53015387046503</v>
      </c>
    </row>
    <row r="659" spans="1:5" ht="15">
      <c r="A659" s="13">
        <v>61575</v>
      </c>
      <c r="B659" s="4">
        <f>68.8185 * CHOOSE(CONTROL!$C$9, $C$13, 100%, $E$13) + CHOOSE(CONTROL!$C$28, 0.0181, 0)</f>
        <v>68.836600000000004</v>
      </c>
      <c r="C659" s="4">
        <f>68.506 * CHOOSE(CONTROL!$C$9, $C$13, 100%, $E$13) + CHOOSE(CONTROL!$C$28, 0.0181, 0)</f>
        <v>68.524100000000004</v>
      </c>
      <c r="D659" s="4">
        <f>67.4106 * CHOOSE(CONTROL!$C$9, $C$13, 100%, $E$13) + CHOOSE(CONTROL!$C$28, 0, 0)</f>
        <v>67.410600000000002</v>
      </c>
      <c r="E659" s="4">
        <f>390.405939444934 * CHOOSE(CONTROL!$C$9, $C$13, 100%, $E$13) + CHOOSE(CONTROL!$C$28, 0, 0)</f>
        <v>390.40593944493401</v>
      </c>
    </row>
    <row r="660" spans="1:5" ht="15">
      <c r="A660" s="13">
        <v>61606</v>
      </c>
      <c r="B660" s="4">
        <f>70.4212 * CHOOSE(CONTROL!$C$9, $C$13, 100%, $E$13) + CHOOSE(CONTROL!$C$28, 0.0181, 0)</f>
        <v>70.439300000000003</v>
      </c>
      <c r="C660" s="4">
        <f>70.1087 * CHOOSE(CONTROL!$C$9, $C$13, 100%, $E$13) + CHOOSE(CONTROL!$C$28, 0.0181, 0)</f>
        <v>70.126800000000003</v>
      </c>
      <c r="D660" s="4">
        <f>66.7051 * CHOOSE(CONTROL!$C$9, $C$13, 100%, $E$13) + CHOOSE(CONTROL!$C$28, 0, 0)</f>
        <v>66.705100000000002</v>
      </c>
      <c r="E660" s="4">
        <f>399.753074966165 * CHOOSE(CONTROL!$C$9, $C$13, 100%, $E$13) + CHOOSE(CONTROL!$C$28, 0, 0)</f>
        <v>399.753074966165</v>
      </c>
    </row>
    <row r="661" spans="1:5" ht="15">
      <c r="A661" s="13">
        <v>61636</v>
      </c>
      <c r="B661" s="4">
        <f>67.6896 * CHOOSE(CONTROL!$C$9, $C$13, 100%, $E$13) + CHOOSE(CONTROL!$C$28, 0.0181, 0)</f>
        <v>67.707700000000003</v>
      </c>
      <c r="C661" s="4">
        <f>67.3771 * CHOOSE(CONTROL!$C$9, $C$13, 100%, $E$13) + CHOOSE(CONTROL!$C$28, 0.0181, 0)</f>
        <v>67.395200000000003</v>
      </c>
      <c r="D661" s="4">
        <f>66.3717 * CHOOSE(CONTROL!$C$9, $C$13, 100%, $E$13) + CHOOSE(CONTROL!$C$28, 0, 0)</f>
        <v>66.371700000000004</v>
      </c>
      <c r="E661" s="4">
        <f>383.822574891774 * CHOOSE(CONTROL!$C$9, $C$13, 100%, $E$13) + CHOOSE(CONTROL!$C$28, 0, 0)</f>
        <v>383.82257489177402</v>
      </c>
    </row>
    <row r="662" spans="1:5" ht="15">
      <c r="A662" s="13">
        <v>61667</v>
      </c>
      <c r="B662" s="4">
        <f>65.5029 * CHOOSE(CONTROL!$C$9, $C$13, 100%, $E$13) + CHOOSE(CONTROL!$C$28, 0.0003, 0)</f>
        <v>65.503199999999993</v>
      </c>
      <c r="C662" s="4">
        <f>65.1904 * CHOOSE(CONTROL!$C$9, $C$13, 100%, $E$13) + CHOOSE(CONTROL!$C$28, 0.0003, 0)</f>
        <v>65.190699999999993</v>
      </c>
      <c r="D662" s="4">
        <f>65.4791 * CHOOSE(CONTROL!$C$9, $C$13, 100%, $E$13) + CHOOSE(CONTROL!$C$28, 0, 0)</f>
        <v>65.479100000000003</v>
      </c>
      <c r="E662" s="4">
        <f>371.069893870558 * CHOOSE(CONTROL!$C$9, $C$13, 100%, $E$13) + CHOOSE(CONTROL!$C$28, 0, 0)</f>
        <v>371.06989387055802</v>
      </c>
    </row>
    <row r="663" spans="1:5" ht="15">
      <c r="A663" s="13">
        <v>61697</v>
      </c>
      <c r="B663" s="4">
        <f>64.0945 * CHOOSE(CONTROL!$C$9, $C$13, 100%, $E$13) + CHOOSE(CONTROL!$C$28, 0.0003, 0)</f>
        <v>64.094799999999992</v>
      </c>
      <c r="C663" s="4">
        <f>63.782 * CHOOSE(CONTROL!$C$9, $C$13, 100%, $E$13) + CHOOSE(CONTROL!$C$28, 0.0003, 0)</f>
        <v>63.782299999999999</v>
      </c>
      <c r="D663" s="4">
        <f>65.1722 * CHOOSE(CONTROL!$C$9, $C$13, 100%, $E$13) + CHOOSE(CONTROL!$C$28, 0, 0)</f>
        <v>65.172200000000004</v>
      </c>
      <c r="E663" s="4">
        <f>362.8562149823 * CHOOSE(CONTROL!$C$9, $C$13, 100%, $E$13) + CHOOSE(CONTROL!$C$28, 0, 0)</f>
        <v>362.8562149823</v>
      </c>
    </row>
    <row r="664" spans="1:5" ht="15">
      <c r="A664" s="13">
        <v>61728</v>
      </c>
      <c r="B664" s="4">
        <f>63.12 * CHOOSE(CONTROL!$C$9, $C$13, 100%, $E$13) + CHOOSE(CONTROL!$C$28, 0.0003, 0)</f>
        <v>63.1203</v>
      </c>
      <c r="C664" s="4">
        <f>62.8075 * CHOOSE(CONTROL!$C$9, $C$13, 100%, $E$13) + CHOOSE(CONTROL!$C$28, 0.0003, 0)</f>
        <v>62.8078</v>
      </c>
      <c r="D664" s="4">
        <f>62.9129 * CHOOSE(CONTROL!$C$9, $C$13, 100%, $E$13) + CHOOSE(CONTROL!$C$28, 0, 0)</f>
        <v>62.9129</v>
      </c>
      <c r="E664" s="4">
        <f>357.173405014242 * CHOOSE(CONTROL!$C$9, $C$13, 100%, $E$13) + CHOOSE(CONTROL!$C$28, 0, 0)</f>
        <v>357.17340501424201</v>
      </c>
    </row>
    <row r="665" spans="1:5" ht="15">
      <c r="A665" s="13">
        <v>61759</v>
      </c>
      <c r="B665" s="4">
        <f>61.5368 * CHOOSE(CONTROL!$C$9, $C$13, 100%, $E$13) + CHOOSE(CONTROL!$C$28, 0.0003, 0)</f>
        <v>61.537100000000002</v>
      </c>
      <c r="C665" s="4">
        <f>61.2243 * CHOOSE(CONTROL!$C$9, $C$13, 100%, $E$13) + CHOOSE(CONTROL!$C$28, 0.0003, 0)</f>
        <v>61.224600000000002</v>
      </c>
      <c r="D665" s="4">
        <f>60.8365 * CHOOSE(CONTROL!$C$9, $C$13, 100%, $E$13) + CHOOSE(CONTROL!$C$28, 0, 0)</f>
        <v>60.836500000000001</v>
      </c>
      <c r="E665" s="4">
        <f>346.931032838002 * CHOOSE(CONTROL!$C$9, $C$13, 100%, $E$13) + CHOOSE(CONTROL!$C$28, 0, 0)</f>
        <v>346.93103283800201</v>
      </c>
    </row>
    <row r="666" spans="1:5" ht="15">
      <c r="A666" s="13">
        <v>61787</v>
      </c>
      <c r="B666" s="4">
        <f>62.9534 * CHOOSE(CONTROL!$C$9, $C$13, 100%, $E$13) + CHOOSE(CONTROL!$C$28, 0.0003, 0)</f>
        <v>62.953700000000005</v>
      </c>
      <c r="C666" s="4">
        <f>62.6409 * CHOOSE(CONTROL!$C$9, $C$13, 100%, $E$13) + CHOOSE(CONTROL!$C$28, 0.0003, 0)</f>
        <v>62.641200000000005</v>
      </c>
      <c r="D666" s="4">
        <f>62.9275 * CHOOSE(CONTROL!$C$9, $C$13, 100%, $E$13) + CHOOSE(CONTROL!$C$28, 0, 0)</f>
        <v>62.927500000000002</v>
      </c>
      <c r="E666" s="4">
        <f>355.168542781358 * CHOOSE(CONTROL!$C$9, $C$13, 100%, $E$13) + CHOOSE(CONTROL!$C$28, 0, 0)</f>
        <v>355.16854278135798</v>
      </c>
    </row>
    <row r="667" spans="1:5" ht="15">
      <c r="A667" s="13">
        <v>61818</v>
      </c>
      <c r="B667" s="4">
        <f>66.6735 * CHOOSE(CONTROL!$C$9, $C$13, 100%, $E$13) + CHOOSE(CONTROL!$C$28, 0.0003, 0)</f>
        <v>66.6738</v>
      </c>
      <c r="C667" s="4">
        <f>66.361 * CHOOSE(CONTROL!$C$9, $C$13, 100%, $E$13) + CHOOSE(CONTROL!$C$28, 0.0003, 0)</f>
        <v>66.3613</v>
      </c>
      <c r="D667" s="4">
        <f>66.2008 * CHOOSE(CONTROL!$C$9, $C$13, 100%, $E$13) + CHOOSE(CONTROL!$C$28, 0, 0)</f>
        <v>66.200800000000001</v>
      </c>
      <c r="E667" s="4">
        <f>376.800681660478 * CHOOSE(CONTROL!$C$9, $C$13, 100%, $E$13) + CHOOSE(CONTROL!$C$28, 0, 0)</f>
        <v>376.80068166047801</v>
      </c>
    </row>
    <row r="668" spans="1:5" ht="15">
      <c r="A668" s="13">
        <v>61848</v>
      </c>
      <c r="B668" s="4">
        <f>69.3166 * CHOOSE(CONTROL!$C$9, $C$13, 100%, $E$13) + CHOOSE(CONTROL!$C$28, 0.0003, 0)</f>
        <v>69.31689999999999</v>
      </c>
      <c r="C668" s="4">
        <f>69.0041 * CHOOSE(CONTROL!$C$9, $C$13, 100%, $E$13) + CHOOSE(CONTROL!$C$28, 0.0003, 0)</f>
        <v>69.00439999999999</v>
      </c>
      <c r="D668" s="4">
        <f>68.0863 * CHOOSE(CONTROL!$C$9, $C$13, 100%, $E$13) + CHOOSE(CONTROL!$C$28, 0, 0)</f>
        <v>68.086299999999994</v>
      </c>
      <c r="E668" s="4">
        <f>392.170604620247 * CHOOSE(CONTROL!$C$9, $C$13, 100%, $E$13) + CHOOSE(CONTROL!$C$28, 0, 0)</f>
        <v>392.17060462024699</v>
      </c>
    </row>
    <row r="669" spans="1:5" ht="15">
      <c r="A669" s="13">
        <v>61879</v>
      </c>
      <c r="B669" s="4">
        <f>70.9315 * CHOOSE(CONTROL!$C$9, $C$13, 100%, $E$13) + CHOOSE(CONTROL!$C$28, 0.0181, 0)</f>
        <v>70.949600000000004</v>
      </c>
      <c r="C669" s="4">
        <f>70.619 * CHOOSE(CONTROL!$C$9, $C$13, 100%, $E$13) + CHOOSE(CONTROL!$C$28, 0.0181, 0)</f>
        <v>70.637100000000004</v>
      </c>
      <c r="D669" s="4">
        <f>67.3413 * CHOOSE(CONTROL!$C$9, $C$13, 100%, $E$13) + CHOOSE(CONTROL!$C$28, 0, 0)</f>
        <v>67.341300000000004</v>
      </c>
      <c r="E669" s="4">
        <f>401.561259183024 * CHOOSE(CONTROL!$C$9, $C$13, 100%, $E$13) + CHOOSE(CONTROL!$C$28, 0, 0)</f>
        <v>401.56125918302399</v>
      </c>
    </row>
    <row r="670" spans="1:5" ht="15">
      <c r="A670" s="13">
        <v>61909</v>
      </c>
      <c r="B670" s="4">
        <f>71.15 * CHOOSE(CONTROL!$C$9, $C$13, 100%, $E$13) + CHOOSE(CONTROL!$C$28, 0.0181, 0)</f>
        <v>71.16810000000001</v>
      </c>
      <c r="C670" s="4">
        <f>70.8375 * CHOOSE(CONTROL!$C$9, $C$13, 100%, $E$13) + CHOOSE(CONTROL!$C$28, 0.0181, 0)</f>
        <v>70.85560000000001</v>
      </c>
      <c r="D670" s="4">
        <f>67.9481 * CHOOSE(CONTROL!$C$9, $C$13, 100%, $E$13) + CHOOSE(CONTROL!$C$28, 0, 0)</f>
        <v>67.948099999999997</v>
      </c>
      <c r="E670" s="4">
        <f>402.831853717385 * CHOOSE(CONTROL!$C$9, $C$13, 100%, $E$13) + CHOOSE(CONTROL!$C$28, 0, 0)</f>
        <v>402.831853717385</v>
      </c>
    </row>
    <row r="671" spans="1:5" ht="15">
      <c r="A671" s="13">
        <v>61940</v>
      </c>
      <c r="B671" s="4">
        <f>71.128 * CHOOSE(CONTROL!$C$9, $C$13, 100%, $E$13) + CHOOSE(CONTROL!$C$28, 0.0181, 0)</f>
        <v>71.146100000000004</v>
      </c>
      <c r="C671" s="4">
        <f>70.8155 * CHOOSE(CONTROL!$C$9, $C$13, 100%, $E$13) + CHOOSE(CONTROL!$C$28, 0.0181, 0)</f>
        <v>70.833600000000004</v>
      </c>
      <c r="D671" s="4">
        <f>69.043 * CHOOSE(CONTROL!$C$9, $C$13, 100%, $E$13) + CHOOSE(CONTROL!$C$28, 0, 0)</f>
        <v>69.043000000000006</v>
      </c>
      <c r="E671" s="4">
        <f>402.703726537449 * CHOOSE(CONTROL!$C$9, $C$13, 100%, $E$13) + CHOOSE(CONTROL!$C$28, 0, 0)</f>
        <v>402.70372653744897</v>
      </c>
    </row>
    <row r="672" spans="1:5" ht="15">
      <c r="A672" s="13">
        <v>61971</v>
      </c>
      <c r="B672" s="4">
        <f>72.7861 * CHOOSE(CONTROL!$C$9, $C$13, 100%, $E$13) + CHOOSE(CONTROL!$C$28, 0.0181, 0)</f>
        <v>72.804200000000009</v>
      </c>
      <c r="C672" s="4">
        <f>72.4736 * CHOOSE(CONTROL!$C$9, $C$13, 100%, $E$13) + CHOOSE(CONTROL!$C$28, 0.0181, 0)</f>
        <v>72.491700000000009</v>
      </c>
      <c r="D672" s="4">
        <f>68.3199 * CHOOSE(CONTROL!$C$9, $C$13, 100%, $E$13) + CHOOSE(CONTROL!$C$28, 0, 0)</f>
        <v>68.319900000000004</v>
      </c>
      <c r="E672" s="4">
        <f>412.3452968276 * CHOOSE(CONTROL!$C$9, $C$13, 100%, $E$13) + CHOOSE(CONTROL!$C$28, 0, 0)</f>
        <v>412.34529682760001</v>
      </c>
    </row>
    <row r="673" spans="1:5" ht="15">
      <c r="A673" s="13">
        <v>62001</v>
      </c>
      <c r="B673" s="4">
        <f>69.9602 * CHOOSE(CONTROL!$C$9, $C$13, 100%, $E$13) + CHOOSE(CONTROL!$C$28, 0.0181, 0)</f>
        <v>69.978300000000004</v>
      </c>
      <c r="C673" s="4">
        <f>69.6477 * CHOOSE(CONTROL!$C$9, $C$13, 100%, $E$13) + CHOOSE(CONTROL!$C$28, 0.0181, 0)</f>
        <v>69.665800000000004</v>
      </c>
      <c r="D673" s="4">
        <f>67.9783 * CHOOSE(CONTROL!$C$9, $C$13, 100%, $E$13) + CHOOSE(CONTROL!$C$28, 0, 0)</f>
        <v>67.978300000000004</v>
      </c>
      <c r="E673" s="4">
        <f>395.912986000865 * CHOOSE(CONTROL!$C$9, $C$13, 100%, $E$13) + CHOOSE(CONTROL!$C$28, 0, 0)</f>
        <v>395.91298600086498</v>
      </c>
    </row>
    <row r="674" spans="1:5" ht="15">
      <c r="A674" s="13">
        <v>62032</v>
      </c>
      <c r="B674" s="4">
        <f>67.698 * CHOOSE(CONTROL!$C$9, $C$13, 100%, $E$13) + CHOOSE(CONTROL!$C$28, 0.0003, 0)</f>
        <v>67.698299999999989</v>
      </c>
      <c r="C674" s="4">
        <f>67.3855 * CHOOSE(CONTROL!$C$9, $C$13, 100%, $E$13) + CHOOSE(CONTROL!$C$28, 0.0003, 0)</f>
        <v>67.385799999999989</v>
      </c>
      <c r="D674" s="4">
        <f>67.0635 * CHOOSE(CONTROL!$C$9, $C$13, 100%, $E$13) + CHOOSE(CONTROL!$C$28, 0, 0)</f>
        <v>67.063500000000005</v>
      </c>
      <c r="E674" s="4">
        <f>382.758595527481 * CHOOSE(CONTROL!$C$9, $C$13, 100%, $E$13) + CHOOSE(CONTROL!$C$28, 0, 0)</f>
        <v>382.75859552748102</v>
      </c>
    </row>
    <row r="675" spans="1:5" ht="15">
      <c r="A675" s="13">
        <v>62062</v>
      </c>
      <c r="B675" s="4">
        <f>66.241 * CHOOSE(CONTROL!$C$9, $C$13, 100%, $E$13) + CHOOSE(CONTROL!$C$28, 0.0003, 0)</f>
        <v>66.241299999999995</v>
      </c>
      <c r="C675" s="4">
        <f>65.9285 * CHOOSE(CONTROL!$C$9, $C$13, 100%, $E$13) + CHOOSE(CONTROL!$C$28, 0.0003, 0)</f>
        <v>65.928799999999995</v>
      </c>
      <c r="D675" s="4">
        <f>66.749 * CHOOSE(CONTROL!$C$9, $C$13, 100%, $E$13) + CHOOSE(CONTROL!$C$28, 0, 0)</f>
        <v>66.748999999999995</v>
      </c>
      <c r="E675" s="4">
        <f>374.286185754242 * CHOOSE(CONTROL!$C$9, $C$13, 100%, $E$13) + CHOOSE(CONTROL!$C$28, 0, 0)</f>
        <v>374.28618575424201</v>
      </c>
    </row>
    <row r="676" spans="1:5" ht="15">
      <c r="A676" s="13">
        <v>62093</v>
      </c>
      <c r="B676" s="4">
        <f>65.233 * CHOOSE(CONTROL!$C$9, $C$13, 100%, $E$13) + CHOOSE(CONTROL!$C$28, 0.0003, 0)</f>
        <v>65.2333</v>
      </c>
      <c r="C676" s="4">
        <f>64.9205 * CHOOSE(CONTROL!$C$9, $C$13, 100%, $E$13) + CHOOSE(CONTROL!$C$28, 0.0003, 0)</f>
        <v>64.9208</v>
      </c>
      <c r="D676" s="4">
        <f>64.4337 * CHOOSE(CONTROL!$C$9, $C$13, 100%, $E$13) + CHOOSE(CONTROL!$C$28, 0, 0)</f>
        <v>64.433700000000002</v>
      </c>
      <c r="E676" s="4">
        <f>368.424367272191 * CHOOSE(CONTROL!$C$9, $C$13, 100%, $E$13) + CHOOSE(CONTROL!$C$28, 0, 0)</f>
        <v>368.42436727219098</v>
      </c>
    </row>
    <row r="677" spans="1:5" ht="15">
      <c r="A677" s="13">
        <v>62124</v>
      </c>
      <c r="B677" s="4">
        <f>63.5951 * CHOOSE(CONTROL!$C$9, $C$13, 100%, $E$13) + CHOOSE(CONTROL!$C$28, 0.0003, 0)</f>
        <v>63.595400000000005</v>
      </c>
      <c r="C677" s="4">
        <f>63.2826 * CHOOSE(CONTROL!$C$9, $C$13, 100%, $E$13) + CHOOSE(CONTROL!$C$28, 0.0003, 0)</f>
        <v>63.282900000000005</v>
      </c>
      <c r="D677" s="4">
        <f>62.3058 * CHOOSE(CONTROL!$C$9, $C$13, 100%, $E$13) + CHOOSE(CONTROL!$C$28, 0, 0)</f>
        <v>62.305799999999998</v>
      </c>
      <c r="E677" s="4">
        <f>357.859360372399 * CHOOSE(CONTROL!$C$9, $C$13, 100%, $E$13) + CHOOSE(CONTROL!$C$28, 0, 0)</f>
        <v>357.85936037239901</v>
      </c>
    </row>
    <row r="678" spans="1:5" ht="15">
      <c r="A678" s="13">
        <v>62152</v>
      </c>
      <c r="B678" s="4">
        <f>65.0606 * CHOOSE(CONTROL!$C$9, $C$13, 100%, $E$13) + CHOOSE(CONTROL!$C$28, 0.0003, 0)</f>
        <v>65.06089999999999</v>
      </c>
      <c r="C678" s="4">
        <f>64.7481 * CHOOSE(CONTROL!$C$9, $C$13, 100%, $E$13) + CHOOSE(CONTROL!$C$28, 0.0003, 0)</f>
        <v>64.74839999999999</v>
      </c>
      <c r="D678" s="4">
        <f>64.4486 * CHOOSE(CONTROL!$C$9, $C$13, 100%, $E$13) + CHOOSE(CONTROL!$C$28, 0, 0)</f>
        <v>64.448599999999999</v>
      </c>
      <c r="E678" s="4">
        <f>366.356351878971 * CHOOSE(CONTROL!$C$9, $C$13, 100%, $E$13) + CHOOSE(CONTROL!$C$28, 0, 0)</f>
        <v>366.356351878971</v>
      </c>
    </row>
    <row r="679" spans="1:5" ht="15">
      <c r="A679" s="13">
        <v>62183</v>
      </c>
      <c r="B679" s="4">
        <f>68.909 * CHOOSE(CONTROL!$C$9, $C$13, 100%, $E$13) + CHOOSE(CONTROL!$C$28, 0.0003, 0)</f>
        <v>68.909300000000002</v>
      </c>
      <c r="C679" s="4">
        <f>68.5965 * CHOOSE(CONTROL!$C$9, $C$13, 100%, $E$13) + CHOOSE(CONTROL!$C$28, 0.0003, 0)</f>
        <v>68.596800000000002</v>
      </c>
      <c r="D679" s="4">
        <f>67.8031 * CHOOSE(CONTROL!$C$9, $C$13, 100%, $E$13) + CHOOSE(CONTROL!$C$28, 0, 0)</f>
        <v>67.803100000000001</v>
      </c>
      <c r="E679" s="4">
        <f>388.669903132783 * CHOOSE(CONTROL!$C$9, $C$13, 100%, $E$13) + CHOOSE(CONTROL!$C$28, 0, 0)</f>
        <v>388.66990313278302</v>
      </c>
    </row>
    <row r="680" spans="1:5" ht="15">
      <c r="A680" s="13">
        <v>62213</v>
      </c>
      <c r="B680" s="4">
        <f>71.6434 * CHOOSE(CONTROL!$C$9, $C$13, 100%, $E$13) + CHOOSE(CONTROL!$C$28, 0.0003, 0)</f>
        <v>71.643699999999995</v>
      </c>
      <c r="C680" s="4">
        <f>71.3309 * CHOOSE(CONTROL!$C$9, $C$13, 100%, $E$13) + CHOOSE(CONTROL!$C$28, 0.0003, 0)</f>
        <v>71.331199999999995</v>
      </c>
      <c r="D680" s="4">
        <f>69.7354 * CHOOSE(CONTROL!$C$9, $C$13, 100%, $E$13) + CHOOSE(CONTROL!$C$28, 0, 0)</f>
        <v>69.735399999999998</v>
      </c>
      <c r="E680" s="4">
        <f>404.523978665785 * CHOOSE(CONTROL!$C$9, $C$13, 100%, $E$13) + CHOOSE(CONTROL!$C$28, 0, 0)</f>
        <v>404.52397866578502</v>
      </c>
    </row>
    <row r="681" spans="1:5" ht="15">
      <c r="A681" s="13">
        <v>62244</v>
      </c>
      <c r="B681" s="4">
        <f>73.314 * CHOOSE(CONTROL!$C$9, $C$13, 100%, $E$13) + CHOOSE(CONTROL!$C$28, 0.0181, 0)</f>
        <v>73.332099999999997</v>
      </c>
      <c r="C681" s="4">
        <f>73.0015 * CHOOSE(CONTROL!$C$9, $C$13, 100%, $E$13) + CHOOSE(CONTROL!$C$28, 0.0181, 0)</f>
        <v>73.019599999999997</v>
      </c>
      <c r="D681" s="4">
        <f>68.9719 * CHOOSE(CONTROL!$C$9, $C$13, 100%, $E$13) + CHOOSE(CONTROL!$C$28, 0, 0)</f>
        <v>68.971900000000005</v>
      </c>
      <c r="E681" s="4">
        <f>414.210438847289 * CHOOSE(CONTROL!$C$9, $C$13, 100%, $E$13) + CHOOSE(CONTROL!$C$28, 0, 0)</f>
        <v>414.21043884728903</v>
      </c>
    </row>
    <row r="682" spans="1:5" ht="15">
      <c r="A682" s="13">
        <v>62274</v>
      </c>
      <c r="B682" s="4">
        <f>73.54 * CHOOSE(CONTROL!$C$9, $C$13, 100%, $E$13) + CHOOSE(CONTROL!$C$28, 0.0181, 0)</f>
        <v>73.55810000000001</v>
      </c>
      <c r="C682" s="4">
        <f>73.2275 * CHOOSE(CONTROL!$C$9, $C$13, 100%, $E$13) + CHOOSE(CONTROL!$C$28, 0.0181, 0)</f>
        <v>73.24560000000001</v>
      </c>
      <c r="D682" s="4">
        <f>69.5937 * CHOOSE(CONTROL!$C$9, $C$13, 100%, $E$13) + CHOOSE(CONTROL!$C$28, 0, 0)</f>
        <v>69.593699999999998</v>
      </c>
      <c r="E682" s="4">
        <f>415.521057109482 * CHOOSE(CONTROL!$C$9, $C$13, 100%, $E$13) + CHOOSE(CONTROL!$C$28, 0, 0)</f>
        <v>415.521057109482</v>
      </c>
    </row>
    <row r="683" spans="1:5" ht="15">
      <c r="A683" s="13">
        <v>62305</v>
      </c>
      <c r="B683" s="4">
        <f>73.5172 * CHOOSE(CONTROL!$C$9, $C$13, 100%, $E$13) + CHOOSE(CONTROL!$C$28, 0.0181, 0)</f>
        <v>73.535300000000007</v>
      </c>
      <c r="C683" s="4">
        <f>73.2047 * CHOOSE(CONTROL!$C$9, $C$13, 100%, $E$13) + CHOOSE(CONTROL!$C$28, 0.0181, 0)</f>
        <v>73.222800000000007</v>
      </c>
      <c r="D683" s="4">
        <f>70.7158 * CHOOSE(CONTROL!$C$9, $C$13, 100%, $E$13) + CHOOSE(CONTROL!$C$28, 0, 0)</f>
        <v>70.715800000000002</v>
      </c>
      <c r="E683" s="4">
        <f>415.388893923379 * CHOOSE(CONTROL!$C$9, $C$13, 100%, $E$13) + CHOOSE(CONTROL!$C$28, 0, 0)</f>
        <v>415.38889392337899</v>
      </c>
    </row>
    <row r="684" spans="1:5" ht="15">
      <c r="A684" s="13">
        <v>62336</v>
      </c>
      <c r="B684" s="4">
        <f>75.2325 * CHOOSE(CONTROL!$C$9, $C$13, 100%, $E$13) + CHOOSE(CONTROL!$C$28, 0.0181, 0)</f>
        <v>75.250600000000006</v>
      </c>
      <c r="C684" s="4">
        <f>74.92 * CHOOSE(CONTROL!$C$9, $C$13, 100%, $E$13) + CHOOSE(CONTROL!$C$28, 0.0181, 0)</f>
        <v>74.938100000000006</v>
      </c>
      <c r="D684" s="4">
        <f>69.9748 * CHOOSE(CONTROL!$C$9, $C$13, 100%, $E$13) + CHOOSE(CONTROL!$C$28, 0, 0)</f>
        <v>69.974800000000002</v>
      </c>
      <c r="E684" s="4">
        <f>425.334173677669 * CHOOSE(CONTROL!$C$9, $C$13, 100%, $E$13) + CHOOSE(CONTROL!$C$28, 0, 0)</f>
        <v>425.33417367766901</v>
      </c>
    </row>
    <row r="685" spans="1:5" ht="15">
      <c r="A685" s="13">
        <v>62366</v>
      </c>
      <c r="B685" s="4">
        <f>72.3091 * CHOOSE(CONTROL!$C$9, $C$13, 100%, $E$13) + CHOOSE(CONTROL!$C$28, 0.0181, 0)</f>
        <v>72.327200000000005</v>
      </c>
      <c r="C685" s="4">
        <f>71.9966 * CHOOSE(CONTROL!$C$9, $C$13, 100%, $E$13) + CHOOSE(CONTROL!$C$28, 0.0181, 0)</f>
        <v>72.014700000000005</v>
      </c>
      <c r="D685" s="4">
        <f>69.6247 * CHOOSE(CONTROL!$C$9, $C$13, 100%, $E$13) + CHOOSE(CONTROL!$C$28, 0, 0)</f>
        <v>69.624700000000004</v>
      </c>
      <c r="E685" s="4">
        <f>408.384245059892 * CHOOSE(CONTROL!$C$9, $C$13, 100%, $E$13) + CHOOSE(CONTROL!$C$28, 0, 0)</f>
        <v>408.38424505989201</v>
      </c>
    </row>
    <row r="686" spans="1:5" ht="15">
      <c r="A686" s="13">
        <v>62397</v>
      </c>
      <c r="B686" s="4">
        <f>69.9689 * CHOOSE(CONTROL!$C$9, $C$13, 100%, $E$13) + CHOOSE(CONTROL!$C$28, 0.0003, 0)</f>
        <v>69.969200000000001</v>
      </c>
      <c r="C686" s="4">
        <f>69.6564 * CHOOSE(CONTROL!$C$9, $C$13, 100%, $E$13) + CHOOSE(CONTROL!$C$28, 0.0003, 0)</f>
        <v>69.656700000000001</v>
      </c>
      <c r="D686" s="4">
        <f>68.6872 * CHOOSE(CONTROL!$C$9, $C$13, 100%, $E$13) + CHOOSE(CONTROL!$C$28, 0, 0)</f>
        <v>68.687200000000004</v>
      </c>
      <c r="E686" s="4">
        <f>394.815491286597 * CHOOSE(CONTROL!$C$9, $C$13, 100%, $E$13) + CHOOSE(CONTROL!$C$28, 0, 0)</f>
        <v>394.81549128659702</v>
      </c>
    </row>
    <row r="687" spans="1:5" ht="15">
      <c r="A687" s="13">
        <v>62427</v>
      </c>
      <c r="B687" s="4">
        <f>68.4617 * CHOOSE(CONTROL!$C$9, $C$13, 100%, $E$13) + CHOOSE(CONTROL!$C$28, 0.0003, 0)</f>
        <v>68.461999999999989</v>
      </c>
      <c r="C687" s="4">
        <f>68.1492 * CHOOSE(CONTROL!$C$9, $C$13, 100%, $E$13) + CHOOSE(CONTROL!$C$28, 0.0003, 0)</f>
        <v>68.149499999999989</v>
      </c>
      <c r="D687" s="4">
        <f>68.365 * CHOOSE(CONTROL!$C$9, $C$13, 100%, $E$13) + CHOOSE(CONTROL!$C$28, 0, 0)</f>
        <v>68.364999999999995</v>
      </c>
      <c r="E687" s="4">
        <f>386.076200605501 * CHOOSE(CONTROL!$C$9, $C$13, 100%, $E$13) + CHOOSE(CONTROL!$C$28, 0, 0)</f>
        <v>386.07620060550101</v>
      </c>
    </row>
    <row r="688" spans="1:5" ht="15">
      <c r="A688" s="13">
        <v>62458</v>
      </c>
      <c r="B688" s="4">
        <f>67.4188 * CHOOSE(CONTROL!$C$9, $C$13, 100%, $E$13) + CHOOSE(CONTROL!$C$28, 0.0003, 0)</f>
        <v>67.4191</v>
      </c>
      <c r="C688" s="4">
        <f>67.1063 * CHOOSE(CONTROL!$C$9, $C$13, 100%, $E$13) + CHOOSE(CONTROL!$C$28, 0.0003, 0)</f>
        <v>67.1066</v>
      </c>
      <c r="D688" s="4">
        <f>65.9922 * CHOOSE(CONTROL!$C$9, $C$13, 100%, $E$13) + CHOOSE(CONTROL!$C$28, 0, 0)</f>
        <v>65.992199999999997</v>
      </c>
      <c r="E688" s="4">
        <f>380.029734841265 * CHOOSE(CONTROL!$C$9, $C$13, 100%, $E$13) + CHOOSE(CONTROL!$C$28, 0, 0)</f>
        <v>380.029734841265</v>
      </c>
    </row>
    <row r="689" spans="1:5" ht="15">
      <c r="A689" s="13">
        <v>62489</v>
      </c>
      <c r="B689" s="4">
        <f>65.7244 * CHOOSE(CONTROL!$C$9, $C$13, 100%, $E$13) + CHOOSE(CONTROL!$C$28, 0.0003, 0)</f>
        <v>65.724699999999999</v>
      </c>
      <c r="C689" s="4">
        <f>65.4119 * CHOOSE(CONTROL!$C$9, $C$13, 100%, $E$13) + CHOOSE(CONTROL!$C$28, 0.0003, 0)</f>
        <v>65.412199999999999</v>
      </c>
      <c r="D689" s="4">
        <f>63.8115 * CHOOSE(CONTROL!$C$9, $C$13, 100%, $E$13) + CHOOSE(CONTROL!$C$28, 0, 0)</f>
        <v>63.811500000000002</v>
      </c>
      <c r="E689" s="4">
        <f>369.131930224129 * CHOOSE(CONTROL!$C$9, $C$13, 100%, $E$13) + CHOOSE(CONTROL!$C$28, 0, 0)</f>
        <v>369.13193022412901</v>
      </c>
    </row>
    <row r="690" spans="1:5" ht="15">
      <c r="A690" s="13">
        <v>62517</v>
      </c>
      <c r="B690" s="4">
        <f>67.2405 * CHOOSE(CONTROL!$C$9, $C$13, 100%, $E$13) + CHOOSE(CONTROL!$C$28, 0.0003, 0)</f>
        <v>67.240799999999993</v>
      </c>
      <c r="C690" s="4">
        <f>66.928 * CHOOSE(CONTROL!$C$9, $C$13, 100%, $E$13) + CHOOSE(CONTROL!$C$28, 0.0003, 0)</f>
        <v>66.928299999999993</v>
      </c>
      <c r="D690" s="4">
        <f>66.0075 * CHOOSE(CONTROL!$C$9, $C$13, 100%, $E$13) + CHOOSE(CONTROL!$C$28, 0, 0)</f>
        <v>66.007499999999993</v>
      </c>
      <c r="E690" s="4">
        <f>377.896576963159 * CHOOSE(CONTROL!$C$9, $C$13, 100%, $E$13) + CHOOSE(CONTROL!$C$28, 0, 0)</f>
        <v>377.89657696315902</v>
      </c>
    </row>
    <row r="691" spans="1:5" ht="15">
      <c r="A691" s="13">
        <v>62548</v>
      </c>
      <c r="B691" s="4">
        <f>71.2217 * CHOOSE(CONTROL!$C$9, $C$13, 100%, $E$13) + CHOOSE(CONTROL!$C$28, 0.0003, 0)</f>
        <v>71.221999999999994</v>
      </c>
      <c r="C691" s="4">
        <f>70.9092 * CHOOSE(CONTROL!$C$9, $C$13, 100%, $E$13) + CHOOSE(CONTROL!$C$28, 0.0003, 0)</f>
        <v>70.909499999999994</v>
      </c>
      <c r="D691" s="4">
        <f>69.4452 * CHOOSE(CONTROL!$C$9, $C$13, 100%, $E$13) + CHOOSE(CONTROL!$C$28, 0, 0)</f>
        <v>69.4452</v>
      </c>
      <c r="E691" s="4">
        <f>400.913005081466 * CHOOSE(CONTROL!$C$9, $C$13, 100%, $E$13) + CHOOSE(CONTROL!$C$28, 0, 0)</f>
        <v>400.913005081466</v>
      </c>
    </row>
    <row r="692" spans="1:5" ht="15">
      <c r="A692" s="13">
        <v>62578</v>
      </c>
      <c r="B692" s="4">
        <f>74.0504 * CHOOSE(CONTROL!$C$9, $C$13, 100%, $E$13) + CHOOSE(CONTROL!$C$28, 0.0003, 0)</f>
        <v>74.050699999999992</v>
      </c>
      <c r="C692" s="4">
        <f>73.7379 * CHOOSE(CONTROL!$C$9, $C$13, 100%, $E$13) + CHOOSE(CONTROL!$C$28, 0.0003, 0)</f>
        <v>73.738199999999992</v>
      </c>
      <c r="D692" s="4">
        <f>71.4254 * CHOOSE(CONTROL!$C$9, $C$13, 100%, $E$13) + CHOOSE(CONTROL!$C$28, 0, 0)</f>
        <v>71.425399999999996</v>
      </c>
      <c r="E692" s="4">
        <f>417.266483993757 * CHOOSE(CONTROL!$C$9, $C$13, 100%, $E$13) + CHOOSE(CONTROL!$C$28, 0, 0)</f>
        <v>417.26648399375699</v>
      </c>
    </row>
    <row r="693" spans="1:5" ht="15">
      <c r="A693" s="13">
        <v>62609</v>
      </c>
      <c r="B693" s="4">
        <f>75.7786 * CHOOSE(CONTROL!$C$9, $C$13, 100%, $E$13) + CHOOSE(CONTROL!$C$28, 0.0181, 0)</f>
        <v>75.796700000000001</v>
      </c>
      <c r="C693" s="4">
        <f>75.4661 * CHOOSE(CONTROL!$C$9, $C$13, 100%, $E$13) + CHOOSE(CONTROL!$C$28, 0.0181, 0)</f>
        <v>75.484200000000001</v>
      </c>
      <c r="D693" s="4">
        <f>70.6429 * CHOOSE(CONTROL!$C$9, $C$13, 100%, $E$13) + CHOOSE(CONTROL!$C$28, 0, 0)</f>
        <v>70.642899999999997</v>
      </c>
      <c r="E693" s="4">
        <f>427.258067670979 * CHOOSE(CONTROL!$C$9, $C$13, 100%, $E$13) + CHOOSE(CONTROL!$C$28, 0, 0)</f>
        <v>427.25806767097902</v>
      </c>
    </row>
    <row r="694" spans="1:5" ht="15">
      <c r="A694" s="13">
        <v>62639</v>
      </c>
      <c r="B694" s="4">
        <f>76.0125 * CHOOSE(CONTROL!$C$9, $C$13, 100%, $E$13) + CHOOSE(CONTROL!$C$28, 0.0181, 0)</f>
        <v>76.030600000000007</v>
      </c>
      <c r="C694" s="4">
        <f>75.7 * CHOOSE(CONTROL!$C$9, $C$13, 100%, $E$13) + CHOOSE(CONTROL!$C$28, 0.0181, 0)</f>
        <v>75.718100000000007</v>
      </c>
      <c r="D694" s="4">
        <f>71.2802 * CHOOSE(CONTROL!$C$9, $C$13, 100%, $E$13) + CHOOSE(CONTROL!$C$28, 0, 0)</f>
        <v>71.280199999999994</v>
      </c>
      <c r="E694" s="4">
        <f>428.609970408431 * CHOOSE(CONTROL!$C$9, $C$13, 100%, $E$13) + CHOOSE(CONTROL!$C$28, 0, 0)</f>
        <v>428.60997040843102</v>
      </c>
    </row>
    <row r="695" spans="1:5" ht="15">
      <c r="A695" s="13">
        <v>62670</v>
      </c>
      <c r="B695" s="4">
        <f>75.9889 * CHOOSE(CONTROL!$C$9, $C$13, 100%, $E$13) + CHOOSE(CONTROL!$C$28, 0.0181, 0)</f>
        <v>76.007000000000005</v>
      </c>
      <c r="C695" s="4">
        <f>75.6764 * CHOOSE(CONTROL!$C$9, $C$13, 100%, $E$13) + CHOOSE(CONTROL!$C$28, 0.0181, 0)</f>
        <v>75.694500000000005</v>
      </c>
      <c r="D695" s="4">
        <f>72.4301 * CHOOSE(CONTROL!$C$9, $C$13, 100%, $E$13) + CHOOSE(CONTROL!$C$28, 0, 0)</f>
        <v>72.430099999999996</v>
      </c>
      <c r="E695" s="4">
        <f>428.473644081965 * CHOOSE(CONTROL!$C$9, $C$13, 100%, $E$13) + CHOOSE(CONTROL!$C$28, 0, 0)</f>
        <v>428.47364408196501</v>
      </c>
    </row>
    <row r="696" spans="1:5" ht="15">
      <c r="A696" s="13">
        <v>62701</v>
      </c>
      <c r="B696" s="4">
        <f>77.7633 * CHOOSE(CONTROL!$C$9, $C$13, 100%, $E$13) + CHOOSE(CONTROL!$C$28, 0.0181, 0)</f>
        <v>77.781400000000005</v>
      </c>
      <c r="C696" s="4">
        <f>77.4508 * CHOOSE(CONTROL!$C$9, $C$13, 100%, $E$13) + CHOOSE(CONTROL!$C$28, 0.0181, 0)</f>
        <v>77.468900000000005</v>
      </c>
      <c r="D696" s="4">
        <f>71.6707 * CHOOSE(CONTROL!$C$9, $C$13, 100%, $E$13) + CHOOSE(CONTROL!$C$28, 0, 0)</f>
        <v>71.670699999999997</v>
      </c>
      <c r="E696" s="4">
        <f>438.732200148516 * CHOOSE(CONTROL!$C$9, $C$13, 100%, $E$13) + CHOOSE(CONTROL!$C$28, 0, 0)</f>
        <v>438.73220014851597</v>
      </c>
    </row>
    <row r="697" spans="1:5" ht="15">
      <c r="A697" s="13">
        <v>62731</v>
      </c>
      <c r="B697" s="4">
        <f>74.7391 * CHOOSE(CONTROL!$C$9, $C$13, 100%, $E$13) + CHOOSE(CONTROL!$C$28, 0.0181, 0)</f>
        <v>74.757199999999997</v>
      </c>
      <c r="C697" s="4">
        <f>74.4266 * CHOOSE(CONTROL!$C$9, $C$13, 100%, $E$13) + CHOOSE(CONTROL!$C$28, 0.0181, 0)</f>
        <v>74.444699999999997</v>
      </c>
      <c r="D697" s="4">
        <f>71.3119 * CHOOSE(CONTROL!$C$9, $C$13, 100%, $E$13) + CHOOSE(CONTROL!$C$28, 0, 0)</f>
        <v>71.311899999999994</v>
      </c>
      <c r="E697" s="4">
        <f>421.248348779279 * CHOOSE(CONTROL!$C$9, $C$13, 100%, $E$13) + CHOOSE(CONTROL!$C$28, 0, 0)</f>
        <v>421.24834877927901</v>
      </c>
    </row>
    <row r="698" spans="1:5" ht="15">
      <c r="A698" s="13">
        <v>62762</v>
      </c>
      <c r="B698" s="4">
        <f>72.3182 * CHOOSE(CONTROL!$C$9, $C$13, 100%, $E$13) + CHOOSE(CONTROL!$C$28, 0.0003, 0)</f>
        <v>72.3185</v>
      </c>
      <c r="C698" s="4">
        <f>72.0057 * CHOOSE(CONTROL!$C$9, $C$13, 100%, $E$13) + CHOOSE(CONTROL!$C$28, 0.0003, 0)</f>
        <v>72.006</v>
      </c>
      <c r="D698" s="4">
        <f>70.3512 * CHOOSE(CONTROL!$C$9, $C$13, 100%, $E$13) + CHOOSE(CONTROL!$C$28, 0, 0)</f>
        <v>70.351200000000006</v>
      </c>
      <c r="E698" s="4">
        <f>407.252179262125 * CHOOSE(CONTROL!$C$9, $C$13, 100%, $E$13) + CHOOSE(CONTROL!$C$28, 0, 0)</f>
        <v>407.25217926212503</v>
      </c>
    </row>
    <row r="699" spans="1:5" ht="15">
      <c r="A699" s="13">
        <v>62792</v>
      </c>
      <c r="B699" s="4">
        <f>70.7589 * CHOOSE(CONTROL!$C$9, $C$13, 100%, $E$13) + CHOOSE(CONTROL!$C$28, 0.0003, 0)</f>
        <v>70.759199999999993</v>
      </c>
      <c r="C699" s="4">
        <f>70.4464 * CHOOSE(CONTROL!$C$9, $C$13, 100%, $E$13) + CHOOSE(CONTROL!$C$28, 0.0003, 0)</f>
        <v>70.446699999999993</v>
      </c>
      <c r="D699" s="4">
        <f>70.0209 * CHOOSE(CONTROL!$C$9, $C$13, 100%, $E$13) + CHOOSE(CONTROL!$C$28, 0, 0)</f>
        <v>70.020899999999997</v>
      </c>
      <c r="E699" s="4">
        <f>398.237600924574 * CHOOSE(CONTROL!$C$9, $C$13, 100%, $E$13) + CHOOSE(CONTROL!$C$28, 0, 0)</f>
        <v>398.237600924574</v>
      </c>
    </row>
    <row r="700" spans="1:5" ht="15">
      <c r="A700" s="13">
        <v>62823</v>
      </c>
      <c r="B700" s="4">
        <f>69.6801 * CHOOSE(CONTROL!$C$9, $C$13, 100%, $E$13) + CHOOSE(CONTROL!$C$28, 0.0003, 0)</f>
        <v>69.680399999999992</v>
      </c>
      <c r="C700" s="4">
        <f>69.3676 * CHOOSE(CONTROL!$C$9, $C$13, 100%, $E$13) + CHOOSE(CONTROL!$C$28, 0.0003, 0)</f>
        <v>69.367899999999992</v>
      </c>
      <c r="D700" s="4">
        <f>67.5894 * CHOOSE(CONTROL!$C$9, $C$13, 100%, $E$13) + CHOOSE(CONTROL!$C$28, 0, 0)</f>
        <v>67.589399999999998</v>
      </c>
      <c r="E700" s="4">
        <f>392.000671488765 * CHOOSE(CONTROL!$C$9, $C$13, 100%, $E$13) + CHOOSE(CONTROL!$C$28, 0, 0)</f>
        <v>392.00067148876502</v>
      </c>
    </row>
    <row r="701" spans="1:5" ht="15">
      <c r="A701" s="13">
        <v>62854</v>
      </c>
      <c r="B701" s="4">
        <f>67.9273 * CHOOSE(CONTROL!$C$9, $C$13, 100%, $E$13) + CHOOSE(CONTROL!$C$28, 0.0003, 0)</f>
        <v>67.927599999999998</v>
      </c>
      <c r="C701" s="4">
        <f>67.6148 * CHOOSE(CONTROL!$C$9, $C$13, 100%, $E$13) + CHOOSE(CONTROL!$C$28, 0.0003, 0)</f>
        <v>67.615099999999998</v>
      </c>
      <c r="D701" s="4">
        <f>65.3546 * CHOOSE(CONTROL!$C$9, $C$13, 100%, $E$13) + CHOOSE(CONTROL!$C$28, 0, 0)</f>
        <v>65.354600000000005</v>
      </c>
      <c r="E701" s="4">
        <f>380.759586026189 * CHOOSE(CONTROL!$C$9, $C$13, 100%, $E$13) + CHOOSE(CONTROL!$C$28, 0, 0)</f>
        <v>380.75958602618903</v>
      </c>
    </row>
    <row r="702" spans="1:5" ht="15">
      <c r="A702" s="13">
        <v>62883</v>
      </c>
      <c r="B702" s="4">
        <f>69.4956 * CHOOSE(CONTROL!$C$9, $C$13, 100%, $E$13) + CHOOSE(CONTROL!$C$28, 0.0003, 0)</f>
        <v>69.495899999999992</v>
      </c>
      <c r="C702" s="4">
        <f>69.1831 * CHOOSE(CONTROL!$C$9, $C$13, 100%, $E$13) + CHOOSE(CONTROL!$C$28, 0.0003, 0)</f>
        <v>69.183399999999992</v>
      </c>
      <c r="D702" s="4">
        <f>67.605 * CHOOSE(CONTROL!$C$9, $C$13, 100%, $E$13) + CHOOSE(CONTROL!$C$28, 0, 0)</f>
        <v>67.605000000000004</v>
      </c>
      <c r="E702" s="4">
        <f>389.800319137498 * CHOOSE(CONTROL!$C$9, $C$13, 100%, $E$13) + CHOOSE(CONTROL!$C$28, 0, 0)</f>
        <v>389.80031913749798</v>
      </c>
    </row>
    <row r="703" spans="1:5" ht="15">
      <c r="A703" s="13">
        <v>62914</v>
      </c>
      <c r="B703" s="4">
        <f>73.6141 * CHOOSE(CONTROL!$C$9, $C$13, 100%, $E$13) + CHOOSE(CONTROL!$C$28, 0.0003, 0)</f>
        <v>73.614399999999989</v>
      </c>
      <c r="C703" s="4">
        <f>73.3016 * CHOOSE(CONTROL!$C$9, $C$13, 100%, $E$13) + CHOOSE(CONTROL!$C$28, 0.0003, 0)</f>
        <v>73.301899999999989</v>
      </c>
      <c r="D703" s="4">
        <f>71.128 * CHOOSE(CONTROL!$C$9, $C$13, 100%, $E$13) + CHOOSE(CONTROL!$C$28, 0, 0)</f>
        <v>71.128</v>
      </c>
      <c r="E703" s="4">
        <f>413.541764741532 * CHOOSE(CONTROL!$C$9, $C$13, 100%, $E$13) + CHOOSE(CONTROL!$C$28, 0, 0)</f>
        <v>413.54176474153201</v>
      </c>
    </row>
    <row r="704" spans="1:5" ht="15">
      <c r="A704" s="13">
        <v>62944</v>
      </c>
      <c r="B704" s="4">
        <f>76.5404 * CHOOSE(CONTROL!$C$9, $C$13, 100%, $E$13) + CHOOSE(CONTROL!$C$28, 0.0003, 0)</f>
        <v>76.540700000000001</v>
      </c>
      <c r="C704" s="4">
        <f>76.2279 * CHOOSE(CONTROL!$C$9, $C$13, 100%, $E$13) + CHOOSE(CONTROL!$C$28, 0.0003, 0)</f>
        <v>76.228200000000001</v>
      </c>
      <c r="D704" s="4">
        <f>73.1573 * CHOOSE(CONTROL!$C$9, $C$13, 100%, $E$13) + CHOOSE(CONTROL!$C$28, 0, 0)</f>
        <v>73.157300000000006</v>
      </c>
      <c r="E704" s="4">
        <f>430.410378239561 * CHOOSE(CONTROL!$C$9, $C$13, 100%, $E$13) + CHOOSE(CONTROL!$C$28, 0, 0)</f>
        <v>430.410378239561</v>
      </c>
    </row>
    <row r="705" spans="1:5" ht="15">
      <c r="A705" s="13">
        <v>62975</v>
      </c>
      <c r="B705" s="4">
        <f>78.3283 * CHOOSE(CONTROL!$C$9, $C$13, 100%, $E$13) + CHOOSE(CONTROL!$C$28, 0.0181, 0)</f>
        <v>78.346400000000003</v>
      </c>
      <c r="C705" s="4">
        <f>78.0158 * CHOOSE(CONTROL!$C$9, $C$13, 100%, $E$13) + CHOOSE(CONTROL!$C$28, 0.0181, 0)</f>
        <v>78.033900000000003</v>
      </c>
      <c r="D705" s="4">
        <f>72.3554 * CHOOSE(CONTROL!$C$9, $C$13, 100%, $E$13) + CHOOSE(CONTROL!$C$28, 0, 0)</f>
        <v>72.355400000000003</v>
      </c>
      <c r="E705" s="4">
        <f>440.716696802615 * CHOOSE(CONTROL!$C$9, $C$13, 100%, $E$13) + CHOOSE(CONTROL!$C$28, 0, 0)</f>
        <v>440.71669680261499</v>
      </c>
    </row>
    <row r="706" spans="1:5" ht="15">
      <c r="A706" s="13">
        <v>63005</v>
      </c>
      <c r="B706" s="4">
        <f>78.5702 * CHOOSE(CONTROL!$C$9, $C$13, 100%, $E$13) + CHOOSE(CONTROL!$C$28, 0.0181, 0)</f>
        <v>78.588300000000004</v>
      </c>
      <c r="C706" s="4">
        <f>78.2577 * CHOOSE(CONTROL!$C$9, $C$13, 100%, $E$13) + CHOOSE(CONTROL!$C$28, 0.0181, 0)</f>
        <v>78.275800000000004</v>
      </c>
      <c r="D706" s="4">
        <f>73.0085 * CHOOSE(CONTROL!$C$9, $C$13, 100%, $E$13) + CHOOSE(CONTROL!$C$28, 0, 0)</f>
        <v>73.008499999999998</v>
      </c>
      <c r="E706" s="4">
        <f>442.111184476297 * CHOOSE(CONTROL!$C$9, $C$13, 100%, $E$13) + CHOOSE(CONTROL!$C$28, 0, 0)</f>
        <v>442.11118447629701</v>
      </c>
    </row>
    <row r="707" spans="1:5" ht="15">
      <c r="A707" s="13">
        <v>63036</v>
      </c>
      <c r="B707" s="4">
        <f>78.5458 * CHOOSE(CONTROL!$C$9, $C$13, 100%, $E$13) + CHOOSE(CONTROL!$C$28, 0.0181, 0)</f>
        <v>78.563900000000004</v>
      </c>
      <c r="C707" s="4">
        <f>78.2333 * CHOOSE(CONTROL!$C$9, $C$13, 100%, $E$13) + CHOOSE(CONTROL!$C$28, 0.0181, 0)</f>
        <v>78.251400000000004</v>
      </c>
      <c r="D707" s="4">
        <f>74.1869 * CHOOSE(CONTROL!$C$9, $C$13, 100%, $E$13) + CHOOSE(CONTROL!$C$28, 0, 0)</f>
        <v>74.186899999999994</v>
      </c>
      <c r="E707" s="4">
        <f>441.970563870547 * CHOOSE(CONTROL!$C$9, $C$13, 100%, $E$13) + CHOOSE(CONTROL!$C$28, 0, 0)</f>
        <v>441.97056387054698</v>
      </c>
    </row>
    <row r="708" spans="1:5" ht="15">
      <c r="A708" s="13">
        <v>63067</v>
      </c>
      <c r="B708" s="4">
        <f>80.3815 * CHOOSE(CONTROL!$C$9, $C$13, 100%, $E$13) + CHOOSE(CONTROL!$C$28, 0.0181, 0)</f>
        <v>80.399600000000007</v>
      </c>
      <c r="C708" s="4">
        <f>80.069 * CHOOSE(CONTROL!$C$9, $C$13, 100%, $E$13) + CHOOSE(CONTROL!$C$28, 0.0181, 0)</f>
        <v>80.087100000000007</v>
      </c>
      <c r="D708" s="4">
        <f>73.4087 * CHOOSE(CONTROL!$C$9, $C$13, 100%, $E$13) + CHOOSE(CONTROL!$C$28, 0, 0)</f>
        <v>73.408699999999996</v>
      </c>
      <c r="E708" s="4">
        <f>452.552264453194 * CHOOSE(CONTROL!$C$9, $C$13, 100%, $E$13) + CHOOSE(CONTROL!$C$28, 0, 0)</f>
        <v>452.55226445319403</v>
      </c>
    </row>
    <row r="709" spans="1:5" ht="15">
      <c r="A709" s="13">
        <v>63097</v>
      </c>
      <c r="B709" s="4">
        <f>77.2529 * CHOOSE(CONTROL!$C$9, $C$13, 100%, $E$13) + CHOOSE(CONTROL!$C$28, 0.0181, 0)</f>
        <v>77.271000000000001</v>
      </c>
      <c r="C709" s="4">
        <f>76.9404 * CHOOSE(CONTROL!$C$9, $C$13, 100%, $E$13) + CHOOSE(CONTROL!$C$28, 0.0181, 0)</f>
        <v>76.958500000000001</v>
      </c>
      <c r="D709" s="4">
        <f>73.041 * CHOOSE(CONTROL!$C$9, $C$13, 100%, $E$13) + CHOOSE(CONTROL!$C$28, 0, 0)</f>
        <v>73.040999999999997</v>
      </c>
      <c r="E709" s="4">
        <f>434.517671765826 * CHOOSE(CONTROL!$C$9, $C$13, 100%, $E$13) + CHOOSE(CONTROL!$C$28, 0, 0)</f>
        <v>434.51767176582598</v>
      </c>
    </row>
    <row r="710" spans="1:5" ht="15">
      <c r="A710" s="13">
        <v>63128</v>
      </c>
      <c r="B710" s="4">
        <f>74.7485 * CHOOSE(CONTROL!$C$9, $C$13, 100%, $E$13) + CHOOSE(CONTROL!$C$28, 0.0003, 0)</f>
        <v>74.748800000000003</v>
      </c>
      <c r="C710" s="4">
        <f>74.436 * CHOOSE(CONTROL!$C$9, $C$13, 100%, $E$13) + CHOOSE(CONTROL!$C$28, 0.0003, 0)</f>
        <v>74.436300000000003</v>
      </c>
      <c r="D710" s="4">
        <f>72.0565 * CHOOSE(CONTROL!$C$9, $C$13, 100%, $E$13) + CHOOSE(CONTROL!$C$28, 0, 0)</f>
        <v>72.0565</v>
      </c>
      <c r="E710" s="4">
        <f>420.080622908882 * CHOOSE(CONTROL!$C$9, $C$13, 100%, $E$13) + CHOOSE(CONTROL!$C$28, 0, 0)</f>
        <v>420.08062290888199</v>
      </c>
    </row>
    <row r="711" spans="1:5" ht="15">
      <c r="A711" s="13">
        <v>63158</v>
      </c>
      <c r="B711" s="4">
        <f>73.1354 * CHOOSE(CONTROL!$C$9, $C$13, 100%, $E$13) + CHOOSE(CONTROL!$C$28, 0.0003, 0)</f>
        <v>73.1357</v>
      </c>
      <c r="C711" s="4">
        <f>72.8229 * CHOOSE(CONTROL!$C$9, $C$13, 100%, $E$13) + CHOOSE(CONTROL!$C$28, 0.0003, 0)</f>
        <v>72.8232</v>
      </c>
      <c r="D711" s="4">
        <f>71.718 * CHOOSE(CONTROL!$C$9, $C$13, 100%, $E$13) + CHOOSE(CONTROL!$C$28, 0, 0)</f>
        <v>71.718000000000004</v>
      </c>
      <c r="E711" s="4">
        <f>410.782085353699 * CHOOSE(CONTROL!$C$9, $C$13, 100%, $E$13) + CHOOSE(CONTROL!$C$28, 0, 0)</f>
        <v>410.78208535369902</v>
      </c>
    </row>
    <row r="712" spans="1:5" ht="15">
      <c r="A712" s="13">
        <v>63189</v>
      </c>
      <c r="B712" s="4">
        <f>72.0194 * CHOOSE(CONTROL!$C$9, $C$13, 100%, $E$13) + CHOOSE(CONTROL!$C$28, 0.0003, 0)</f>
        <v>72.0197</v>
      </c>
      <c r="C712" s="4">
        <f>71.7069 * CHOOSE(CONTROL!$C$9, $C$13, 100%, $E$13) + CHOOSE(CONTROL!$C$28, 0.0003, 0)</f>
        <v>71.7072</v>
      </c>
      <c r="D712" s="4">
        <f>69.2262 * CHOOSE(CONTROL!$C$9, $C$13, 100%, $E$13) + CHOOSE(CONTROL!$C$28, 0, 0)</f>
        <v>69.226200000000006</v>
      </c>
      <c r="E712" s="4">
        <f>404.348692640661 * CHOOSE(CONTROL!$C$9, $C$13, 100%, $E$13) + CHOOSE(CONTROL!$C$28, 0, 0)</f>
        <v>404.348692640661</v>
      </c>
    </row>
    <row r="713" spans="1:5" ht="15">
      <c r="A713" s="13">
        <v>63220</v>
      </c>
      <c r="B713" s="4">
        <f>70.2061 * CHOOSE(CONTROL!$C$9, $C$13, 100%, $E$13) + CHOOSE(CONTROL!$C$28, 0.0003, 0)</f>
        <v>70.206400000000002</v>
      </c>
      <c r="C713" s="4">
        <f>69.8936 * CHOOSE(CONTROL!$C$9, $C$13, 100%, $E$13) + CHOOSE(CONTROL!$C$28, 0.0003, 0)</f>
        <v>69.893900000000002</v>
      </c>
      <c r="D713" s="4">
        <f>66.9359 * CHOOSE(CONTROL!$C$9, $C$13, 100%, $E$13) + CHOOSE(CONTROL!$C$28, 0, 0)</f>
        <v>66.935900000000004</v>
      </c>
      <c r="E713" s="4">
        <f>392.753512986014 * CHOOSE(CONTROL!$C$9, $C$13, 100%, $E$13) + CHOOSE(CONTROL!$C$28, 0, 0)</f>
        <v>392.75351298601402</v>
      </c>
    </row>
    <row r="714" spans="1:5" ht="15">
      <c r="A714" s="13">
        <v>63248</v>
      </c>
      <c r="B714" s="4">
        <f>71.8285 * CHOOSE(CONTROL!$C$9, $C$13, 100%, $E$13) + CHOOSE(CONTROL!$C$28, 0.0003, 0)</f>
        <v>71.828800000000001</v>
      </c>
      <c r="C714" s="4">
        <f>71.516 * CHOOSE(CONTROL!$C$9, $C$13, 100%, $E$13) + CHOOSE(CONTROL!$C$28, 0.0003, 0)</f>
        <v>71.516300000000001</v>
      </c>
      <c r="D714" s="4">
        <f>69.2422 * CHOOSE(CONTROL!$C$9, $C$13, 100%, $E$13) + CHOOSE(CONTROL!$C$28, 0, 0)</f>
        <v>69.242199999999997</v>
      </c>
      <c r="E714" s="4">
        <f>402.079029190329 * CHOOSE(CONTROL!$C$9, $C$13, 100%, $E$13) + CHOOSE(CONTROL!$C$28, 0, 0)</f>
        <v>402.07902919032898</v>
      </c>
    </row>
    <row r="715" spans="1:5" ht="15">
      <c r="A715" s="13">
        <v>63279</v>
      </c>
      <c r="B715" s="4">
        <f>76.0891 * CHOOSE(CONTROL!$C$9, $C$13, 100%, $E$13) + CHOOSE(CONTROL!$C$28, 0.0003, 0)</f>
        <v>76.089399999999998</v>
      </c>
      <c r="C715" s="4">
        <f>75.7766 * CHOOSE(CONTROL!$C$9, $C$13, 100%, $E$13) + CHOOSE(CONTROL!$C$28, 0.0003, 0)</f>
        <v>75.776899999999998</v>
      </c>
      <c r="D715" s="4">
        <f>72.8525 * CHOOSE(CONTROL!$C$9, $C$13, 100%, $E$13) + CHOOSE(CONTROL!$C$28, 0, 0)</f>
        <v>72.852500000000006</v>
      </c>
      <c r="E715" s="4">
        <f>426.56833033089 * CHOOSE(CONTROL!$C$9, $C$13, 100%, $E$13) + CHOOSE(CONTROL!$C$28, 0, 0)</f>
        <v>426.56833033088998</v>
      </c>
    </row>
    <row r="716" spans="1:5" ht="15">
      <c r="A716" s="13">
        <v>63309</v>
      </c>
      <c r="B716" s="4">
        <f>79.1164 * CHOOSE(CONTROL!$C$9, $C$13, 100%, $E$13) + CHOOSE(CONTROL!$C$28, 0.0003, 0)</f>
        <v>79.116699999999994</v>
      </c>
      <c r="C716" s="4">
        <f>78.8039 * CHOOSE(CONTROL!$C$9, $C$13, 100%, $E$13) + CHOOSE(CONTROL!$C$28, 0.0003, 0)</f>
        <v>78.804199999999994</v>
      </c>
      <c r="D716" s="4">
        <f>74.9322 * CHOOSE(CONTROL!$C$9, $C$13, 100%, $E$13) + CHOOSE(CONTROL!$C$28, 0, 0)</f>
        <v>74.932199999999995</v>
      </c>
      <c r="E716" s="4">
        <f>443.968305154107 * CHOOSE(CONTROL!$C$9, $C$13, 100%, $E$13) + CHOOSE(CONTROL!$C$28, 0, 0)</f>
        <v>443.96830515410699</v>
      </c>
    </row>
    <row r="717" spans="1:5" ht="15">
      <c r="A717" s="13">
        <v>63340</v>
      </c>
      <c r="B717" s="4">
        <f>80.9659 * CHOOSE(CONTROL!$C$9, $C$13, 100%, $E$13) + CHOOSE(CONTROL!$C$28, 0.0181, 0)</f>
        <v>80.984000000000009</v>
      </c>
      <c r="C717" s="4">
        <f>80.6534 * CHOOSE(CONTROL!$C$9, $C$13, 100%, $E$13) + CHOOSE(CONTROL!$C$28, 0.0181, 0)</f>
        <v>80.671500000000009</v>
      </c>
      <c r="D717" s="4">
        <f>74.1104 * CHOOSE(CONTROL!$C$9, $C$13, 100%, $E$13) + CHOOSE(CONTROL!$C$28, 0, 0)</f>
        <v>74.110399999999998</v>
      </c>
      <c r="E717" s="4">
        <f>454.599272751897 * CHOOSE(CONTROL!$C$9, $C$13, 100%, $E$13) + CHOOSE(CONTROL!$C$28, 0, 0)</f>
        <v>454.59927275189699</v>
      </c>
    </row>
    <row r="718" spans="1:5" ht="15">
      <c r="A718" s="13">
        <v>63370</v>
      </c>
      <c r="B718" s="4">
        <f>81.2162 * CHOOSE(CONTROL!$C$9, $C$13, 100%, $E$13) + CHOOSE(CONTROL!$C$28, 0.0181, 0)</f>
        <v>81.234300000000005</v>
      </c>
      <c r="C718" s="4">
        <f>80.9037 * CHOOSE(CONTROL!$C$9, $C$13, 100%, $E$13) + CHOOSE(CONTROL!$C$28, 0.0181, 0)</f>
        <v>80.921800000000005</v>
      </c>
      <c r="D718" s="4">
        <f>74.7797 * CHOOSE(CONTROL!$C$9, $C$13, 100%, $E$13) + CHOOSE(CONTROL!$C$28, 0, 0)</f>
        <v>74.779700000000005</v>
      </c>
      <c r="E718" s="4">
        <f>456.0376867873 * CHOOSE(CONTROL!$C$9, $C$13, 100%, $E$13) + CHOOSE(CONTROL!$C$28, 0, 0)</f>
        <v>456.0376867873</v>
      </c>
    </row>
    <row r="719" spans="1:5" ht="15">
      <c r="A719" s="13">
        <v>63401</v>
      </c>
      <c r="B719" s="4">
        <f>81.191 * CHOOSE(CONTROL!$C$9, $C$13, 100%, $E$13) + CHOOSE(CONTROL!$C$28, 0.0181, 0)</f>
        <v>81.209100000000007</v>
      </c>
      <c r="C719" s="4">
        <f>80.8785 * CHOOSE(CONTROL!$C$9, $C$13, 100%, $E$13) + CHOOSE(CONTROL!$C$28, 0.0181, 0)</f>
        <v>80.896600000000007</v>
      </c>
      <c r="D719" s="4">
        <f>75.9873 * CHOOSE(CONTROL!$C$9, $C$13, 100%, $E$13) + CHOOSE(CONTROL!$C$28, 0, 0)</f>
        <v>75.987300000000005</v>
      </c>
      <c r="E719" s="4">
        <f>455.892636632469 * CHOOSE(CONTROL!$C$9, $C$13, 100%, $E$13) + CHOOSE(CONTROL!$C$28, 0, 0)</f>
        <v>455.89263663246902</v>
      </c>
    </row>
    <row r="720" spans="1:5" ht="15">
      <c r="A720" s="13">
        <v>63432</v>
      </c>
      <c r="B720" s="4">
        <f>83.09 * CHOOSE(CONTROL!$C$9, $C$13, 100%, $E$13) + CHOOSE(CONTROL!$C$28, 0.0181, 0)</f>
        <v>83.108100000000007</v>
      </c>
      <c r="C720" s="4">
        <f>82.7775 * CHOOSE(CONTROL!$C$9, $C$13, 100%, $E$13) + CHOOSE(CONTROL!$C$28, 0.0181, 0)</f>
        <v>82.795600000000007</v>
      </c>
      <c r="D720" s="4">
        <f>75.1898 * CHOOSE(CONTROL!$C$9, $C$13, 100%, $E$13) + CHOOSE(CONTROL!$C$28, 0, 0)</f>
        <v>75.189800000000005</v>
      </c>
      <c r="E720" s="4">
        <f>466.80766078347 * CHOOSE(CONTROL!$C$9, $C$13, 100%, $E$13) + CHOOSE(CONTROL!$C$28, 0, 0)</f>
        <v>466.80766078347</v>
      </c>
    </row>
    <row r="721" spans="1:5" ht="15">
      <c r="A721" s="13">
        <v>63462</v>
      </c>
      <c r="B721" s="4">
        <f>79.8535 * CHOOSE(CONTROL!$C$9, $C$13, 100%, $E$13) + CHOOSE(CONTROL!$C$28, 0.0181, 0)</f>
        <v>79.871600000000001</v>
      </c>
      <c r="C721" s="4">
        <f>79.541 * CHOOSE(CONTROL!$C$9, $C$13, 100%, $E$13) + CHOOSE(CONTROL!$C$28, 0.0181, 0)</f>
        <v>79.559100000000001</v>
      </c>
      <c r="D721" s="4">
        <f>74.813 * CHOOSE(CONTROL!$C$9, $C$13, 100%, $E$13) + CHOOSE(CONTROL!$C$28, 0, 0)</f>
        <v>74.813000000000002</v>
      </c>
      <c r="E721" s="4">
        <f>448.20497842645 * CHOOSE(CONTROL!$C$9, $C$13, 100%, $E$13) + CHOOSE(CONTROL!$C$28, 0, 0)</f>
        <v>448.20497842645</v>
      </c>
    </row>
    <row r="722" spans="1:5" ht="15">
      <c r="A722" s="13">
        <v>63493</v>
      </c>
      <c r="B722" s="4">
        <f>77.2626 * CHOOSE(CONTROL!$C$9, $C$13, 100%, $E$13) + CHOOSE(CONTROL!$C$28, 0.0003, 0)</f>
        <v>77.262900000000002</v>
      </c>
      <c r="C722" s="4">
        <f>76.9501 * CHOOSE(CONTROL!$C$9, $C$13, 100%, $E$13) + CHOOSE(CONTROL!$C$28, 0.0003, 0)</f>
        <v>76.950400000000002</v>
      </c>
      <c r="D722" s="4">
        <f>73.804 * CHOOSE(CONTROL!$C$9, $C$13, 100%, $E$13) + CHOOSE(CONTROL!$C$28, 0, 0)</f>
        <v>73.804000000000002</v>
      </c>
      <c r="E722" s="4">
        <f>433.313162530511 * CHOOSE(CONTROL!$C$9, $C$13, 100%, $E$13) + CHOOSE(CONTROL!$C$28, 0, 0)</f>
        <v>433.31316253051102</v>
      </c>
    </row>
    <row r="723" spans="1:5" ht="15">
      <c r="A723" s="13">
        <v>63523</v>
      </c>
      <c r="B723" s="4">
        <f>75.5939 * CHOOSE(CONTROL!$C$9, $C$13, 100%, $E$13) + CHOOSE(CONTROL!$C$28, 0.0003, 0)</f>
        <v>75.594200000000001</v>
      </c>
      <c r="C723" s="4">
        <f>75.2814 * CHOOSE(CONTROL!$C$9, $C$13, 100%, $E$13) + CHOOSE(CONTROL!$C$28, 0.0003, 0)</f>
        <v>75.281700000000001</v>
      </c>
      <c r="D723" s="4">
        <f>73.4572 * CHOOSE(CONTROL!$C$9, $C$13, 100%, $E$13) + CHOOSE(CONTROL!$C$28, 0, 0)</f>
        <v>73.4572</v>
      </c>
      <c r="E723" s="4">
        <f>423.72172104234 * CHOOSE(CONTROL!$C$9, $C$13, 100%, $E$13) + CHOOSE(CONTROL!$C$28, 0, 0)</f>
        <v>423.72172104233999</v>
      </c>
    </row>
    <row r="724" spans="1:5" ht="15">
      <c r="A724" s="13">
        <v>63554</v>
      </c>
      <c r="B724" s="4">
        <f>74.4394 * CHOOSE(CONTROL!$C$9, $C$13, 100%, $E$13) + CHOOSE(CONTROL!$C$28, 0.0003, 0)</f>
        <v>74.439700000000002</v>
      </c>
      <c r="C724" s="4">
        <f>74.1269 * CHOOSE(CONTROL!$C$9, $C$13, 100%, $E$13) + CHOOSE(CONTROL!$C$28, 0.0003, 0)</f>
        <v>74.127200000000002</v>
      </c>
      <c r="D724" s="4">
        <f>70.9035 * CHOOSE(CONTROL!$C$9, $C$13, 100%, $E$13) + CHOOSE(CONTROL!$C$28, 0, 0)</f>
        <v>70.903499999999994</v>
      </c>
      <c r="E724" s="4">
        <f>417.085676458842 * CHOOSE(CONTROL!$C$9, $C$13, 100%, $E$13) + CHOOSE(CONTROL!$C$28, 0, 0)</f>
        <v>417.08567645884199</v>
      </c>
    </row>
    <row r="725" spans="1:5" ht="15">
      <c r="A725" s="13">
        <v>63585</v>
      </c>
      <c r="B725" s="4">
        <f>72.5635 * CHOOSE(CONTROL!$C$9, $C$13, 100%, $E$13) + CHOOSE(CONTROL!$C$28, 0.0003, 0)</f>
        <v>72.563800000000001</v>
      </c>
      <c r="C725" s="4">
        <f>72.251 * CHOOSE(CONTROL!$C$9, $C$13, 100%, $E$13) + CHOOSE(CONTROL!$C$28, 0.0003, 0)</f>
        <v>72.251300000000001</v>
      </c>
      <c r="D725" s="4">
        <f>68.5565 * CHOOSE(CONTROL!$C$9, $C$13, 100%, $E$13) + CHOOSE(CONTROL!$C$28, 0, 0)</f>
        <v>68.5565</v>
      </c>
      <c r="E725" s="4">
        <f>405.125248645074 * CHOOSE(CONTROL!$C$9, $C$13, 100%, $E$13) + CHOOSE(CONTROL!$C$28, 0, 0)</f>
        <v>405.12524864507401</v>
      </c>
    </row>
    <row r="726" spans="1:5" ht="15">
      <c r="A726" s="13">
        <v>63613</v>
      </c>
      <c r="B726" s="4">
        <f>74.2419 * CHOOSE(CONTROL!$C$9, $C$13, 100%, $E$13) + CHOOSE(CONTROL!$C$28, 0.0003, 0)</f>
        <v>74.242199999999997</v>
      </c>
      <c r="C726" s="4">
        <f>73.9294 * CHOOSE(CONTROL!$C$9, $C$13, 100%, $E$13) + CHOOSE(CONTROL!$C$28, 0.0003, 0)</f>
        <v>73.929699999999997</v>
      </c>
      <c r="D726" s="4">
        <f>70.92 * CHOOSE(CONTROL!$C$9, $C$13, 100%, $E$13) + CHOOSE(CONTROL!$C$28, 0, 0)</f>
        <v>70.92</v>
      </c>
      <c r="E726" s="4">
        <f>414.744518609825 * CHOOSE(CONTROL!$C$9, $C$13, 100%, $E$13) + CHOOSE(CONTROL!$C$28, 0, 0)</f>
        <v>414.74451860982498</v>
      </c>
    </row>
    <row r="727" spans="1:5" ht="15">
      <c r="A727" s="13">
        <v>63644</v>
      </c>
      <c r="B727" s="4">
        <f>78.6495 * CHOOSE(CONTROL!$C$9, $C$13, 100%, $E$13) + CHOOSE(CONTROL!$C$28, 0.0003, 0)</f>
        <v>78.649799999999999</v>
      </c>
      <c r="C727" s="4">
        <f>78.337 * CHOOSE(CONTROL!$C$9, $C$13, 100%, $E$13) + CHOOSE(CONTROL!$C$28, 0.0003, 0)</f>
        <v>78.337299999999999</v>
      </c>
      <c r="D727" s="4">
        <f>74.6198 * CHOOSE(CONTROL!$C$9, $C$13, 100%, $E$13) + CHOOSE(CONTROL!$C$28, 0, 0)</f>
        <v>74.619799999999998</v>
      </c>
      <c r="E727" s="4">
        <f>440.005232736313 * CHOOSE(CONTROL!$C$9, $C$13, 100%, $E$13) + CHOOSE(CONTROL!$C$28, 0, 0)</f>
        <v>440.00523273631302</v>
      </c>
    </row>
    <row r="728" spans="1:5" ht="15">
      <c r="A728" s="13">
        <v>63674</v>
      </c>
      <c r="B728" s="4">
        <f>81.7812 * CHOOSE(CONTROL!$C$9, $C$13, 100%, $E$13) + CHOOSE(CONTROL!$C$28, 0.0003, 0)</f>
        <v>81.781499999999994</v>
      </c>
      <c r="C728" s="4">
        <f>81.4687 * CHOOSE(CONTROL!$C$9, $C$13, 100%, $E$13) + CHOOSE(CONTROL!$C$28, 0.0003, 0)</f>
        <v>81.468999999999994</v>
      </c>
      <c r="D728" s="4">
        <f>76.751 * CHOOSE(CONTROL!$C$9, $C$13, 100%, $E$13) + CHOOSE(CONTROL!$C$28, 0, 0)</f>
        <v>76.751000000000005</v>
      </c>
      <c r="E728" s="4">
        <f>457.953306766461 * CHOOSE(CONTROL!$C$9, $C$13, 100%, $E$13) + CHOOSE(CONTROL!$C$28, 0, 0)</f>
        <v>457.95330676646103</v>
      </c>
    </row>
    <row r="729" spans="1:5" ht="15">
      <c r="A729" s="13">
        <v>63705</v>
      </c>
      <c r="B729" s="4">
        <f>83.6946 * CHOOSE(CONTROL!$C$9, $C$13, 100%, $E$13) + CHOOSE(CONTROL!$C$28, 0.0181, 0)</f>
        <v>83.712699999999998</v>
      </c>
      <c r="C729" s="4">
        <f>83.3821 * CHOOSE(CONTROL!$C$9, $C$13, 100%, $E$13) + CHOOSE(CONTROL!$C$28, 0.0181, 0)</f>
        <v>83.400199999999998</v>
      </c>
      <c r="D729" s="4">
        <f>75.9089 * CHOOSE(CONTROL!$C$9, $C$13, 100%, $E$13) + CHOOSE(CONTROL!$C$28, 0, 0)</f>
        <v>75.908900000000003</v>
      </c>
      <c r="E729" s="4">
        <f>468.919149843582 * CHOOSE(CONTROL!$C$9, $C$13, 100%, $E$13) + CHOOSE(CONTROL!$C$28, 0, 0)</f>
        <v>468.91914984358198</v>
      </c>
    </row>
    <row r="730" spans="1:5" ht="15">
      <c r="A730" s="13">
        <v>63735</v>
      </c>
      <c r="B730" s="4">
        <f>83.9535 * CHOOSE(CONTROL!$C$9, $C$13, 100%, $E$13) + CHOOSE(CONTROL!$C$28, 0.0181, 0)</f>
        <v>83.971600000000009</v>
      </c>
      <c r="C730" s="4">
        <f>83.641 * CHOOSE(CONTROL!$C$9, $C$13, 100%, $E$13) + CHOOSE(CONTROL!$C$28, 0.0181, 0)</f>
        <v>83.659100000000009</v>
      </c>
      <c r="D730" s="4">
        <f>76.5947 * CHOOSE(CONTROL!$C$9, $C$13, 100%, $E$13) + CHOOSE(CONTROL!$C$28, 0, 0)</f>
        <v>76.594700000000003</v>
      </c>
      <c r="E730" s="4">
        <f>470.4028739211 * CHOOSE(CONTROL!$C$9, $C$13, 100%, $E$13) + CHOOSE(CONTROL!$C$28, 0, 0)</f>
        <v>470.40287392110002</v>
      </c>
    </row>
    <row r="731" spans="1:5" ht="15">
      <c r="A731" s="13">
        <v>63766</v>
      </c>
      <c r="B731" s="4">
        <f>83.9274 * CHOOSE(CONTROL!$C$9, $C$13, 100%, $E$13) + CHOOSE(CONTROL!$C$28, 0.0181, 0)</f>
        <v>83.94550000000001</v>
      </c>
      <c r="C731" s="4">
        <f>83.6149 * CHOOSE(CONTROL!$C$9, $C$13, 100%, $E$13) + CHOOSE(CONTROL!$C$28, 0.0181, 0)</f>
        <v>83.63300000000001</v>
      </c>
      <c r="D731" s="4">
        <f>77.8323 * CHOOSE(CONTROL!$C$9, $C$13, 100%, $E$13) + CHOOSE(CONTROL!$C$28, 0, 0)</f>
        <v>77.832300000000004</v>
      </c>
      <c r="E731" s="4">
        <f>470.253254686392 * CHOOSE(CONTROL!$C$9, $C$13, 100%, $E$13) + CHOOSE(CONTROL!$C$28, 0, 0)</f>
        <v>470.25325468639198</v>
      </c>
    </row>
    <row r="732" spans="1:5" ht="15">
      <c r="A732" s="13">
        <v>63797</v>
      </c>
      <c r="B732" s="4">
        <f>85.8919 * CHOOSE(CONTROL!$C$9, $C$13, 100%, $E$13) + CHOOSE(CONTROL!$C$28, 0.0181, 0)</f>
        <v>85.910000000000011</v>
      </c>
      <c r="C732" s="4">
        <f>85.5794 * CHOOSE(CONTROL!$C$9, $C$13, 100%, $E$13) + CHOOSE(CONTROL!$C$28, 0.0181, 0)</f>
        <v>85.597500000000011</v>
      </c>
      <c r="D732" s="4">
        <f>77.015 * CHOOSE(CONTROL!$C$9, $C$13, 100%, $E$13) + CHOOSE(CONTROL!$C$28, 0, 0)</f>
        <v>77.015000000000001</v>
      </c>
      <c r="E732" s="4">
        <f>481.512102098149 * CHOOSE(CONTROL!$C$9, $C$13, 100%, $E$13) + CHOOSE(CONTROL!$C$28, 0, 0)</f>
        <v>481.512102098149</v>
      </c>
    </row>
    <row r="733" spans="1:5" ht="15">
      <c r="A733" s="13">
        <v>63827</v>
      </c>
      <c r="B733" s="4">
        <f>82.5437 * CHOOSE(CONTROL!$C$9, $C$13, 100%, $E$13) + CHOOSE(CONTROL!$C$28, 0.0181, 0)</f>
        <v>82.561800000000005</v>
      </c>
      <c r="C733" s="4">
        <f>82.2312 * CHOOSE(CONTROL!$C$9, $C$13, 100%, $E$13) + CHOOSE(CONTROL!$C$28, 0.0181, 0)</f>
        <v>82.249300000000005</v>
      </c>
      <c r="D733" s="4">
        <f>76.6289 * CHOOSE(CONTROL!$C$9, $C$13, 100%, $E$13) + CHOOSE(CONTROL!$C$28, 0, 0)</f>
        <v>76.628900000000002</v>
      </c>
      <c r="E733" s="4">
        <f>462.323435246883 * CHOOSE(CONTROL!$C$9, $C$13, 100%, $E$13) + CHOOSE(CONTROL!$C$28, 0, 0)</f>
        <v>462.32343524688298</v>
      </c>
    </row>
    <row r="734" spans="1:5" ht="15">
      <c r="A734" s="13">
        <v>63858</v>
      </c>
      <c r="B734" s="4">
        <f>79.8635 * CHOOSE(CONTROL!$C$9, $C$13, 100%, $E$13) + CHOOSE(CONTROL!$C$28, 0.0003, 0)</f>
        <v>79.863799999999998</v>
      </c>
      <c r="C734" s="4">
        <f>79.551 * CHOOSE(CONTROL!$C$9, $C$13, 100%, $E$13) + CHOOSE(CONTROL!$C$28, 0.0003, 0)</f>
        <v>79.551299999999998</v>
      </c>
      <c r="D734" s="4">
        <f>75.5949 * CHOOSE(CONTROL!$C$9, $C$13, 100%, $E$13) + CHOOSE(CONTROL!$C$28, 0, 0)</f>
        <v>75.594899999999996</v>
      </c>
      <c r="E734" s="4">
        <f>446.962527150222 * CHOOSE(CONTROL!$C$9, $C$13, 100%, $E$13) + CHOOSE(CONTROL!$C$28, 0, 0)</f>
        <v>446.962527150222</v>
      </c>
    </row>
    <row r="735" spans="1:5" ht="15">
      <c r="A735" s="13">
        <v>63888</v>
      </c>
      <c r="B735" s="4">
        <f>78.1372 * CHOOSE(CONTROL!$C$9, $C$13, 100%, $E$13) + CHOOSE(CONTROL!$C$28, 0.0003, 0)</f>
        <v>78.137500000000003</v>
      </c>
      <c r="C735" s="4">
        <f>77.8247 * CHOOSE(CONTROL!$C$9, $C$13, 100%, $E$13) + CHOOSE(CONTROL!$C$28, 0.0003, 0)</f>
        <v>77.825000000000003</v>
      </c>
      <c r="D735" s="4">
        <f>75.2395 * CHOOSE(CONTROL!$C$9, $C$13, 100%, $E$13) + CHOOSE(CONTROL!$C$28, 0, 0)</f>
        <v>75.239500000000007</v>
      </c>
      <c r="E735" s="4">
        <f>437.068955255174 * CHOOSE(CONTROL!$C$9, $C$13, 100%, $E$13) + CHOOSE(CONTROL!$C$28, 0, 0)</f>
        <v>437.06895525517399</v>
      </c>
    </row>
    <row r="736" spans="1:5" ht="15">
      <c r="A736" s="13">
        <v>63919</v>
      </c>
      <c r="B736" s="4">
        <f>76.9428 * CHOOSE(CONTROL!$C$9, $C$13, 100%, $E$13) + CHOOSE(CONTROL!$C$28, 0.0003, 0)</f>
        <v>76.943100000000001</v>
      </c>
      <c r="C736" s="4">
        <f>76.6303 * CHOOSE(CONTROL!$C$9, $C$13, 100%, $E$13) + CHOOSE(CONTROL!$C$28, 0.0003, 0)</f>
        <v>76.630600000000001</v>
      </c>
      <c r="D736" s="4">
        <f>72.6225 * CHOOSE(CONTROL!$C$9, $C$13, 100%, $E$13) + CHOOSE(CONTROL!$C$28, 0, 0)</f>
        <v>72.622500000000002</v>
      </c>
      <c r="E736" s="4">
        <f>430.223875267295 * CHOOSE(CONTROL!$C$9, $C$13, 100%, $E$13) + CHOOSE(CONTROL!$C$28, 0, 0)</f>
        <v>430.223875267295</v>
      </c>
    </row>
    <row r="737" spans="1:5" ht="15">
      <c r="A737" s="13">
        <v>63950</v>
      </c>
      <c r="B737" s="4">
        <f>75.0022 * CHOOSE(CONTROL!$C$9, $C$13, 100%, $E$13) + CHOOSE(CONTROL!$C$28, 0.0003, 0)</f>
        <v>75.002499999999998</v>
      </c>
      <c r="C737" s="4">
        <f>74.6897 * CHOOSE(CONTROL!$C$9, $C$13, 100%, $E$13) + CHOOSE(CONTROL!$C$28, 0.0003, 0)</f>
        <v>74.69</v>
      </c>
      <c r="D737" s="4">
        <f>70.2172 * CHOOSE(CONTROL!$C$9, $C$13, 100%, $E$13) + CHOOSE(CONTROL!$C$28, 0, 0)</f>
        <v>70.217200000000005</v>
      </c>
      <c r="E737" s="4">
        <f>417.886693977394 * CHOOSE(CONTROL!$C$9, $C$13, 100%, $E$13) + CHOOSE(CONTROL!$C$28, 0, 0)</f>
        <v>417.88669397739397</v>
      </c>
    </row>
    <row r="738" spans="1:5" ht="15">
      <c r="A738" s="13">
        <v>63978</v>
      </c>
      <c r="B738" s="4">
        <f>76.7386 * CHOOSE(CONTROL!$C$9, $C$13, 100%, $E$13) + CHOOSE(CONTROL!$C$28, 0.0003, 0)</f>
        <v>76.738900000000001</v>
      </c>
      <c r="C738" s="4">
        <f>76.4261 * CHOOSE(CONTROL!$C$9, $C$13, 100%, $E$13) + CHOOSE(CONTROL!$C$28, 0.0003, 0)</f>
        <v>76.426400000000001</v>
      </c>
      <c r="D738" s="4">
        <f>72.6393 * CHOOSE(CONTROL!$C$9, $C$13, 100%, $E$13) + CHOOSE(CONTROL!$C$28, 0, 0)</f>
        <v>72.639300000000006</v>
      </c>
      <c r="E738" s="4">
        <f>427.808970946034 * CHOOSE(CONTROL!$C$9, $C$13, 100%, $E$13) + CHOOSE(CONTROL!$C$28, 0, 0)</f>
        <v>427.80897094603398</v>
      </c>
    </row>
    <row r="739" spans="1:5" ht="15">
      <c r="A739" s="13">
        <v>64009</v>
      </c>
      <c r="B739" s="4">
        <f>81.2982 * CHOOSE(CONTROL!$C$9, $C$13, 100%, $E$13) + CHOOSE(CONTROL!$C$28, 0.0003, 0)</f>
        <v>81.29849999999999</v>
      </c>
      <c r="C739" s="4">
        <f>80.9857 * CHOOSE(CONTROL!$C$9, $C$13, 100%, $E$13) + CHOOSE(CONTROL!$C$28, 0.0003, 0)</f>
        <v>80.98599999999999</v>
      </c>
      <c r="D739" s="4">
        <f>76.4309 * CHOOSE(CONTROL!$C$9, $C$13, 100%, $E$13) + CHOOSE(CONTROL!$C$28, 0, 0)</f>
        <v>76.430899999999994</v>
      </c>
      <c r="E739" s="4">
        <f>453.865397567507 * CHOOSE(CONTROL!$C$9, $C$13, 100%, $E$13) + CHOOSE(CONTROL!$C$28, 0, 0)</f>
        <v>453.86539756750699</v>
      </c>
    </row>
    <row r="740" spans="1:5" ht="15">
      <c r="A740" s="13">
        <v>64039</v>
      </c>
      <c r="B740" s="4">
        <f>84.538 * CHOOSE(CONTROL!$C$9, $C$13, 100%, $E$13) + CHOOSE(CONTROL!$C$28, 0.0003, 0)</f>
        <v>84.538299999999992</v>
      </c>
      <c r="C740" s="4">
        <f>84.2255 * CHOOSE(CONTROL!$C$9, $C$13, 100%, $E$13) + CHOOSE(CONTROL!$C$28, 0.0003, 0)</f>
        <v>84.225799999999992</v>
      </c>
      <c r="D740" s="4">
        <f>78.615 * CHOOSE(CONTROL!$C$9, $C$13, 100%, $E$13) + CHOOSE(CONTROL!$C$28, 0, 0)</f>
        <v>78.614999999999995</v>
      </c>
      <c r="E740" s="4">
        <f>472.378835929605 * CHOOSE(CONTROL!$C$9, $C$13, 100%, $E$13) + CHOOSE(CONTROL!$C$28, 0, 0)</f>
        <v>472.37883592960497</v>
      </c>
    </row>
    <row r="741" spans="1:5" ht="15">
      <c r="A741" s="13">
        <v>64070</v>
      </c>
      <c r="B741" s="4">
        <f>86.5174 * CHOOSE(CONTROL!$C$9, $C$13, 100%, $E$13) + CHOOSE(CONTROL!$C$28, 0.0181, 0)</f>
        <v>86.535499999999999</v>
      </c>
      <c r="C741" s="4">
        <f>86.2049 * CHOOSE(CONTROL!$C$9, $C$13, 100%, $E$13) + CHOOSE(CONTROL!$C$28, 0.0181, 0)</f>
        <v>86.222999999999999</v>
      </c>
      <c r="D741" s="4">
        <f>77.752 * CHOOSE(CONTROL!$C$9, $C$13, 100%, $E$13) + CHOOSE(CONTROL!$C$28, 0, 0)</f>
        <v>77.751999999999995</v>
      </c>
      <c r="E741" s="4">
        <f>483.690103063655 * CHOOSE(CONTROL!$C$9, $C$13, 100%, $E$13) + CHOOSE(CONTROL!$C$28, 0, 0)</f>
        <v>483.69010306365499</v>
      </c>
    </row>
    <row r="742" spans="1:5" ht="15">
      <c r="A742" s="13">
        <v>64100</v>
      </c>
      <c r="B742" s="4">
        <f>86.7852 * CHOOSE(CONTROL!$C$9, $C$13, 100%, $E$13) + CHOOSE(CONTROL!$C$28, 0.0181, 0)</f>
        <v>86.803300000000007</v>
      </c>
      <c r="C742" s="4">
        <f>86.4727 * CHOOSE(CONTROL!$C$9, $C$13, 100%, $E$13) + CHOOSE(CONTROL!$C$28, 0.0181, 0)</f>
        <v>86.490800000000007</v>
      </c>
      <c r="D742" s="4">
        <f>78.4548 * CHOOSE(CONTROL!$C$9, $C$13, 100%, $E$13) + CHOOSE(CONTROL!$C$28, 0, 0)</f>
        <v>78.454800000000006</v>
      </c>
      <c r="E742" s="4">
        <f>485.220564449615 * CHOOSE(CONTROL!$C$9, $C$13, 100%, $E$13) + CHOOSE(CONTROL!$C$28, 0, 0)</f>
        <v>485.22056444961498</v>
      </c>
    </row>
    <row r="743" spans="1:5" ht="15">
      <c r="A743" s="13">
        <v>64131</v>
      </c>
      <c r="B743" s="4">
        <f>86.7582 * CHOOSE(CONTROL!$C$9, $C$13, 100%, $E$13) + CHOOSE(CONTROL!$C$28, 0.0181, 0)</f>
        <v>86.776300000000006</v>
      </c>
      <c r="C743" s="4">
        <f>86.4457 * CHOOSE(CONTROL!$C$9, $C$13, 100%, $E$13) + CHOOSE(CONTROL!$C$28, 0.0181, 0)</f>
        <v>86.463800000000006</v>
      </c>
      <c r="D743" s="4">
        <f>79.7231 * CHOOSE(CONTROL!$C$9, $C$13, 100%, $E$13) + CHOOSE(CONTROL!$C$28, 0, 0)</f>
        <v>79.723100000000002</v>
      </c>
      <c r="E743" s="4">
        <f>485.066232209014 * CHOOSE(CONTROL!$C$9, $C$13, 100%, $E$13) + CHOOSE(CONTROL!$C$28, 0, 0)</f>
        <v>485.066232209014</v>
      </c>
    </row>
    <row r="744" spans="1:5" ht="15">
      <c r="A744" s="13">
        <v>64162</v>
      </c>
      <c r="B744" s="4">
        <f>88.7905 * CHOOSE(CONTROL!$C$9, $C$13, 100%, $E$13) + CHOOSE(CONTROL!$C$28, 0.0181, 0)</f>
        <v>88.808599999999998</v>
      </c>
      <c r="C744" s="4">
        <f>88.478 * CHOOSE(CONTROL!$C$9, $C$13, 100%, $E$13) + CHOOSE(CONTROL!$C$28, 0.0181, 0)</f>
        <v>88.496099999999998</v>
      </c>
      <c r="D744" s="4">
        <f>78.8855 * CHOOSE(CONTROL!$C$9, $C$13, 100%, $E$13) + CHOOSE(CONTROL!$C$28, 0, 0)</f>
        <v>78.885499999999993</v>
      </c>
      <c r="E744" s="4">
        <f>496.679733314241 * CHOOSE(CONTROL!$C$9, $C$13, 100%, $E$13) + CHOOSE(CONTROL!$C$28, 0, 0)</f>
        <v>496.67973331424099</v>
      </c>
    </row>
    <row r="745" spans="1:5" ht="15">
      <c r="A745" s="13">
        <v>64192</v>
      </c>
      <c r="B745" s="4">
        <f>85.3268 * CHOOSE(CONTROL!$C$9, $C$13, 100%, $E$13) + CHOOSE(CONTROL!$C$28, 0.0181, 0)</f>
        <v>85.34490000000001</v>
      </c>
      <c r="C745" s="4">
        <f>85.0143 * CHOOSE(CONTROL!$C$9, $C$13, 100%, $E$13) + CHOOSE(CONTROL!$C$28, 0.0181, 0)</f>
        <v>85.03240000000001</v>
      </c>
      <c r="D745" s="4">
        <f>78.4898 * CHOOSE(CONTROL!$C$9, $C$13, 100%, $E$13) + CHOOSE(CONTROL!$C$28, 0, 0)</f>
        <v>78.489800000000002</v>
      </c>
      <c r="E745" s="4">
        <f>476.88662345716 * CHOOSE(CONTROL!$C$9, $C$13, 100%, $E$13) + CHOOSE(CONTROL!$C$28, 0, 0)</f>
        <v>476.88662345716</v>
      </c>
    </row>
    <row r="746" spans="1:5" ht="15">
      <c r="A746" s="13">
        <v>64223</v>
      </c>
      <c r="B746" s="4">
        <f>82.5541 * CHOOSE(CONTROL!$C$9, $C$13, 100%, $E$13) + CHOOSE(CONTROL!$C$28, 0.0003, 0)</f>
        <v>82.554400000000001</v>
      </c>
      <c r="C746" s="4">
        <f>82.2416 * CHOOSE(CONTROL!$C$9, $C$13, 100%, $E$13) + CHOOSE(CONTROL!$C$28, 0.0003, 0)</f>
        <v>82.241900000000001</v>
      </c>
      <c r="D746" s="4">
        <f>77.4302 * CHOOSE(CONTROL!$C$9, $C$13, 100%, $E$13) + CHOOSE(CONTROL!$C$28, 0, 0)</f>
        <v>77.430199999999999</v>
      </c>
      <c r="E746" s="4">
        <f>461.041846755455 * CHOOSE(CONTROL!$C$9, $C$13, 100%, $E$13) + CHOOSE(CONTROL!$C$28, 0, 0)</f>
        <v>461.04184675545503</v>
      </c>
    </row>
    <row r="747" spans="1:5" ht="15">
      <c r="A747" s="13">
        <v>64253</v>
      </c>
      <c r="B747" s="4">
        <f>80.7682 * CHOOSE(CONTROL!$C$9, $C$13, 100%, $E$13) + CHOOSE(CONTROL!$C$28, 0.0003, 0)</f>
        <v>80.768499999999989</v>
      </c>
      <c r="C747" s="4">
        <f>80.4557 * CHOOSE(CONTROL!$C$9, $C$13, 100%, $E$13) + CHOOSE(CONTROL!$C$28, 0.0003, 0)</f>
        <v>80.455999999999989</v>
      </c>
      <c r="D747" s="4">
        <f>77.0659 * CHOOSE(CONTROL!$C$9, $C$13, 100%, $E$13) + CHOOSE(CONTROL!$C$28, 0, 0)</f>
        <v>77.065899999999999</v>
      </c>
      <c r="E747" s="4">
        <f>450.836627345712 * CHOOSE(CONTROL!$C$9, $C$13, 100%, $E$13) + CHOOSE(CONTROL!$C$28, 0, 0)</f>
        <v>450.83662734571197</v>
      </c>
    </row>
    <row r="748" spans="1:5" ht="15">
      <c r="A748" s="13">
        <v>64284</v>
      </c>
      <c r="B748" s="4">
        <f>79.5327 * CHOOSE(CONTROL!$C$9, $C$13, 100%, $E$13) + CHOOSE(CONTROL!$C$28, 0.0003, 0)</f>
        <v>79.533000000000001</v>
      </c>
      <c r="C748" s="4">
        <f>79.2202 * CHOOSE(CONTROL!$C$9, $C$13, 100%, $E$13) + CHOOSE(CONTROL!$C$28, 0.0003, 0)</f>
        <v>79.220500000000001</v>
      </c>
      <c r="D748" s="4">
        <f>74.384 * CHOOSE(CONTROL!$C$9, $C$13, 100%, $E$13) + CHOOSE(CONTROL!$C$28, 0, 0)</f>
        <v>74.384</v>
      </c>
      <c r="E748" s="4">
        <f>443.775927338215 * CHOOSE(CONTROL!$C$9, $C$13, 100%, $E$13) + CHOOSE(CONTROL!$C$28, 0, 0)</f>
        <v>443.77592733821501</v>
      </c>
    </row>
    <row r="749" spans="1:5" ht="15">
      <c r="A749" s="13">
        <v>64315</v>
      </c>
      <c r="B749" s="4">
        <f>77.5251 * CHOOSE(CONTROL!$C$9, $C$13, 100%, $E$13) + CHOOSE(CONTROL!$C$28, 0.0003, 0)</f>
        <v>77.525399999999991</v>
      </c>
      <c r="C749" s="4">
        <f>77.2126 * CHOOSE(CONTROL!$C$9, $C$13, 100%, $E$13) + CHOOSE(CONTROL!$C$28, 0.0003, 0)</f>
        <v>77.212899999999991</v>
      </c>
      <c r="D749" s="4">
        <f>71.9192 * CHOOSE(CONTROL!$C$9, $C$13, 100%, $E$13) + CHOOSE(CONTROL!$C$28, 0, 0)</f>
        <v>71.919200000000004</v>
      </c>
      <c r="E749" s="4">
        <f>431.050124837681 * CHOOSE(CONTROL!$C$9, $C$13, 100%, $E$13) + CHOOSE(CONTROL!$C$28, 0, 0)</f>
        <v>431.05012483768098</v>
      </c>
    </row>
    <row r="750" spans="1:5" ht="15">
      <c r="A750" s="13">
        <v>64344</v>
      </c>
      <c r="B750" s="4">
        <f>79.3214 * CHOOSE(CONTROL!$C$9, $C$13, 100%, $E$13) + CHOOSE(CONTROL!$C$28, 0.0003, 0)</f>
        <v>79.321699999999993</v>
      </c>
      <c r="C750" s="4">
        <f>79.0089 * CHOOSE(CONTROL!$C$9, $C$13, 100%, $E$13) + CHOOSE(CONTROL!$C$28, 0.0003, 0)</f>
        <v>79.009199999999993</v>
      </c>
      <c r="D750" s="4">
        <f>74.4013 * CHOOSE(CONTROL!$C$9, $C$13, 100%, $E$13) + CHOOSE(CONTROL!$C$28, 0, 0)</f>
        <v>74.401300000000006</v>
      </c>
      <c r="E750" s="4">
        <f>441.284953530835 * CHOOSE(CONTROL!$C$9, $C$13, 100%, $E$13) + CHOOSE(CONTROL!$C$28, 0, 0)</f>
        <v>441.28495353083503</v>
      </c>
    </row>
    <row r="751" spans="1:5" ht="15">
      <c r="A751" s="13">
        <v>64375</v>
      </c>
      <c r="B751" s="4">
        <f>84.0384 * CHOOSE(CONTROL!$C$9, $C$13, 100%, $E$13) + CHOOSE(CONTROL!$C$28, 0.0003, 0)</f>
        <v>84.038699999999992</v>
      </c>
      <c r="C751" s="4">
        <f>83.7259 * CHOOSE(CONTROL!$C$9, $C$13, 100%, $E$13) + CHOOSE(CONTROL!$C$28, 0.0003, 0)</f>
        <v>83.726199999999992</v>
      </c>
      <c r="D751" s="4">
        <f>78.287 * CHOOSE(CONTROL!$C$9, $C$13, 100%, $E$13) + CHOOSE(CONTROL!$C$28, 0, 0)</f>
        <v>78.287000000000006</v>
      </c>
      <c r="E751" s="4">
        <f>468.162157590883 * CHOOSE(CONTROL!$C$9, $C$13, 100%, $E$13) + CHOOSE(CONTROL!$C$28, 0, 0)</f>
        <v>468.162157590883</v>
      </c>
    </row>
    <row r="752" spans="1:5" ht="15">
      <c r="A752" s="13">
        <v>64405</v>
      </c>
      <c r="B752" s="4">
        <f>87.3898 * CHOOSE(CONTROL!$C$9, $C$13, 100%, $E$13) + CHOOSE(CONTROL!$C$28, 0.0003, 0)</f>
        <v>87.39009999999999</v>
      </c>
      <c r="C752" s="4">
        <f>87.0773 * CHOOSE(CONTROL!$C$9, $C$13, 100%, $E$13) + CHOOSE(CONTROL!$C$28, 0.0003, 0)</f>
        <v>87.07759999999999</v>
      </c>
      <c r="D752" s="4">
        <f>80.5252 * CHOOSE(CONTROL!$C$9, $C$13, 100%, $E$13) + CHOOSE(CONTROL!$C$28, 0, 0)</f>
        <v>80.525199999999998</v>
      </c>
      <c r="E752" s="4">
        <f>487.258769261387 * CHOOSE(CONTROL!$C$9, $C$13, 100%, $E$13) + CHOOSE(CONTROL!$C$28, 0, 0)</f>
        <v>487.25876926138699</v>
      </c>
    </row>
    <row r="753" spans="1:5" ht="15">
      <c r="A753" s="13">
        <v>64436</v>
      </c>
      <c r="B753" s="4">
        <f>89.4375 * CHOOSE(CONTROL!$C$9, $C$13, 100%, $E$13) + CHOOSE(CONTROL!$C$28, 0.0181, 0)</f>
        <v>89.455600000000004</v>
      </c>
      <c r="C753" s="4">
        <f>89.125 * CHOOSE(CONTROL!$C$9, $C$13, 100%, $E$13) + CHOOSE(CONTROL!$C$28, 0.0181, 0)</f>
        <v>89.143100000000004</v>
      </c>
      <c r="D753" s="4">
        <f>79.6408 * CHOOSE(CONTROL!$C$9, $C$13, 100%, $E$13) + CHOOSE(CONTROL!$C$28, 0, 0)</f>
        <v>79.640799999999999</v>
      </c>
      <c r="E753" s="4">
        <f>498.92634131016 * CHOOSE(CONTROL!$C$9, $C$13, 100%, $E$13) + CHOOSE(CONTROL!$C$28, 0, 0)</f>
        <v>498.92634131016001</v>
      </c>
    </row>
    <row r="754" spans="1:5" ht="15">
      <c r="A754" s="13">
        <v>64466</v>
      </c>
      <c r="B754" s="4">
        <f>89.7146 * CHOOSE(CONTROL!$C$9, $C$13, 100%, $E$13) + CHOOSE(CONTROL!$C$28, 0.0181, 0)</f>
        <v>89.732700000000008</v>
      </c>
      <c r="C754" s="4">
        <f>89.4021 * CHOOSE(CONTROL!$C$9, $C$13, 100%, $E$13) + CHOOSE(CONTROL!$C$28, 0.0181, 0)</f>
        <v>89.420200000000008</v>
      </c>
      <c r="D754" s="4">
        <f>80.3611 * CHOOSE(CONTROL!$C$9, $C$13, 100%, $E$13) + CHOOSE(CONTROL!$C$28, 0, 0)</f>
        <v>80.361099999999993</v>
      </c>
      <c r="E754" s="4">
        <f>500.505012229778 * CHOOSE(CONTROL!$C$9, $C$13, 100%, $E$13) + CHOOSE(CONTROL!$C$28, 0, 0)</f>
        <v>500.505012229778</v>
      </c>
    </row>
    <row r="755" spans="1:5" ht="15">
      <c r="A755" s="13">
        <v>64497</v>
      </c>
      <c r="B755" s="4">
        <f>89.6866 * CHOOSE(CONTROL!$C$9, $C$13, 100%, $E$13) + CHOOSE(CONTROL!$C$28, 0.0181, 0)</f>
        <v>89.704700000000003</v>
      </c>
      <c r="C755" s="4">
        <f>89.3741 * CHOOSE(CONTROL!$C$9, $C$13, 100%, $E$13) + CHOOSE(CONTROL!$C$28, 0.0181, 0)</f>
        <v>89.392200000000003</v>
      </c>
      <c r="D755" s="4">
        <f>81.6608 * CHOOSE(CONTROL!$C$9, $C$13, 100%, $E$13) + CHOOSE(CONTROL!$C$28, 0, 0)</f>
        <v>81.660799999999995</v>
      </c>
      <c r="E755" s="4">
        <f>500.345818523598 * CHOOSE(CONTROL!$C$9, $C$13, 100%, $E$13) + CHOOSE(CONTROL!$C$28, 0, 0)</f>
        <v>500.34581852359798</v>
      </c>
    </row>
    <row r="756" spans="1:5" ht="15">
      <c r="A756" s="13">
        <v>64528</v>
      </c>
      <c r="B756" s="4">
        <f>91.789 * CHOOSE(CONTROL!$C$9, $C$13, 100%, $E$13) + CHOOSE(CONTROL!$C$28, 0.0181, 0)</f>
        <v>91.807100000000005</v>
      </c>
      <c r="C756" s="4">
        <f>91.4765 * CHOOSE(CONTROL!$C$9, $C$13, 100%, $E$13) + CHOOSE(CONTROL!$C$28, 0.0181, 0)</f>
        <v>91.494600000000005</v>
      </c>
      <c r="D756" s="4">
        <f>80.8024 * CHOOSE(CONTROL!$C$9, $C$13, 100%, $E$13) + CHOOSE(CONTROL!$C$28, 0, 0)</f>
        <v>80.802400000000006</v>
      </c>
      <c r="E756" s="4">
        <f>512.325144913639 * CHOOSE(CONTROL!$C$9, $C$13, 100%, $E$13) + CHOOSE(CONTROL!$C$28, 0, 0)</f>
        <v>512.32514491363895</v>
      </c>
    </row>
    <row r="757" spans="1:5" ht="15">
      <c r="A757" s="13">
        <v>64558</v>
      </c>
      <c r="B757" s="4">
        <f>88.2059 * CHOOSE(CONTROL!$C$9, $C$13, 100%, $E$13) + CHOOSE(CONTROL!$C$28, 0.0181, 0)</f>
        <v>88.224000000000004</v>
      </c>
      <c r="C757" s="4">
        <f>87.8934 * CHOOSE(CONTROL!$C$9, $C$13, 100%, $E$13) + CHOOSE(CONTROL!$C$28, 0.0181, 0)</f>
        <v>87.911500000000004</v>
      </c>
      <c r="D757" s="4">
        <f>80.3969 * CHOOSE(CONTROL!$C$9, $C$13, 100%, $E$13) + CHOOSE(CONTROL!$C$28, 0, 0)</f>
        <v>80.396900000000002</v>
      </c>
      <c r="E757" s="4">
        <f>491.90855209606 * CHOOSE(CONTROL!$C$9, $C$13, 100%, $E$13) + CHOOSE(CONTROL!$C$28, 0, 0)</f>
        <v>491.90855209606002</v>
      </c>
    </row>
    <row r="758" spans="1:5" ht="15">
      <c r="A758" s="13">
        <v>64589</v>
      </c>
      <c r="B758" s="4">
        <f>85.3375 * CHOOSE(CONTROL!$C$9, $C$13, 100%, $E$13) + CHOOSE(CONTROL!$C$28, 0.0003, 0)</f>
        <v>85.337800000000001</v>
      </c>
      <c r="C758" s="4">
        <f>85.025 * CHOOSE(CONTROL!$C$9, $C$13, 100%, $E$13) + CHOOSE(CONTROL!$C$28, 0.0003, 0)</f>
        <v>85.025300000000001</v>
      </c>
      <c r="D758" s="4">
        <f>79.311 * CHOOSE(CONTROL!$C$9, $C$13, 100%, $E$13) + CHOOSE(CONTROL!$C$28, 0, 0)</f>
        <v>79.311000000000007</v>
      </c>
      <c r="E758" s="4">
        <f>475.564664928251 * CHOOSE(CONTROL!$C$9, $C$13, 100%, $E$13) + CHOOSE(CONTROL!$C$28, 0, 0)</f>
        <v>475.56466492825098</v>
      </c>
    </row>
    <row r="759" spans="1:5" ht="15">
      <c r="A759" s="13">
        <v>64619</v>
      </c>
      <c r="B759" s="4">
        <f>83.4901 * CHOOSE(CONTROL!$C$9, $C$13, 100%, $E$13) + CHOOSE(CONTROL!$C$28, 0.0003, 0)</f>
        <v>83.490399999999994</v>
      </c>
      <c r="C759" s="4">
        <f>83.1776 * CHOOSE(CONTROL!$C$9, $C$13, 100%, $E$13) + CHOOSE(CONTROL!$C$28, 0.0003, 0)</f>
        <v>83.177899999999994</v>
      </c>
      <c r="D759" s="4">
        <f>78.9377 * CHOOSE(CONTROL!$C$9, $C$13, 100%, $E$13) + CHOOSE(CONTROL!$C$28, 0, 0)</f>
        <v>78.937700000000007</v>
      </c>
      <c r="E759" s="4">
        <f>465.037981107102 * CHOOSE(CONTROL!$C$9, $C$13, 100%, $E$13) + CHOOSE(CONTROL!$C$28, 0, 0)</f>
        <v>465.03798110710198</v>
      </c>
    </row>
    <row r="760" spans="1:5" ht="15">
      <c r="A760" s="13">
        <v>64650</v>
      </c>
      <c r="B760" s="4">
        <f>82.2119 * CHOOSE(CONTROL!$C$9, $C$13, 100%, $E$13) + CHOOSE(CONTROL!$C$28, 0.0003, 0)</f>
        <v>82.212199999999996</v>
      </c>
      <c r="C760" s="4">
        <f>81.8994 * CHOOSE(CONTROL!$C$9, $C$13, 100%, $E$13) + CHOOSE(CONTROL!$C$28, 0.0003, 0)</f>
        <v>81.899699999999996</v>
      </c>
      <c r="D760" s="4">
        <f>76.1893 * CHOOSE(CONTROL!$C$9, $C$13, 100%, $E$13) + CHOOSE(CONTROL!$C$28, 0, 0)</f>
        <v>76.189300000000003</v>
      </c>
      <c r="E760" s="4">
        <f>457.754869049369 * CHOOSE(CONTROL!$C$9, $C$13, 100%, $E$13) + CHOOSE(CONTROL!$C$28, 0, 0)</f>
        <v>457.75486904936901</v>
      </c>
    </row>
    <row r="761" spans="1:5" ht="15">
      <c r="A761" s="13">
        <v>64681</v>
      </c>
      <c r="B761" s="4">
        <f>80.135 * CHOOSE(CONTROL!$C$9, $C$13, 100%, $E$13) + CHOOSE(CONTROL!$C$28, 0.0003, 0)</f>
        <v>80.135300000000001</v>
      </c>
      <c r="C761" s="4">
        <f>79.8225 * CHOOSE(CONTROL!$C$9, $C$13, 100%, $E$13) + CHOOSE(CONTROL!$C$28, 0.0003, 0)</f>
        <v>79.822800000000001</v>
      </c>
      <c r="D761" s="4">
        <f>73.6633 * CHOOSE(CONTROL!$C$9, $C$13, 100%, $E$13) + CHOOSE(CONTROL!$C$28, 0, 0)</f>
        <v>73.663300000000007</v>
      </c>
      <c r="E761" s="4">
        <f>444.628203770068 * CHOOSE(CONTROL!$C$9, $C$13, 100%, $E$13) + CHOOSE(CONTROL!$C$28, 0, 0)</f>
        <v>444.62820377006801</v>
      </c>
    </row>
    <row r="762" spans="1:5" ht="15">
      <c r="A762" s="13">
        <v>64709</v>
      </c>
      <c r="B762" s="4">
        <f>81.9932 * CHOOSE(CONTROL!$C$9, $C$13, 100%, $E$13) + CHOOSE(CONTROL!$C$28, 0.0003, 0)</f>
        <v>81.993499999999997</v>
      </c>
      <c r="C762" s="4">
        <f>81.6807 * CHOOSE(CONTROL!$C$9, $C$13, 100%, $E$13) + CHOOSE(CONTROL!$C$28, 0.0003, 0)</f>
        <v>81.680999999999997</v>
      </c>
      <c r="D762" s="4">
        <f>76.207 * CHOOSE(CONTROL!$C$9, $C$13, 100%, $E$13) + CHOOSE(CONTROL!$C$28, 0, 0)</f>
        <v>76.206999999999994</v>
      </c>
      <c r="E762" s="4">
        <f>455.185429567056 * CHOOSE(CONTROL!$C$9, $C$13, 100%, $E$13) + CHOOSE(CONTROL!$C$28, 0, 0)</f>
        <v>455.18542956705602</v>
      </c>
    </row>
    <row r="763" spans="1:5" ht="15">
      <c r="A763" s="13">
        <v>64740</v>
      </c>
      <c r="B763" s="4">
        <f>86.873 * CHOOSE(CONTROL!$C$9, $C$13, 100%, $E$13) + CHOOSE(CONTROL!$C$28, 0.0003, 0)</f>
        <v>86.8733</v>
      </c>
      <c r="C763" s="4">
        <f>86.5605 * CHOOSE(CONTROL!$C$9, $C$13, 100%, $E$13) + CHOOSE(CONTROL!$C$28, 0.0003, 0)</f>
        <v>86.5608</v>
      </c>
      <c r="D763" s="4">
        <f>80.189 * CHOOSE(CONTROL!$C$9, $C$13, 100%, $E$13) + CHOOSE(CONTROL!$C$28, 0, 0)</f>
        <v>80.188999999999993</v>
      </c>
      <c r="E763" s="4">
        <f>482.909265554996 * CHOOSE(CONTROL!$C$9, $C$13, 100%, $E$13) + CHOOSE(CONTROL!$C$28, 0, 0)</f>
        <v>482.90926555499601</v>
      </c>
    </row>
    <row r="764" spans="1:5" ht="15">
      <c r="A764" s="13">
        <v>64770</v>
      </c>
      <c r="B764" s="4">
        <f>90.3401 * CHOOSE(CONTROL!$C$9, $C$13, 100%, $E$13) + CHOOSE(CONTROL!$C$28, 0.0003, 0)</f>
        <v>90.340400000000002</v>
      </c>
      <c r="C764" s="4">
        <f>90.0276 * CHOOSE(CONTROL!$C$9, $C$13, 100%, $E$13) + CHOOSE(CONTROL!$C$28, 0.0003, 0)</f>
        <v>90.027900000000002</v>
      </c>
      <c r="D764" s="4">
        <f>82.4828 * CHOOSE(CONTROL!$C$9, $C$13, 100%, $E$13) + CHOOSE(CONTROL!$C$28, 0, 0)</f>
        <v>82.482799999999997</v>
      </c>
      <c r="E764" s="4">
        <f>502.607420493121 * CHOOSE(CONTROL!$C$9, $C$13, 100%, $E$13) + CHOOSE(CONTROL!$C$28, 0, 0)</f>
        <v>502.60742049312103</v>
      </c>
    </row>
    <row r="765" spans="1:5" ht="15">
      <c r="A765" s="13">
        <v>64801</v>
      </c>
      <c r="B765" s="4">
        <f>92.4584 * CHOOSE(CONTROL!$C$9, $C$13, 100%, $E$13) + CHOOSE(CONTROL!$C$28, 0.0181, 0)</f>
        <v>92.476500000000001</v>
      </c>
      <c r="C765" s="4">
        <f>92.1459 * CHOOSE(CONTROL!$C$9, $C$13, 100%, $E$13) + CHOOSE(CONTROL!$C$28, 0.0181, 0)</f>
        <v>92.164000000000001</v>
      </c>
      <c r="D765" s="4">
        <f>81.5764 * CHOOSE(CONTROL!$C$9, $C$13, 100%, $E$13) + CHOOSE(CONTROL!$C$28, 0, 0)</f>
        <v>81.576400000000007</v>
      </c>
      <c r="E765" s="4">
        <f>514.64252106143 * CHOOSE(CONTROL!$C$9, $C$13, 100%, $E$13) + CHOOSE(CONTROL!$C$28, 0, 0)</f>
        <v>514.64252106142999</v>
      </c>
    </row>
    <row r="766" spans="1:5" ht="15">
      <c r="A766" s="13">
        <v>64831</v>
      </c>
      <c r="B766" s="4">
        <f>92.745 * CHOOSE(CONTROL!$C$9, $C$13, 100%, $E$13) + CHOOSE(CONTROL!$C$28, 0.0181, 0)</f>
        <v>92.763100000000009</v>
      </c>
      <c r="C766" s="4">
        <f>92.4325 * CHOOSE(CONTROL!$C$9, $C$13, 100%, $E$13) + CHOOSE(CONTROL!$C$28, 0.0181, 0)</f>
        <v>92.450600000000009</v>
      </c>
      <c r="D766" s="4">
        <f>82.3146 * CHOOSE(CONTROL!$C$9, $C$13, 100%, $E$13) + CHOOSE(CONTROL!$C$28, 0, 0)</f>
        <v>82.314599999999999</v>
      </c>
      <c r="E766" s="4">
        <f>516.270920115016 * CHOOSE(CONTROL!$C$9, $C$13, 100%, $E$13) + CHOOSE(CONTROL!$C$28, 0, 0)</f>
        <v>516.270920115016</v>
      </c>
    </row>
    <row r="767" spans="1:5" ht="15">
      <c r="A767" s="13">
        <v>64862</v>
      </c>
      <c r="B767" s="4">
        <f>92.7161 * CHOOSE(CONTROL!$C$9, $C$13, 100%, $E$13) + CHOOSE(CONTROL!$C$28, 0.0181, 0)</f>
        <v>92.734200000000001</v>
      </c>
      <c r="C767" s="4">
        <f>92.4036 * CHOOSE(CONTROL!$C$9, $C$13, 100%, $E$13) + CHOOSE(CONTROL!$C$28, 0.0181, 0)</f>
        <v>92.421700000000001</v>
      </c>
      <c r="D767" s="4">
        <f>83.6465 * CHOOSE(CONTROL!$C$9, $C$13, 100%, $E$13) + CHOOSE(CONTROL!$C$28, 0, 0)</f>
        <v>83.646500000000003</v>
      </c>
      <c r="E767" s="4">
        <f>516.106711807091 * CHOOSE(CONTROL!$C$9, $C$13, 100%, $E$13) + CHOOSE(CONTROL!$C$28, 0, 0)</f>
        <v>516.10671180709096</v>
      </c>
    </row>
    <row r="768" spans="1:5" ht="15">
      <c r="A768" s="13">
        <v>64893</v>
      </c>
      <c r="B768" s="4">
        <f>94.8911 * CHOOSE(CONTROL!$C$9, $C$13, 100%, $E$13) + CHOOSE(CONTROL!$C$28, 0.0181, 0)</f>
        <v>94.909199999999998</v>
      </c>
      <c r="C768" s="4">
        <f>94.5786 * CHOOSE(CONTROL!$C$9, $C$13, 100%, $E$13) + CHOOSE(CONTROL!$C$28, 0.0181, 0)</f>
        <v>94.596699999999998</v>
      </c>
      <c r="D768" s="4">
        <f>82.7669 * CHOOSE(CONTROL!$C$9, $C$13, 100%, $E$13) + CHOOSE(CONTROL!$C$28, 0, 0)</f>
        <v>82.766900000000007</v>
      </c>
      <c r="E768" s="4">
        <f>528.463386978419 * CHOOSE(CONTROL!$C$9, $C$13, 100%, $E$13) + CHOOSE(CONTROL!$C$28, 0, 0)</f>
        <v>528.46338697841895</v>
      </c>
    </row>
    <row r="769" spans="1:5" ht="15">
      <c r="A769" s="13">
        <v>64923</v>
      </c>
      <c r="B769" s="4">
        <f>91.1843 * CHOOSE(CONTROL!$C$9, $C$13, 100%, $E$13) + CHOOSE(CONTROL!$C$28, 0.0181, 0)</f>
        <v>91.202399999999997</v>
      </c>
      <c r="C769" s="4">
        <f>90.8718 * CHOOSE(CONTROL!$C$9, $C$13, 100%, $E$13) + CHOOSE(CONTROL!$C$28, 0.0181, 0)</f>
        <v>90.889899999999997</v>
      </c>
      <c r="D769" s="4">
        <f>82.3513 * CHOOSE(CONTROL!$C$9, $C$13, 100%, $E$13) + CHOOSE(CONTROL!$C$28, 0, 0)</f>
        <v>82.351299999999995</v>
      </c>
      <c r="E769" s="4">
        <f>507.403671487086 * CHOOSE(CONTROL!$C$9, $C$13, 100%, $E$13) + CHOOSE(CONTROL!$C$28, 0, 0)</f>
        <v>507.403671487086</v>
      </c>
    </row>
    <row r="770" spans="1:5" ht="15">
      <c r="A770" s="13">
        <v>64954</v>
      </c>
      <c r="B770" s="4">
        <f>88.217 * CHOOSE(CONTROL!$C$9, $C$13, 100%, $E$13) + CHOOSE(CONTROL!$C$28, 0.0003, 0)</f>
        <v>88.217299999999994</v>
      </c>
      <c r="C770" s="4">
        <f>87.9045 * CHOOSE(CONTROL!$C$9, $C$13, 100%, $E$13) + CHOOSE(CONTROL!$C$28, 0.0003, 0)</f>
        <v>87.904799999999994</v>
      </c>
      <c r="D770" s="4">
        <f>81.2385 * CHOOSE(CONTROL!$C$9, $C$13, 100%, $E$13) + CHOOSE(CONTROL!$C$28, 0, 0)</f>
        <v>81.238500000000002</v>
      </c>
      <c r="E770" s="4">
        <f>490.544951873491 * CHOOSE(CONTROL!$C$9, $C$13, 100%, $E$13) + CHOOSE(CONTROL!$C$28, 0, 0)</f>
        <v>490.54495187349102</v>
      </c>
    </row>
    <row r="771" spans="1:5" ht="15">
      <c r="A771" s="13">
        <v>64984</v>
      </c>
      <c r="B771" s="4">
        <f>86.3058 * CHOOSE(CONTROL!$C$9, $C$13, 100%, $E$13) + CHOOSE(CONTROL!$C$28, 0.0003, 0)</f>
        <v>86.306100000000001</v>
      </c>
      <c r="C771" s="4">
        <f>85.9933 * CHOOSE(CONTROL!$C$9, $C$13, 100%, $E$13) + CHOOSE(CONTROL!$C$28, 0.0003, 0)</f>
        <v>85.993600000000001</v>
      </c>
      <c r="D771" s="4">
        <f>80.8559 * CHOOSE(CONTROL!$C$9, $C$13, 100%, $E$13) + CHOOSE(CONTROL!$C$28, 0, 0)</f>
        <v>80.855900000000005</v>
      </c>
      <c r="E771" s="4">
        <f>479.686677511976 * CHOOSE(CONTROL!$C$9, $C$13, 100%, $E$13) + CHOOSE(CONTROL!$C$28, 0, 0)</f>
        <v>479.68667751197597</v>
      </c>
    </row>
    <row r="772" spans="1:5" ht="15">
      <c r="A772" s="13">
        <v>65015</v>
      </c>
      <c r="B772" s="4">
        <f>84.9835 * CHOOSE(CONTROL!$C$9, $C$13, 100%, $E$13) + CHOOSE(CONTROL!$C$28, 0.0003, 0)</f>
        <v>84.983800000000002</v>
      </c>
      <c r="C772" s="4">
        <f>84.671 * CHOOSE(CONTROL!$C$9, $C$13, 100%, $E$13) + CHOOSE(CONTROL!$C$28, 0.0003, 0)</f>
        <v>84.671300000000002</v>
      </c>
      <c r="D772" s="4">
        <f>78.0394 * CHOOSE(CONTROL!$C$9, $C$13, 100%, $E$13) + CHOOSE(CONTROL!$C$28, 0, 0)</f>
        <v>78.039400000000001</v>
      </c>
      <c r="E772" s="4">
        <f>472.174147424424 * CHOOSE(CONTROL!$C$9, $C$13, 100%, $E$13) + CHOOSE(CONTROL!$C$28, 0, 0)</f>
        <v>472.17414742442401</v>
      </c>
    </row>
    <row r="773" spans="1:5" ht="15">
      <c r="A773" s="13">
        <v>65046</v>
      </c>
      <c r="B773" s="4">
        <f>82.835 * CHOOSE(CONTROL!$C$9, $C$13, 100%, $E$13) + CHOOSE(CONTROL!$C$28, 0.0003, 0)</f>
        <v>82.835299999999989</v>
      </c>
      <c r="C773" s="4">
        <f>82.5225 * CHOOSE(CONTROL!$C$9, $C$13, 100%, $E$13) + CHOOSE(CONTROL!$C$28, 0.0003, 0)</f>
        <v>82.522799999999989</v>
      </c>
      <c r="D773" s="4">
        <f>75.4507 * CHOOSE(CONTROL!$C$9, $C$13, 100%, $E$13) + CHOOSE(CONTROL!$C$28, 0, 0)</f>
        <v>75.450699999999998</v>
      </c>
      <c r="E773" s="4">
        <f>458.633992188826 * CHOOSE(CONTROL!$C$9, $C$13, 100%, $E$13) + CHOOSE(CONTROL!$C$28, 0, 0)</f>
        <v>458.63399218882603</v>
      </c>
    </row>
    <row r="774" spans="1:5" ht="15">
      <c r="A774" s="13">
        <v>65074</v>
      </c>
      <c r="B774" s="4">
        <f>84.7573 * CHOOSE(CONTROL!$C$9, $C$13, 100%, $E$13) + CHOOSE(CONTROL!$C$28, 0.0003, 0)</f>
        <v>84.757599999999996</v>
      </c>
      <c r="C774" s="4">
        <f>84.4448 * CHOOSE(CONTROL!$C$9, $C$13, 100%, $E$13) + CHOOSE(CONTROL!$C$28, 0.0003, 0)</f>
        <v>84.445099999999996</v>
      </c>
      <c r="D774" s="4">
        <f>78.0575 * CHOOSE(CONTROL!$C$9, $C$13, 100%, $E$13) + CHOOSE(CONTROL!$C$28, 0, 0)</f>
        <v>78.057500000000005</v>
      </c>
      <c r="E774" s="4">
        <f>469.523770598418 * CHOOSE(CONTROL!$C$9, $C$13, 100%, $E$13) + CHOOSE(CONTROL!$C$28, 0, 0)</f>
        <v>469.52377059841803</v>
      </c>
    </row>
    <row r="775" spans="1:5" ht="15">
      <c r="A775" s="13">
        <v>65105</v>
      </c>
      <c r="B775" s="4">
        <f>89.8054 * CHOOSE(CONTROL!$C$9, $C$13, 100%, $E$13) + CHOOSE(CONTROL!$C$28, 0.0003, 0)</f>
        <v>89.805700000000002</v>
      </c>
      <c r="C775" s="4">
        <f>89.4929 * CHOOSE(CONTROL!$C$9, $C$13, 100%, $E$13) + CHOOSE(CONTROL!$C$28, 0.0003, 0)</f>
        <v>89.493200000000002</v>
      </c>
      <c r="D775" s="4">
        <f>82.1382 * CHOOSE(CONTROL!$C$9, $C$13, 100%, $E$13) + CHOOSE(CONTROL!$C$28, 0, 0)</f>
        <v>82.138199999999998</v>
      </c>
      <c r="E775" s="4">
        <f>498.120907419979 * CHOOSE(CONTROL!$C$9, $C$13, 100%, $E$13) + CHOOSE(CONTROL!$C$28, 0, 0)</f>
        <v>498.12090741997901</v>
      </c>
    </row>
    <row r="776" spans="1:5" ht="15">
      <c r="A776" s="13">
        <v>65135</v>
      </c>
      <c r="B776" s="4">
        <f>93.3922 * CHOOSE(CONTROL!$C$9, $C$13, 100%, $E$13) + CHOOSE(CONTROL!$C$28, 0.0003, 0)</f>
        <v>93.392499999999998</v>
      </c>
      <c r="C776" s="4">
        <f>93.0797 * CHOOSE(CONTROL!$C$9, $C$13, 100%, $E$13) + CHOOSE(CONTROL!$C$28, 0.0003, 0)</f>
        <v>93.08</v>
      </c>
      <c r="D776" s="4">
        <f>84.4889 * CHOOSE(CONTROL!$C$9, $C$13, 100%, $E$13) + CHOOSE(CONTROL!$C$28, 0, 0)</f>
        <v>84.488900000000001</v>
      </c>
      <c r="E776" s="4">
        <f>518.439554238654 * CHOOSE(CONTROL!$C$9, $C$13, 100%, $E$13) + CHOOSE(CONTROL!$C$28, 0, 0)</f>
        <v>518.43955423865395</v>
      </c>
    </row>
    <row r="777" spans="1:5" ht="15">
      <c r="A777" s="13">
        <v>65166</v>
      </c>
      <c r="B777" s="4">
        <f>95.5836 * CHOOSE(CONTROL!$C$9, $C$13, 100%, $E$13) + CHOOSE(CONTROL!$C$28, 0.0181, 0)</f>
        <v>95.601700000000008</v>
      </c>
      <c r="C777" s="4">
        <f>95.2711 * CHOOSE(CONTROL!$C$9, $C$13, 100%, $E$13) + CHOOSE(CONTROL!$C$28, 0.0181, 0)</f>
        <v>95.289200000000008</v>
      </c>
      <c r="D777" s="4">
        <f>83.56 * CHOOSE(CONTROL!$C$9, $C$13, 100%, $E$13) + CHOOSE(CONTROL!$C$28, 0, 0)</f>
        <v>83.56</v>
      </c>
      <c r="E777" s="4">
        <f>530.853760474865 * CHOOSE(CONTROL!$C$9, $C$13, 100%, $E$13) + CHOOSE(CONTROL!$C$28, 0, 0)</f>
        <v>530.853760474865</v>
      </c>
    </row>
    <row r="778" spans="1:5" ht="15">
      <c r="A778" s="13">
        <v>65196</v>
      </c>
      <c r="B778" s="4">
        <f>95.8801 * CHOOSE(CONTROL!$C$9, $C$13, 100%, $E$13) + CHOOSE(CONTROL!$C$28, 0.0181, 0)</f>
        <v>95.898200000000003</v>
      </c>
      <c r="C778" s="4">
        <f>95.5676 * CHOOSE(CONTROL!$C$9, $C$13, 100%, $E$13) + CHOOSE(CONTROL!$C$28, 0.0181, 0)</f>
        <v>95.585700000000003</v>
      </c>
      <c r="D778" s="4">
        <f>84.3165 * CHOOSE(CONTROL!$C$9, $C$13, 100%, $E$13) + CHOOSE(CONTROL!$C$28, 0, 0)</f>
        <v>84.316500000000005</v>
      </c>
      <c r="E778" s="4">
        <f>532.533454098639 * CHOOSE(CONTROL!$C$9, $C$13, 100%, $E$13) + CHOOSE(CONTROL!$C$28, 0, 0)</f>
        <v>532.53345409863903</v>
      </c>
    </row>
    <row r="779" spans="1:5" ht="15">
      <c r="A779" s="13">
        <v>65227</v>
      </c>
      <c r="B779" s="4">
        <f>95.8502 * CHOOSE(CONTROL!$C$9, $C$13, 100%, $E$13) + CHOOSE(CONTROL!$C$28, 0.0181, 0)</f>
        <v>95.868300000000005</v>
      </c>
      <c r="C779" s="4">
        <f>95.5377 * CHOOSE(CONTROL!$C$9, $C$13, 100%, $E$13) + CHOOSE(CONTROL!$C$28, 0.0181, 0)</f>
        <v>95.555800000000005</v>
      </c>
      <c r="D779" s="4">
        <f>85.6815 * CHOOSE(CONTROL!$C$9, $C$13, 100%, $E$13) + CHOOSE(CONTROL!$C$28, 0, 0)</f>
        <v>85.6815</v>
      </c>
      <c r="E779" s="4">
        <f>532.364073229014 * CHOOSE(CONTROL!$C$9, $C$13, 100%, $E$13) + CHOOSE(CONTROL!$C$28, 0, 0)</f>
        <v>532.36407322901402</v>
      </c>
    </row>
    <row r="780" spans="1:5" ht="15">
      <c r="A780" s="13">
        <v>65258</v>
      </c>
      <c r="B780" s="4">
        <f>98.1001 * CHOOSE(CONTROL!$C$9, $C$13, 100%, $E$13) + CHOOSE(CONTROL!$C$28, 0.0181, 0)</f>
        <v>98.118200000000002</v>
      </c>
      <c r="C780" s="4">
        <f>97.7876 * CHOOSE(CONTROL!$C$9, $C$13, 100%, $E$13) + CHOOSE(CONTROL!$C$28, 0.0181, 0)</f>
        <v>97.805700000000002</v>
      </c>
      <c r="D780" s="4">
        <f>84.7801 * CHOOSE(CONTROL!$C$9, $C$13, 100%, $E$13) + CHOOSE(CONTROL!$C$28, 0, 0)</f>
        <v>84.780100000000004</v>
      </c>
      <c r="E780" s="4">
        <f>545.109983668239 * CHOOSE(CONTROL!$C$9, $C$13, 100%, $E$13) + CHOOSE(CONTROL!$C$28, 0, 0)</f>
        <v>545.10998366823901</v>
      </c>
    </row>
    <row r="781" spans="1:5" ht="15">
      <c r="A781" s="13">
        <v>65288</v>
      </c>
      <c r="B781" s="4">
        <f>94.2655 * CHOOSE(CONTROL!$C$9, $C$13, 100%, $E$13) + CHOOSE(CONTROL!$C$28, 0.0181, 0)</f>
        <v>94.283600000000007</v>
      </c>
      <c r="C781" s="4">
        <f>93.953 * CHOOSE(CONTROL!$C$9, $C$13, 100%, $E$13) + CHOOSE(CONTROL!$C$28, 0.0181, 0)</f>
        <v>93.971100000000007</v>
      </c>
      <c r="D781" s="4">
        <f>84.3541 * CHOOSE(CONTROL!$C$9, $C$13, 100%, $E$13) + CHOOSE(CONTROL!$C$28, 0, 0)</f>
        <v>84.354100000000003</v>
      </c>
      <c r="E781" s="4">
        <f>523.386887138929 * CHOOSE(CONTROL!$C$9, $C$13, 100%, $E$13) + CHOOSE(CONTROL!$C$28, 0, 0)</f>
        <v>523.38688713892896</v>
      </c>
    </row>
    <row r="782" spans="1:5" ht="15">
      <c r="A782" s="13">
        <v>65319</v>
      </c>
      <c r="B782" s="4">
        <f>91.1958 * CHOOSE(CONTROL!$C$9, $C$13, 100%, $E$13) + CHOOSE(CONTROL!$C$28, 0.0003, 0)</f>
        <v>91.196100000000001</v>
      </c>
      <c r="C782" s="4">
        <f>90.8833 * CHOOSE(CONTROL!$C$9, $C$13, 100%, $E$13) + CHOOSE(CONTROL!$C$28, 0.0003, 0)</f>
        <v>90.883600000000001</v>
      </c>
      <c r="D782" s="4">
        <f>83.2138 * CHOOSE(CONTROL!$C$9, $C$13, 100%, $E$13) + CHOOSE(CONTROL!$C$28, 0, 0)</f>
        <v>83.213800000000006</v>
      </c>
      <c r="E782" s="4">
        <f>505.997117857506 * CHOOSE(CONTROL!$C$9, $C$13, 100%, $E$13) + CHOOSE(CONTROL!$C$28, 0, 0)</f>
        <v>505.997117857506</v>
      </c>
    </row>
    <row r="783" spans="1:5" ht="15">
      <c r="A783" s="13">
        <v>65349</v>
      </c>
      <c r="B783" s="4">
        <f>89.2186 * CHOOSE(CONTROL!$C$9, $C$13, 100%, $E$13) + CHOOSE(CONTROL!$C$28, 0.0003, 0)</f>
        <v>89.218899999999991</v>
      </c>
      <c r="C783" s="4">
        <f>88.9061 * CHOOSE(CONTROL!$C$9, $C$13, 100%, $E$13) + CHOOSE(CONTROL!$C$28, 0.0003, 0)</f>
        <v>88.906399999999991</v>
      </c>
      <c r="D783" s="4">
        <f>82.8217 * CHOOSE(CONTROL!$C$9, $C$13, 100%, $E$13) + CHOOSE(CONTROL!$C$28, 0, 0)</f>
        <v>82.821700000000007</v>
      </c>
      <c r="E783" s="4">
        <f>494.796807853603 * CHOOSE(CONTROL!$C$9, $C$13, 100%, $E$13) + CHOOSE(CONTROL!$C$28, 0, 0)</f>
        <v>494.79680785360301</v>
      </c>
    </row>
    <row r="784" spans="1:5" ht="15">
      <c r="A784" s="13">
        <v>65380</v>
      </c>
      <c r="B784" s="4">
        <f>87.8507 * CHOOSE(CONTROL!$C$9, $C$13, 100%, $E$13) + CHOOSE(CONTROL!$C$28, 0.0003, 0)</f>
        <v>87.850999999999999</v>
      </c>
      <c r="C784" s="4">
        <f>87.5382 * CHOOSE(CONTROL!$C$9, $C$13, 100%, $E$13) + CHOOSE(CONTROL!$C$28, 0.0003, 0)</f>
        <v>87.538499999999999</v>
      </c>
      <c r="D784" s="4">
        <f>79.9353 * CHOOSE(CONTROL!$C$9, $C$13, 100%, $E$13) + CHOOSE(CONTROL!$C$28, 0, 0)</f>
        <v>79.935299999999998</v>
      </c>
      <c r="E784" s="4">
        <f>487.047633068293 * CHOOSE(CONTROL!$C$9, $C$13, 100%, $E$13) + CHOOSE(CONTROL!$C$28, 0, 0)</f>
        <v>487.04763306829301</v>
      </c>
    </row>
    <row r="785" spans="1:5" ht="15">
      <c r="A785" s="13">
        <v>65411</v>
      </c>
      <c r="B785" s="4">
        <f>85.6281 * CHOOSE(CONTROL!$C$9, $C$13, 100%, $E$13) + CHOOSE(CONTROL!$C$28, 0.0003, 0)</f>
        <v>85.628399999999999</v>
      </c>
      <c r="C785" s="4">
        <f>85.3156 * CHOOSE(CONTROL!$C$9, $C$13, 100%, $E$13) + CHOOSE(CONTROL!$C$28, 0.0003, 0)</f>
        <v>85.315899999999999</v>
      </c>
      <c r="D785" s="4">
        <f>77.2824 * CHOOSE(CONTROL!$C$9, $C$13, 100%, $E$13) + CHOOSE(CONTROL!$C$28, 0, 0)</f>
        <v>77.282399999999996</v>
      </c>
      <c r="E785" s="4">
        <f>473.080962942774 * CHOOSE(CONTROL!$C$9, $C$13, 100%, $E$13) + CHOOSE(CONTROL!$C$28, 0, 0)</f>
        <v>473.08096294277402</v>
      </c>
    </row>
    <row r="786" spans="1:5" ht="15">
      <c r="A786" s="13">
        <v>65439</v>
      </c>
      <c r="B786" s="4">
        <f>87.6168 * CHOOSE(CONTROL!$C$9, $C$13, 100%, $E$13) + CHOOSE(CONTROL!$C$28, 0.0003, 0)</f>
        <v>87.617099999999994</v>
      </c>
      <c r="C786" s="4">
        <f>87.3043 * CHOOSE(CONTROL!$C$9, $C$13, 100%, $E$13) + CHOOSE(CONTROL!$C$28, 0.0003, 0)</f>
        <v>87.304599999999994</v>
      </c>
      <c r="D786" s="4">
        <f>79.9539 * CHOOSE(CONTROL!$C$9, $C$13, 100%, $E$13) + CHOOSE(CONTROL!$C$28, 0, 0)</f>
        <v>79.953900000000004</v>
      </c>
      <c r="E786" s="4">
        <f>484.313769372268 * CHOOSE(CONTROL!$C$9, $C$13, 100%, $E$13) + CHOOSE(CONTROL!$C$28, 0, 0)</f>
        <v>484.31376937226798</v>
      </c>
    </row>
    <row r="787" spans="1:5" ht="15">
      <c r="A787" s="13">
        <v>65470</v>
      </c>
      <c r="B787" s="4">
        <f>92.839 * CHOOSE(CONTROL!$C$9, $C$13, 100%, $E$13) + CHOOSE(CONTROL!$C$28, 0.0003, 0)</f>
        <v>92.839299999999994</v>
      </c>
      <c r="C787" s="4">
        <f>92.5265 * CHOOSE(CONTROL!$C$9, $C$13, 100%, $E$13) + CHOOSE(CONTROL!$C$28, 0.0003, 0)</f>
        <v>92.526799999999994</v>
      </c>
      <c r="D787" s="4">
        <f>84.1358 * CHOOSE(CONTROL!$C$9, $C$13, 100%, $E$13) + CHOOSE(CONTROL!$C$28, 0, 0)</f>
        <v>84.135800000000003</v>
      </c>
      <c r="E787" s="4">
        <f>513.811716003708 * CHOOSE(CONTROL!$C$9, $C$13, 100%, $E$13) + CHOOSE(CONTROL!$C$28, 0, 0)</f>
        <v>513.81171600370806</v>
      </c>
    </row>
    <row r="788" spans="1:5" ht="15">
      <c r="A788" s="13">
        <v>65500</v>
      </c>
      <c r="B788" s="4">
        <f>96.5495 * CHOOSE(CONTROL!$C$9, $C$13, 100%, $E$13) + CHOOSE(CONTROL!$C$28, 0.0003, 0)</f>
        <v>96.549799999999991</v>
      </c>
      <c r="C788" s="4">
        <f>96.237 * CHOOSE(CONTROL!$C$9, $C$13, 100%, $E$13) + CHOOSE(CONTROL!$C$28, 0.0003, 0)</f>
        <v>96.237299999999991</v>
      </c>
      <c r="D788" s="4">
        <f>86.5448 * CHOOSE(CONTROL!$C$9, $C$13, 100%, $E$13) + CHOOSE(CONTROL!$C$28, 0, 0)</f>
        <v>86.544799999999995</v>
      </c>
      <c r="E788" s="4">
        <f>534.770400197172 * CHOOSE(CONTROL!$C$9, $C$13, 100%, $E$13) + CHOOSE(CONTROL!$C$28, 0, 0)</f>
        <v>534.77040019717197</v>
      </c>
    </row>
    <row r="789" spans="1:5" ht="15">
      <c r="A789" s="13">
        <v>65531</v>
      </c>
      <c r="B789" s="4">
        <f>98.8165 * CHOOSE(CONTROL!$C$9, $C$13, 100%, $E$13) + CHOOSE(CONTROL!$C$28, 0.0181, 0)</f>
        <v>98.834600000000009</v>
      </c>
      <c r="C789" s="4">
        <f>98.504 * CHOOSE(CONTROL!$C$9, $C$13, 100%, $E$13) + CHOOSE(CONTROL!$C$28, 0.0181, 0)</f>
        <v>98.522100000000009</v>
      </c>
      <c r="D789" s="4">
        <f>85.5929 * CHOOSE(CONTROL!$C$9, $C$13, 100%, $E$13) + CHOOSE(CONTROL!$C$28, 0, 0)</f>
        <v>85.5929</v>
      </c>
      <c r="E789" s="4">
        <f>547.575653929823 * CHOOSE(CONTROL!$C$9, $C$13, 100%, $E$13) + CHOOSE(CONTROL!$C$28, 0, 0)</f>
        <v>547.57565392982303</v>
      </c>
    </row>
    <row r="790" spans="1:5" ht="15">
      <c r="A790" s="13">
        <v>65561</v>
      </c>
      <c r="B790" s="4">
        <f>99.1232 * CHOOSE(CONTROL!$C$9, $C$13, 100%, $E$13) + CHOOSE(CONTROL!$C$28, 0.0181, 0)</f>
        <v>99.141300000000001</v>
      </c>
      <c r="C790" s="4">
        <f>98.8107 * CHOOSE(CONTROL!$C$9, $C$13, 100%, $E$13) + CHOOSE(CONTROL!$C$28, 0.0181, 0)</f>
        <v>98.828800000000001</v>
      </c>
      <c r="D790" s="4">
        <f>86.3681 * CHOOSE(CONTROL!$C$9, $C$13, 100%, $E$13) + CHOOSE(CONTROL!$C$28, 0, 0)</f>
        <v>86.368099999999998</v>
      </c>
      <c r="E790" s="4">
        <f>549.308257902746 * CHOOSE(CONTROL!$C$9, $C$13, 100%, $E$13) + CHOOSE(CONTROL!$C$28, 0, 0)</f>
        <v>549.30825790274605</v>
      </c>
    </row>
    <row r="791" spans="1:5" ht="15">
      <c r="A791" s="13">
        <v>65592</v>
      </c>
      <c r="B791" s="4">
        <f>99.0923 * CHOOSE(CONTROL!$C$9, $C$13, 100%, $E$13) + CHOOSE(CONTROL!$C$28, 0.0181, 0)</f>
        <v>99.110399999999998</v>
      </c>
      <c r="C791" s="4">
        <f>98.7798 * CHOOSE(CONTROL!$C$9, $C$13, 100%, $E$13) + CHOOSE(CONTROL!$C$28, 0.0181, 0)</f>
        <v>98.797899999999998</v>
      </c>
      <c r="D791" s="4">
        <f>87.7669 * CHOOSE(CONTROL!$C$9, $C$13, 100%, $E$13) + CHOOSE(CONTROL!$C$28, 0, 0)</f>
        <v>87.766900000000007</v>
      </c>
      <c r="E791" s="4">
        <f>549.133541535728 * CHOOSE(CONTROL!$C$9, $C$13, 100%, $E$13) + CHOOSE(CONTROL!$C$28, 0, 0)</f>
        <v>549.133541535728</v>
      </c>
    </row>
    <row r="792" spans="1:5" ht="15">
      <c r="A792" s="13">
        <v>65623</v>
      </c>
      <c r="B792" s="4">
        <f>101.4199 * CHOOSE(CONTROL!$C$9, $C$13, 100%, $E$13) + CHOOSE(CONTROL!$C$28, 0.0181, 0)</f>
        <v>101.438</v>
      </c>
      <c r="C792" s="4">
        <f>101.1074 * CHOOSE(CONTROL!$C$9, $C$13, 100%, $E$13) + CHOOSE(CONTROL!$C$28, 0.0181, 0)</f>
        <v>101.1255</v>
      </c>
      <c r="D792" s="4">
        <f>86.8431 * CHOOSE(CONTROL!$C$9, $C$13, 100%, $E$13) + CHOOSE(CONTROL!$C$28, 0, 0)</f>
        <v>86.843100000000007</v>
      </c>
      <c r="E792" s="4">
        <f>562.280948153789 * CHOOSE(CONTROL!$C$9, $C$13, 100%, $E$13) + CHOOSE(CONTROL!$C$28, 0, 0)</f>
        <v>562.28094815378904</v>
      </c>
    </row>
    <row r="793" spans="1:5" ht="15">
      <c r="A793" s="13">
        <v>65653</v>
      </c>
      <c r="B793" s="4">
        <f>97.4529 * CHOOSE(CONTROL!$C$9, $C$13, 100%, $E$13) + CHOOSE(CONTROL!$C$28, 0.0181, 0)</f>
        <v>97.471000000000004</v>
      </c>
      <c r="C793" s="4">
        <f>97.1404 * CHOOSE(CONTROL!$C$9, $C$13, 100%, $E$13) + CHOOSE(CONTROL!$C$28, 0.0181, 0)</f>
        <v>97.158500000000004</v>
      </c>
      <c r="D793" s="4">
        <f>86.4067 * CHOOSE(CONTROL!$C$9, $C$13, 100%, $E$13) + CHOOSE(CONTROL!$C$28, 0, 0)</f>
        <v>86.406700000000001</v>
      </c>
      <c r="E793" s="4">
        <f>539.873574083806 * CHOOSE(CONTROL!$C$9, $C$13, 100%, $E$13) + CHOOSE(CONTROL!$C$28, 0, 0)</f>
        <v>539.87357408380603</v>
      </c>
    </row>
    <row r="794" spans="1:5" ht="15">
      <c r="A794" s="13">
        <v>65684</v>
      </c>
      <c r="B794" s="4">
        <f>94.2773 * CHOOSE(CONTROL!$C$9, $C$13, 100%, $E$13) + CHOOSE(CONTROL!$C$28, 0.0003, 0)</f>
        <v>94.277599999999993</v>
      </c>
      <c r="C794" s="4">
        <f>93.9648 * CHOOSE(CONTROL!$C$9, $C$13, 100%, $E$13) + CHOOSE(CONTROL!$C$28, 0.0003, 0)</f>
        <v>93.965099999999993</v>
      </c>
      <c r="D794" s="4">
        <f>85.238 * CHOOSE(CONTROL!$C$9, $C$13, 100%, $E$13) + CHOOSE(CONTROL!$C$28, 0, 0)</f>
        <v>85.238</v>
      </c>
      <c r="E794" s="4">
        <f>521.936027070018 * CHOOSE(CONTROL!$C$9, $C$13, 100%, $E$13) + CHOOSE(CONTROL!$C$28, 0, 0)</f>
        <v>521.93602707001799</v>
      </c>
    </row>
    <row r="795" spans="1:5" ht="15">
      <c r="A795" s="13">
        <v>65714</v>
      </c>
      <c r="B795" s="4">
        <f>92.232 * CHOOSE(CONTROL!$C$9, $C$13, 100%, $E$13) + CHOOSE(CONTROL!$C$28, 0.0003, 0)</f>
        <v>92.232299999999995</v>
      </c>
      <c r="C795" s="4">
        <f>91.9195 * CHOOSE(CONTROL!$C$9, $C$13, 100%, $E$13) + CHOOSE(CONTROL!$C$28, 0.0003, 0)</f>
        <v>91.919799999999995</v>
      </c>
      <c r="D795" s="4">
        <f>84.8362 * CHOOSE(CONTROL!$C$9, $C$13, 100%, $E$13) + CHOOSE(CONTROL!$C$28, 0, 0)</f>
        <v>84.836200000000005</v>
      </c>
      <c r="E795" s="4">
        <f>510.382907300991 * CHOOSE(CONTROL!$C$9, $C$13, 100%, $E$13) + CHOOSE(CONTROL!$C$28, 0, 0)</f>
        <v>510.38290730099101</v>
      </c>
    </row>
    <row r="796" spans="1:5" ht="15">
      <c r="A796" s="13">
        <v>65745</v>
      </c>
      <c r="B796" s="4">
        <f>90.8169 * CHOOSE(CONTROL!$C$9, $C$13, 100%, $E$13) + CHOOSE(CONTROL!$C$28, 0.0003, 0)</f>
        <v>90.8172</v>
      </c>
      <c r="C796" s="4">
        <f>90.5044 * CHOOSE(CONTROL!$C$9, $C$13, 100%, $E$13) + CHOOSE(CONTROL!$C$28, 0.0003, 0)</f>
        <v>90.5047</v>
      </c>
      <c r="D796" s="4">
        <f>81.8782 * CHOOSE(CONTROL!$C$9, $C$13, 100%, $E$13) + CHOOSE(CONTROL!$C$28, 0, 0)</f>
        <v>81.878200000000007</v>
      </c>
      <c r="E796" s="4">
        <f>502.389633509945 * CHOOSE(CONTROL!$C$9, $C$13, 100%, $E$13) + CHOOSE(CONTROL!$C$28, 0, 0)</f>
        <v>502.38963350994499</v>
      </c>
    </row>
    <row r="797" spans="1:5" ht="15">
      <c r="A797" s="13">
        <v>65776</v>
      </c>
      <c r="B797" s="4">
        <f>88.5176 * CHOOSE(CONTROL!$C$9, $C$13, 100%, $E$13) + CHOOSE(CONTROL!$C$28, 0.0003, 0)</f>
        <v>88.517899999999997</v>
      </c>
      <c r="C797" s="4">
        <f>88.2051 * CHOOSE(CONTROL!$C$9, $C$13, 100%, $E$13) + CHOOSE(CONTROL!$C$28, 0.0003, 0)</f>
        <v>88.205399999999997</v>
      </c>
      <c r="D797" s="4">
        <f>79.1596 * CHOOSE(CONTROL!$C$9, $C$13, 100%, $E$13) + CHOOSE(CONTROL!$C$28, 0, 0)</f>
        <v>79.159599999999998</v>
      </c>
      <c r="E797" s="4">
        <f>487.983013275471 * CHOOSE(CONTROL!$C$9, $C$13, 100%, $E$13) + CHOOSE(CONTROL!$C$28, 0, 0)</f>
        <v>487.98301327547102</v>
      </c>
    </row>
    <row r="798" spans="1:5" ht="15">
      <c r="A798" s="13">
        <v>65805</v>
      </c>
      <c r="B798" s="4">
        <f>90.5749 * CHOOSE(CONTROL!$C$9, $C$13, 100%, $E$13) + CHOOSE(CONTROL!$C$28, 0.0003, 0)</f>
        <v>90.575199999999995</v>
      </c>
      <c r="C798" s="4">
        <f>90.2624 * CHOOSE(CONTROL!$C$9, $C$13, 100%, $E$13) + CHOOSE(CONTROL!$C$28, 0.0003, 0)</f>
        <v>90.262699999999995</v>
      </c>
      <c r="D798" s="4">
        <f>81.8973 * CHOOSE(CONTROL!$C$9, $C$13, 100%, $E$13) + CHOOSE(CONTROL!$C$28, 0, 0)</f>
        <v>81.897300000000001</v>
      </c>
      <c r="E798" s="4">
        <f>499.569653107495 * CHOOSE(CONTROL!$C$9, $C$13, 100%, $E$13) + CHOOSE(CONTROL!$C$28, 0, 0)</f>
        <v>499.56965310749501</v>
      </c>
    </row>
    <row r="799" spans="1:5" ht="15">
      <c r="A799" s="13">
        <v>65836</v>
      </c>
      <c r="B799" s="4">
        <f>95.9773 * CHOOSE(CONTROL!$C$9, $C$13, 100%, $E$13) + CHOOSE(CONTROL!$C$28, 0.0003, 0)</f>
        <v>95.977599999999995</v>
      </c>
      <c r="C799" s="4">
        <f>95.6648 * CHOOSE(CONTROL!$C$9, $C$13, 100%, $E$13) + CHOOSE(CONTROL!$C$28, 0.0003, 0)</f>
        <v>95.665099999999995</v>
      </c>
      <c r="D799" s="4">
        <f>86.1829 * CHOOSE(CONTROL!$C$9, $C$13, 100%, $E$13) + CHOOSE(CONTROL!$C$28, 0, 0)</f>
        <v>86.182900000000004</v>
      </c>
      <c r="E799" s="4">
        <f>529.996785057825 * CHOOSE(CONTROL!$C$9, $C$13, 100%, $E$13) + CHOOSE(CONTROL!$C$28, 0, 0)</f>
        <v>529.99678505782504</v>
      </c>
    </row>
    <row r="800" spans="1:5" ht="15">
      <c r="A800" s="13">
        <v>65866</v>
      </c>
      <c r="B800" s="4">
        <f>99.8158 * CHOOSE(CONTROL!$C$9, $C$13, 100%, $E$13) + CHOOSE(CONTROL!$C$28, 0.0003, 0)</f>
        <v>99.816099999999992</v>
      </c>
      <c r="C800" s="4">
        <f>99.5033 * CHOOSE(CONTROL!$C$9, $C$13, 100%, $E$13) + CHOOSE(CONTROL!$C$28, 0.0003, 0)</f>
        <v>99.503599999999992</v>
      </c>
      <c r="D800" s="4">
        <f>88.6516 * CHOOSE(CONTROL!$C$9, $C$13, 100%, $E$13) + CHOOSE(CONTROL!$C$28, 0, 0)</f>
        <v>88.651600000000002</v>
      </c>
      <c r="E800" s="4">
        <f>551.615667803383 * CHOOSE(CONTROL!$C$9, $C$13, 100%, $E$13) + CHOOSE(CONTROL!$C$28, 0, 0)</f>
        <v>551.61566780338296</v>
      </c>
    </row>
    <row r="801" spans="1:5" ht="15">
      <c r="A801" s="13">
        <v>65897</v>
      </c>
      <c r="B801" s="4">
        <f>102.161 * CHOOSE(CONTROL!$C$9, $C$13, 100%, $E$13) + CHOOSE(CONTROL!$C$28, 0.0181, 0)</f>
        <v>102.17910000000001</v>
      </c>
      <c r="C801" s="4">
        <f>101.8485 * CHOOSE(CONTROL!$C$9, $C$13, 100%, $E$13) + CHOOSE(CONTROL!$C$28, 0.0181, 0)</f>
        <v>101.86660000000001</v>
      </c>
      <c r="D801" s="4">
        <f>87.6761 * CHOOSE(CONTROL!$C$9, $C$13, 100%, $E$13) + CHOOSE(CONTROL!$C$28, 0, 0)</f>
        <v>87.676100000000005</v>
      </c>
      <c r="E801" s="4">
        <f>564.824287028613 * CHOOSE(CONTROL!$C$9, $C$13, 100%, $E$13) + CHOOSE(CONTROL!$C$28, 0, 0)</f>
        <v>564.82428702861296</v>
      </c>
    </row>
    <row r="802" spans="1:5" ht="15">
      <c r="A802" s="13">
        <v>65927</v>
      </c>
      <c r="B802" s="4">
        <f>102.4783 * CHOOSE(CONTROL!$C$9, $C$13, 100%, $E$13) + CHOOSE(CONTROL!$C$28, 0.0181, 0)</f>
        <v>102.49640000000001</v>
      </c>
      <c r="C802" s="4">
        <f>102.1658 * CHOOSE(CONTROL!$C$9, $C$13, 100%, $E$13) + CHOOSE(CONTROL!$C$28, 0.0181, 0)</f>
        <v>102.18390000000001</v>
      </c>
      <c r="D802" s="4">
        <f>88.4706 * CHOOSE(CONTROL!$C$9, $C$13, 100%, $E$13) + CHOOSE(CONTROL!$C$28, 0, 0)</f>
        <v>88.470600000000005</v>
      </c>
      <c r="E802" s="4">
        <f>566.611468026682 * CHOOSE(CONTROL!$C$9, $C$13, 100%, $E$13) + CHOOSE(CONTROL!$C$28, 0, 0)</f>
        <v>566.61146802668202</v>
      </c>
    </row>
    <row r="803" spans="1:5" ht="15">
      <c r="A803" s="13">
        <v>65958</v>
      </c>
      <c r="B803" s="4">
        <f>102.4463 * CHOOSE(CONTROL!$C$9, $C$13, 100%, $E$13) + CHOOSE(CONTROL!$C$28, 0.0181, 0)</f>
        <v>102.4644</v>
      </c>
      <c r="C803" s="4">
        <f>102.1338 * CHOOSE(CONTROL!$C$9, $C$13, 100%, $E$13) + CHOOSE(CONTROL!$C$28, 0.0181, 0)</f>
        <v>102.1519</v>
      </c>
      <c r="D803" s="4">
        <f>89.9041 * CHOOSE(CONTROL!$C$9, $C$13, 100%, $E$13) + CHOOSE(CONTROL!$C$28, 0, 0)</f>
        <v>89.9041</v>
      </c>
      <c r="E803" s="4">
        <f>566.431248094104 * CHOOSE(CONTROL!$C$9, $C$13, 100%, $E$13) + CHOOSE(CONTROL!$C$28, 0, 0)</f>
        <v>566.43124809410403</v>
      </c>
    </row>
    <row r="804" spans="1:5" ht="15">
      <c r="A804" s="13">
        <v>65989</v>
      </c>
      <c r="B804" s="4">
        <f>104.8542 * CHOOSE(CONTROL!$C$9, $C$13, 100%, $E$13) + CHOOSE(CONTROL!$C$28, 0.0181, 0)</f>
        <v>104.87230000000001</v>
      </c>
      <c r="C804" s="4">
        <f>104.5417 * CHOOSE(CONTROL!$C$9, $C$13, 100%, $E$13) + CHOOSE(CONTROL!$C$28, 0.0181, 0)</f>
        <v>104.55980000000001</v>
      </c>
      <c r="D804" s="4">
        <f>88.9574 * CHOOSE(CONTROL!$C$9, $C$13, 100%, $E$13) + CHOOSE(CONTROL!$C$28, 0, 0)</f>
        <v>88.957400000000007</v>
      </c>
      <c r="E804" s="4">
        <f>579.992798020633 * CHOOSE(CONTROL!$C$9, $C$13, 100%, $E$13) + CHOOSE(CONTROL!$C$28, 0, 0)</f>
        <v>579.99279802063302</v>
      </c>
    </row>
    <row r="805" spans="1:5" ht="15">
      <c r="A805" s="13">
        <v>66019</v>
      </c>
      <c r="B805" s="4">
        <f>100.7504 * CHOOSE(CONTROL!$C$9, $C$13, 100%, $E$13) + CHOOSE(CONTROL!$C$28, 0.0181, 0)</f>
        <v>100.7685</v>
      </c>
      <c r="C805" s="4">
        <f>100.4379 * CHOOSE(CONTROL!$C$9, $C$13, 100%, $E$13) + CHOOSE(CONTROL!$C$28, 0.0181, 0)</f>
        <v>100.456</v>
      </c>
      <c r="D805" s="4">
        <f>88.5101 * CHOOSE(CONTROL!$C$9, $C$13, 100%, $E$13) + CHOOSE(CONTROL!$C$28, 0, 0)</f>
        <v>88.510099999999994</v>
      </c>
      <c r="E805" s="4">
        <f>556.879591667446 * CHOOSE(CONTROL!$C$9, $C$13, 100%, $E$13) + CHOOSE(CONTROL!$C$28, 0, 0)</f>
        <v>556.87959166744599</v>
      </c>
    </row>
    <row r="806" spans="1:5" ht="15">
      <c r="A806" s="13">
        <v>66050</v>
      </c>
      <c r="B806" s="4">
        <f>97.4652 * CHOOSE(CONTROL!$C$9, $C$13, 100%, $E$13) + CHOOSE(CONTROL!$C$28, 0.0003, 0)</f>
        <v>97.465499999999992</v>
      </c>
      <c r="C806" s="4">
        <f>97.1527 * CHOOSE(CONTROL!$C$9, $C$13, 100%, $E$13) + CHOOSE(CONTROL!$C$28, 0.0003, 0)</f>
        <v>97.152999999999992</v>
      </c>
      <c r="D806" s="4">
        <f>87.3125 * CHOOSE(CONTROL!$C$9, $C$13, 100%, $E$13) + CHOOSE(CONTROL!$C$28, 0, 0)</f>
        <v>87.3125</v>
      </c>
      <c r="E806" s="4">
        <f>538.377011922723 * CHOOSE(CONTROL!$C$9, $C$13, 100%, $E$13) + CHOOSE(CONTROL!$C$28, 0, 0)</f>
        <v>538.377011922723</v>
      </c>
    </row>
    <row r="807" spans="1:5" ht="15">
      <c r="A807" s="13">
        <v>66080</v>
      </c>
      <c r="B807" s="4">
        <f>95.3493 * CHOOSE(CONTROL!$C$9, $C$13, 100%, $E$13) + CHOOSE(CONTROL!$C$28, 0.0003, 0)</f>
        <v>95.349599999999995</v>
      </c>
      <c r="C807" s="4">
        <f>95.0368 * CHOOSE(CONTROL!$C$9, $C$13, 100%, $E$13) + CHOOSE(CONTROL!$C$28, 0.0003, 0)</f>
        <v>95.037099999999995</v>
      </c>
      <c r="D807" s="4">
        <f>86.9007 * CHOOSE(CONTROL!$C$9, $C$13, 100%, $E$13) + CHOOSE(CONTROL!$C$28, 0, 0)</f>
        <v>86.900700000000001</v>
      </c>
      <c r="E807" s="4">
        <f>526.459968880973 * CHOOSE(CONTROL!$C$9, $C$13, 100%, $E$13) + CHOOSE(CONTROL!$C$28, 0, 0)</f>
        <v>526.45996888097295</v>
      </c>
    </row>
    <row r="808" spans="1:5" ht="15">
      <c r="A808" s="13">
        <v>66111</v>
      </c>
      <c r="B808" s="4">
        <f>93.8854 * CHOOSE(CONTROL!$C$9, $C$13, 100%, $E$13) + CHOOSE(CONTROL!$C$28, 0.0003, 0)</f>
        <v>93.8857</v>
      </c>
      <c r="C808" s="4">
        <f>93.5729 * CHOOSE(CONTROL!$C$9, $C$13, 100%, $E$13) + CHOOSE(CONTROL!$C$28, 0.0003, 0)</f>
        <v>93.5732</v>
      </c>
      <c r="D808" s="4">
        <f>83.8694 * CHOOSE(CONTROL!$C$9, $C$13, 100%, $E$13) + CHOOSE(CONTROL!$C$28, 0, 0)</f>
        <v>83.869399999999999</v>
      </c>
      <c r="E808" s="4">
        <f>518.214906965508 * CHOOSE(CONTROL!$C$9, $C$13, 100%, $E$13) + CHOOSE(CONTROL!$C$28, 0, 0)</f>
        <v>518.21490696550802</v>
      </c>
    </row>
    <row r="809" spans="1:5" ht="15">
      <c r="A809" s="13">
        <v>66142</v>
      </c>
      <c r="B809" s="4">
        <f>91.5068 * CHOOSE(CONTROL!$C$9, $C$13, 100%, $E$13) + CHOOSE(CONTROL!$C$28, 0.0003, 0)</f>
        <v>91.507099999999994</v>
      </c>
      <c r="C809" s="4">
        <f>91.1943 * CHOOSE(CONTROL!$C$9, $C$13, 100%, $E$13) + CHOOSE(CONTROL!$C$28, 0.0003, 0)</f>
        <v>91.194599999999994</v>
      </c>
      <c r="D809" s="4">
        <f>81.0833 * CHOOSE(CONTROL!$C$9, $C$13, 100%, $E$13) + CHOOSE(CONTROL!$C$28, 0, 0)</f>
        <v>81.083299999999994</v>
      </c>
      <c r="E809" s="4">
        <f>503.354478193648 * CHOOSE(CONTROL!$C$9, $C$13, 100%, $E$13) + CHOOSE(CONTROL!$C$28, 0, 0)</f>
        <v>503.35447819364799</v>
      </c>
    </row>
    <row r="810" spans="1:5" ht="15">
      <c r="A810" s="13">
        <v>66170</v>
      </c>
      <c r="B810" s="4">
        <f>93.635 * CHOOSE(CONTROL!$C$9, $C$13, 100%, $E$13) + CHOOSE(CONTROL!$C$28, 0.0003, 0)</f>
        <v>93.635300000000001</v>
      </c>
      <c r="C810" s="4">
        <f>93.3225 * CHOOSE(CONTROL!$C$9, $C$13, 100%, $E$13) + CHOOSE(CONTROL!$C$28, 0.0003, 0)</f>
        <v>93.322800000000001</v>
      </c>
      <c r="D810" s="4">
        <f>83.8889 * CHOOSE(CONTROL!$C$9, $C$13, 100%, $E$13) + CHOOSE(CONTROL!$C$28, 0, 0)</f>
        <v>83.888900000000007</v>
      </c>
      <c r="E810" s="4">
        <f>515.306097180381 * CHOOSE(CONTROL!$C$9, $C$13, 100%, $E$13) + CHOOSE(CONTROL!$C$28, 0, 0)</f>
        <v>515.30609718038102</v>
      </c>
    </row>
    <row r="811" spans="1:5" ht="15">
      <c r="A811" s="13">
        <v>66201</v>
      </c>
      <c r="B811" s="4">
        <f>99.2238 * CHOOSE(CONTROL!$C$9, $C$13, 100%, $E$13) + CHOOSE(CONTROL!$C$28, 0.0003, 0)</f>
        <v>99.224099999999993</v>
      </c>
      <c r="C811" s="4">
        <f>98.9113 * CHOOSE(CONTROL!$C$9, $C$13, 100%, $E$13) + CHOOSE(CONTROL!$C$28, 0.0003, 0)</f>
        <v>98.911599999999993</v>
      </c>
      <c r="D811" s="4">
        <f>88.2808 * CHOOSE(CONTROL!$C$9, $C$13, 100%, $E$13) + CHOOSE(CONTROL!$C$28, 0, 0)</f>
        <v>88.280799999999999</v>
      </c>
      <c r="E811" s="4">
        <f>546.691683787146 * CHOOSE(CONTROL!$C$9, $C$13, 100%, $E$13) + CHOOSE(CONTROL!$C$28, 0, 0)</f>
        <v>546.69168378714596</v>
      </c>
    </row>
    <row r="812" spans="1:5" ht="15">
      <c r="A812" s="13">
        <v>66231</v>
      </c>
      <c r="B812" s="4">
        <f>103.1947 * CHOOSE(CONTROL!$C$9, $C$13, 100%, $E$13) + CHOOSE(CONTROL!$C$28, 0.0003, 0)</f>
        <v>103.19499999999999</v>
      </c>
      <c r="C812" s="4">
        <f>102.8822 * CHOOSE(CONTROL!$C$9, $C$13, 100%, $E$13) + CHOOSE(CONTROL!$C$28, 0.0003, 0)</f>
        <v>102.88249999999999</v>
      </c>
      <c r="D812" s="4">
        <f>90.8107 * CHOOSE(CONTROL!$C$9, $C$13, 100%, $E$13) + CHOOSE(CONTROL!$C$28, 0, 0)</f>
        <v>90.810699999999997</v>
      </c>
      <c r="E812" s="4">
        <f>568.991561339189 * CHOOSE(CONTROL!$C$9, $C$13, 100%, $E$13) + CHOOSE(CONTROL!$C$28, 0, 0)</f>
        <v>568.99156133918905</v>
      </c>
    </row>
    <row r="813" spans="1:5" ht="15">
      <c r="A813" s="13">
        <v>66262</v>
      </c>
      <c r="B813" s="4">
        <f>105.6209 * CHOOSE(CONTROL!$C$9, $C$13, 100%, $E$13) + CHOOSE(CONTROL!$C$28, 0.0181, 0)</f>
        <v>105.63900000000001</v>
      </c>
      <c r="C813" s="4">
        <f>105.3084 * CHOOSE(CONTROL!$C$9, $C$13, 100%, $E$13) + CHOOSE(CONTROL!$C$28, 0.0181, 0)</f>
        <v>105.32650000000001</v>
      </c>
      <c r="D813" s="4">
        <f>89.811 * CHOOSE(CONTROL!$C$9, $C$13, 100%, $E$13) + CHOOSE(CONTROL!$C$28, 0, 0)</f>
        <v>89.811000000000007</v>
      </c>
      <c r="E813" s="4">
        <f>582.616252070014 * CHOOSE(CONTROL!$C$9, $C$13, 100%, $E$13) + CHOOSE(CONTROL!$C$28, 0, 0)</f>
        <v>582.61625207001396</v>
      </c>
    </row>
    <row r="814" spans="1:5" ht="15">
      <c r="A814" s="13">
        <v>66292</v>
      </c>
      <c r="B814" s="4">
        <f>105.9491 * CHOOSE(CONTROL!$C$9, $C$13, 100%, $E$13) + CHOOSE(CONTROL!$C$28, 0.0181, 0)</f>
        <v>105.96720000000001</v>
      </c>
      <c r="C814" s="4">
        <f>105.6366 * CHOOSE(CONTROL!$C$9, $C$13, 100%, $E$13) + CHOOSE(CONTROL!$C$28, 0.0181, 0)</f>
        <v>105.65470000000001</v>
      </c>
      <c r="D814" s="4">
        <f>90.6252 * CHOOSE(CONTROL!$C$9, $C$13, 100%, $E$13) + CHOOSE(CONTROL!$C$28, 0, 0)</f>
        <v>90.625200000000007</v>
      </c>
      <c r="E814" s="4">
        <f>584.459729269523 * CHOOSE(CONTROL!$C$9, $C$13, 100%, $E$13) + CHOOSE(CONTROL!$C$28, 0, 0)</f>
        <v>584.459729269523</v>
      </c>
    </row>
    <row r="815" spans="1:5" ht="15">
      <c r="A815" s="13">
        <v>66323</v>
      </c>
      <c r="B815" s="4">
        <f>105.916 * CHOOSE(CONTROL!$C$9, $C$13, 100%, $E$13) + CHOOSE(CONTROL!$C$28, 0.0181, 0)</f>
        <v>105.9341</v>
      </c>
      <c r="C815" s="4">
        <f>105.6035 * CHOOSE(CONTROL!$C$9, $C$13, 100%, $E$13) + CHOOSE(CONTROL!$C$28, 0.0181, 0)</f>
        <v>105.6216</v>
      </c>
      <c r="D815" s="4">
        <f>92.0943 * CHOOSE(CONTROL!$C$9, $C$13, 100%, $E$13) + CHOOSE(CONTROL!$C$28, 0, 0)</f>
        <v>92.094300000000004</v>
      </c>
      <c r="E815" s="4">
        <f>584.273832409068 * CHOOSE(CONTROL!$C$9, $C$13, 100%, $E$13) + CHOOSE(CONTROL!$C$28, 0, 0)</f>
        <v>584.27383240906795</v>
      </c>
    </row>
    <row r="816" spans="1:5" ht="15">
      <c r="A816" s="13">
        <v>66354</v>
      </c>
      <c r="B816" s="4">
        <f>108.407 * CHOOSE(CONTROL!$C$9, $C$13, 100%, $E$13) + CHOOSE(CONTROL!$C$28, 0.0181, 0)</f>
        <v>108.4251</v>
      </c>
      <c r="C816" s="4">
        <f>108.0945 * CHOOSE(CONTROL!$C$9, $C$13, 100%, $E$13) + CHOOSE(CONTROL!$C$28, 0.0181, 0)</f>
        <v>108.1126</v>
      </c>
      <c r="D816" s="4">
        <f>91.1241 * CHOOSE(CONTROL!$C$9, $C$13, 100%, $E$13) + CHOOSE(CONTROL!$C$28, 0, 0)</f>
        <v>91.124099999999999</v>
      </c>
      <c r="E816" s="4">
        <f>598.262571158283 * CHOOSE(CONTROL!$C$9, $C$13, 100%, $E$13) + CHOOSE(CONTROL!$C$28, 0, 0)</f>
        <v>598.26257115828298</v>
      </c>
    </row>
    <row r="817" spans="1:5" ht="15">
      <c r="A817" s="13">
        <v>66384</v>
      </c>
      <c r="B817" s="4">
        <f>104.1616 * CHOOSE(CONTROL!$C$9, $C$13, 100%, $E$13) + CHOOSE(CONTROL!$C$28, 0.0181, 0)</f>
        <v>104.17970000000001</v>
      </c>
      <c r="C817" s="4">
        <f>103.8491 * CHOOSE(CONTROL!$C$9, $C$13, 100%, $E$13) + CHOOSE(CONTROL!$C$28, 0.0181, 0)</f>
        <v>103.86720000000001</v>
      </c>
      <c r="D817" s="4">
        <f>90.6657 * CHOOSE(CONTROL!$C$9, $C$13, 100%, $E$13) + CHOOSE(CONTROL!$C$28, 0, 0)</f>
        <v>90.665700000000001</v>
      </c>
      <c r="E817" s="4">
        <f>574.42129880497 * CHOOSE(CONTROL!$C$9, $C$13, 100%, $E$13) + CHOOSE(CONTROL!$C$28, 0, 0)</f>
        <v>574.42129880496998</v>
      </c>
    </row>
    <row r="818" spans="1:5" ht="15">
      <c r="A818" s="13">
        <v>66415</v>
      </c>
      <c r="B818" s="4">
        <f>100.7631 * CHOOSE(CONTROL!$C$9, $C$13, 100%, $E$13) + CHOOSE(CONTROL!$C$28, 0.0003, 0)</f>
        <v>100.76339999999999</v>
      </c>
      <c r="C818" s="4">
        <f>100.4506 * CHOOSE(CONTROL!$C$9, $C$13, 100%, $E$13) + CHOOSE(CONTROL!$C$28, 0.0003, 0)</f>
        <v>100.45089999999999</v>
      </c>
      <c r="D818" s="4">
        <f>89.4384 * CHOOSE(CONTROL!$C$9, $C$13, 100%, $E$13) + CHOOSE(CONTROL!$C$28, 0, 0)</f>
        <v>89.438400000000001</v>
      </c>
      <c r="E818" s="4">
        <f>555.335887798289 * CHOOSE(CONTROL!$C$9, $C$13, 100%, $E$13) + CHOOSE(CONTROL!$C$28, 0, 0)</f>
        <v>555.33588779828904</v>
      </c>
    </row>
    <row r="819" spans="1:5" ht="15">
      <c r="A819" s="13">
        <v>66445</v>
      </c>
      <c r="B819" s="4">
        <f>98.5742 * CHOOSE(CONTROL!$C$9, $C$13, 100%, $E$13) + CHOOSE(CONTROL!$C$28, 0.0003, 0)</f>
        <v>98.5745</v>
      </c>
      <c r="C819" s="4">
        <f>98.2617 * CHOOSE(CONTROL!$C$9, $C$13, 100%, $E$13) + CHOOSE(CONTROL!$C$28, 0.0003, 0)</f>
        <v>98.262</v>
      </c>
      <c r="D819" s="4">
        <f>89.0164 * CHOOSE(CONTROL!$C$9, $C$13, 100%, $E$13) + CHOOSE(CONTROL!$C$28, 0, 0)</f>
        <v>89.016400000000004</v>
      </c>
      <c r="E819" s="4">
        <f>543.043457900723 * CHOOSE(CONTROL!$C$9, $C$13, 100%, $E$13) + CHOOSE(CONTROL!$C$28, 0, 0)</f>
        <v>543.04345790072296</v>
      </c>
    </row>
    <row r="820" spans="1:5" ht="15">
      <c r="A820" s="13">
        <v>66476</v>
      </c>
      <c r="B820" s="4">
        <f>97.0597 * CHOOSE(CONTROL!$C$9, $C$13, 100%, $E$13) + CHOOSE(CONTROL!$C$28, 0.0003, 0)</f>
        <v>97.06</v>
      </c>
      <c r="C820" s="4">
        <f>96.7472 * CHOOSE(CONTROL!$C$9, $C$13, 100%, $E$13) + CHOOSE(CONTROL!$C$28, 0.0003, 0)</f>
        <v>96.747500000000002</v>
      </c>
      <c r="D820" s="4">
        <f>85.9099 * CHOOSE(CONTROL!$C$9, $C$13, 100%, $E$13) + CHOOSE(CONTROL!$C$28, 0, 0)</f>
        <v>85.909899999999993</v>
      </c>
      <c r="E820" s="4">
        <f>534.538676534921 * CHOOSE(CONTROL!$C$9, $C$13, 100%, $E$13) + CHOOSE(CONTROL!$C$28, 0, 0)</f>
        <v>534.53867653492102</v>
      </c>
    </row>
    <row r="821" spans="1:5" ht="15">
      <c r="A821" s="13">
        <v>66507</v>
      </c>
      <c r="B821" s="4">
        <f>94.5991 * CHOOSE(CONTROL!$C$9, $C$13, 100%, $E$13) + CHOOSE(CONTROL!$C$28, 0.0003, 0)</f>
        <v>94.599400000000003</v>
      </c>
      <c r="C821" s="4">
        <f>94.2866 * CHOOSE(CONTROL!$C$9, $C$13, 100%, $E$13) + CHOOSE(CONTROL!$C$28, 0.0003, 0)</f>
        <v>94.286900000000003</v>
      </c>
      <c r="D821" s="4">
        <f>83.0547 * CHOOSE(CONTROL!$C$9, $C$13, 100%, $E$13) + CHOOSE(CONTROL!$C$28, 0, 0)</f>
        <v>83.054699999999997</v>
      </c>
      <c r="E821" s="4">
        <f>519.210144256748 * CHOOSE(CONTROL!$C$9, $C$13, 100%, $E$13) + CHOOSE(CONTROL!$C$28, 0, 0)</f>
        <v>519.21014425674798</v>
      </c>
    </row>
    <row r="822" spans="1:5" ht="15">
      <c r="A822" s="13">
        <v>66535</v>
      </c>
      <c r="B822" s="4">
        <f>96.8007 * CHOOSE(CONTROL!$C$9, $C$13, 100%, $E$13) + CHOOSE(CONTROL!$C$28, 0.0003, 0)</f>
        <v>96.801000000000002</v>
      </c>
      <c r="C822" s="4">
        <f>96.4882 * CHOOSE(CONTROL!$C$9, $C$13, 100%, $E$13) + CHOOSE(CONTROL!$C$28, 0.0003, 0)</f>
        <v>96.488500000000002</v>
      </c>
      <c r="D822" s="4">
        <f>85.9299 * CHOOSE(CONTROL!$C$9, $C$13, 100%, $E$13) + CHOOSE(CONTROL!$C$28, 0, 0)</f>
        <v>85.929900000000004</v>
      </c>
      <c r="E822" s="4">
        <f>531.538239241563 * CHOOSE(CONTROL!$C$9, $C$13, 100%, $E$13) + CHOOSE(CONTROL!$C$28, 0, 0)</f>
        <v>531.53823924156302</v>
      </c>
    </row>
    <row r="823" spans="1:5" ht="15">
      <c r="A823" s="13">
        <v>66566</v>
      </c>
      <c r="B823" s="4">
        <f>102.5823 * CHOOSE(CONTROL!$C$9, $C$13, 100%, $E$13) + CHOOSE(CONTROL!$C$28, 0.0003, 0)</f>
        <v>102.5826</v>
      </c>
      <c r="C823" s="4">
        <f>102.2698 * CHOOSE(CONTROL!$C$9, $C$13, 100%, $E$13) + CHOOSE(CONTROL!$C$28, 0.0003, 0)</f>
        <v>102.2701</v>
      </c>
      <c r="D823" s="4">
        <f>90.4307 * CHOOSE(CONTROL!$C$9, $C$13, 100%, $E$13) + CHOOSE(CONTROL!$C$28, 0, 0)</f>
        <v>90.430700000000002</v>
      </c>
      <c r="E823" s="4">
        <f>563.912471826441 * CHOOSE(CONTROL!$C$9, $C$13, 100%, $E$13) + CHOOSE(CONTROL!$C$28, 0, 0)</f>
        <v>563.91247182644099</v>
      </c>
    </row>
    <row r="824" spans="1:5" ht="15">
      <c r="A824" s="13">
        <v>66596</v>
      </c>
      <c r="B824" s="4">
        <f>106.6902 * CHOOSE(CONTROL!$C$9, $C$13, 100%, $E$13) + CHOOSE(CONTROL!$C$28, 0.0003, 0)</f>
        <v>106.6905</v>
      </c>
      <c r="C824" s="4">
        <f>106.3777 * CHOOSE(CONTROL!$C$9, $C$13, 100%, $E$13) + CHOOSE(CONTROL!$C$28, 0.0003, 0)</f>
        <v>106.378</v>
      </c>
      <c r="D824" s="4">
        <f>93.0234 * CHOOSE(CONTROL!$C$9, $C$13, 100%, $E$13) + CHOOSE(CONTROL!$C$28, 0, 0)</f>
        <v>93.023399999999995</v>
      </c>
      <c r="E824" s="4">
        <f>586.914795521374 * CHOOSE(CONTROL!$C$9, $C$13, 100%, $E$13) + CHOOSE(CONTROL!$C$28, 0, 0)</f>
        <v>586.914795521374</v>
      </c>
    </row>
    <row r="825" spans="1:5" ht="15">
      <c r="A825" s="13">
        <v>66627</v>
      </c>
      <c r="B825" s="4">
        <f>109.2001 * CHOOSE(CONTROL!$C$9, $C$13, 100%, $E$13) + CHOOSE(CONTROL!$C$28, 0.0181, 0)</f>
        <v>109.21820000000001</v>
      </c>
      <c r="C825" s="4">
        <f>108.8876 * CHOOSE(CONTROL!$C$9, $C$13, 100%, $E$13) + CHOOSE(CONTROL!$C$28, 0.0181, 0)</f>
        <v>108.90570000000001</v>
      </c>
      <c r="D825" s="4">
        <f>91.9989 * CHOOSE(CONTROL!$C$9, $C$13, 100%, $E$13) + CHOOSE(CONTROL!$C$28, 0, 0)</f>
        <v>91.998900000000006</v>
      </c>
      <c r="E825" s="4">
        <f>600.968664010219 * CHOOSE(CONTROL!$C$9, $C$13, 100%, $E$13) + CHOOSE(CONTROL!$C$28, 0, 0)</f>
        <v>600.96866401021896</v>
      </c>
    </row>
    <row r="826" spans="1:5" ht="15">
      <c r="A826" s="13">
        <v>66657</v>
      </c>
      <c r="B826" s="4">
        <f>109.5397 * CHOOSE(CONTROL!$C$9, $C$13, 100%, $E$13) + CHOOSE(CONTROL!$C$28, 0.0181, 0)</f>
        <v>109.5578</v>
      </c>
      <c r="C826" s="4">
        <f>109.2272 * CHOOSE(CONTROL!$C$9, $C$13, 100%, $E$13) + CHOOSE(CONTROL!$C$28, 0.0181, 0)</f>
        <v>109.2453</v>
      </c>
      <c r="D826" s="4">
        <f>92.8333 * CHOOSE(CONTROL!$C$9, $C$13, 100%, $E$13) + CHOOSE(CONTROL!$C$28, 0, 0)</f>
        <v>92.833299999999994</v>
      </c>
      <c r="E826" s="4">
        <f>602.870210741513 * CHOOSE(CONTROL!$C$9, $C$13, 100%, $E$13) + CHOOSE(CONTROL!$C$28, 0, 0)</f>
        <v>602.87021074151301</v>
      </c>
    </row>
    <row r="827" spans="1:5" ht="15">
      <c r="A827" s="13">
        <v>66688</v>
      </c>
      <c r="B827" s="4">
        <f>109.5054 * CHOOSE(CONTROL!$C$9, $C$13, 100%, $E$13) + CHOOSE(CONTROL!$C$28, 0.0181, 0)</f>
        <v>109.5235</v>
      </c>
      <c r="C827" s="4">
        <f>109.1929 * CHOOSE(CONTROL!$C$9, $C$13, 100%, $E$13) + CHOOSE(CONTROL!$C$28, 0.0181, 0)</f>
        <v>109.211</v>
      </c>
      <c r="D827" s="4">
        <f>94.3388 * CHOOSE(CONTROL!$C$9, $C$13, 100%, $E$13) + CHOOSE(CONTROL!$C$28, 0, 0)</f>
        <v>94.338800000000006</v>
      </c>
      <c r="E827" s="4">
        <f>602.678458129954 * CHOOSE(CONTROL!$C$9, $C$13, 100%, $E$13) + CHOOSE(CONTROL!$C$28, 0, 0)</f>
        <v>602.67845812995404</v>
      </c>
    </row>
    <row r="828" spans="1:5" ht="15">
      <c r="A828" s="13">
        <v>66719</v>
      </c>
      <c r="B828" s="4">
        <f>112.0823 * CHOOSE(CONTROL!$C$9, $C$13, 100%, $E$13) + CHOOSE(CONTROL!$C$28, 0.0181, 0)</f>
        <v>112.10040000000001</v>
      </c>
      <c r="C828" s="4">
        <f>111.7698 * CHOOSE(CONTROL!$C$9, $C$13, 100%, $E$13) + CHOOSE(CONTROL!$C$28, 0.0181, 0)</f>
        <v>111.78790000000001</v>
      </c>
      <c r="D828" s="4">
        <f>93.3445 * CHOOSE(CONTROL!$C$9, $C$13, 100%, $E$13) + CHOOSE(CONTROL!$C$28, 0, 0)</f>
        <v>93.344499999999996</v>
      </c>
      <c r="E828" s="4">
        <f>617.107842149769 * CHOOSE(CONTROL!$C$9, $C$13, 100%, $E$13) + CHOOSE(CONTROL!$C$28, 0, 0)</f>
        <v>617.107842149769</v>
      </c>
    </row>
    <row r="829" spans="1:5" ht="15">
      <c r="A829" s="13">
        <v>66749</v>
      </c>
      <c r="B829" s="4">
        <f>107.6905 * CHOOSE(CONTROL!$C$9, $C$13, 100%, $E$13) + CHOOSE(CONTROL!$C$28, 0.0181, 0)</f>
        <v>107.7086</v>
      </c>
      <c r="C829" s="4">
        <f>107.378 * CHOOSE(CONTROL!$C$9, $C$13, 100%, $E$13) + CHOOSE(CONTROL!$C$28, 0.0181, 0)</f>
        <v>107.3961</v>
      </c>
      <c r="D829" s="4">
        <f>92.8748 * CHOOSE(CONTROL!$C$9, $C$13, 100%, $E$13) + CHOOSE(CONTROL!$C$28, 0, 0)</f>
        <v>92.874799999999993</v>
      </c>
      <c r="E829" s="4">
        <f>592.515569717327 * CHOOSE(CONTROL!$C$9, $C$13, 100%, $E$13) + CHOOSE(CONTROL!$C$28, 0, 0)</f>
        <v>592.51556971732703</v>
      </c>
    </row>
    <row r="830" spans="1:5" ht="15">
      <c r="A830" s="13">
        <v>66780</v>
      </c>
      <c r="B830" s="4">
        <f>104.1747 * CHOOSE(CONTROL!$C$9, $C$13, 100%, $E$13) + CHOOSE(CONTROL!$C$28, 0.0003, 0)</f>
        <v>104.175</v>
      </c>
      <c r="C830" s="4">
        <f>103.8622 * CHOOSE(CONTROL!$C$9, $C$13, 100%, $E$13) + CHOOSE(CONTROL!$C$28, 0.0003, 0)</f>
        <v>103.8625</v>
      </c>
      <c r="D830" s="4">
        <f>91.617 * CHOOSE(CONTROL!$C$9, $C$13, 100%, $E$13) + CHOOSE(CONTROL!$C$28, 0, 0)</f>
        <v>91.617000000000004</v>
      </c>
      <c r="E830" s="4">
        <f>572.828968263935 * CHOOSE(CONTROL!$C$9, $C$13, 100%, $E$13) + CHOOSE(CONTROL!$C$28, 0, 0)</f>
        <v>572.82896826393505</v>
      </c>
    </row>
    <row r="831" spans="1:5" ht="15">
      <c r="A831" s="13">
        <v>66810</v>
      </c>
      <c r="B831" s="4">
        <f>101.9103 * CHOOSE(CONTROL!$C$9, $C$13, 100%, $E$13) + CHOOSE(CONTROL!$C$28, 0.0003, 0)</f>
        <v>101.9106</v>
      </c>
      <c r="C831" s="4">
        <f>101.5978 * CHOOSE(CONTROL!$C$9, $C$13, 100%, $E$13) + CHOOSE(CONTROL!$C$28, 0.0003, 0)</f>
        <v>101.5981</v>
      </c>
      <c r="D831" s="4">
        <f>91.1845 * CHOOSE(CONTROL!$C$9, $C$13, 100%, $E$13) + CHOOSE(CONTROL!$C$28, 0, 0)</f>
        <v>91.1845</v>
      </c>
      <c r="E831" s="4">
        <f>560.149326824596 * CHOOSE(CONTROL!$C$9, $C$13, 100%, $E$13) + CHOOSE(CONTROL!$C$28, 0, 0)</f>
        <v>560.14932682459596</v>
      </c>
    </row>
    <row r="832" spans="1:5" ht="15">
      <c r="A832" s="13">
        <v>66841</v>
      </c>
      <c r="B832" s="4">
        <f>100.3436 * CHOOSE(CONTROL!$C$9, $C$13, 100%, $E$13) + CHOOSE(CONTROL!$C$28, 0.0003, 0)</f>
        <v>100.34389999999999</v>
      </c>
      <c r="C832" s="4">
        <f>100.0311 * CHOOSE(CONTROL!$C$9, $C$13, 100%, $E$13) + CHOOSE(CONTROL!$C$28, 0.0003, 0)</f>
        <v>100.03139999999999</v>
      </c>
      <c r="D832" s="4">
        <f>88.001 * CHOOSE(CONTROL!$C$9, $C$13, 100%, $E$13) + CHOOSE(CONTROL!$C$28, 0, 0)</f>
        <v>88.001000000000005</v>
      </c>
      <c r="E832" s="4">
        <f>551.376644845772 * CHOOSE(CONTROL!$C$9, $C$13, 100%, $E$13) + CHOOSE(CONTROL!$C$28, 0, 0)</f>
        <v>551.37664484577203</v>
      </c>
    </row>
    <row r="833" spans="1:5" ht="15">
      <c r="A833" s="13">
        <v>66872</v>
      </c>
      <c r="B833" s="4">
        <f>97.7981 * CHOOSE(CONTROL!$C$9, $C$13, 100%, $E$13) + CHOOSE(CONTROL!$C$28, 0.0003, 0)</f>
        <v>97.798400000000001</v>
      </c>
      <c r="C833" s="4">
        <f>97.4856 * CHOOSE(CONTROL!$C$9, $C$13, 100%, $E$13) + CHOOSE(CONTROL!$C$28, 0.0003, 0)</f>
        <v>97.485900000000001</v>
      </c>
      <c r="D833" s="4">
        <f>85.075 * CHOOSE(CONTROL!$C$9, $C$13, 100%, $E$13) + CHOOSE(CONTROL!$C$28, 0, 0)</f>
        <v>85.075000000000003</v>
      </c>
      <c r="E833" s="4">
        <f>535.565263800836 * CHOOSE(CONTROL!$C$9, $C$13, 100%, $E$13) + CHOOSE(CONTROL!$C$28, 0, 0)</f>
        <v>535.56526380083596</v>
      </c>
    </row>
    <row r="834" spans="1:5" ht="15">
      <c r="A834" s="13">
        <v>66900</v>
      </c>
      <c r="B834" s="4">
        <f>100.0757 * CHOOSE(CONTROL!$C$9, $C$13, 100%, $E$13) + CHOOSE(CONTROL!$C$28, 0.0003, 0)</f>
        <v>100.07599999999999</v>
      </c>
      <c r="C834" s="4">
        <f>99.7632 * CHOOSE(CONTROL!$C$9, $C$13, 100%, $E$13) + CHOOSE(CONTROL!$C$28, 0.0003, 0)</f>
        <v>99.763499999999993</v>
      </c>
      <c r="D834" s="4">
        <f>88.0215 * CHOOSE(CONTROL!$C$9, $C$13, 100%, $E$13) + CHOOSE(CONTROL!$C$28, 0, 0)</f>
        <v>88.021500000000003</v>
      </c>
      <c r="E834" s="4">
        <f>548.281693777672 * CHOOSE(CONTROL!$C$9, $C$13, 100%, $E$13) + CHOOSE(CONTROL!$C$28, 0, 0)</f>
        <v>548.28169377767199</v>
      </c>
    </row>
    <row r="835" spans="1:5" ht="15">
      <c r="A835" s="13">
        <v>66931</v>
      </c>
      <c r="B835" s="4">
        <f>106.0567 * CHOOSE(CONTROL!$C$9, $C$13, 100%, $E$13) + CHOOSE(CONTROL!$C$28, 0.0003, 0)</f>
        <v>106.057</v>
      </c>
      <c r="C835" s="4">
        <f>105.7442 * CHOOSE(CONTROL!$C$9, $C$13, 100%, $E$13) + CHOOSE(CONTROL!$C$28, 0.0003, 0)</f>
        <v>105.7445</v>
      </c>
      <c r="D835" s="4">
        <f>92.634 * CHOOSE(CONTROL!$C$9, $C$13, 100%, $E$13) + CHOOSE(CONTROL!$C$28, 0, 0)</f>
        <v>92.634</v>
      </c>
      <c r="E835" s="4">
        <f>581.675714688974 * CHOOSE(CONTROL!$C$9, $C$13, 100%, $E$13) + CHOOSE(CONTROL!$C$28, 0, 0)</f>
        <v>581.67571468897404</v>
      </c>
    </row>
    <row r="836" spans="1:5" ht="15">
      <c r="A836" s="13">
        <v>66961</v>
      </c>
      <c r="B836" s="4">
        <f>110.3064 * CHOOSE(CONTROL!$C$9, $C$13, 100%, $E$13) + CHOOSE(CONTROL!$C$28, 0.0003, 0)</f>
        <v>110.30669999999999</v>
      </c>
      <c r="C836" s="4">
        <f>109.9939 * CHOOSE(CONTROL!$C$9, $C$13, 100%, $E$13) + CHOOSE(CONTROL!$C$28, 0.0003, 0)</f>
        <v>109.99419999999999</v>
      </c>
      <c r="D836" s="4">
        <f>95.2909 * CHOOSE(CONTROL!$C$9, $C$13, 100%, $E$13) + CHOOSE(CONTROL!$C$28, 0, 0)</f>
        <v>95.290899999999993</v>
      </c>
      <c r="E836" s="4">
        <f>605.402611580297 * CHOOSE(CONTROL!$C$9, $C$13, 100%, $E$13) + CHOOSE(CONTROL!$C$28, 0, 0)</f>
        <v>605.40261158029705</v>
      </c>
    </row>
    <row r="837" spans="1:5" ht="15">
      <c r="A837" s="13">
        <v>66992</v>
      </c>
      <c r="B837" s="4">
        <f>112.9028 * CHOOSE(CONTROL!$C$9, $C$13, 100%, $E$13) + CHOOSE(CONTROL!$C$28, 0.0181, 0)</f>
        <v>112.9209</v>
      </c>
      <c r="C837" s="4">
        <f>112.5903 * CHOOSE(CONTROL!$C$9, $C$13, 100%, $E$13) + CHOOSE(CONTROL!$C$28, 0.0181, 0)</f>
        <v>112.6084</v>
      </c>
      <c r="D837" s="4">
        <f>94.241 * CHOOSE(CONTROL!$C$9, $C$13, 100%, $E$13) + CHOOSE(CONTROL!$C$28, 0, 0)</f>
        <v>94.241</v>
      </c>
      <c r="E837" s="4">
        <f>619.899176926541 * CHOOSE(CONTROL!$C$9, $C$13, 100%, $E$13) + CHOOSE(CONTROL!$C$28, 0, 0)</f>
        <v>619.89917692654103</v>
      </c>
    </row>
    <row r="838" spans="1:5" ht="15">
      <c r="A838" s="13">
        <v>67022</v>
      </c>
      <c r="B838" s="4">
        <f>113.2541 * CHOOSE(CONTROL!$C$9, $C$13, 100%, $E$13) + CHOOSE(CONTROL!$C$28, 0.0181, 0)</f>
        <v>113.2722</v>
      </c>
      <c r="C838" s="4">
        <f>112.9416 * CHOOSE(CONTROL!$C$9, $C$13, 100%, $E$13) + CHOOSE(CONTROL!$C$28, 0.0181, 0)</f>
        <v>112.9597</v>
      </c>
      <c r="D838" s="4">
        <f>95.0961 * CHOOSE(CONTROL!$C$9, $C$13, 100%, $E$13) + CHOOSE(CONTROL!$C$28, 0, 0)</f>
        <v>95.096100000000007</v>
      </c>
      <c r="E838" s="4">
        <f>621.86062237987 * CHOOSE(CONTROL!$C$9, $C$13, 100%, $E$13) + CHOOSE(CONTROL!$C$28, 0, 0)</f>
        <v>621.86062237987005</v>
      </c>
    </row>
    <row r="839" spans="1:5" ht="15">
      <c r="A839" s="13">
        <v>67053</v>
      </c>
      <c r="B839" s="4">
        <f>113.2187 * CHOOSE(CONTROL!$C$9, $C$13, 100%, $E$13) + CHOOSE(CONTROL!$C$28, 0.0181, 0)</f>
        <v>113.2368</v>
      </c>
      <c r="C839" s="4">
        <f>112.9062 * CHOOSE(CONTROL!$C$9, $C$13, 100%, $E$13) + CHOOSE(CONTROL!$C$28, 0.0181, 0)</f>
        <v>112.9243</v>
      </c>
      <c r="D839" s="4">
        <f>96.6389 * CHOOSE(CONTROL!$C$9, $C$13, 100%, $E$13) + CHOOSE(CONTROL!$C$28, 0, 0)</f>
        <v>96.638900000000007</v>
      </c>
      <c r="E839" s="4">
        <f>621.662829561047 * CHOOSE(CONTROL!$C$9, $C$13, 100%, $E$13) + CHOOSE(CONTROL!$C$28, 0, 0)</f>
        <v>621.66282956104703</v>
      </c>
    </row>
    <row r="840" spans="1:5" ht="15">
      <c r="A840" s="13">
        <v>67084</v>
      </c>
      <c r="B840" s="4">
        <f>115.8845 * CHOOSE(CONTROL!$C$9, $C$13, 100%, $E$13) + CHOOSE(CONTROL!$C$28, 0.0181, 0)</f>
        <v>115.90260000000001</v>
      </c>
      <c r="C840" s="4">
        <f>115.572 * CHOOSE(CONTROL!$C$9, $C$13, 100%, $E$13) + CHOOSE(CONTROL!$C$28, 0.0181, 0)</f>
        <v>115.59010000000001</v>
      </c>
      <c r="D840" s="4">
        <f>95.62 * CHOOSE(CONTROL!$C$9, $C$13, 100%, $E$13) + CHOOSE(CONTROL!$C$28, 0, 0)</f>
        <v>95.62</v>
      </c>
      <c r="E840" s="4">
        <f>636.546739177487 * CHOOSE(CONTROL!$C$9, $C$13, 100%, $E$13) + CHOOSE(CONTROL!$C$28, 0, 0)</f>
        <v>636.54673917748698</v>
      </c>
    </row>
    <row r="841" spans="1:5" ht="15">
      <c r="A841" s="13">
        <v>67114</v>
      </c>
      <c r="B841" s="4">
        <f>111.3411 * CHOOSE(CONTROL!$C$9, $C$13, 100%, $E$13) + CHOOSE(CONTROL!$C$28, 0.0181, 0)</f>
        <v>111.3592</v>
      </c>
      <c r="C841" s="4">
        <f>111.0286 * CHOOSE(CONTROL!$C$9, $C$13, 100%, $E$13) + CHOOSE(CONTROL!$C$28, 0.0181, 0)</f>
        <v>111.0467</v>
      </c>
      <c r="D841" s="4">
        <f>95.1386 * CHOOSE(CONTROL!$C$9, $C$13, 100%, $E$13) + CHOOSE(CONTROL!$C$28, 0, 0)</f>
        <v>95.138599999999997</v>
      </c>
      <c r="E841" s="4">
        <f>611.179810163422 * CHOOSE(CONTROL!$C$9, $C$13, 100%, $E$13) + CHOOSE(CONTROL!$C$28, 0, 0)</f>
        <v>611.17981016342196</v>
      </c>
    </row>
    <row r="842" spans="1:5" ht="15">
      <c r="A842" s="13">
        <v>67145</v>
      </c>
      <c r="B842" s="4">
        <f>107.704 * CHOOSE(CONTROL!$C$9, $C$13, 100%, $E$13) + CHOOSE(CONTROL!$C$28, 0.0003, 0)</f>
        <v>107.70429999999999</v>
      </c>
      <c r="C842" s="4">
        <f>107.3915 * CHOOSE(CONTROL!$C$9, $C$13, 100%, $E$13) + CHOOSE(CONTROL!$C$28, 0.0003, 0)</f>
        <v>107.39179999999999</v>
      </c>
      <c r="D842" s="4">
        <f>93.8496 * CHOOSE(CONTROL!$C$9, $C$13, 100%, $E$13) + CHOOSE(CONTROL!$C$28, 0, 0)</f>
        <v>93.849599999999995</v>
      </c>
      <c r="E842" s="4">
        <f>590.873080764249 * CHOOSE(CONTROL!$C$9, $C$13, 100%, $E$13) + CHOOSE(CONTROL!$C$28, 0, 0)</f>
        <v>590.87308076424904</v>
      </c>
    </row>
    <row r="843" spans="1:5" ht="15">
      <c r="A843" s="13">
        <v>67175</v>
      </c>
      <c r="B843" s="4">
        <f>105.3615 * CHOOSE(CONTROL!$C$9, $C$13, 100%, $E$13) + CHOOSE(CONTROL!$C$28, 0.0003, 0)</f>
        <v>105.3618</v>
      </c>
      <c r="C843" s="4">
        <f>105.049 * CHOOSE(CONTROL!$C$9, $C$13, 100%, $E$13) + CHOOSE(CONTROL!$C$28, 0.0003, 0)</f>
        <v>105.0493</v>
      </c>
      <c r="D843" s="4">
        <f>93.4065 * CHOOSE(CONTROL!$C$9, $C$13, 100%, $E$13) + CHOOSE(CONTROL!$C$28, 0, 0)</f>
        <v>93.406499999999994</v>
      </c>
      <c r="E843" s="4">
        <f>577.794030619571 * CHOOSE(CONTROL!$C$9, $C$13, 100%, $E$13) + CHOOSE(CONTROL!$C$28, 0, 0)</f>
        <v>577.794030619571</v>
      </c>
    </row>
    <row r="844" spans="1:5" ht="15">
      <c r="A844" s="13">
        <v>67206</v>
      </c>
      <c r="B844" s="4">
        <f>103.7408 * CHOOSE(CONTROL!$C$9, $C$13, 100%, $E$13) + CHOOSE(CONTROL!$C$28, 0.0003, 0)</f>
        <v>103.74109999999999</v>
      </c>
      <c r="C844" s="4">
        <f>103.4283 * CHOOSE(CONTROL!$C$9, $C$13, 100%, $E$13) + CHOOSE(CONTROL!$C$28, 0.0003, 0)</f>
        <v>103.42859999999999</v>
      </c>
      <c r="D844" s="4">
        <f>90.1439 * CHOOSE(CONTROL!$C$9, $C$13, 100%, $E$13) + CHOOSE(CONTROL!$C$28, 0, 0)</f>
        <v>90.143900000000002</v>
      </c>
      <c r="E844" s="4">
        <f>568.745009158413 * CHOOSE(CONTROL!$C$9, $C$13, 100%, $E$13) + CHOOSE(CONTROL!$C$28, 0, 0)</f>
        <v>568.74500915841304</v>
      </c>
    </row>
    <row r="845" spans="1:5" ht="15">
      <c r="A845" s="13">
        <v>67237</v>
      </c>
      <c r="B845" s="4">
        <f>101.1074 * CHOOSE(CONTROL!$C$9, $C$13, 100%, $E$13) + CHOOSE(CONTROL!$C$28, 0.0003, 0)</f>
        <v>101.10769999999999</v>
      </c>
      <c r="C845" s="4">
        <f>100.7949 * CHOOSE(CONTROL!$C$9, $C$13, 100%, $E$13) + CHOOSE(CONTROL!$C$28, 0.0003, 0)</f>
        <v>100.79519999999999</v>
      </c>
      <c r="D845" s="4">
        <f>87.1454 * CHOOSE(CONTROL!$C$9, $C$13, 100%, $E$13) + CHOOSE(CONTROL!$C$28, 0, 0)</f>
        <v>87.145399999999995</v>
      </c>
      <c r="E845" s="4">
        <f>552.435569610562 * CHOOSE(CONTROL!$C$9, $C$13, 100%, $E$13) + CHOOSE(CONTROL!$C$28, 0, 0)</f>
        <v>552.43556961056197</v>
      </c>
    </row>
    <row r="846" spans="1:5" ht="15">
      <c r="A846" s="13">
        <v>67266</v>
      </c>
      <c r="B846" s="4">
        <f>103.4636 * CHOOSE(CONTROL!$C$9, $C$13, 100%, $E$13) + CHOOSE(CONTROL!$C$28, 0.0003, 0)</f>
        <v>103.4639</v>
      </c>
      <c r="C846" s="4">
        <f>103.1511 * CHOOSE(CONTROL!$C$9, $C$13, 100%, $E$13) + CHOOSE(CONTROL!$C$28, 0.0003, 0)</f>
        <v>103.1514</v>
      </c>
      <c r="D846" s="4">
        <f>90.1649 * CHOOSE(CONTROL!$C$9, $C$13, 100%, $E$13) + CHOOSE(CONTROL!$C$28, 0, 0)</f>
        <v>90.164900000000003</v>
      </c>
      <c r="E846" s="4">
        <f>565.552567131669 * CHOOSE(CONTROL!$C$9, $C$13, 100%, $E$13) + CHOOSE(CONTROL!$C$28, 0, 0)</f>
        <v>565.55256713166898</v>
      </c>
    </row>
    <row r="847" spans="1:5" ht="15">
      <c r="A847" s="13">
        <v>67297</v>
      </c>
      <c r="B847" s="4">
        <f>109.651 * CHOOSE(CONTROL!$C$9, $C$13, 100%, $E$13) + CHOOSE(CONTROL!$C$28, 0.0003, 0)</f>
        <v>109.65129999999999</v>
      </c>
      <c r="C847" s="4">
        <f>109.3385 * CHOOSE(CONTROL!$C$9, $C$13, 100%, $E$13) + CHOOSE(CONTROL!$C$28, 0.0003, 0)</f>
        <v>109.33879999999999</v>
      </c>
      <c r="D847" s="4">
        <f>94.8918 * CHOOSE(CONTROL!$C$9, $C$13, 100%, $E$13) + CHOOSE(CONTROL!$C$28, 0, 0)</f>
        <v>94.891800000000003</v>
      </c>
      <c r="E847" s="4">
        <f>599.998499701677 * CHOOSE(CONTROL!$C$9, $C$13, 100%, $E$13) + CHOOSE(CONTROL!$C$28, 0, 0)</f>
        <v>599.99849970167702</v>
      </c>
    </row>
    <row r="848" spans="1:5" ht="15">
      <c r="A848" s="13">
        <v>67327</v>
      </c>
      <c r="B848" s="4">
        <f>114.0473 * CHOOSE(CONTROL!$C$9, $C$13, 100%, $E$13) + CHOOSE(CONTROL!$C$28, 0.0003, 0)</f>
        <v>114.0476</v>
      </c>
      <c r="C848" s="4">
        <f>113.7348 * CHOOSE(CONTROL!$C$9, $C$13, 100%, $E$13) + CHOOSE(CONTROL!$C$28, 0.0003, 0)</f>
        <v>113.7351</v>
      </c>
      <c r="D848" s="4">
        <f>97.6147 * CHOOSE(CONTROL!$C$9, $C$13, 100%, $E$13) + CHOOSE(CONTROL!$C$28, 0, 0)</f>
        <v>97.614699999999999</v>
      </c>
      <c r="E848" s="4">
        <f>624.472793845077 * CHOOSE(CONTROL!$C$9, $C$13, 100%, $E$13) + CHOOSE(CONTROL!$C$28, 0, 0)</f>
        <v>624.47279384507704</v>
      </c>
    </row>
    <row r="849" spans="1:5" ht="15">
      <c r="A849" s="13">
        <v>67358</v>
      </c>
      <c r="B849" s="4">
        <f>116.7333 * CHOOSE(CONTROL!$C$9, $C$13, 100%, $E$13) + CHOOSE(CONTROL!$C$28, 0.0181, 0)</f>
        <v>116.7514</v>
      </c>
      <c r="C849" s="4">
        <f>116.4208 * CHOOSE(CONTROL!$C$9, $C$13, 100%, $E$13) + CHOOSE(CONTROL!$C$28, 0.0181, 0)</f>
        <v>116.4389</v>
      </c>
      <c r="D849" s="4">
        <f>96.5387 * CHOOSE(CONTROL!$C$9, $C$13, 100%, $E$13) + CHOOSE(CONTROL!$C$28, 0, 0)</f>
        <v>96.538700000000006</v>
      </c>
      <c r="E849" s="4">
        <f>639.426000999727 * CHOOSE(CONTROL!$C$9, $C$13, 100%, $E$13) + CHOOSE(CONTROL!$C$28, 0, 0)</f>
        <v>639.42600099972697</v>
      </c>
    </row>
    <row r="850" spans="1:5" ht="15">
      <c r="A850" s="13">
        <v>67388</v>
      </c>
      <c r="B850" s="4">
        <f>117.0967 * CHOOSE(CONTROL!$C$9, $C$13, 100%, $E$13) + CHOOSE(CONTROL!$C$28, 0.0181, 0)</f>
        <v>117.1148</v>
      </c>
      <c r="C850" s="4">
        <f>116.7842 * CHOOSE(CONTROL!$C$9, $C$13, 100%, $E$13) + CHOOSE(CONTROL!$C$28, 0.0181, 0)</f>
        <v>116.8023</v>
      </c>
      <c r="D850" s="4">
        <f>97.415 * CHOOSE(CONTROL!$C$9, $C$13, 100%, $E$13) + CHOOSE(CONTROL!$C$28, 0, 0)</f>
        <v>97.415000000000006</v>
      </c>
      <c r="E850" s="4">
        <f>641.449231984836 * CHOOSE(CONTROL!$C$9, $C$13, 100%, $E$13) + CHOOSE(CONTROL!$C$28, 0, 0)</f>
        <v>641.44923198483605</v>
      </c>
    </row>
    <row r="851" spans="1:5" ht="15">
      <c r="A851" s="13">
        <v>67419</v>
      </c>
      <c r="B851" s="4">
        <f>117.06 * CHOOSE(CONTROL!$C$9, $C$13, 100%, $E$13) + CHOOSE(CONTROL!$C$28, 0.0181, 0)</f>
        <v>117.07810000000001</v>
      </c>
      <c r="C851" s="4">
        <f>116.7475 * CHOOSE(CONTROL!$C$9, $C$13, 100%, $E$13) + CHOOSE(CONTROL!$C$28, 0.0181, 0)</f>
        <v>116.76560000000001</v>
      </c>
      <c r="D851" s="4">
        <f>98.9961 * CHOOSE(CONTROL!$C$9, $C$13, 100%, $E$13) + CHOOSE(CONTROL!$C$28, 0, 0)</f>
        <v>98.996099999999998</v>
      </c>
      <c r="E851" s="4">
        <f>641.24520869222 * CHOOSE(CONTROL!$C$9, $C$13, 100%, $E$13) + CHOOSE(CONTROL!$C$28, 0, 0)</f>
        <v>641.24520869221999</v>
      </c>
    </row>
    <row r="852" spans="1:5" ht="15">
      <c r="A852" s="13">
        <v>67450</v>
      </c>
      <c r="B852" s="4">
        <f>119.8178 * CHOOSE(CONTROL!$C$9, $C$13, 100%, $E$13) + CHOOSE(CONTROL!$C$28, 0.0181, 0)</f>
        <v>119.83590000000001</v>
      </c>
      <c r="C852" s="4">
        <f>119.5053 * CHOOSE(CONTROL!$C$9, $C$13, 100%, $E$13) + CHOOSE(CONTROL!$C$28, 0.0181, 0)</f>
        <v>119.52340000000001</v>
      </c>
      <c r="D852" s="4">
        <f>97.9519 * CHOOSE(CONTROL!$C$9, $C$13, 100%, $E$13) + CHOOSE(CONTROL!$C$28, 0, 0)</f>
        <v>97.951899999999995</v>
      </c>
      <c r="E852" s="4">
        <f>656.597961461577 * CHOOSE(CONTROL!$C$9, $C$13, 100%, $E$13) + CHOOSE(CONTROL!$C$28, 0, 0)</f>
        <v>656.59796146157703</v>
      </c>
    </row>
    <row r="853" spans="1:5" ht="15">
      <c r="A853" s="13">
        <v>67480</v>
      </c>
      <c r="B853" s="4">
        <f>115.1177 * CHOOSE(CONTROL!$C$9, $C$13, 100%, $E$13) + CHOOSE(CONTROL!$C$28, 0.0181, 0)</f>
        <v>115.1358</v>
      </c>
      <c r="C853" s="4">
        <f>114.8052 * CHOOSE(CONTROL!$C$9, $C$13, 100%, $E$13) + CHOOSE(CONTROL!$C$28, 0.0181, 0)</f>
        <v>114.8233</v>
      </c>
      <c r="D853" s="4">
        <f>97.4586 * CHOOSE(CONTROL!$C$9, $C$13, 100%, $E$13) + CHOOSE(CONTROL!$C$28, 0, 0)</f>
        <v>97.458600000000004</v>
      </c>
      <c r="E853" s="4">
        <f>630.43197418357 * CHOOSE(CONTROL!$C$9, $C$13, 100%, $E$13) + CHOOSE(CONTROL!$C$28, 0, 0)</f>
        <v>630.43197418356999</v>
      </c>
    </row>
    <row r="854" spans="1:5" ht="15">
      <c r="A854" s="13">
        <v>67511</v>
      </c>
      <c r="B854" s="4">
        <f>111.3551 * CHOOSE(CONTROL!$C$9, $C$13, 100%, $E$13) + CHOOSE(CONTROL!$C$28, 0.0003, 0)</f>
        <v>111.35539999999999</v>
      </c>
      <c r="C854" s="4">
        <f>111.0426 * CHOOSE(CONTROL!$C$9, $C$13, 100%, $E$13) + CHOOSE(CONTROL!$C$28, 0.0003, 0)</f>
        <v>111.04289999999999</v>
      </c>
      <c r="D854" s="4">
        <f>96.1376 * CHOOSE(CONTROL!$C$9, $C$13, 100%, $E$13) + CHOOSE(CONTROL!$C$28, 0, 0)</f>
        <v>96.137600000000006</v>
      </c>
      <c r="E854" s="4">
        <f>609.485582808323 * CHOOSE(CONTROL!$C$9, $C$13, 100%, $E$13) + CHOOSE(CONTROL!$C$28, 0, 0)</f>
        <v>609.48558280832299</v>
      </c>
    </row>
    <row r="855" spans="1:5" ht="15">
      <c r="A855" s="13">
        <v>67541</v>
      </c>
      <c r="B855" s="4">
        <f>108.9318 * CHOOSE(CONTROL!$C$9, $C$13, 100%, $E$13) + CHOOSE(CONTROL!$C$28, 0.0003, 0)</f>
        <v>108.93209999999999</v>
      </c>
      <c r="C855" s="4">
        <f>108.6193 * CHOOSE(CONTROL!$C$9, $C$13, 100%, $E$13) + CHOOSE(CONTROL!$C$28, 0.0003, 0)</f>
        <v>108.61959999999999</v>
      </c>
      <c r="D855" s="4">
        <f>95.6835 * CHOOSE(CONTROL!$C$9, $C$13, 100%, $E$13) + CHOOSE(CONTROL!$C$28, 0, 0)</f>
        <v>95.683499999999995</v>
      </c>
      <c r="E855" s="4">
        <f>595.994542584087 * CHOOSE(CONTROL!$C$9, $C$13, 100%, $E$13) + CHOOSE(CONTROL!$C$28, 0, 0)</f>
        <v>595.99454258408696</v>
      </c>
    </row>
    <row r="856" spans="1:5" ht="15">
      <c r="A856" s="13">
        <v>67572</v>
      </c>
      <c r="B856" s="4">
        <f>107.2551 * CHOOSE(CONTROL!$C$9, $C$13, 100%, $E$13) + CHOOSE(CONTROL!$C$28, 0.0003, 0)</f>
        <v>107.25539999999999</v>
      </c>
      <c r="C856" s="4">
        <f>106.9426 * CHOOSE(CONTROL!$C$9, $C$13, 100%, $E$13) + CHOOSE(CONTROL!$C$28, 0.0003, 0)</f>
        <v>106.94289999999999</v>
      </c>
      <c r="D856" s="4">
        <f>92.3401 * CHOOSE(CONTROL!$C$9, $C$13, 100%, $E$13) + CHOOSE(CONTROL!$C$28, 0, 0)</f>
        <v>92.340100000000007</v>
      </c>
      <c r="E856" s="4">
        <f>586.660476946903 * CHOOSE(CONTROL!$C$9, $C$13, 100%, $E$13) + CHOOSE(CONTROL!$C$28, 0, 0)</f>
        <v>586.66047694690303</v>
      </c>
    </row>
    <row r="857" spans="1:5" ht="15">
      <c r="A857" s="13">
        <v>67603</v>
      </c>
      <c r="B857" s="4">
        <f>104.5309 * CHOOSE(CONTROL!$C$9, $C$13, 100%, $E$13) + CHOOSE(CONTROL!$C$28, 0.0003, 0)</f>
        <v>104.5312</v>
      </c>
      <c r="C857" s="4">
        <f>104.2184 * CHOOSE(CONTROL!$C$9, $C$13, 100%, $E$13) + CHOOSE(CONTROL!$C$28, 0.0003, 0)</f>
        <v>104.2187</v>
      </c>
      <c r="D857" s="4">
        <f>89.2671 * CHOOSE(CONTROL!$C$9, $C$13, 100%, $E$13) + CHOOSE(CONTROL!$C$28, 0, 0)</f>
        <v>89.267099999999999</v>
      </c>
      <c r="E857" s="4">
        <f>569.837290053295 * CHOOSE(CONTROL!$C$9, $C$13, 100%, $E$13) + CHOOSE(CONTROL!$C$28, 0, 0)</f>
        <v>569.83729005329496</v>
      </c>
    </row>
    <row r="858" spans="1:5" ht="15">
      <c r="A858" s="13">
        <v>67631</v>
      </c>
      <c r="B858" s="4">
        <f>106.9684 * CHOOSE(CONTROL!$C$9, $C$13, 100%, $E$13) + CHOOSE(CONTROL!$C$28, 0.0003, 0)</f>
        <v>106.9687</v>
      </c>
      <c r="C858" s="4">
        <f>106.6559 * CHOOSE(CONTROL!$C$9, $C$13, 100%, $E$13) + CHOOSE(CONTROL!$C$28, 0.0003, 0)</f>
        <v>106.6562</v>
      </c>
      <c r="D858" s="4">
        <f>92.3616 * CHOOSE(CONTROL!$C$9, $C$13, 100%, $E$13) + CHOOSE(CONTROL!$C$28, 0, 0)</f>
        <v>92.361599999999996</v>
      </c>
      <c r="E858" s="4">
        <f>583.367472996316 * CHOOSE(CONTROL!$C$9, $C$13, 100%, $E$13) + CHOOSE(CONTROL!$C$28, 0, 0)</f>
        <v>583.367472996316</v>
      </c>
    </row>
    <row r="859" spans="1:5" ht="15">
      <c r="A859" s="13">
        <v>67662</v>
      </c>
      <c r="B859" s="4">
        <f>113.3693 * CHOOSE(CONTROL!$C$9, $C$13, 100%, $E$13) + CHOOSE(CONTROL!$C$28, 0.0003, 0)</f>
        <v>113.36959999999999</v>
      </c>
      <c r="C859" s="4">
        <f>113.0568 * CHOOSE(CONTROL!$C$9, $C$13, 100%, $E$13) + CHOOSE(CONTROL!$C$28, 0.0003, 0)</f>
        <v>113.05709999999999</v>
      </c>
      <c r="D859" s="4">
        <f>97.2057 * CHOOSE(CONTROL!$C$9, $C$13, 100%, $E$13) + CHOOSE(CONTROL!$C$28, 0, 0)</f>
        <v>97.205699999999993</v>
      </c>
      <c r="E859" s="4">
        <f>618.89845244228 * CHOOSE(CONTROL!$C$9, $C$13, 100%, $E$13) + CHOOSE(CONTROL!$C$28, 0, 0)</f>
        <v>618.89845244228002</v>
      </c>
    </row>
    <row r="860" spans="1:5" ht="15">
      <c r="A860" s="13">
        <v>67692</v>
      </c>
      <c r="B860" s="4">
        <f>117.9172 * CHOOSE(CONTROL!$C$9, $C$13, 100%, $E$13) + CHOOSE(CONTROL!$C$28, 0.0003, 0)</f>
        <v>117.91749999999999</v>
      </c>
      <c r="C860" s="4">
        <f>117.6047 * CHOOSE(CONTROL!$C$9, $C$13, 100%, $E$13) + CHOOSE(CONTROL!$C$28, 0.0003, 0)</f>
        <v>117.60499999999999</v>
      </c>
      <c r="D860" s="4">
        <f>99.9961 * CHOOSE(CONTROL!$C$9, $C$13, 100%, $E$13) + CHOOSE(CONTROL!$C$28, 0, 0)</f>
        <v>99.996099999999998</v>
      </c>
      <c r="E860" s="4">
        <f>644.143686851197 * CHOOSE(CONTROL!$C$9, $C$13, 100%, $E$13) + CHOOSE(CONTROL!$C$28, 0, 0)</f>
        <v>644.143686851197</v>
      </c>
    </row>
    <row r="861" spans="1:5" ht="15">
      <c r="A861" s="13">
        <v>67723</v>
      </c>
      <c r="B861" s="4">
        <f>120.6959 * CHOOSE(CONTROL!$C$9, $C$13, 100%, $E$13) + CHOOSE(CONTROL!$C$28, 0.0181, 0)</f>
        <v>120.714</v>
      </c>
      <c r="C861" s="4">
        <f>120.3834 * CHOOSE(CONTROL!$C$9, $C$13, 100%, $E$13) + CHOOSE(CONTROL!$C$28, 0.0181, 0)</f>
        <v>120.4015</v>
      </c>
      <c r="D861" s="4">
        <f>98.8934 * CHOOSE(CONTROL!$C$9, $C$13, 100%, $E$13) + CHOOSE(CONTROL!$C$28, 0, 0)</f>
        <v>98.8934</v>
      </c>
      <c r="E861" s="4">
        <f>659.567920031219 * CHOOSE(CONTROL!$C$9, $C$13, 100%, $E$13) + CHOOSE(CONTROL!$C$28, 0, 0)</f>
        <v>659.56792003121905</v>
      </c>
    </row>
    <row r="862" spans="1:5" ht="15">
      <c r="A862" s="13">
        <v>67753</v>
      </c>
      <c r="B862" s="4">
        <f>121.0718 * CHOOSE(CONTROL!$C$9, $C$13, 100%, $E$13) + CHOOSE(CONTROL!$C$28, 0.0181, 0)</f>
        <v>121.0899</v>
      </c>
      <c r="C862" s="4">
        <f>120.7593 * CHOOSE(CONTROL!$C$9, $C$13, 100%, $E$13) + CHOOSE(CONTROL!$C$28, 0.0181, 0)</f>
        <v>120.7774</v>
      </c>
      <c r="D862" s="4">
        <f>99.7914 * CHOOSE(CONTROL!$C$9, $C$13, 100%, $E$13) + CHOOSE(CONTROL!$C$28, 0, 0)</f>
        <v>99.791399999999996</v>
      </c>
      <c r="E862" s="4">
        <f>661.654882792359 * CHOOSE(CONTROL!$C$9, $C$13, 100%, $E$13) + CHOOSE(CONTROL!$C$28, 0, 0)</f>
        <v>661.65488279235899</v>
      </c>
    </row>
    <row r="863" spans="1:5" ht="15">
      <c r="A863" s="13">
        <v>67784</v>
      </c>
      <c r="B863" s="4">
        <f>121.0339 * CHOOSE(CONTROL!$C$9, $C$13, 100%, $E$13) + CHOOSE(CONTROL!$C$28, 0.0181, 0)</f>
        <v>121.05200000000001</v>
      </c>
      <c r="C863" s="4">
        <f>120.7214 * CHOOSE(CONTROL!$C$9, $C$13, 100%, $E$13) + CHOOSE(CONTROL!$C$28, 0.0181, 0)</f>
        <v>120.73950000000001</v>
      </c>
      <c r="D863" s="4">
        <f>101.4118 * CHOOSE(CONTROL!$C$9, $C$13, 100%, $E$13) + CHOOSE(CONTROL!$C$28, 0, 0)</f>
        <v>101.4118</v>
      </c>
      <c r="E863" s="4">
        <f>661.444432766025 * CHOOSE(CONTROL!$C$9, $C$13, 100%, $E$13) + CHOOSE(CONTROL!$C$28, 0, 0)</f>
        <v>661.44443276602499</v>
      </c>
    </row>
    <row r="864" spans="1:5" ht="15">
      <c r="A864" s="13">
        <v>67815</v>
      </c>
      <c r="B864" s="4">
        <f>123.8868 * CHOOSE(CONTROL!$C$9, $C$13, 100%, $E$13) + CHOOSE(CONTROL!$C$28, 0.0181, 0)</f>
        <v>123.9049</v>
      </c>
      <c r="C864" s="4">
        <f>123.5743 * CHOOSE(CONTROL!$C$9, $C$13, 100%, $E$13) + CHOOSE(CONTROL!$C$28, 0.0181, 0)</f>
        <v>123.5924</v>
      </c>
      <c r="D864" s="4">
        <f>100.3417 * CHOOSE(CONTROL!$C$9, $C$13, 100%, $E$13) + CHOOSE(CONTROL!$C$28, 0, 0)</f>
        <v>100.3417</v>
      </c>
      <c r="E864" s="4">
        <f>677.280797247617 * CHOOSE(CONTROL!$C$9, $C$13, 100%, $E$13) + CHOOSE(CONTROL!$C$28, 0, 0)</f>
        <v>677.28079724761699</v>
      </c>
    </row>
    <row r="865" spans="1:5" ht="15">
      <c r="A865" s="13">
        <v>67845</v>
      </c>
      <c r="B865" s="4">
        <f>119.0246 * CHOOSE(CONTROL!$C$9, $C$13, 100%, $E$13) + CHOOSE(CONTROL!$C$28, 0.0181, 0)</f>
        <v>119.04270000000001</v>
      </c>
      <c r="C865" s="4">
        <f>118.7121 * CHOOSE(CONTROL!$C$9, $C$13, 100%, $E$13) + CHOOSE(CONTROL!$C$28, 0.0181, 0)</f>
        <v>118.73020000000001</v>
      </c>
      <c r="D865" s="4">
        <f>99.8361 * CHOOSE(CONTROL!$C$9, $C$13, 100%, $E$13) + CHOOSE(CONTROL!$C$28, 0, 0)</f>
        <v>99.836100000000002</v>
      </c>
      <c r="E865" s="4">
        <f>650.290581370353 * CHOOSE(CONTROL!$C$9, $C$13, 100%, $E$13) + CHOOSE(CONTROL!$C$28, 0, 0)</f>
        <v>650.29058137035304</v>
      </c>
    </row>
    <row r="866" spans="1:5" ht="15">
      <c r="A866" s="13">
        <v>67876</v>
      </c>
      <c r="B866" s="4">
        <f>115.1322 * CHOOSE(CONTROL!$C$9, $C$13, 100%, $E$13) + CHOOSE(CONTROL!$C$28, 0.0003, 0)</f>
        <v>115.13249999999999</v>
      </c>
      <c r="C866" s="4">
        <f>114.8197 * CHOOSE(CONTROL!$C$9, $C$13, 100%, $E$13) + CHOOSE(CONTROL!$C$28, 0.0003, 0)</f>
        <v>114.82</v>
      </c>
      <c r="D866" s="4">
        <f>98.4824 * CHOOSE(CONTROL!$C$9, $C$13, 100%, $E$13) + CHOOSE(CONTROL!$C$28, 0, 0)</f>
        <v>98.482399999999998</v>
      </c>
      <c r="E866" s="4">
        <f>628.684378666785 * CHOOSE(CONTROL!$C$9, $C$13, 100%, $E$13) + CHOOSE(CONTROL!$C$28, 0, 0)</f>
        <v>628.68437866678505</v>
      </c>
    </row>
    <row r="867" spans="1:5" ht="15">
      <c r="A867" s="13">
        <v>67906</v>
      </c>
      <c r="B867" s="4">
        <f>112.6253 * CHOOSE(CONTROL!$C$9, $C$13, 100%, $E$13) + CHOOSE(CONTROL!$C$28, 0.0003, 0)</f>
        <v>112.62559999999999</v>
      </c>
      <c r="C867" s="4">
        <f>112.3128 * CHOOSE(CONTROL!$C$9, $C$13, 100%, $E$13) + CHOOSE(CONTROL!$C$28, 0.0003, 0)</f>
        <v>112.31309999999999</v>
      </c>
      <c r="D867" s="4">
        <f>98.017 * CHOOSE(CONTROL!$C$9, $C$13, 100%, $E$13) + CHOOSE(CONTROL!$C$28, 0, 0)</f>
        <v>98.016999999999996</v>
      </c>
      <c r="E867" s="4">
        <f>614.768370675486 * CHOOSE(CONTROL!$C$9, $C$13, 100%, $E$13) + CHOOSE(CONTROL!$C$28, 0, 0)</f>
        <v>614.76837067548604</v>
      </c>
    </row>
    <row r="868" spans="1:5" ht="15">
      <c r="A868" s="13">
        <v>67937</v>
      </c>
      <c r="B868" s="4">
        <f>110.8908 * CHOOSE(CONTROL!$C$9, $C$13, 100%, $E$13) + CHOOSE(CONTROL!$C$28, 0.0003, 0)</f>
        <v>110.89109999999999</v>
      </c>
      <c r="C868" s="4">
        <f>110.5783 * CHOOSE(CONTROL!$C$9, $C$13, 100%, $E$13) + CHOOSE(CONTROL!$C$28, 0.0003, 0)</f>
        <v>110.57859999999999</v>
      </c>
      <c r="D868" s="4">
        <f>94.5906 * CHOOSE(CONTROL!$C$9, $C$13, 100%, $E$13) + CHOOSE(CONTROL!$C$28, 0, 0)</f>
        <v>94.590599999999995</v>
      </c>
      <c r="E868" s="4">
        <f>605.140281970731 * CHOOSE(CONTROL!$C$9, $C$13, 100%, $E$13) + CHOOSE(CONTROL!$C$28, 0, 0)</f>
        <v>605.14028197073105</v>
      </c>
    </row>
    <row r="869" spans="1:5" ht="15">
      <c r="A869" s="13">
        <v>67968</v>
      </c>
      <c r="B869" s="4">
        <f>108.0726 * CHOOSE(CONTROL!$C$9, $C$13, 100%, $E$13) + CHOOSE(CONTROL!$C$28, 0.0003, 0)</f>
        <v>108.07289999999999</v>
      </c>
      <c r="C869" s="4">
        <f>107.7601 * CHOOSE(CONTROL!$C$9, $C$13, 100%, $E$13) + CHOOSE(CONTROL!$C$28, 0.0003, 0)</f>
        <v>107.76039999999999</v>
      </c>
      <c r="D869" s="4">
        <f>91.4415 * CHOOSE(CONTROL!$C$9, $C$13, 100%, $E$13) + CHOOSE(CONTROL!$C$28, 0, 0)</f>
        <v>91.441500000000005</v>
      </c>
      <c r="E869" s="4">
        <f>587.787164689974 * CHOOSE(CONTROL!$C$9, $C$13, 100%, $E$13) + CHOOSE(CONTROL!$C$28, 0, 0)</f>
        <v>587.78716468997402</v>
      </c>
    </row>
    <row r="870" spans="1:5" ht="15">
      <c r="A870" s="13">
        <v>67996</v>
      </c>
      <c r="B870" s="4">
        <f>110.5941 * CHOOSE(CONTROL!$C$9, $C$13, 100%, $E$13) + CHOOSE(CONTROL!$C$28, 0.0003, 0)</f>
        <v>110.59439999999999</v>
      </c>
      <c r="C870" s="4">
        <f>110.2816 * CHOOSE(CONTROL!$C$9, $C$13, 100%, $E$13) + CHOOSE(CONTROL!$C$28, 0.0003, 0)</f>
        <v>110.28189999999999</v>
      </c>
      <c r="D870" s="4">
        <f>94.6127 * CHOOSE(CONTROL!$C$9, $C$13, 100%, $E$13) + CHOOSE(CONTROL!$C$28, 0, 0)</f>
        <v>94.612700000000004</v>
      </c>
      <c r="E870" s="4">
        <f>601.7435483957 * CHOOSE(CONTROL!$C$9, $C$13, 100%, $E$13) + CHOOSE(CONTROL!$C$28, 0, 0)</f>
        <v>601.74354839570003</v>
      </c>
    </row>
    <row r="871" spans="1:5" ht="15">
      <c r="A871" s="13">
        <v>68027</v>
      </c>
      <c r="B871" s="4">
        <f>117.2158 * CHOOSE(CONTROL!$C$9, $C$13, 100%, $E$13) + CHOOSE(CONTROL!$C$28, 0.0003, 0)</f>
        <v>117.2161</v>
      </c>
      <c r="C871" s="4">
        <f>116.9033 * CHOOSE(CONTROL!$C$9, $C$13, 100%, $E$13) + CHOOSE(CONTROL!$C$28, 0.0003, 0)</f>
        <v>116.9036</v>
      </c>
      <c r="D871" s="4">
        <f>99.5769 * CHOOSE(CONTROL!$C$9, $C$13, 100%, $E$13) + CHOOSE(CONTROL!$C$28, 0, 0)</f>
        <v>99.576899999999995</v>
      </c>
      <c r="E871" s="4">
        <f>638.393753694212 * CHOOSE(CONTROL!$C$9, $C$13, 100%, $E$13) + CHOOSE(CONTROL!$C$28, 0, 0)</f>
        <v>638.39375369421202</v>
      </c>
    </row>
    <row r="872" spans="1:5" ht="15">
      <c r="A872" s="13">
        <v>68057</v>
      </c>
      <c r="B872" s="4">
        <f>121.9207 * CHOOSE(CONTROL!$C$9, $C$13, 100%, $E$13) + CHOOSE(CONTROL!$C$28, 0.0003, 0)</f>
        <v>121.92099999999999</v>
      </c>
      <c r="C872" s="4">
        <f>121.6082 * CHOOSE(CONTROL!$C$9, $C$13, 100%, $E$13) + CHOOSE(CONTROL!$C$28, 0.0003, 0)</f>
        <v>121.60849999999999</v>
      </c>
      <c r="D872" s="4">
        <f>102.4365 * CHOOSE(CONTROL!$C$9, $C$13, 100%, $E$13) + CHOOSE(CONTROL!$C$28, 0, 0)</f>
        <v>102.4365</v>
      </c>
      <c r="E872" s="4">
        <f>664.434212987009 * CHOOSE(CONTROL!$C$9, $C$13, 100%, $E$13) + CHOOSE(CONTROL!$C$28, 0, 0)</f>
        <v>664.434212987009</v>
      </c>
    </row>
    <row r="873" spans="1:5" ht="15">
      <c r="A873" s="13">
        <v>68088</v>
      </c>
      <c r="B873" s="4">
        <f>124.7952 * CHOOSE(CONTROL!$C$9, $C$13, 100%, $E$13) + CHOOSE(CONTROL!$C$28, 0.0181, 0)</f>
        <v>124.8133</v>
      </c>
      <c r="C873" s="4">
        <f>124.4827 * CHOOSE(CONTROL!$C$9, $C$13, 100%, $E$13) + CHOOSE(CONTROL!$C$28, 0.0181, 0)</f>
        <v>124.5008</v>
      </c>
      <c r="D873" s="4">
        <f>101.3065 * CHOOSE(CONTROL!$C$9, $C$13, 100%, $E$13) + CHOOSE(CONTROL!$C$28, 0, 0)</f>
        <v>101.3065</v>
      </c>
      <c r="E873" s="4">
        <f>680.344309512202 * CHOOSE(CONTROL!$C$9, $C$13, 100%, $E$13) + CHOOSE(CONTROL!$C$28, 0, 0)</f>
        <v>680.34430951220202</v>
      </c>
    </row>
    <row r="874" spans="1:5" ht="15">
      <c r="A874" s="13">
        <v>68118</v>
      </c>
      <c r="B874" s="4">
        <f>125.1841 * CHOOSE(CONTROL!$C$9, $C$13, 100%, $E$13) + CHOOSE(CONTROL!$C$28, 0.0181, 0)</f>
        <v>125.2022</v>
      </c>
      <c r="C874" s="4">
        <f>124.8716 * CHOOSE(CONTROL!$C$9, $C$13, 100%, $E$13) + CHOOSE(CONTROL!$C$28, 0.0181, 0)</f>
        <v>124.8897</v>
      </c>
      <c r="D874" s="4">
        <f>102.2268 * CHOOSE(CONTROL!$C$9, $C$13, 100%, $E$13) + CHOOSE(CONTROL!$C$28, 0, 0)</f>
        <v>102.2268</v>
      </c>
      <c r="E874" s="4">
        <f>682.497011600318 * CHOOSE(CONTROL!$C$9, $C$13, 100%, $E$13) + CHOOSE(CONTROL!$C$28, 0, 0)</f>
        <v>682.49701160031805</v>
      </c>
    </row>
    <row r="875" spans="1:5" ht="15">
      <c r="A875" s="13">
        <v>68149</v>
      </c>
      <c r="B875" s="4">
        <f>125.1449 * CHOOSE(CONTROL!$C$9, $C$13, 100%, $E$13) + CHOOSE(CONTROL!$C$28, 0.0181, 0)</f>
        <v>125.16300000000001</v>
      </c>
      <c r="C875" s="4">
        <f>124.8324 * CHOOSE(CONTROL!$C$9, $C$13, 100%, $E$13) + CHOOSE(CONTROL!$C$28, 0.0181, 0)</f>
        <v>124.85050000000001</v>
      </c>
      <c r="D875" s="4">
        <f>103.8873 * CHOOSE(CONTROL!$C$9, $C$13, 100%, $E$13) + CHOOSE(CONTROL!$C$28, 0, 0)</f>
        <v>103.8873</v>
      </c>
      <c r="E875" s="4">
        <f>682.279932398155 * CHOOSE(CONTROL!$C$9, $C$13, 100%, $E$13) + CHOOSE(CONTROL!$C$28, 0, 0)</f>
        <v>682.27993239815498</v>
      </c>
    </row>
    <row r="876" spans="1:5" ht="15">
      <c r="A876" s="13">
        <v>68180</v>
      </c>
      <c r="B876" s="4">
        <f>128.0962 * CHOOSE(CONTROL!$C$9, $C$13, 100%, $E$13) + CHOOSE(CONTROL!$C$28, 0.0181, 0)</f>
        <v>128.11430000000001</v>
      </c>
      <c r="C876" s="4">
        <f>127.7837 * CHOOSE(CONTROL!$C$9, $C$13, 100%, $E$13) + CHOOSE(CONTROL!$C$28, 0.0181, 0)</f>
        <v>127.8018</v>
      </c>
      <c r="D876" s="4">
        <f>102.7907 * CHOOSE(CONTROL!$C$9, $C$13, 100%, $E$13) + CHOOSE(CONTROL!$C$28, 0, 0)</f>
        <v>102.7907</v>
      </c>
      <c r="E876" s="4">
        <f>698.615142360917 * CHOOSE(CONTROL!$C$9, $C$13, 100%, $E$13) + CHOOSE(CONTROL!$C$28, 0, 0)</f>
        <v>698.61514236091705</v>
      </c>
    </row>
    <row r="877" spans="1:5" ht="15">
      <c r="A877" s="13">
        <v>68210</v>
      </c>
      <c r="B877" s="4">
        <f>123.0662 * CHOOSE(CONTROL!$C$9, $C$13, 100%, $E$13) + CHOOSE(CONTROL!$C$28, 0.0181, 0)</f>
        <v>123.0843</v>
      </c>
      <c r="C877" s="4">
        <f>122.7537 * CHOOSE(CONTROL!$C$9, $C$13, 100%, $E$13) + CHOOSE(CONTROL!$C$28, 0.0181, 0)</f>
        <v>122.7718</v>
      </c>
      <c r="D877" s="4">
        <f>102.2726 * CHOOSE(CONTROL!$C$9, $C$13, 100%, $E$13) + CHOOSE(CONTROL!$C$28, 0, 0)</f>
        <v>102.2726</v>
      </c>
      <c r="E877" s="4">
        <f>670.774734683519 * CHOOSE(CONTROL!$C$9, $C$13, 100%, $E$13) + CHOOSE(CONTROL!$C$28, 0, 0)</f>
        <v>670.774734683519</v>
      </c>
    </row>
    <row r="878" spans="1:5" ht="15">
      <c r="A878" s="13">
        <v>68241</v>
      </c>
      <c r="B878" s="4">
        <f>119.0396 * CHOOSE(CONTROL!$C$9, $C$13, 100%, $E$13) + CHOOSE(CONTROL!$C$28, 0.0003, 0)</f>
        <v>119.03989999999999</v>
      </c>
      <c r="C878" s="4">
        <f>118.7271 * CHOOSE(CONTROL!$C$9, $C$13, 100%, $E$13) + CHOOSE(CONTROL!$C$28, 0.0003, 0)</f>
        <v>118.72739999999999</v>
      </c>
      <c r="D878" s="4">
        <f>100.8853 * CHOOSE(CONTROL!$C$9, $C$13, 100%, $E$13) + CHOOSE(CONTROL!$C$28, 0, 0)</f>
        <v>100.8853</v>
      </c>
      <c r="E878" s="4">
        <f>648.487936594789 * CHOOSE(CONTROL!$C$9, $C$13, 100%, $E$13) + CHOOSE(CONTROL!$C$28, 0, 0)</f>
        <v>648.48793659478895</v>
      </c>
    </row>
    <row r="879" spans="1:5" ht="15">
      <c r="A879" s="13">
        <v>68271</v>
      </c>
      <c r="B879" s="4">
        <f>116.4461 * CHOOSE(CONTROL!$C$9, $C$13, 100%, $E$13) + CHOOSE(CONTROL!$C$28, 0.0003, 0)</f>
        <v>116.4464</v>
      </c>
      <c r="C879" s="4">
        <f>116.1336 * CHOOSE(CONTROL!$C$9, $C$13, 100%, $E$13) + CHOOSE(CONTROL!$C$28, 0.0003, 0)</f>
        <v>116.1339</v>
      </c>
      <c r="D879" s="4">
        <f>100.4084 * CHOOSE(CONTROL!$C$9, $C$13, 100%, $E$13) + CHOOSE(CONTROL!$C$28, 0, 0)</f>
        <v>100.4084</v>
      </c>
      <c r="E879" s="4">
        <f>634.133574351764 * CHOOSE(CONTROL!$C$9, $C$13, 100%, $E$13) + CHOOSE(CONTROL!$C$28, 0, 0)</f>
        <v>634.13357435176397</v>
      </c>
    </row>
    <row r="880" spans="1:5" ht="15">
      <c r="A880" s="13">
        <v>68302</v>
      </c>
      <c r="B880" s="4">
        <f>114.6518 * CHOOSE(CONTROL!$C$9, $C$13, 100%, $E$13) + CHOOSE(CONTROL!$C$28, 0.0003, 0)</f>
        <v>114.65209999999999</v>
      </c>
      <c r="C880" s="4">
        <f>114.3393 * CHOOSE(CONTROL!$C$9, $C$13, 100%, $E$13) + CHOOSE(CONTROL!$C$28, 0.0003, 0)</f>
        <v>114.33959999999999</v>
      </c>
      <c r="D880" s="4">
        <f>96.897 * CHOOSE(CONTROL!$C$9, $C$13, 100%, $E$13) + CHOOSE(CONTROL!$C$28, 0, 0)</f>
        <v>96.897000000000006</v>
      </c>
      <c r="E880" s="4">
        <f>624.202200852809 * CHOOSE(CONTROL!$C$9, $C$13, 100%, $E$13) + CHOOSE(CONTROL!$C$28, 0, 0)</f>
        <v>624.20220085280903</v>
      </c>
    </row>
    <row r="881" spans="1:5" ht="15">
      <c r="A881" s="13">
        <v>68333</v>
      </c>
      <c r="B881" s="4">
        <f>111.7364 * CHOOSE(CONTROL!$C$9, $C$13, 100%, $E$13) + CHOOSE(CONTROL!$C$28, 0.0003, 0)</f>
        <v>111.7367</v>
      </c>
      <c r="C881" s="4">
        <f>111.4239 * CHOOSE(CONTROL!$C$9, $C$13, 100%, $E$13) + CHOOSE(CONTROL!$C$28, 0.0003, 0)</f>
        <v>111.4242</v>
      </c>
      <c r="D881" s="4">
        <f>93.6698 * CHOOSE(CONTROL!$C$9, $C$13, 100%, $E$13) + CHOOSE(CONTROL!$C$28, 0, 0)</f>
        <v>93.669799999999995</v>
      </c>
      <c r="E881" s="4">
        <f>606.302460377708 * CHOOSE(CONTROL!$C$9, $C$13, 100%, $E$13) + CHOOSE(CONTROL!$C$28, 0, 0)</f>
        <v>606.30246037770803</v>
      </c>
    </row>
    <row r="882" spans="1:5" ht="15">
      <c r="A882" s="13">
        <v>68361</v>
      </c>
      <c r="B882" s="4">
        <f>114.3449 * CHOOSE(CONTROL!$C$9, $C$13, 100%, $E$13) + CHOOSE(CONTROL!$C$28, 0.0003, 0)</f>
        <v>114.34519999999999</v>
      </c>
      <c r="C882" s="4">
        <f>114.0324 * CHOOSE(CONTROL!$C$9, $C$13, 100%, $E$13) + CHOOSE(CONTROL!$C$28, 0.0003, 0)</f>
        <v>114.03269999999999</v>
      </c>
      <c r="D882" s="4">
        <f>96.9196 * CHOOSE(CONTROL!$C$9, $C$13, 100%, $E$13) + CHOOSE(CONTROL!$C$28, 0, 0)</f>
        <v>96.919600000000003</v>
      </c>
      <c r="E882" s="4">
        <f>620.698470170165 * CHOOSE(CONTROL!$C$9, $C$13, 100%, $E$13) + CHOOSE(CONTROL!$C$28, 0, 0)</f>
        <v>620.69847017016502</v>
      </c>
    </row>
    <row r="883" spans="1:5" ht="15">
      <c r="A883" s="13">
        <v>68392</v>
      </c>
      <c r="B883" s="4">
        <f>121.1951 * CHOOSE(CONTROL!$C$9, $C$13, 100%, $E$13) + CHOOSE(CONTROL!$C$28, 0.0003, 0)</f>
        <v>121.19539999999999</v>
      </c>
      <c r="C883" s="4">
        <f>120.8826 * CHOOSE(CONTROL!$C$9, $C$13, 100%, $E$13) + CHOOSE(CONTROL!$C$28, 0.0003, 0)</f>
        <v>120.88289999999999</v>
      </c>
      <c r="D883" s="4">
        <f>102.007 * CHOOSE(CONTROL!$C$9, $C$13, 100%, $E$13) + CHOOSE(CONTROL!$C$28, 0, 0)</f>
        <v>102.00700000000001</v>
      </c>
      <c r="E883" s="4">
        <f>658.50315693558 * CHOOSE(CONTROL!$C$9, $C$13, 100%, $E$13) + CHOOSE(CONTROL!$C$28, 0, 0)</f>
        <v>658.50315693558002</v>
      </c>
    </row>
    <row r="884" spans="1:5" ht="15">
      <c r="A884" s="13">
        <v>68422</v>
      </c>
      <c r="B884" s="4">
        <f>126.0622 * CHOOSE(CONTROL!$C$9, $C$13, 100%, $E$13) + CHOOSE(CONTROL!$C$28, 0.0003, 0)</f>
        <v>126.0625</v>
      </c>
      <c r="C884" s="4">
        <f>125.7497 * CHOOSE(CONTROL!$C$9, $C$13, 100%, $E$13) + CHOOSE(CONTROL!$C$28, 0.0003, 0)</f>
        <v>125.75</v>
      </c>
      <c r="D884" s="4">
        <f>104.9375 * CHOOSE(CONTROL!$C$9, $C$13, 100%, $E$13) + CHOOSE(CONTROL!$C$28, 0, 0)</f>
        <v>104.9375</v>
      </c>
      <c r="E884" s="4">
        <f>685.3638906961 * CHOOSE(CONTROL!$C$9, $C$13, 100%, $E$13) + CHOOSE(CONTROL!$C$28, 0, 0)</f>
        <v>685.36389069610004</v>
      </c>
    </row>
    <row r="885" spans="1:5" ht="15">
      <c r="A885" s="13">
        <v>68453</v>
      </c>
      <c r="B885" s="4">
        <f>129.0359 * CHOOSE(CONTROL!$C$9, $C$13, 100%, $E$13) + CHOOSE(CONTROL!$C$28, 0.0181, 0)</f>
        <v>129.054</v>
      </c>
      <c r="C885" s="4">
        <f>128.7234 * CHOOSE(CONTROL!$C$9, $C$13, 100%, $E$13) + CHOOSE(CONTROL!$C$28, 0.0181, 0)</f>
        <v>128.7415</v>
      </c>
      <c r="D885" s="4">
        <f>103.7795 * CHOOSE(CONTROL!$C$9, $C$13, 100%, $E$13) + CHOOSE(CONTROL!$C$28, 0, 0)</f>
        <v>103.7795</v>
      </c>
      <c r="E885" s="4">
        <f>701.775155261837 * CHOOSE(CONTROL!$C$9, $C$13, 100%, $E$13) + CHOOSE(CONTROL!$C$28, 0, 0)</f>
        <v>701.77515526183697</v>
      </c>
    </row>
    <row r="886" spans="1:5" ht="15">
      <c r="A886" s="13">
        <v>68483</v>
      </c>
      <c r="B886" s="4">
        <f>129.4383 * CHOOSE(CONTROL!$C$9, $C$13, 100%, $E$13) + CHOOSE(CONTROL!$C$28, 0.0181, 0)</f>
        <v>129.4564</v>
      </c>
      <c r="C886" s="4">
        <f>129.1258 * CHOOSE(CONTROL!$C$9, $C$13, 100%, $E$13) + CHOOSE(CONTROL!$C$28, 0.0181, 0)</f>
        <v>129.1439</v>
      </c>
      <c r="D886" s="4">
        <f>104.7226 * CHOOSE(CONTROL!$C$9, $C$13, 100%, $E$13) + CHOOSE(CONTROL!$C$28, 0, 0)</f>
        <v>104.7226</v>
      </c>
      <c r="E886" s="4">
        <f>703.995667465728 * CHOOSE(CONTROL!$C$9, $C$13, 100%, $E$13) + CHOOSE(CONTROL!$C$28, 0, 0)</f>
        <v>703.99566746572805</v>
      </c>
    </row>
    <row r="887" spans="1:5" ht="15">
      <c r="A887" s="13">
        <v>68514</v>
      </c>
      <c r="B887" s="4">
        <f>129.3977 * CHOOSE(CONTROL!$C$9, $C$13, 100%, $E$13) + CHOOSE(CONTROL!$C$28, 0.0181, 0)</f>
        <v>129.41579999999999</v>
      </c>
      <c r="C887" s="4">
        <f>129.0852 * CHOOSE(CONTROL!$C$9, $C$13, 100%, $E$13) + CHOOSE(CONTROL!$C$28, 0.0181, 0)</f>
        <v>129.10329999999999</v>
      </c>
      <c r="D887" s="4">
        <f>106.4243 * CHOOSE(CONTROL!$C$9, $C$13, 100%, $E$13) + CHOOSE(CONTROL!$C$28, 0, 0)</f>
        <v>106.4243</v>
      </c>
      <c r="E887" s="4">
        <f>703.771750268697 * CHOOSE(CONTROL!$C$9, $C$13, 100%, $E$13) + CHOOSE(CONTROL!$C$28, 0, 0)</f>
        <v>703.77175026869702</v>
      </c>
    </row>
    <row r="888" spans="1:5" ht="15">
      <c r="A888" s="13">
        <v>68545</v>
      </c>
      <c r="B888" s="4">
        <f>132.4509 * CHOOSE(CONTROL!$C$9, $C$13, 100%, $E$13) + CHOOSE(CONTROL!$C$28, 0.0181, 0)</f>
        <v>132.46899999999999</v>
      </c>
      <c r="C888" s="4">
        <f>132.1384 * CHOOSE(CONTROL!$C$9, $C$13, 100%, $E$13) + CHOOSE(CONTROL!$C$28, 0.0181, 0)</f>
        <v>132.15649999999999</v>
      </c>
      <c r="D888" s="4">
        <f>105.3005 * CHOOSE(CONTROL!$C$9, $C$13, 100%, $E$13) + CHOOSE(CONTROL!$C$28, 0, 0)</f>
        <v>105.3005</v>
      </c>
      <c r="E888" s="4">
        <f>720.621519345286 * CHOOSE(CONTROL!$C$9, $C$13, 100%, $E$13) + CHOOSE(CONTROL!$C$28, 0, 0)</f>
        <v>720.62151934528595</v>
      </c>
    </row>
    <row r="889" spans="1:5" ht="15">
      <c r="A889" s="13">
        <v>68575</v>
      </c>
      <c r="B889" s="4">
        <f>127.2473 * CHOOSE(CONTROL!$C$9, $C$13, 100%, $E$13) + CHOOSE(CONTROL!$C$28, 0.0181, 0)</f>
        <v>127.2654</v>
      </c>
      <c r="C889" s="4">
        <f>126.9348 * CHOOSE(CONTROL!$C$9, $C$13, 100%, $E$13) + CHOOSE(CONTROL!$C$28, 0.0181, 0)</f>
        <v>126.9529</v>
      </c>
      <c r="D889" s="4">
        <f>104.7695 * CHOOSE(CONTROL!$C$9, $C$13, 100%, $E$13) + CHOOSE(CONTROL!$C$28, 0, 0)</f>
        <v>104.76949999999999</v>
      </c>
      <c r="E889" s="4">
        <f>691.90413882605 * CHOOSE(CONTROL!$C$9, $C$13, 100%, $E$13) + CHOOSE(CONTROL!$C$28, 0, 0)</f>
        <v>691.90413882605003</v>
      </c>
    </row>
    <row r="890" spans="1:5" ht="15">
      <c r="A890" s="13">
        <v>68606</v>
      </c>
      <c r="B890" s="4">
        <f>123.0818 * CHOOSE(CONTROL!$C$9, $C$13, 100%, $E$13) + CHOOSE(CONTROL!$C$28, 0.0003, 0)</f>
        <v>123.0821</v>
      </c>
      <c r="C890" s="4">
        <f>122.7693 * CHOOSE(CONTROL!$C$9, $C$13, 100%, $E$13) + CHOOSE(CONTROL!$C$28, 0.0003, 0)</f>
        <v>122.7696</v>
      </c>
      <c r="D890" s="4">
        <f>103.3478 * CHOOSE(CONTROL!$C$9, $C$13, 100%, $E$13) + CHOOSE(CONTROL!$C$28, 0, 0)</f>
        <v>103.34780000000001</v>
      </c>
      <c r="E890" s="4">
        <f>668.915306597525 * CHOOSE(CONTROL!$C$9, $C$13, 100%, $E$13) + CHOOSE(CONTROL!$C$28, 0, 0)</f>
        <v>668.91530659752505</v>
      </c>
    </row>
    <row r="891" spans="1:5" ht="15">
      <c r="A891" s="13">
        <v>68636</v>
      </c>
      <c r="B891" s="4">
        <f>120.3988 * CHOOSE(CONTROL!$C$9, $C$13, 100%, $E$13) + CHOOSE(CONTROL!$C$28, 0.0003, 0)</f>
        <v>120.39909999999999</v>
      </c>
      <c r="C891" s="4">
        <f>120.0863 * CHOOSE(CONTROL!$C$9, $C$13, 100%, $E$13) + CHOOSE(CONTROL!$C$28, 0.0003, 0)</f>
        <v>120.08659999999999</v>
      </c>
      <c r="D891" s="4">
        <f>102.859 * CHOOSE(CONTROL!$C$9, $C$13, 100%, $E$13) + CHOOSE(CONTROL!$C$28, 0, 0)</f>
        <v>102.85899999999999</v>
      </c>
      <c r="E891" s="4">
        <f>654.108781943845 * CHOOSE(CONTROL!$C$9, $C$13, 100%, $E$13) + CHOOSE(CONTROL!$C$28, 0, 0)</f>
        <v>654.10878194384497</v>
      </c>
    </row>
    <row r="892" spans="1:5" ht="15">
      <c r="A892" s="13">
        <v>68667</v>
      </c>
      <c r="B892" s="4">
        <f>118.5426 * CHOOSE(CONTROL!$C$9, $C$13, 100%, $E$13) + CHOOSE(CONTROL!$C$28, 0.0003, 0)</f>
        <v>118.54289999999999</v>
      </c>
      <c r="C892" s="4">
        <f>118.2301 * CHOOSE(CONTROL!$C$9, $C$13, 100%, $E$13) + CHOOSE(CONTROL!$C$28, 0.0003, 0)</f>
        <v>118.23039999999999</v>
      </c>
      <c r="D892" s="4">
        <f>99.2606 * CHOOSE(CONTROL!$C$9, $C$13, 100%, $E$13) + CHOOSE(CONTROL!$C$28, 0, 0)</f>
        <v>99.260599999999997</v>
      </c>
      <c r="E892" s="4">
        <f>643.864570179673 * CHOOSE(CONTROL!$C$9, $C$13, 100%, $E$13) + CHOOSE(CONTROL!$C$28, 0, 0)</f>
        <v>643.86457017967302</v>
      </c>
    </row>
    <row r="893" spans="1:5" ht="15">
      <c r="A893" s="13">
        <v>68698</v>
      </c>
      <c r="B893" s="4">
        <f>115.5266 * CHOOSE(CONTROL!$C$9, $C$13, 100%, $E$13) + CHOOSE(CONTROL!$C$28, 0.0003, 0)</f>
        <v>115.5269</v>
      </c>
      <c r="C893" s="4">
        <f>115.2141 * CHOOSE(CONTROL!$C$9, $C$13, 100%, $E$13) + CHOOSE(CONTROL!$C$28, 0.0003, 0)</f>
        <v>115.2144</v>
      </c>
      <c r="D893" s="4">
        <f>95.9534 * CHOOSE(CONTROL!$C$9, $C$13, 100%, $E$13) + CHOOSE(CONTROL!$C$28, 0, 0)</f>
        <v>95.953400000000002</v>
      </c>
      <c r="E893" s="4">
        <f>625.400987879605 * CHOOSE(CONTROL!$C$9, $C$13, 100%, $E$13) + CHOOSE(CONTROL!$C$28, 0, 0)</f>
        <v>625.40098787960505</v>
      </c>
    </row>
    <row r="894" spans="1:5" ht="15">
      <c r="A894" s="13">
        <v>68727</v>
      </c>
      <c r="B894" s="4">
        <f>118.2251 * CHOOSE(CONTROL!$C$9, $C$13, 100%, $E$13) + CHOOSE(CONTROL!$C$28, 0.0003, 0)</f>
        <v>118.22539999999999</v>
      </c>
      <c r="C894" s="4">
        <f>117.9126 * CHOOSE(CONTROL!$C$9, $C$13, 100%, $E$13) + CHOOSE(CONTROL!$C$28, 0.0003, 0)</f>
        <v>117.91289999999999</v>
      </c>
      <c r="D894" s="4">
        <f>99.2838 * CHOOSE(CONTROL!$C$9, $C$13, 100%, $E$13) + CHOOSE(CONTROL!$C$28, 0, 0)</f>
        <v>99.283799999999999</v>
      </c>
      <c r="E894" s="4">
        <f>640.250471980525 * CHOOSE(CONTROL!$C$9, $C$13, 100%, $E$13) + CHOOSE(CONTROL!$C$28, 0, 0)</f>
        <v>640.25047198052505</v>
      </c>
    </row>
    <row r="895" spans="1:5" ht="15">
      <c r="A895" s="13">
        <v>68758</v>
      </c>
      <c r="B895" s="4">
        <f>125.3116 * CHOOSE(CONTROL!$C$9, $C$13, 100%, $E$13) + CHOOSE(CONTROL!$C$28, 0.0003, 0)</f>
        <v>125.31189999999999</v>
      </c>
      <c r="C895" s="4">
        <f>124.9991 * CHOOSE(CONTROL!$C$9, $C$13, 100%, $E$13) + CHOOSE(CONTROL!$C$28, 0.0003, 0)</f>
        <v>124.99939999999999</v>
      </c>
      <c r="D895" s="4">
        <f>104.4973 * CHOOSE(CONTROL!$C$9, $C$13, 100%, $E$13) + CHOOSE(CONTROL!$C$28, 0, 0)</f>
        <v>104.4973</v>
      </c>
      <c r="E895" s="4">
        <f>679.24600637905 * CHOOSE(CONTROL!$C$9, $C$13, 100%, $E$13) + CHOOSE(CONTROL!$C$28, 0, 0)</f>
        <v>679.24600637904996</v>
      </c>
    </row>
    <row r="896" spans="1:5" ht="15">
      <c r="A896" s="13">
        <v>68788</v>
      </c>
      <c r="B896" s="4">
        <f>130.3467 * CHOOSE(CONTROL!$C$9, $C$13, 100%, $E$13) + CHOOSE(CONTROL!$C$28, 0.0003, 0)</f>
        <v>130.34700000000001</v>
      </c>
      <c r="C896" s="4">
        <f>130.0342 * CHOOSE(CONTROL!$C$9, $C$13, 100%, $E$13) + CHOOSE(CONTROL!$C$28, 0.0003, 0)</f>
        <v>130.03450000000001</v>
      </c>
      <c r="D896" s="4">
        <f>107.5005 * CHOOSE(CONTROL!$C$9, $C$13, 100%, $E$13) + CHOOSE(CONTROL!$C$28, 0, 0)</f>
        <v>107.5005</v>
      </c>
      <c r="E896" s="4">
        <f>706.952853253027 * CHOOSE(CONTROL!$C$9, $C$13, 100%, $E$13) + CHOOSE(CONTROL!$C$28, 0, 0)</f>
        <v>706.952853253027</v>
      </c>
    </row>
    <row r="897" spans="1:5" ht="15">
      <c r="A897" s="13">
        <v>68819</v>
      </c>
      <c r="B897" s="4">
        <f>133.423 * CHOOSE(CONTROL!$C$9, $C$13, 100%, $E$13) + CHOOSE(CONTROL!$C$28, 0.0181, 0)</f>
        <v>133.44110000000001</v>
      </c>
      <c r="C897" s="4">
        <f>133.1105 * CHOOSE(CONTROL!$C$9, $C$13, 100%, $E$13) + CHOOSE(CONTROL!$C$28, 0.0181, 0)</f>
        <v>133.12860000000001</v>
      </c>
      <c r="D897" s="4">
        <f>106.3138 * CHOOSE(CONTROL!$C$9, $C$13, 100%, $E$13) + CHOOSE(CONTROL!$C$28, 0, 0)</f>
        <v>106.3138</v>
      </c>
      <c r="E897" s="4">
        <f>723.881072652585 * CHOOSE(CONTROL!$C$9, $C$13, 100%, $E$13) + CHOOSE(CONTROL!$C$28, 0, 0)</f>
        <v>723.88107265258498</v>
      </c>
    </row>
    <row r="898" spans="1:5" ht="15">
      <c r="A898" s="13">
        <v>68849</v>
      </c>
      <c r="B898" s="4">
        <f>133.8392 * CHOOSE(CONTROL!$C$9, $C$13, 100%, $E$13) + CHOOSE(CONTROL!$C$28, 0.0181, 0)</f>
        <v>133.85730000000001</v>
      </c>
      <c r="C898" s="4">
        <f>133.5267 * CHOOSE(CONTROL!$C$9, $C$13, 100%, $E$13) + CHOOSE(CONTROL!$C$28, 0.0181, 0)</f>
        <v>133.54480000000001</v>
      </c>
      <c r="D898" s="4">
        <f>107.2803 * CHOOSE(CONTROL!$C$9, $C$13, 100%, $E$13) + CHOOSE(CONTROL!$C$28, 0, 0)</f>
        <v>107.2803</v>
      </c>
      <c r="E898" s="4">
        <f>726.171530990899 * CHOOSE(CONTROL!$C$9, $C$13, 100%, $E$13) + CHOOSE(CONTROL!$C$28, 0, 0)</f>
        <v>726.17153099089899</v>
      </c>
    </row>
    <row r="899" spans="1:5" ht="15">
      <c r="A899" s="13">
        <v>68880</v>
      </c>
      <c r="B899" s="4">
        <f>133.7973 * CHOOSE(CONTROL!$C$9, $C$13, 100%, $E$13) + CHOOSE(CONTROL!$C$28, 0.0181, 0)</f>
        <v>133.81540000000001</v>
      </c>
      <c r="C899" s="4">
        <f>133.4848 * CHOOSE(CONTROL!$C$9, $C$13, 100%, $E$13) + CHOOSE(CONTROL!$C$28, 0.0181, 0)</f>
        <v>133.50290000000001</v>
      </c>
      <c r="D899" s="4">
        <f>109.0241 * CHOOSE(CONTROL!$C$9, $C$13, 100%, $E$13) + CHOOSE(CONTROL!$C$28, 0, 0)</f>
        <v>109.0241</v>
      </c>
      <c r="E899" s="4">
        <f>725.940560402161 * CHOOSE(CONTROL!$C$9, $C$13, 100%, $E$13) + CHOOSE(CONTROL!$C$28, 0, 0)</f>
        <v>725.94056040216105</v>
      </c>
    </row>
    <row r="900" spans="1:5" ht="15">
      <c r="A900" s="13">
        <v>68911</v>
      </c>
      <c r="B900" s="4">
        <f>136.9557 * CHOOSE(CONTROL!$C$9, $C$13, 100%, $E$13) + CHOOSE(CONTROL!$C$28, 0.0181, 0)</f>
        <v>136.97380000000001</v>
      </c>
      <c r="C900" s="4">
        <f>136.6432 * CHOOSE(CONTROL!$C$9, $C$13, 100%, $E$13) + CHOOSE(CONTROL!$C$28, 0.0181, 0)</f>
        <v>136.66130000000001</v>
      </c>
      <c r="D900" s="4">
        <f>107.8725 * CHOOSE(CONTROL!$C$9, $C$13, 100%, $E$13) + CHOOSE(CONTROL!$C$28, 0, 0)</f>
        <v>107.8725</v>
      </c>
      <c r="E900" s="4">
        <f>743.321097204663 * CHOOSE(CONTROL!$C$9, $C$13, 100%, $E$13) + CHOOSE(CONTROL!$C$28, 0, 0)</f>
        <v>743.32109720466303</v>
      </c>
    </row>
    <row r="901" spans="1:5" ht="15">
      <c r="A901" s="13">
        <v>68941</v>
      </c>
      <c r="B901" s="4">
        <f>131.5727 * CHOOSE(CONTROL!$C$9, $C$13, 100%, $E$13) + CHOOSE(CONTROL!$C$28, 0.0181, 0)</f>
        <v>131.5908</v>
      </c>
      <c r="C901" s="4">
        <f>131.2602 * CHOOSE(CONTROL!$C$9, $C$13, 100%, $E$13) + CHOOSE(CONTROL!$C$28, 0.0181, 0)</f>
        <v>131.2783</v>
      </c>
      <c r="D901" s="4">
        <f>107.3283 * CHOOSE(CONTROL!$C$9, $C$13, 100%, $E$13) + CHOOSE(CONTROL!$C$28, 0, 0)</f>
        <v>107.3283</v>
      </c>
      <c r="E901" s="4">
        <f>713.69911919907 * CHOOSE(CONTROL!$C$9, $C$13, 100%, $E$13) + CHOOSE(CONTROL!$C$28, 0, 0)</f>
        <v>713.69911919906997</v>
      </c>
    </row>
    <row r="902" spans="1:5" ht="15">
      <c r="A902" s="13">
        <v>68972</v>
      </c>
      <c r="B902" s="4">
        <f>127.2634 * CHOOSE(CONTROL!$C$9, $C$13, 100%, $E$13) + CHOOSE(CONTROL!$C$28, 0.0003, 0)</f>
        <v>127.2637</v>
      </c>
      <c r="C902" s="4">
        <f>126.9509 * CHOOSE(CONTROL!$C$9, $C$13, 100%, $E$13) + CHOOSE(CONTROL!$C$28, 0.0003, 0)</f>
        <v>126.9512</v>
      </c>
      <c r="D902" s="4">
        <f>105.8714 * CHOOSE(CONTROL!$C$9, $C$13, 100%, $E$13) + CHOOSE(CONTROL!$C$28, 0, 0)</f>
        <v>105.87139999999999</v>
      </c>
      <c r="E902" s="4">
        <f>689.986138755347 * CHOOSE(CONTROL!$C$9, $C$13, 100%, $E$13) + CHOOSE(CONTROL!$C$28, 0, 0)</f>
        <v>689.98613875534704</v>
      </c>
    </row>
    <row r="903" spans="1:5" ht="15">
      <c r="A903" s="13">
        <v>69002</v>
      </c>
      <c r="B903" s="4">
        <f>124.4879 * CHOOSE(CONTROL!$C$9, $C$13, 100%, $E$13) + CHOOSE(CONTROL!$C$28, 0.0003, 0)</f>
        <v>124.48819999999999</v>
      </c>
      <c r="C903" s="4">
        <f>124.1754 * CHOOSE(CONTROL!$C$9, $C$13, 100%, $E$13) + CHOOSE(CONTROL!$C$28, 0.0003, 0)</f>
        <v>124.17569999999999</v>
      </c>
      <c r="D903" s="4">
        <f>105.3705 * CHOOSE(CONTROL!$C$9, $C$13, 100%, $E$13) + CHOOSE(CONTROL!$C$28, 0, 0)</f>
        <v>105.37050000000001</v>
      </c>
      <c r="E903" s="4">
        <f>674.713208575076 * CHOOSE(CONTROL!$C$9, $C$13, 100%, $E$13) + CHOOSE(CONTROL!$C$28, 0, 0)</f>
        <v>674.71320857507601</v>
      </c>
    </row>
    <row r="904" spans="1:5" ht="15">
      <c r="A904" s="13">
        <v>69033</v>
      </c>
      <c r="B904" s="4">
        <f>122.5676 * CHOOSE(CONTROL!$C$9, $C$13, 100%, $E$13) + CHOOSE(CONTROL!$C$28, 0.0003, 0)</f>
        <v>122.56789999999999</v>
      </c>
      <c r="C904" s="4">
        <f>122.2551 * CHOOSE(CONTROL!$C$9, $C$13, 100%, $E$13) + CHOOSE(CONTROL!$C$28, 0.0003, 0)</f>
        <v>122.25539999999999</v>
      </c>
      <c r="D904" s="4">
        <f>101.6828 * CHOOSE(CONTROL!$C$9, $C$13, 100%, $E$13) + CHOOSE(CONTROL!$C$28, 0, 0)</f>
        <v>101.6828</v>
      </c>
      <c r="E904" s="4">
        <f>664.146304140332 * CHOOSE(CONTROL!$C$9, $C$13, 100%, $E$13) + CHOOSE(CONTROL!$C$28, 0, 0)</f>
        <v>664.14630414033195</v>
      </c>
    </row>
    <row r="905" spans="1:5" ht="15">
      <c r="A905" s="13">
        <v>69064</v>
      </c>
      <c r="B905" s="4">
        <f>119.4476 * CHOOSE(CONTROL!$C$9, $C$13, 100%, $E$13) + CHOOSE(CONTROL!$C$28, 0.0003, 0)</f>
        <v>119.44789999999999</v>
      </c>
      <c r="C905" s="4">
        <f>119.1351 * CHOOSE(CONTROL!$C$9, $C$13, 100%, $E$13) + CHOOSE(CONTROL!$C$28, 0.0003, 0)</f>
        <v>119.13539999999999</v>
      </c>
      <c r="D905" s="4">
        <f>98.2936 * CHOOSE(CONTROL!$C$9, $C$13, 100%, $E$13) + CHOOSE(CONTROL!$C$28, 0, 0)</f>
        <v>98.293599999999998</v>
      </c>
      <c r="E905" s="4">
        <f>645.101118997814 * CHOOSE(CONTROL!$C$9, $C$13, 100%, $E$13) + CHOOSE(CONTROL!$C$28, 0, 0)</f>
        <v>645.10111899781396</v>
      </c>
    </row>
    <row r="906" spans="1:5" ht="15">
      <c r="A906" s="13">
        <v>69092</v>
      </c>
      <c r="B906" s="4">
        <f>122.2392 * CHOOSE(CONTROL!$C$9, $C$13, 100%, $E$13) + CHOOSE(CONTROL!$C$28, 0.0003, 0)</f>
        <v>122.23949999999999</v>
      </c>
      <c r="C906" s="4">
        <f>121.9267 * CHOOSE(CONTROL!$C$9, $C$13, 100%, $E$13) + CHOOSE(CONTROL!$C$28, 0.0003, 0)</f>
        <v>121.92699999999999</v>
      </c>
      <c r="D906" s="4">
        <f>101.7066 * CHOOSE(CONTROL!$C$9, $C$13, 100%, $E$13) + CHOOSE(CONTROL!$C$28, 0, 0)</f>
        <v>101.70659999999999</v>
      </c>
      <c r="E906" s="4">
        <f>660.418361847912 * CHOOSE(CONTROL!$C$9, $C$13, 100%, $E$13) + CHOOSE(CONTROL!$C$28, 0, 0)</f>
        <v>660.41836184791202</v>
      </c>
    </row>
    <row r="907" spans="1:5" ht="15">
      <c r="A907" s="13">
        <v>69123</v>
      </c>
      <c r="B907" s="4">
        <f>129.5702 * CHOOSE(CONTROL!$C$9, $C$13, 100%, $E$13) + CHOOSE(CONTROL!$C$28, 0.0003, 0)</f>
        <v>129.57050000000001</v>
      </c>
      <c r="C907" s="4">
        <f>129.2577 * CHOOSE(CONTROL!$C$9, $C$13, 100%, $E$13) + CHOOSE(CONTROL!$C$28, 0.0003, 0)</f>
        <v>129.25800000000001</v>
      </c>
      <c r="D907" s="4">
        <f>107.0494 * CHOOSE(CONTROL!$C$9, $C$13, 100%, $E$13) + CHOOSE(CONTROL!$C$28, 0, 0)</f>
        <v>107.04940000000001</v>
      </c>
      <c r="E907" s="4">
        <f>700.64225557999 * CHOOSE(CONTROL!$C$9, $C$13, 100%, $E$13) + CHOOSE(CONTROL!$C$28, 0, 0)</f>
        <v>700.64225557998998</v>
      </c>
    </row>
    <row r="908" spans="1:5" ht="15">
      <c r="A908" s="13">
        <v>69153</v>
      </c>
      <c r="B908" s="4">
        <f>134.779 * CHOOSE(CONTROL!$C$9, $C$13, 100%, $E$13) + CHOOSE(CONTROL!$C$28, 0.0003, 0)</f>
        <v>134.77930000000001</v>
      </c>
      <c r="C908" s="4">
        <f>134.4665 * CHOOSE(CONTROL!$C$9, $C$13, 100%, $E$13) + CHOOSE(CONTROL!$C$28, 0.0003, 0)</f>
        <v>134.46680000000001</v>
      </c>
      <c r="D908" s="4">
        <f>110.127 * CHOOSE(CONTROL!$C$9, $C$13, 100%, $E$13) + CHOOSE(CONTROL!$C$28, 0, 0)</f>
        <v>110.127</v>
      </c>
      <c r="E908" s="4">
        <f>729.221868130498 * CHOOSE(CONTROL!$C$9, $C$13, 100%, $E$13) + CHOOSE(CONTROL!$C$28, 0, 0)</f>
        <v>729.22186813049802</v>
      </c>
    </row>
    <row r="909" spans="1:5" ht="15">
      <c r="A909" s="13">
        <v>69184</v>
      </c>
      <c r="B909" s="4">
        <f>137.9614 * CHOOSE(CONTROL!$C$9, $C$13, 100%, $E$13) + CHOOSE(CONTROL!$C$28, 0.0181, 0)</f>
        <v>137.9795</v>
      </c>
      <c r="C909" s="4">
        <f>137.6489 * CHOOSE(CONTROL!$C$9, $C$13, 100%, $E$13) + CHOOSE(CONTROL!$C$28, 0.0181, 0)</f>
        <v>137.667</v>
      </c>
      <c r="D909" s="4">
        <f>108.9109 * CHOOSE(CONTROL!$C$9, $C$13, 100%, $E$13) + CHOOSE(CONTROL!$C$28, 0, 0)</f>
        <v>108.9109</v>
      </c>
      <c r="E909" s="4">
        <f>746.683326441141 * CHOOSE(CONTROL!$C$9, $C$13, 100%, $E$13) + CHOOSE(CONTROL!$C$28, 0, 0)</f>
        <v>746.68332644114105</v>
      </c>
    </row>
    <row r="910" spans="1:5" ht="15">
      <c r="A910" s="13">
        <v>69214</v>
      </c>
      <c r="B910" s="4">
        <f>138.392 * CHOOSE(CONTROL!$C$9, $C$13, 100%, $E$13) + CHOOSE(CONTROL!$C$28, 0.0181, 0)</f>
        <v>138.4101</v>
      </c>
      <c r="C910" s="4">
        <f>138.0795 * CHOOSE(CONTROL!$C$9, $C$13, 100%, $E$13) + CHOOSE(CONTROL!$C$28, 0.0181, 0)</f>
        <v>138.0976</v>
      </c>
      <c r="D910" s="4">
        <f>109.9013 * CHOOSE(CONTROL!$C$9, $C$13, 100%, $E$13) + CHOOSE(CONTROL!$C$28, 0, 0)</f>
        <v>109.90130000000001</v>
      </c>
      <c r="E910" s="4">
        <f>749.045934217112 * CHOOSE(CONTROL!$C$9, $C$13, 100%, $E$13) + CHOOSE(CONTROL!$C$28, 0, 0)</f>
        <v>749.04593421711195</v>
      </c>
    </row>
    <row r="911" spans="1:5" ht="15">
      <c r="A911" s="13">
        <v>69245</v>
      </c>
      <c r="B911" s="4">
        <f>138.3486 * CHOOSE(CONTROL!$C$9, $C$13, 100%, $E$13) + CHOOSE(CONTROL!$C$28, 0.0181, 0)</f>
        <v>138.36670000000001</v>
      </c>
      <c r="C911" s="4">
        <f>138.0361 * CHOOSE(CONTROL!$C$9, $C$13, 100%, $E$13) + CHOOSE(CONTROL!$C$28, 0.0181, 0)</f>
        <v>138.05420000000001</v>
      </c>
      <c r="D911" s="4">
        <f>111.6885 * CHOOSE(CONTROL!$C$9, $C$13, 100%, $E$13) + CHOOSE(CONTROL!$C$28, 0, 0)</f>
        <v>111.6885</v>
      </c>
      <c r="E911" s="4">
        <f>748.807688054829 * CHOOSE(CONTROL!$C$9, $C$13, 100%, $E$13) + CHOOSE(CONTROL!$C$28, 0, 0)</f>
        <v>748.80768805482899</v>
      </c>
    </row>
    <row r="912" spans="1:5" ht="15">
      <c r="A912" s="13">
        <v>69276</v>
      </c>
      <c r="B912" s="4">
        <f>141.616 * CHOOSE(CONTROL!$C$9, $C$13, 100%, $E$13) + CHOOSE(CONTROL!$C$28, 0.0181, 0)</f>
        <v>141.63410000000002</v>
      </c>
      <c r="C912" s="4">
        <f>141.3035 * CHOOSE(CONTROL!$C$9, $C$13, 100%, $E$13) + CHOOSE(CONTROL!$C$28, 0.0181, 0)</f>
        <v>141.32160000000002</v>
      </c>
      <c r="D912" s="4">
        <f>110.5082 * CHOOSE(CONTROL!$C$9, $C$13, 100%, $E$13) + CHOOSE(CONTROL!$C$28, 0, 0)</f>
        <v>110.5082</v>
      </c>
      <c r="E912" s="4">
        <f>766.73571176661 * CHOOSE(CONTROL!$C$9, $C$13, 100%, $E$13) + CHOOSE(CONTROL!$C$28, 0, 0)</f>
        <v>766.73571176661005</v>
      </c>
    </row>
    <row r="913" spans="1:5" ht="15">
      <c r="A913" s="13">
        <v>69306</v>
      </c>
      <c r="B913" s="4">
        <f>136.0472 * CHOOSE(CONTROL!$C$9, $C$13, 100%, $E$13) + CHOOSE(CONTROL!$C$28, 0.0181, 0)</f>
        <v>136.06530000000001</v>
      </c>
      <c r="C913" s="4">
        <f>135.7347 * CHOOSE(CONTROL!$C$9, $C$13, 100%, $E$13) + CHOOSE(CONTROL!$C$28, 0.0181, 0)</f>
        <v>135.75280000000001</v>
      </c>
      <c r="D913" s="4">
        <f>109.9506 * CHOOSE(CONTROL!$C$9, $C$13, 100%, $E$13) + CHOOSE(CONTROL!$C$28, 0, 0)</f>
        <v>109.95059999999999</v>
      </c>
      <c r="E913" s="4">
        <f>736.180641453841 * CHOOSE(CONTROL!$C$9, $C$13, 100%, $E$13) + CHOOSE(CONTROL!$C$28, 0, 0)</f>
        <v>736.18064145384096</v>
      </c>
    </row>
    <row r="914" spans="1:5" ht="15">
      <c r="A914" s="13">
        <v>69337</v>
      </c>
      <c r="B914" s="4">
        <f>131.5893 * CHOOSE(CONTROL!$C$9, $C$13, 100%, $E$13) + CHOOSE(CONTROL!$C$28, 0.0003, 0)</f>
        <v>131.58960000000002</v>
      </c>
      <c r="C914" s="4">
        <f>131.2768 * CHOOSE(CONTROL!$C$9, $C$13, 100%, $E$13) + CHOOSE(CONTROL!$C$28, 0.0003, 0)</f>
        <v>131.27710000000002</v>
      </c>
      <c r="D914" s="4">
        <f>108.4575 * CHOOSE(CONTROL!$C$9, $C$13, 100%, $E$13) + CHOOSE(CONTROL!$C$28, 0, 0)</f>
        <v>108.4575</v>
      </c>
      <c r="E914" s="4">
        <f>711.720702126141 * CHOOSE(CONTROL!$C$9, $C$13, 100%, $E$13) + CHOOSE(CONTROL!$C$28, 0, 0)</f>
        <v>711.72070212614096</v>
      </c>
    </row>
    <row r="915" spans="1:5" ht="15">
      <c r="A915" s="13">
        <v>69367</v>
      </c>
      <c r="B915" s="4">
        <f>128.7181 * CHOOSE(CONTROL!$C$9, $C$13, 100%, $E$13) + CHOOSE(CONTROL!$C$28, 0.0003, 0)</f>
        <v>128.7184</v>
      </c>
      <c r="C915" s="4">
        <f>128.4056 * CHOOSE(CONTROL!$C$9, $C$13, 100%, $E$13) + CHOOSE(CONTROL!$C$28, 0.0003, 0)</f>
        <v>128.4059</v>
      </c>
      <c r="D915" s="4">
        <f>107.9442 * CHOOSE(CONTROL!$C$9, $C$13, 100%, $E$13) + CHOOSE(CONTROL!$C$28, 0, 0)</f>
        <v>107.9442</v>
      </c>
      <c r="E915" s="4">
        <f>695.966674645191 * CHOOSE(CONTROL!$C$9, $C$13, 100%, $E$13) + CHOOSE(CONTROL!$C$28, 0, 0)</f>
        <v>695.96667464519101</v>
      </c>
    </row>
    <row r="916" spans="1:5" ht="15">
      <c r="A916" s="13">
        <v>69398</v>
      </c>
      <c r="B916" s="4">
        <f>126.7315 * CHOOSE(CONTROL!$C$9, $C$13, 100%, $E$13) + CHOOSE(CONTROL!$C$28, 0.0003, 0)</f>
        <v>126.73179999999999</v>
      </c>
      <c r="C916" s="4">
        <f>126.419 * CHOOSE(CONTROL!$C$9, $C$13, 100%, $E$13) + CHOOSE(CONTROL!$C$28, 0.0003, 0)</f>
        <v>126.41929999999999</v>
      </c>
      <c r="D916" s="4">
        <f>104.1651 * CHOOSE(CONTROL!$C$9, $C$13, 100%, $E$13) + CHOOSE(CONTROL!$C$28, 0, 0)</f>
        <v>104.1651</v>
      </c>
      <c r="E916" s="4">
        <f>685.066912720753 * CHOOSE(CONTROL!$C$9, $C$13, 100%, $E$13) + CHOOSE(CONTROL!$C$28, 0, 0)</f>
        <v>685.06691272075295</v>
      </c>
    </row>
    <row r="917" spans="1:5" ht="15">
      <c r="A917" s="13">
        <v>69429</v>
      </c>
      <c r="B917" s="4">
        <f>123.5038 * CHOOSE(CONTROL!$C$9, $C$13, 100%, $E$13) + CHOOSE(CONTROL!$C$28, 0.0003, 0)</f>
        <v>123.50409999999999</v>
      </c>
      <c r="C917" s="4">
        <f>123.1913 * CHOOSE(CONTROL!$C$9, $C$13, 100%, $E$13) + CHOOSE(CONTROL!$C$28, 0.0003, 0)</f>
        <v>123.19159999999999</v>
      </c>
      <c r="D917" s="4">
        <f>100.6918 * CHOOSE(CONTROL!$C$9, $C$13, 100%, $E$13) + CHOOSE(CONTROL!$C$28, 0, 0)</f>
        <v>100.6918</v>
      </c>
      <c r="E917" s="4">
        <f>665.421804246245 * CHOOSE(CONTROL!$C$9, $C$13, 100%, $E$13) + CHOOSE(CONTROL!$C$28, 0, 0)</f>
        <v>665.42180424624496</v>
      </c>
    </row>
    <row r="918" spans="1:5" ht="15">
      <c r="A918" s="13">
        <v>69457</v>
      </c>
      <c r="B918" s="4">
        <f>126.3918 * CHOOSE(CONTROL!$C$9, $C$13, 100%, $E$13) + CHOOSE(CONTROL!$C$28, 0.0003, 0)</f>
        <v>126.3921</v>
      </c>
      <c r="C918" s="4">
        <f>126.0793 * CHOOSE(CONTROL!$C$9, $C$13, 100%, $E$13) + CHOOSE(CONTROL!$C$28, 0.0003, 0)</f>
        <v>126.0796</v>
      </c>
      <c r="D918" s="4">
        <f>104.1895 * CHOOSE(CONTROL!$C$9, $C$13, 100%, $E$13) + CHOOSE(CONTROL!$C$28, 0, 0)</f>
        <v>104.1895</v>
      </c>
      <c r="E918" s="4">
        <f>681.221540246121 * CHOOSE(CONTROL!$C$9, $C$13, 100%, $E$13) + CHOOSE(CONTROL!$C$28, 0, 0)</f>
        <v>681.22154024612098</v>
      </c>
    </row>
    <row r="919" spans="1:5" ht="15">
      <c r="A919" s="13">
        <v>69488</v>
      </c>
      <c r="B919" s="4">
        <f>133.9757 * CHOOSE(CONTROL!$C$9, $C$13, 100%, $E$13) + CHOOSE(CONTROL!$C$28, 0.0003, 0)</f>
        <v>133.976</v>
      </c>
      <c r="C919" s="4">
        <f>133.6632 * CHOOSE(CONTROL!$C$9, $C$13, 100%, $E$13) + CHOOSE(CONTROL!$C$28, 0.0003, 0)</f>
        <v>133.6635</v>
      </c>
      <c r="D919" s="4">
        <f>109.6648 * CHOOSE(CONTROL!$C$9, $C$13, 100%, $E$13) + CHOOSE(CONTROL!$C$28, 0, 0)</f>
        <v>109.6648</v>
      </c>
      <c r="E919" s="4">
        <f>722.71248663076 * CHOOSE(CONTROL!$C$9, $C$13, 100%, $E$13) + CHOOSE(CONTROL!$C$28, 0, 0)</f>
        <v>722.71248663076005</v>
      </c>
    </row>
    <row r="920" spans="1:5" ht="15">
      <c r="A920" s="13">
        <v>69518</v>
      </c>
      <c r="B920" s="4">
        <f>139.3642 * CHOOSE(CONTROL!$C$9, $C$13, 100%, $E$13) + CHOOSE(CONTROL!$C$28, 0.0003, 0)</f>
        <v>139.36450000000002</v>
      </c>
      <c r="C920" s="4">
        <f>139.0517 * CHOOSE(CONTROL!$C$9, $C$13, 100%, $E$13) + CHOOSE(CONTROL!$C$28, 0.0003, 0)</f>
        <v>139.05200000000002</v>
      </c>
      <c r="D920" s="4">
        <f>112.8187 * CHOOSE(CONTROL!$C$9, $C$13, 100%, $E$13) + CHOOSE(CONTROL!$C$28, 0, 0)</f>
        <v>112.81870000000001</v>
      </c>
      <c r="E920" s="4">
        <f>752.192356976608 * CHOOSE(CONTROL!$C$9, $C$13, 100%, $E$13) + CHOOSE(CONTROL!$C$28, 0, 0)</f>
        <v>752.19235697660804</v>
      </c>
    </row>
    <row r="921" spans="1:5" ht="15">
      <c r="A921" s="13">
        <v>69549</v>
      </c>
      <c r="B921" s="4">
        <f>142.6564 * CHOOSE(CONTROL!$C$9, $C$13, 100%, $E$13) + CHOOSE(CONTROL!$C$28, 0.0181, 0)</f>
        <v>142.67449999999999</v>
      </c>
      <c r="C921" s="4">
        <f>142.3439 * CHOOSE(CONTROL!$C$9, $C$13, 100%, $E$13) + CHOOSE(CONTROL!$C$28, 0.0181, 0)</f>
        <v>142.36199999999999</v>
      </c>
      <c r="D921" s="4">
        <f>111.5724 * CHOOSE(CONTROL!$C$9, $C$13, 100%, $E$13) + CHOOSE(CONTROL!$C$28, 0, 0)</f>
        <v>111.5724</v>
      </c>
      <c r="E921" s="4">
        <f>770.203851224037 * CHOOSE(CONTROL!$C$9, $C$13, 100%, $E$13) + CHOOSE(CONTROL!$C$28, 0, 0)</f>
        <v>770.20385122403695</v>
      </c>
    </row>
    <row r="922" spans="1:5" ht="15">
      <c r="A922" s="13">
        <v>69579</v>
      </c>
      <c r="B922" s="4">
        <f>143.1018 * CHOOSE(CONTROL!$C$9, $C$13, 100%, $E$13) + CHOOSE(CONTROL!$C$28, 0.0181, 0)</f>
        <v>143.1199</v>
      </c>
      <c r="C922" s="4">
        <f>142.7893 * CHOOSE(CONTROL!$C$9, $C$13, 100%, $E$13) + CHOOSE(CONTROL!$C$28, 0.0181, 0)</f>
        <v>142.8074</v>
      </c>
      <c r="D922" s="4">
        <f>112.5874 * CHOOSE(CONTROL!$C$9, $C$13, 100%, $E$13) + CHOOSE(CONTROL!$C$28, 0, 0)</f>
        <v>112.5874</v>
      </c>
      <c r="E922" s="4">
        <f>772.640881144951 * CHOOSE(CONTROL!$C$9, $C$13, 100%, $E$13) + CHOOSE(CONTROL!$C$28, 0, 0)</f>
        <v>772.64088114495098</v>
      </c>
    </row>
    <row r="923" spans="1:5" ht="15">
      <c r="A923" s="13">
        <v>69610</v>
      </c>
      <c r="B923" s="4">
        <f>143.0569 * CHOOSE(CONTROL!$C$9, $C$13, 100%, $E$13) + CHOOSE(CONTROL!$C$28, 0.0181, 0)</f>
        <v>143.07500000000002</v>
      </c>
      <c r="C923" s="4">
        <f>142.7444 * CHOOSE(CONTROL!$C$9, $C$13, 100%, $E$13) + CHOOSE(CONTROL!$C$28, 0.0181, 0)</f>
        <v>142.76250000000002</v>
      </c>
      <c r="D923" s="4">
        <f>114.4189 * CHOOSE(CONTROL!$C$9, $C$13, 100%, $E$13) + CHOOSE(CONTROL!$C$28, 0, 0)</f>
        <v>114.41889999999999</v>
      </c>
      <c r="E923" s="4">
        <f>772.395130228556 * CHOOSE(CONTROL!$C$9, $C$13, 100%, $E$13) + CHOOSE(CONTROL!$C$28, 0, 0)</f>
        <v>772.39513022855601</v>
      </c>
    </row>
    <row r="924" spans="1:5" ht="15">
      <c r="A924" s="13">
        <v>69641</v>
      </c>
      <c r="B924" s="4">
        <f>146.4371 * CHOOSE(CONTROL!$C$9, $C$13, 100%, $E$13) + CHOOSE(CONTROL!$C$28, 0.0181, 0)</f>
        <v>146.45519999999999</v>
      </c>
      <c r="C924" s="4">
        <f>146.1246 * CHOOSE(CONTROL!$C$9, $C$13, 100%, $E$13) + CHOOSE(CONTROL!$C$28, 0.0181, 0)</f>
        <v>146.14269999999999</v>
      </c>
      <c r="D924" s="4">
        <f>113.2094 * CHOOSE(CONTROL!$C$9, $C$13, 100%, $E$13) + CHOOSE(CONTROL!$C$28, 0, 0)</f>
        <v>113.2094</v>
      </c>
      <c r="E924" s="4">
        <f>790.887886687258 * CHOOSE(CONTROL!$C$9, $C$13, 100%, $E$13) + CHOOSE(CONTROL!$C$28, 0, 0)</f>
        <v>790.88788668725795</v>
      </c>
    </row>
    <row r="925" spans="1:5" ht="15">
      <c r="A925" s="13">
        <v>69671</v>
      </c>
      <c r="B925" s="4">
        <f>140.6762 * CHOOSE(CONTROL!$C$9, $C$13, 100%, $E$13) + CHOOSE(CONTROL!$C$28, 0.0181, 0)</f>
        <v>140.6943</v>
      </c>
      <c r="C925" s="4">
        <f>140.3637 * CHOOSE(CONTROL!$C$9, $C$13, 100%, $E$13) + CHOOSE(CONTROL!$C$28, 0.0181, 0)</f>
        <v>140.3818</v>
      </c>
      <c r="D925" s="4">
        <f>112.6379 * CHOOSE(CONTROL!$C$9, $C$13, 100%, $E$13) + CHOOSE(CONTROL!$C$28, 0, 0)</f>
        <v>112.6379</v>
      </c>
      <c r="E925" s="4">
        <f>759.370331659637 * CHOOSE(CONTROL!$C$9, $C$13, 100%, $E$13) + CHOOSE(CONTROL!$C$28, 0, 0)</f>
        <v>759.37033165963703</v>
      </c>
    </row>
    <row r="926" spans="1:5" ht="15">
      <c r="A926" s="13">
        <v>69702</v>
      </c>
      <c r="B926" s="4">
        <f>136.0644 * CHOOSE(CONTROL!$C$9, $C$13, 100%, $E$13) + CHOOSE(CONTROL!$C$28, 0.0003, 0)</f>
        <v>136.06470000000002</v>
      </c>
      <c r="C926" s="4">
        <f>135.7519 * CHOOSE(CONTROL!$C$9, $C$13, 100%, $E$13) + CHOOSE(CONTROL!$C$28, 0.0003, 0)</f>
        <v>135.75220000000002</v>
      </c>
      <c r="D926" s="4">
        <f>111.1078 * CHOOSE(CONTROL!$C$9, $C$13, 100%, $E$13) + CHOOSE(CONTROL!$C$28, 0, 0)</f>
        <v>111.1078</v>
      </c>
      <c r="E926" s="4">
        <f>734.139904243114 * CHOOSE(CONTROL!$C$9, $C$13, 100%, $E$13) + CHOOSE(CONTROL!$C$28, 0, 0)</f>
        <v>734.13990424311396</v>
      </c>
    </row>
    <row r="927" spans="1:5" ht="15">
      <c r="A927" s="13">
        <v>69732</v>
      </c>
      <c r="B927" s="4">
        <f>133.0941 * CHOOSE(CONTROL!$C$9, $C$13, 100%, $E$13) + CHOOSE(CONTROL!$C$28, 0.0003, 0)</f>
        <v>133.09440000000001</v>
      </c>
      <c r="C927" s="4">
        <f>132.7816 * CHOOSE(CONTROL!$C$9, $C$13, 100%, $E$13) + CHOOSE(CONTROL!$C$28, 0.0003, 0)</f>
        <v>132.78190000000001</v>
      </c>
      <c r="D927" s="4">
        <f>110.5818 * CHOOSE(CONTROL!$C$9, $C$13, 100%, $E$13) + CHOOSE(CONTROL!$C$28, 0, 0)</f>
        <v>110.5818</v>
      </c>
      <c r="E927" s="4">
        <f>717.889624896514 * CHOOSE(CONTROL!$C$9, $C$13, 100%, $E$13) + CHOOSE(CONTROL!$C$28, 0, 0)</f>
        <v>717.88962489651396</v>
      </c>
    </row>
    <row r="928" spans="1:5" ht="15">
      <c r="A928" s="13">
        <v>69763</v>
      </c>
      <c r="B928" s="4">
        <f>131.0391 * CHOOSE(CONTROL!$C$9, $C$13, 100%, $E$13) + CHOOSE(CONTROL!$C$28, 0.0003, 0)</f>
        <v>131.0394</v>
      </c>
      <c r="C928" s="4">
        <f>130.7266 * CHOOSE(CONTROL!$C$9, $C$13, 100%, $E$13) + CHOOSE(CONTROL!$C$28, 0.0003, 0)</f>
        <v>130.7269</v>
      </c>
      <c r="D928" s="4">
        <f>106.709 * CHOOSE(CONTROL!$C$9, $C$13, 100%, $E$13) + CHOOSE(CONTROL!$C$28, 0, 0)</f>
        <v>106.709</v>
      </c>
      <c r="E928" s="4">
        <f>706.646520471456 * CHOOSE(CONTROL!$C$9, $C$13, 100%, $E$13) + CHOOSE(CONTROL!$C$28, 0, 0)</f>
        <v>706.64652047145603</v>
      </c>
    </row>
    <row r="929" spans="1:5" ht="15">
      <c r="A929" s="13">
        <v>69794</v>
      </c>
      <c r="B929" s="4">
        <f>127.7 * CHOOSE(CONTROL!$C$9, $C$13, 100%, $E$13) + CHOOSE(CONTROL!$C$28, 0.0003, 0)</f>
        <v>127.7003</v>
      </c>
      <c r="C929" s="4">
        <f>127.3875 * CHOOSE(CONTROL!$C$9, $C$13, 100%, $E$13) + CHOOSE(CONTROL!$C$28, 0.0003, 0)</f>
        <v>127.3878</v>
      </c>
      <c r="D929" s="4">
        <f>103.1495 * CHOOSE(CONTROL!$C$9, $C$13, 100%, $E$13) + CHOOSE(CONTROL!$C$28, 0, 0)</f>
        <v>103.1495</v>
      </c>
      <c r="E929" s="4">
        <f>686.382591080001 * CHOOSE(CONTROL!$C$9, $C$13, 100%, $E$13) + CHOOSE(CONTROL!$C$28, 0, 0)</f>
        <v>686.38259108000102</v>
      </c>
    </row>
    <row r="930" spans="1:5" ht="15">
      <c r="A930" s="13">
        <v>69822</v>
      </c>
      <c r="B930" s="4">
        <f>130.6876 * CHOOSE(CONTROL!$C$9, $C$13, 100%, $E$13) + CHOOSE(CONTROL!$C$28, 0.0003, 0)</f>
        <v>130.68790000000001</v>
      </c>
      <c r="C930" s="4">
        <f>130.3751 * CHOOSE(CONTROL!$C$9, $C$13, 100%, $E$13) + CHOOSE(CONTROL!$C$28, 0.0003, 0)</f>
        <v>130.37540000000001</v>
      </c>
      <c r="D930" s="4">
        <f>106.7339 * CHOOSE(CONTROL!$C$9, $C$13, 100%, $E$13) + CHOOSE(CONTROL!$C$28, 0, 0)</f>
        <v>106.73390000000001</v>
      </c>
      <c r="E930" s="4">
        <f>702.680018763874 * CHOOSE(CONTROL!$C$9, $C$13, 100%, $E$13) + CHOOSE(CONTROL!$C$28, 0, 0)</f>
        <v>702.68001876387405</v>
      </c>
    </row>
    <row r="931" spans="1:5" ht="15">
      <c r="A931" s="13">
        <v>69853</v>
      </c>
      <c r="B931" s="4">
        <f>138.5332 * CHOOSE(CONTROL!$C$9, $C$13, 100%, $E$13) + CHOOSE(CONTROL!$C$28, 0.0003, 0)</f>
        <v>138.5335</v>
      </c>
      <c r="C931" s="4">
        <f>138.2207 * CHOOSE(CONTROL!$C$9, $C$13, 100%, $E$13) + CHOOSE(CONTROL!$C$28, 0.0003, 0)</f>
        <v>138.221</v>
      </c>
      <c r="D931" s="4">
        <f>112.345 * CHOOSE(CONTROL!$C$9, $C$13, 100%, $E$13) + CHOOSE(CONTROL!$C$28, 0, 0)</f>
        <v>112.345</v>
      </c>
      <c r="E931" s="4">
        <f>745.477929959629 * CHOOSE(CONTROL!$C$9, $C$13, 100%, $E$13) + CHOOSE(CONTROL!$C$28, 0, 0)</f>
        <v>745.47792995962902</v>
      </c>
    </row>
    <row r="932" spans="1:5" ht="15">
      <c r="A932" s="13">
        <v>69883</v>
      </c>
      <c r="B932" s="4">
        <f>144.1075 * CHOOSE(CONTROL!$C$9, $C$13, 100%, $E$13) + CHOOSE(CONTROL!$C$28, 0.0003, 0)</f>
        <v>144.1078</v>
      </c>
      <c r="C932" s="4">
        <f>143.795 * CHOOSE(CONTROL!$C$9, $C$13, 100%, $E$13) + CHOOSE(CONTROL!$C$28, 0.0003, 0)</f>
        <v>143.7953</v>
      </c>
      <c r="D932" s="4">
        <f>115.5772 * CHOOSE(CONTROL!$C$9, $C$13, 100%, $E$13) + CHOOSE(CONTROL!$C$28, 0, 0)</f>
        <v>115.5772</v>
      </c>
      <c r="E932" s="4">
        <f>775.886416221372 * CHOOSE(CONTROL!$C$9, $C$13, 100%, $E$13) + CHOOSE(CONTROL!$C$28, 0, 0)</f>
        <v>775.88641622137197</v>
      </c>
    </row>
    <row r="933" spans="1:5" ht="15">
      <c r="A933" s="13">
        <v>69914</v>
      </c>
      <c r="B933" s="4">
        <f>147.5133 * CHOOSE(CONTROL!$C$9, $C$13, 100%, $E$13) + CHOOSE(CONTROL!$C$28, 0.0181, 0)</f>
        <v>147.53139999999999</v>
      </c>
      <c r="C933" s="4">
        <f>147.2008 * CHOOSE(CONTROL!$C$9, $C$13, 100%, $E$13) + CHOOSE(CONTROL!$C$28, 0.0181, 0)</f>
        <v>147.21889999999999</v>
      </c>
      <c r="D933" s="4">
        <f>114.3 * CHOOSE(CONTROL!$C$9, $C$13, 100%, $E$13) + CHOOSE(CONTROL!$C$28, 0, 0)</f>
        <v>114.3</v>
      </c>
      <c r="E933" s="4">
        <f>794.465272537594 * CHOOSE(CONTROL!$C$9, $C$13, 100%, $E$13) + CHOOSE(CONTROL!$C$28, 0, 0)</f>
        <v>794.46527253759405</v>
      </c>
    </row>
    <row r="934" spans="1:5" ht="15">
      <c r="A934" s="13">
        <v>69944</v>
      </c>
      <c r="B934" s="4">
        <f>147.9742 * CHOOSE(CONTROL!$C$9, $C$13, 100%, $E$13) + CHOOSE(CONTROL!$C$28, 0.0181, 0)</f>
        <v>147.9923</v>
      </c>
      <c r="C934" s="4">
        <f>147.6617 * CHOOSE(CONTROL!$C$9, $C$13, 100%, $E$13) + CHOOSE(CONTROL!$C$28, 0.0181, 0)</f>
        <v>147.6798</v>
      </c>
      <c r="D934" s="4">
        <f>115.3402 * CHOOSE(CONTROL!$C$9, $C$13, 100%, $E$13) + CHOOSE(CONTROL!$C$28, 0, 0)</f>
        <v>115.3402</v>
      </c>
      <c r="E934" s="4">
        <f>796.979068901017 * CHOOSE(CONTROL!$C$9, $C$13, 100%, $E$13) + CHOOSE(CONTROL!$C$28, 0, 0)</f>
        <v>796.97906890101694</v>
      </c>
    </row>
    <row r="935" spans="1:5" ht="15">
      <c r="A935" s="13">
        <v>69975</v>
      </c>
      <c r="B935" s="4">
        <f>147.9277 * CHOOSE(CONTROL!$C$9, $C$13, 100%, $E$13) + CHOOSE(CONTROL!$C$28, 0.0181, 0)</f>
        <v>147.94579999999999</v>
      </c>
      <c r="C935" s="4">
        <f>147.6152 * CHOOSE(CONTROL!$C$9, $C$13, 100%, $E$13) + CHOOSE(CONTROL!$C$28, 0.0181, 0)</f>
        <v>147.63329999999999</v>
      </c>
      <c r="D935" s="4">
        <f>117.217 * CHOOSE(CONTROL!$C$9, $C$13, 100%, $E$13) + CHOOSE(CONTROL!$C$28, 0, 0)</f>
        <v>117.217</v>
      </c>
      <c r="E935" s="4">
        <f>796.725576830756 * CHOOSE(CONTROL!$C$9, $C$13, 100%, $E$13) + CHOOSE(CONTROL!$C$28, 0, 0)</f>
        <v>796.72557683075604</v>
      </c>
    </row>
    <row r="936" spans="1:5" ht="15">
      <c r="A936" s="13">
        <v>70006</v>
      </c>
      <c r="B936" s="4">
        <f>151.4245 * CHOOSE(CONTROL!$C$9, $C$13, 100%, $E$13) + CHOOSE(CONTROL!$C$28, 0.0181, 0)</f>
        <v>151.4426</v>
      </c>
      <c r="C936" s="4">
        <f>151.112 * CHOOSE(CONTROL!$C$9, $C$13, 100%, $E$13) + CHOOSE(CONTROL!$C$28, 0.0181, 0)</f>
        <v>151.1301</v>
      </c>
      <c r="D936" s="4">
        <f>115.9775 * CHOOSE(CONTROL!$C$9, $C$13, 100%, $E$13) + CHOOSE(CONTROL!$C$28, 0, 0)</f>
        <v>115.97750000000001</v>
      </c>
      <c r="E936" s="4">
        <f>815.800855117906 * CHOOSE(CONTROL!$C$9, $C$13, 100%, $E$13) + CHOOSE(CONTROL!$C$28, 0, 0)</f>
        <v>815.80085511790605</v>
      </c>
    </row>
    <row r="937" spans="1:5" ht="15">
      <c r="A937" s="13">
        <v>70036</v>
      </c>
      <c r="B937" s="4">
        <f>145.4648 * CHOOSE(CONTROL!$C$9, $C$13, 100%, $E$13) + CHOOSE(CONTROL!$C$28, 0.0181, 0)</f>
        <v>145.4829</v>
      </c>
      <c r="C937" s="4">
        <f>145.1523 * CHOOSE(CONTROL!$C$9, $C$13, 100%, $E$13) + CHOOSE(CONTROL!$C$28, 0.0181, 0)</f>
        <v>145.1704</v>
      </c>
      <c r="D937" s="4">
        <f>115.3919 * CHOOSE(CONTROL!$C$9, $C$13, 100%, $E$13) + CHOOSE(CONTROL!$C$28, 0, 0)</f>
        <v>115.39190000000001</v>
      </c>
      <c r="E937" s="4">
        <f>783.290497106916 * CHOOSE(CONTROL!$C$9, $C$13, 100%, $E$13) + CHOOSE(CONTROL!$C$28, 0, 0)</f>
        <v>783.29049710691595</v>
      </c>
    </row>
    <row r="938" spans="1:5" ht="15">
      <c r="A938" s="13">
        <v>70067</v>
      </c>
      <c r="B938" s="4">
        <f>140.694 * CHOOSE(CONTROL!$C$9, $C$13, 100%, $E$13) + CHOOSE(CONTROL!$C$28, 0.0003, 0)</f>
        <v>140.6943</v>
      </c>
      <c r="C938" s="4">
        <f>140.3815 * CHOOSE(CONTROL!$C$9, $C$13, 100%, $E$13) + CHOOSE(CONTROL!$C$28, 0.0003, 0)</f>
        <v>140.3818</v>
      </c>
      <c r="D938" s="4">
        <f>113.8239 * CHOOSE(CONTROL!$C$9, $C$13, 100%, $E$13) + CHOOSE(CONTROL!$C$28, 0, 0)</f>
        <v>113.82389999999999</v>
      </c>
      <c r="E938" s="4">
        <f>757.265311226772 * CHOOSE(CONTROL!$C$9, $C$13, 100%, $E$13) + CHOOSE(CONTROL!$C$28, 0, 0)</f>
        <v>757.26531122677204</v>
      </c>
    </row>
    <row r="939" spans="1:5" ht="15">
      <c r="A939" s="13">
        <v>70097</v>
      </c>
      <c r="B939" s="4">
        <f>137.6212 * CHOOSE(CONTROL!$C$9, $C$13, 100%, $E$13) + CHOOSE(CONTROL!$C$28, 0.0003, 0)</f>
        <v>137.6215</v>
      </c>
      <c r="C939" s="4">
        <f>137.3087 * CHOOSE(CONTROL!$C$9, $C$13, 100%, $E$13) + CHOOSE(CONTROL!$C$28, 0.0003, 0)</f>
        <v>137.309</v>
      </c>
      <c r="D939" s="4">
        <f>113.2848 * CHOOSE(CONTROL!$C$9, $C$13, 100%, $E$13) + CHOOSE(CONTROL!$C$28, 0, 0)</f>
        <v>113.2848</v>
      </c>
      <c r="E939" s="4">
        <f>740.503148080754 * CHOOSE(CONTROL!$C$9, $C$13, 100%, $E$13) + CHOOSE(CONTROL!$C$28, 0, 0)</f>
        <v>740.50314808075404</v>
      </c>
    </row>
    <row r="940" spans="1:5" ht="15">
      <c r="A940" s="13">
        <v>70128</v>
      </c>
      <c r="B940" s="4">
        <f>135.4952 * CHOOSE(CONTROL!$C$9, $C$13, 100%, $E$13) + CHOOSE(CONTROL!$C$28, 0.0003, 0)</f>
        <v>135.49550000000002</v>
      </c>
      <c r="C940" s="4">
        <f>135.1827 * CHOOSE(CONTROL!$C$9, $C$13, 100%, $E$13) + CHOOSE(CONTROL!$C$28, 0.0003, 0)</f>
        <v>135.18300000000002</v>
      </c>
      <c r="D940" s="4">
        <f>109.3159 * CHOOSE(CONTROL!$C$9, $C$13, 100%, $E$13) + CHOOSE(CONTROL!$C$28, 0, 0)</f>
        <v>109.3159</v>
      </c>
      <c r="E940" s="4">
        <f>728.905885866307 * CHOOSE(CONTROL!$C$9, $C$13, 100%, $E$13) + CHOOSE(CONTROL!$C$28, 0, 0)</f>
        <v>728.90588586630702</v>
      </c>
    </row>
    <row r="941" spans="1:5" ht="15">
      <c r="A941" s="13">
        <v>70159</v>
      </c>
      <c r="B941" s="4">
        <f>132.041 * CHOOSE(CONTROL!$C$9, $C$13, 100%, $E$13) + CHOOSE(CONTROL!$C$28, 0.0003, 0)</f>
        <v>132.04130000000001</v>
      </c>
      <c r="C941" s="4">
        <f>131.7285 * CHOOSE(CONTROL!$C$9, $C$13, 100%, $E$13) + CHOOSE(CONTROL!$C$28, 0.0003, 0)</f>
        <v>131.72880000000001</v>
      </c>
      <c r="D941" s="4">
        <f>105.6682 * CHOOSE(CONTROL!$C$9, $C$13, 100%, $E$13) + CHOOSE(CONTROL!$C$28, 0, 0)</f>
        <v>105.6682</v>
      </c>
      <c r="E941" s="4">
        <f>708.003642699022 * CHOOSE(CONTROL!$C$9, $C$13, 100%, $E$13) + CHOOSE(CONTROL!$C$28, 0, 0)</f>
        <v>708.00364269902195</v>
      </c>
    </row>
    <row r="942" spans="1:5" ht="15">
      <c r="A942" s="13">
        <v>70188</v>
      </c>
      <c r="B942" s="4">
        <f>135.1316 * CHOOSE(CONTROL!$C$9, $C$13, 100%, $E$13) + CHOOSE(CONTROL!$C$28, 0.0003, 0)</f>
        <v>135.1319</v>
      </c>
      <c r="C942" s="4">
        <f>134.8191 * CHOOSE(CONTROL!$C$9, $C$13, 100%, $E$13) + CHOOSE(CONTROL!$C$28, 0.0003, 0)</f>
        <v>134.8194</v>
      </c>
      <c r="D942" s="4">
        <f>109.3414 * CHOOSE(CONTROL!$C$9, $C$13, 100%, $E$13) + CHOOSE(CONTROL!$C$28, 0, 0)</f>
        <v>109.34139999999999</v>
      </c>
      <c r="E942" s="4">
        <f>724.814439354936 * CHOOSE(CONTROL!$C$9, $C$13, 100%, $E$13) + CHOOSE(CONTROL!$C$28, 0, 0)</f>
        <v>724.81443935493598</v>
      </c>
    </row>
    <row r="943" spans="1:5" ht="15">
      <c r="A943" s="13">
        <v>70219</v>
      </c>
      <c r="B943" s="4">
        <f>143.2479 * CHOOSE(CONTROL!$C$9, $C$13, 100%, $E$13) + CHOOSE(CONTROL!$C$28, 0.0003, 0)</f>
        <v>143.2482</v>
      </c>
      <c r="C943" s="4">
        <f>142.9354 * CHOOSE(CONTROL!$C$9, $C$13, 100%, $E$13) + CHOOSE(CONTROL!$C$28, 0.0003, 0)</f>
        <v>142.9357</v>
      </c>
      <c r="D943" s="4">
        <f>115.0917 * CHOOSE(CONTROL!$C$9, $C$13, 100%, $E$13) + CHOOSE(CONTROL!$C$28, 0, 0)</f>
        <v>115.0917</v>
      </c>
      <c r="E943" s="4">
        <f>768.960484753357 * CHOOSE(CONTROL!$C$9, $C$13, 100%, $E$13) + CHOOSE(CONTROL!$C$28, 0, 0)</f>
        <v>768.96048475335704</v>
      </c>
    </row>
    <row r="944" spans="1:5" ht="15">
      <c r="A944" s="13">
        <v>70249</v>
      </c>
      <c r="B944" s="4">
        <f>149.0145 * CHOOSE(CONTROL!$C$9, $C$13, 100%, $E$13) + CHOOSE(CONTROL!$C$28, 0.0003, 0)</f>
        <v>149.01480000000001</v>
      </c>
      <c r="C944" s="4">
        <f>148.702 * CHOOSE(CONTROL!$C$9, $C$13, 100%, $E$13) + CHOOSE(CONTROL!$C$28, 0.0003, 0)</f>
        <v>148.70230000000001</v>
      </c>
      <c r="D944" s="4">
        <f>118.404 * CHOOSE(CONTROL!$C$9, $C$13, 100%, $E$13) + CHOOSE(CONTROL!$C$28, 0, 0)</f>
        <v>118.404</v>
      </c>
      <c r="E944" s="4">
        <f>800.326838332345 * CHOOSE(CONTROL!$C$9, $C$13, 100%, $E$13) + CHOOSE(CONTROL!$C$28, 0, 0)</f>
        <v>800.32683833234501</v>
      </c>
    </row>
    <row r="945" spans="1:5" ht="15">
      <c r="A945" s="13">
        <v>70280</v>
      </c>
      <c r="B945" s="4">
        <f>152.5379 * CHOOSE(CONTROL!$C$9, $C$13, 100%, $E$13) + CHOOSE(CONTROL!$C$28, 0.0181, 0)</f>
        <v>152.55600000000001</v>
      </c>
      <c r="C945" s="4">
        <f>152.2254 * CHOOSE(CONTROL!$C$9, $C$13, 100%, $E$13) + CHOOSE(CONTROL!$C$28, 0.0181, 0)</f>
        <v>152.24350000000001</v>
      </c>
      <c r="D945" s="4">
        <f>117.0952 * CHOOSE(CONTROL!$C$9, $C$13, 100%, $E$13) + CHOOSE(CONTROL!$C$28, 0, 0)</f>
        <v>117.09520000000001</v>
      </c>
      <c r="E945" s="4">
        <f>819.490928622528 * CHOOSE(CONTROL!$C$9, $C$13, 100%, $E$13) + CHOOSE(CONTROL!$C$28, 0, 0)</f>
        <v>819.49092862252803</v>
      </c>
    </row>
    <row r="946" spans="1:5" ht="15">
      <c r="A946" s="13">
        <v>70310</v>
      </c>
      <c r="B946" s="4">
        <f>153.0146 * CHOOSE(CONTROL!$C$9, $C$13, 100%, $E$13) + CHOOSE(CONTROL!$C$28, 0.0181, 0)</f>
        <v>153.03270000000001</v>
      </c>
      <c r="C946" s="4">
        <f>152.7021 * CHOOSE(CONTROL!$C$9, $C$13, 100%, $E$13) + CHOOSE(CONTROL!$C$28, 0.0181, 0)</f>
        <v>152.72020000000001</v>
      </c>
      <c r="D946" s="4">
        <f>118.1611 * CHOOSE(CONTROL!$C$9, $C$13, 100%, $E$13) + CHOOSE(CONTROL!$C$28, 0, 0)</f>
        <v>118.1611</v>
      </c>
      <c r="E946" s="4">
        <f>822.083909571399 * CHOOSE(CONTROL!$C$9, $C$13, 100%, $E$13) + CHOOSE(CONTROL!$C$28, 0, 0)</f>
        <v>822.08390957139898</v>
      </c>
    </row>
    <row r="947" spans="1:5" ht="15">
      <c r="A947" s="13">
        <v>70341</v>
      </c>
      <c r="B947" s="4">
        <f>152.9665 * CHOOSE(CONTROL!$C$9, $C$13, 100%, $E$13) + CHOOSE(CONTROL!$C$28, 0.0181, 0)</f>
        <v>152.9846</v>
      </c>
      <c r="C947" s="4">
        <f>152.654 * CHOOSE(CONTROL!$C$9, $C$13, 100%, $E$13) + CHOOSE(CONTROL!$C$28, 0.0181, 0)</f>
        <v>152.6721</v>
      </c>
      <c r="D947" s="4">
        <f>120.0846 * CHOOSE(CONTROL!$C$9, $C$13, 100%, $E$13) + CHOOSE(CONTROL!$C$28, 0, 0)</f>
        <v>120.08459999999999</v>
      </c>
      <c r="E947" s="4">
        <f>821.822432500925 * CHOOSE(CONTROL!$C$9, $C$13, 100%, $E$13) + CHOOSE(CONTROL!$C$28, 0, 0)</f>
        <v>821.82243250092495</v>
      </c>
    </row>
    <row r="948" spans="1:5" ht="15">
      <c r="A948" s="13">
        <v>70372</v>
      </c>
      <c r="B948" s="4">
        <f>156.5839 * CHOOSE(CONTROL!$C$9, $C$13, 100%, $E$13) + CHOOSE(CONTROL!$C$28, 0.0181, 0)</f>
        <v>156.602</v>
      </c>
      <c r="C948" s="4">
        <f>156.2714 * CHOOSE(CONTROL!$C$9, $C$13, 100%, $E$13) + CHOOSE(CONTROL!$C$28, 0.0181, 0)</f>
        <v>156.2895</v>
      </c>
      <c r="D948" s="4">
        <f>118.8143 * CHOOSE(CONTROL!$C$9, $C$13, 100%, $E$13) + CHOOSE(CONTROL!$C$28, 0, 0)</f>
        <v>118.8143</v>
      </c>
      <c r="E948" s="4">
        <f>841.49858205412 * CHOOSE(CONTROL!$C$9, $C$13, 100%, $E$13) + CHOOSE(CONTROL!$C$28, 0, 0)</f>
        <v>841.49858205411999</v>
      </c>
    </row>
    <row r="949" spans="1:5" ht="15">
      <c r="A949" s="13">
        <v>70402</v>
      </c>
      <c r="B949" s="4">
        <f>150.4187 * CHOOSE(CONTROL!$C$9, $C$13, 100%, $E$13) + CHOOSE(CONTROL!$C$28, 0.0181, 0)</f>
        <v>150.43680000000001</v>
      </c>
      <c r="C949" s="4">
        <f>150.1062 * CHOOSE(CONTROL!$C$9, $C$13, 100%, $E$13) + CHOOSE(CONTROL!$C$28, 0.0181, 0)</f>
        <v>150.12430000000001</v>
      </c>
      <c r="D949" s="4">
        <f>118.2142 * CHOOSE(CONTROL!$C$9, $C$13, 100%, $E$13) + CHOOSE(CONTROL!$C$28, 0, 0)</f>
        <v>118.21420000000001</v>
      </c>
      <c r="E949" s="4">
        <f>807.964147765784 * CHOOSE(CONTROL!$C$9, $C$13, 100%, $E$13) + CHOOSE(CONTROL!$C$28, 0, 0)</f>
        <v>807.96414776578399</v>
      </c>
    </row>
    <row r="950" spans="1:5" ht="15">
      <c r="A950" s="13">
        <v>70433</v>
      </c>
      <c r="B950" s="4">
        <f>145.4832 * CHOOSE(CONTROL!$C$9, $C$13, 100%, $E$13) + CHOOSE(CONTROL!$C$28, 0.0003, 0)</f>
        <v>145.48350000000002</v>
      </c>
      <c r="C950" s="4">
        <f>145.1707 * CHOOSE(CONTROL!$C$9, $C$13, 100%, $E$13) + CHOOSE(CONTROL!$C$28, 0.0003, 0)</f>
        <v>145.17100000000002</v>
      </c>
      <c r="D950" s="4">
        <f>116.6072 * CHOOSE(CONTROL!$C$9, $C$13, 100%, $E$13) + CHOOSE(CONTROL!$C$28, 0, 0)</f>
        <v>116.60720000000001</v>
      </c>
      <c r="E950" s="4">
        <f>781.119168530415 * CHOOSE(CONTROL!$C$9, $C$13, 100%, $E$13) + CHOOSE(CONTROL!$C$28, 0, 0)</f>
        <v>781.11916853041498</v>
      </c>
    </row>
    <row r="951" spans="1:5" ht="15">
      <c r="A951" s="13">
        <v>70463</v>
      </c>
      <c r="B951" s="4">
        <f>142.3044 * CHOOSE(CONTROL!$C$9, $C$13, 100%, $E$13) + CHOOSE(CONTROL!$C$28, 0.0003, 0)</f>
        <v>142.3047</v>
      </c>
      <c r="C951" s="4">
        <f>141.9919 * CHOOSE(CONTROL!$C$9, $C$13, 100%, $E$13) + CHOOSE(CONTROL!$C$28, 0.0003, 0)</f>
        <v>141.9922</v>
      </c>
      <c r="D951" s="4">
        <f>116.0548 * CHOOSE(CONTROL!$C$9, $C$13, 100%, $E$13) + CHOOSE(CONTROL!$C$28, 0, 0)</f>
        <v>116.0548</v>
      </c>
      <c r="E951" s="4">
        <f>763.828997245298 * CHOOSE(CONTROL!$C$9, $C$13, 100%, $E$13) + CHOOSE(CONTROL!$C$28, 0, 0)</f>
        <v>763.82899724529796</v>
      </c>
    </row>
    <row r="952" spans="1:5" ht="15">
      <c r="A952" s="13">
        <v>70494</v>
      </c>
      <c r="B952" s="4">
        <f>140.1051 * CHOOSE(CONTROL!$C$9, $C$13, 100%, $E$13) + CHOOSE(CONTROL!$C$28, 0.0003, 0)</f>
        <v>140.1054</v>
      </c>
      <c r="C952" s="4">
        <f>139.7926 * CHOOSE(CONTROL!$C$9, $C$13, 100%, $E$13) + CHOOSE(CONTROL!$C$28, 0.0003, 0)</f>
        <v>139.7929</v>
      </c>
      <c r="D952" s="4">
        <f>111.9875 * CHOOSE(CONTROL!$C$9, $C$13, 100%, $E$13) + CHOOSE(CONTROL!$C$28, 0, 0)</f>
        <v>111.9875</v>
      </c>
      <c r="E952" s="4">
        <f>751.866421271096 * CHOOSE(CONTROL!$C$9, $C$13, 100%, $E$13) + CHOOSE(CONTROL!$C$28, 0, 0)</f>
        <v>751.86642127109599</v>
      </c>
    </row>
    <row r="953" spans="1:5" ht="15">
      <c r="A953" s="13">
        <v>70525</v>
      </c>
      <c r="B953" s="4">
        <f>136.5317 * CHOOSE(CONTROL!$C$9, $C$13, 100%, $E$13) + CHOOSE(CONTROL!$C$28, 0.0003, 0)</f>
        <v>136.53200000000001</v>
      </c>
      <c r="C953" s="4">
        <f>136.2192 * CHOOSE(CONTROL!$C$9, $C$13, 100%, $E$13) + CHOOSE(CONTROL!$C$28, 0.0003, 0)</f>
        <v>136.21950000000001</v>
      </c>
      <c r="D953" s="4">
        <f>108.2493 * CHOOSE(CONTROL!$C$9, $C$13, 100%, $E$13) + CHOOSE(CONTROL!$C$28, 0, 0)</f>
        <v>108.24930000000001</v>
      </c>
      <c r="E953" s="4">
        <f>730.305757444041 * CHOOSE(CONTROL!$C$9, $C$13, 100%, $E$13) + CHOOSE(CONTROL!$C$28, 0, 0)</f>
        <v>730.30575744404098</v>
      </c>
    </row>
    <row r="954" spans="1:5" ht="15">
      <c r="A954" s="13">
        <v>70553</v>
      </c>
      <c r="B954" s="4">
        <f>139.729 * CHOOSE(CONTROL!$C$9, $C$13, 100%, $E$13) + CHOOSE(CONTROL!$C$28, 0.0003, 0)</f>
        <v>139.72930000000002</v>
      </c>
      <c r="C954" s="4">
        <f>139.4165 * CHOOSE(CONTROL!$C$9, $C$13, 100%, $E$13) + CHOOSE(CONTROL!$C$28, 0.0003, 0)</f>
        <v>139.41680000000002</v>
      </c>
      <c r="D954" s="4">
        <f>112.0137 * CHOOSE(CONTROL!$C$9, $C$13, 100%, $E$13) + CHOOSE(CONTROL!$C$28, 0, 0)</f>
        <v>112.0137</v>
      </c>
      <c r="E954" s="4">
        <f>747.646094194616 * CHOOSE(CONTROL!$C$9, $C$13, 100%, $E$13) + CHOOSE(CONTROL!$C$28, 0, 0)</f>
        <v>747.64609419461601</v>
      </c>
    </row>
    <row r="955" spans="1:5" ht="15">
      <c r="A955" s="13">
        <v>70584</v>
      </c>
      <c r="B955" s="4">
        <f>148.1252 * CHOOSE(CONTROL!$C$9, $C$13, 100%, $E$13) + CHOOSE(CONTROL!$C$28, 0.0003, 0)</f>
        <v>148.12550000000002</v>
      </c>
      <c r="C955" s="4">
        <f>147.8127 * CHOOSE(CONTROL!$C$9, $C$13, 100%, $E$13) + CHOOSE(CONTROL!$C$28, 0.0003, 0)</f>
        <v>147.81300000000002</v>
      </c>
      <c r="D955" s="4">
        <f>117.9065 * CHOOSE(CONTROL!$C$9, $C$13, 100%, $E$13) + CHOOSE(CONTROL!$C$28, 0, 0)</f>
        <v>117.90649999999999</v>
      </c>
      <c r="E955" s="4">
        <f>793.182740023088 * CHOOSE(CONTROL!$C$9, $C$13, 100%, $E$13) + CHOOSE(CONTROL!$C$28, 0, 0)</f>
        <v>793.18274002308794</v>
      </c>
    </row>
    <row r="956" spans="1:5" ht="15">
      <c r="A956" s="13">
        <v>70614</v>
      </c>
      <c r="B956" s="4">
        <f>154.0909 * CHOOSE(CONTROL!$C$9, $C$13, 100%, $E$13) + CHOOSE(CONTROL!$C$28, 0.0003, 0)</f>
        <v>154.09120000000001</v>
      </c>
      <c r="C956" s="4">
        <f>153.7784 * CHOOSE(CONTROL!$C$9, $C$13, 100%, $E$13) + CHOOSE(CONTROL!$C$28, 0.0003, 0)</f>
        <v>153.77870000000001</v>
      </c>
      <c r="D956" s="4">
        <f>121.301 * CHOOSE(CONTROL!$C$9, $C$13, 100%, $E$13) + CHOOSE(CONTROL!$C$28, 0, 0)</f>
        <v>121.301</v>
      </c>
      <c r="E956" s="4">
        <f>825.537133739814 * CHOOSE(CONTROL!$C$9, $C$13, 100%, $E$13) + CHOOSE(CONTROL!$C$28, 0, 0)</f>
        <v>825.53713373981395</v>
      </c>
    </row>
    <row r="957" spans="1:5" ht="15">
      <c r="A957" s="13">
        <v>70645</v>
      </c>
      <c r="B957" s="4">
        <f>157.7357 * CHOOSE(CONTROL!$C$9, $C$13, 100%, $E$13) + CHOOSE(CONTROL!$C$28, 0.0181, 0)</f>
        <v>157.75380000000001</v>
      </c>
      <c r="C957" s="4">
        <f>157.4232 * CHOOSE(CONTROL!$C$9, $C$13, 100%, $E$13) + CHOOSE(CONTROL!$C$28, 0.0181, 0)</f>
        <v>157.44130000000001</v>
      </c>
      <c r="D957" s="4">
        <f>119.9597 * CHOOSE(CONTROL!$C$9, $C$13, 100%, $E$13) + CHOOSE(CONTROL!$C$28, 0, 0)</f>
        <v>119.9597</v>
      </c>
      <c r="E957" s="4">
        <f>845.304892874138 * CHOOSE(CONTROL!$C$9, $C$13, 100%, $E$13) + CHOOSE(CONTROL!$C$28, 0, 0)</f>
        <v>845.30489287413798</v>
      </c>
    </row>
    <row r="958" spans="1:5" ht="15">
      <c r="A958" s="13">
        <v>70675</v>
      </c>
      <c r="B958" s="4">
        <f>158.2289 * CHOOSE(CONTROL!$C$9, $C$13, 100%, $E$13) + CHOOSE(CONTROL!$C$28, 0.0181, 0)</f>
        <v>158.24700000000001</v>
      </c>
      <c r="C958" s="4">
        <f>157.9164 * CHOOSE(CONTROL!$C$9, $C$13, 100%, $E$13) + CHOOSE(CONTROL!$C$28, 0.0181, 0)</f>
        <v>157.93450000000001</v>
      </c>
      <c r="D958" s="4">
        <f>121.0521 * CHOOSE(CONTROL!$C$9, $C$13, 100%, $E$13) + CHOOSE(CONTROL!$C$28, 0, 0)</f>
        <v>121.0521</v>
      </c>
      <c r="E958" s="4">
        <f>847.979552722898 * CHOOSE(CONTROL!$C$9, $C$13, 100%, $E$13) + CHOOSE(CONTROL!$C$28, 0, 0)</f>
        <v>847.97955272289801</v>
      </c>
    </row>
    <row r="959" spans="1:5" ht="15">
      <c r="A959" s="13">
        <v>70706</v>
      </c>
      <c r="B959" s="4">
        <f>158.1792 * CHOOSE(CONTROL!$C$9, $C$13, 100%, $E$13) + CHOOSE(CONTROL!$C$28, 0.0181, 0)</f>
        <v>158.19730000000001</v>
      </c>
      <c r="C959" s="4">
        <f>157.8667 * CHOOSE(CONTROL!$C$9, $C$13, 100%, $E$13) + CHOOSE(CONTROL!$C$28, 0.0181, 0)</f>
        <v>157.88480000000001</v>
      </c>
      <c r="D959" s="4">
        <f>123.0232 * CHOOSE(CONTROL!$C$9, $C$13, 100%, $E$13) + CHOOSE(CONTROL!$C$28, 0, 0)</f>
        <v>123.0232</v>
      </c>
      <c r="E959" s="4">
        <f>847.709839124704 * CHOOSE(CONTROL!$C$9, $C$13, 100%, $E$13) + CHOOSE(CONTROL!$C$28, 0, 0)</f>
        <v>847.70983912470399</v>
      </c>
    </row>
    <row r="960" spans="1:5" ht="15">
      <c r="A960" s="13">
        <v>70737</v>
      </c>
      <c r="B960" s="4">
        <f>161.9214 * CHOOSE(CONTROL!$C$9, $C$13, 100%, $E$13) + CHOOSE(CONTROL!$C$28, 0.0181, 0)</f>
        <v>161.93950000000001</v>
      </c>
      <c r="C960" s="4">
        <f>161.6089 * CHOOSE(CONTROL!$C$9, $C$13, 100%, $E$13) + CHOOSE(CONTROL!$C$28, 0.0181, 0)</f>
        <v>161.62700000000001</v>
      </c>
      <c r="D960" s="4">
        <f>121.7215 * CHOOSE(CONTROL!$C$9, $C$13, 100%, $E$13) + CHOOSE(CONTROL!$C$28, 0, 0)</f>
        <v>121.72150000000001</v>
      </c>
      <c r="E960" s="4">
        <f>868.005787388825 * CHOOSE(CONTROL!$C$9, $C$13, 100%, $E$13) + CHOOSE(CONTROL!$C$28, 0, 0)</f>
        <v>868.00578738882496</v>
      </c>
    </row>
    <row r="961" spans="1:5" ht="15">
      <c r="A961" s="13">
        <v>70767</v>
      </c>
      <c r="B961" s="4">
        <f>155.5434 * CHOOSE(CONTROL!$C$9, $C$13, 100%, $E$13) + CHOOSE(CONTROL!$C$28, 0.0181, 0)</f>
        <v>155.5615</v>
      </c>
      <c r="C961" s="4">
        <f>155.2309 * CHOOSE(CONTROL!$C$9, $C$13, 100%, $E$13) + CHOOSE(CONTROL!$C$28, 0.0181, 0)</f>
        <v>155.249</v>
      </c>
      <c r="D961" s="4">
        <f>121.1064 * CHOOSE(CONTROL!$C$9, $C$13, 100%, $E$13) + CHOOSE(CONTROL!$C$28, 0, 0)</f>
        <v>121.10639999999999</v>
      </c>
      <c r="E961" s="4">
        <f>833.415018420406 * CHOOSE(CONTROL!$C$9, $C$13, 100%, $E$13) + CHOOSE(CONTROL!$C$28, 0, 0)</f>
        <v>833.415018420406</v>
      </c>
    </row>
    <row r="962" spans="1:5" ht="15">
      <c r="A962" s="13">
        <v>70798</v>
      </c>
      <c r="B962" s="4">
        <f>150.4377 * CHOOSE(CONTROL!$C$9, $C$13, 100%, $E$13) + CHOOSE(CONTROL!$C$28, 0.0003, 0)</f>
        <v>150.43800000000002</v>
      </c>
      <c r="C962" s="4">
        <f>150.1252 * CHOOSE(CONTROL!$C$9, $C$13, 100%, $E$13) + CHOOSE(CONTROL!$C$28, 0.0003, 0)</f>
        <v>150.12550000000002</v>
      </c>
      <c r="D962" s="4">
        <f>119.4596 * CHOOSE(CONTROL!$C$9, $C$13, 100%, $E$13) + CHOOSE(CONTROL!$C$28, 0, 0)</f>
        <v>119.45959999999999</v>
      </c>
      <c r="E962" s="4">
        <f>805.724422339124 * CHOOSE(CONTROL!$C$9, $C$13, 100%, $E$13) + CHOOSE(CONTROL!$C$28, 0, 0)</f>
        <v>805.72442233912398</v>
      </c>
    </row>
    <row r="963" spans="1:5" ht="15">
      <c r="A963" s="13">
        <v>70828</v>
      </c>
      <c r="B963" s="4">
        <f>147.1493 * CHOOSE(CONTROL!$C$9, $C$13, 100%, $E$13) + CHOOSE(CONTROL!$C$28, 0.0003, 0)</f>
        <v>147.14960000000002</v>
      </c>
      <c r="C963" s="4">
        <f>146.8368 * CHOOSE(CONTROL!$C$9, $C$13, 100%, $E$13) + CHOOSE(CONTROL!$C$28, 0.0003, 0)</f>
        <v>146.83710000000002</v>
      </c>
      <c r="D963" s="4">
        <f>118.8935 * CHOOSE(CONTROL!$C$9, $C$13, 100%, $E$13) + CHOOSE(CONTROL!$C$28, 0, 0)</f>
        <v>118.8935</v>
      </c>
      <c r="E963" s="4">
        <f>787.889610658525 * CHOOSE(CONTROL!$C$9, $C$13, 100%, $E$13) + CHOOSE(CONTROL!$C$28, 0, 0)</f>
        <v>787.88961065852504</v>
      </c>
    </row>
    <row r="964" spans="1:5" ht="15">
      <c r="A964" s="13">
        <v>70859</v>
      </c>
      <c r="B964" s="4">
        <f>144.8741 * CHOOSE(CONTROL!$C$9, $C$13, 100%, $E$13) + CHOOSE(CONTROL!$C$28, 0.0003, 0)</f>
        <v>144.87440000000001</v>
      </c>
      <c r="C964" s="4">
        <f>144.5616 * CHOOSE(CONTROL!$C$9, $C$13, 100%, $E$13) + CHOOSE(CONTROL!$C$28, 0.0003, 0)</f>
        <v>144.56190000000001</v>
      </c>
      <c r="D964" s="4">
        <f>114.7253 * CHOOSE(CONTROL!$C$9, $C$13, 100%, $E$13) + CHOOSE(CONTROL!$C$28, 0, 0)</f>
        <v>114.7253</v>
      </c>
      <c r="E964" s="4">
        <f>775.550213541136 * CHOOSE(CONTROL!$C$9, $C$13, 100%, $E$13) + CHOOSE(CONTROL!$C$28, 0, 0)</f>
        <v>775.55021354113603</v>
      </c>
    </row>
    <row r="965" spans="1:5" ht="15">
      <c r="A965" s="13">
        <v>70890</v>
      </c>
      <c r="B965" s="4">
        <f>141.1774 * CHOOSE(CONTROL!$C$9, $C$13, 100%, $E$13) + CHOOSE(CONTROL!$C$28, 0.0003, 0)</f>
        <v>141.17770000000002</v>
      </c>
      <c r="C965" s="4">
        <f>140.8649 * CHOOSE(CONTROL!$C$9, $C$13, 100%, $E$13) + CHOOSE(CONTROL!$C$28, 0.0003, 0)</f>
        <v>140.86520000000002</v>
      </c>
      <c r="D965" s="4">
        <f>110.8944 * CHOOSE(CONTROL!$C$9, $C$13, 100%, $E$13) + CHOOSE(CONTROL!$C$28, 0, 0)</f>
        <v>110.8944</v>
      </c>
      <c r="E965" s="4">
        <f>753.310388803528 * CHOOSE(CONTROL!$C$9, $C$13, 100%, $E$13) + CHOOSE(CONTROL!$C$28, 0, 0)</f>
        <v>753.31038880352799</v>
      </c>
    </row>
    <row r="966" spans="1:5" ht="15">
      <c r="A966" s="13">
        <v>70918</v>
      </c>
      <c r="B966" s="4">
        <f>144.485 * CHOOSE(CONTROL!$C$9, $C$13, 100%, $E$13) + CHOOSE(CONTROL!$C$28, 0.0003, 0)</f>
        <v>144.48530000000002</v>
      </c>
      <c r="C966" s="4">
        <f>144.1725 * CHOOSE(CONTROL!$C$9, $C$13, 100%, $E$13) + CHOOSE(CONTROL!$C$28, 0.0003, 0)</f>
        <v>144.17280000000002</v>
      </c>
      <c r="D966" s="4">
        <f>114.7521 * CHOOSE(CONTROL!$C$9, $C$13, 100%, $E$13) + CHOOSE(CONTROL!$C$28, 0, 0)</f>
        <v>114.7521</v>
      </c>
      <c r="E966" s="4">
        <f>771.196946161747 * CHOOSE(CONTROL!$C$9, $C$13, 100%, $E$13) + CHOOSE(CONTROL!$C$28, 0, 0)</f>
        <v>771.19694616174695</v>
      </c>
    </row>
    <row r="967" spans="1:5" ht="15">
      <c r="A967" s="13">
        <v>70949</v>
      </c>
      <c r="B967" s="4">
        <f>153.1709 * CHOOSE(CONTROL!$C$9, $C$13, 100%, $E$13) + CHOOSE(CONTROL!$C$28, 0.0003, 0)</f>
        <v>153.1712</v>
      </c>
      <c r="C967" s="4">
        <f>152.8584 * CHOOSE(CONTROL!$C$9, $C$13, 100%, $E$13) + CHOOSE(CONTROL!$C$28, 0.0003, 0)</f>
        <v>152.8587</v>
      </c>
      <c r="D967" s="4">
        <f>120.7912 * CHOOSE(CONTROL!$C$9, $C$13, 100%, $E$13) + CHOOSE(CONTROL!$C$28, 0, 0)</f>
        <v>120.7912</v>
      </c>
      <c r="E967" s="4">
        <f>818.167996333816 * CHOOSE(CONTROL!$C$9, $C$13, 100%, $E$13) + CHOOSE(CONTROL!$C$28, 0, 0)</f>
        <v>818.16799633381595</v>
      </c>
    </row>
    <row r="968" spans="1:5" ht="15">
      <c r="A968" s="13">
        <v>70979</v>
      </c>
      <c r="B968" s="4">
        <f>159.3423 * CHOOSE(CONTROL!$C$9, $C$13, 100%, $E$13) + CHOOSE(CONTROL!$C$28, 0.0003, 0)</f>
        <v>159.3426</v>
      </c>
      <c r="C968" s="4">
        <f>159.0298 * CHOOSE(CONTROL!$C$9, $C$13, 100%, $E$13) + CHOOSE(CONTROL!$C$28, 0.0003, 0)</f>
        <v>159.0301</v>
      </c>
      <c r="D968" s="4">
        <f>124.2698 * CHOOSE(CONTROL!$C$9, $C$13, 100%, $E$13) + CHOOSE(CONTROL!$C$28, 0, 0)</f>
        <v>124.2698</v>
      </c>
      <c r="E968" s="4">
        <f>851.541553452618 * CHOOSE(CONTROL!$C$9, $C$13, 100%, $E$13) + CHOOSE(CONTROL!$C$28, 0, 0)</f>
        <v>851.54155345261802</v>
      </c>
    </row>
    <row r="969" spans="1:5" ht="15">
      <c r="A969" s="13">
        <v>71010</v>
      </c>
      <c r="B969" s="4">
        <f>163.1129 * CHOOSE(CONTROL!$C$9, $C$13, 100%, $E$13) + CHOOSE(CONTROL!$C$28, 0.0181, 0)</f>
        <v>163.131</v>
      </c>
      <c r="C969" s="4">
        <f>162.8004 * CHOOSE(CONTROL!$C$9, $C$13, 100%, $E$13) + CHOOSE(CONTROL!$C$28, 0.0181, 0)</f>
        <v>162.8185</v>
      </c>
      <c r="D969" s="4">
        <f>122.8952 * CHOOSE(CONTROL!$C$9, $C$13, 100%, $E$13) + CHOOSE(CONTROL!$C$28, 0, 0)</f>
        <v>122.8952</v>
      </c>
      <c r="E969" s="4">
        <f>871.931996999673 * CHOOSE(CONTROL!$C$9, $C$13, 100%, $E$13) + CHOOSE(CONTROL!$C$28, 0, 0)</f>
        <v>871.93199699967295</v>
      </c>
    </row>
    <row r="970" spans="1:5" ht="15">
      <c r="A970" s="13">
        <v>71040</v>
      </c>
      <c r="B970" s="4">
        <f>163.6231 * CHOOSE(CONTROL!$C$9, $C$13, 100%, $E$13) + CHOOSE(CONTROL!$C$28, 0.0181, 0)</f>
        <v>163.6412</v>
      </c>
      <c r="C970" s="4">
        <f>163.3106 * CHOOSE(CONTROL!$C$9, $C$13, 100%, $E$13) + CHOOSE(CONTROL!$C$28, 0.0181, 0)</f>
        <v>163.3287</v>
      </c>
      <c r="D970" s="4">
        <f>124.0147 * CHOOSE(CONTROL!$C$9, $C$13, 100%, $E$13) + CHOOSE(CONTROL!$C$28, 0, 0)</f>
        <v>124.0147</v>
      </c>
      <c r="E970" s="4">
        <f>874.690908633669 * CHOOSE(CONTROL!$C$9, $C$13, 100%, $E$13) + CHOOSE(CONTROL!$C$28, 0, 0)</f>
        <v>874.69090863366898</v>
      </c>
    </row>
    <row r="971" spans="1:5" ht="15">
      <c r="A971" s="13">
        <v>71071</v>
      </c>
      <c r="B971" s="4">
        <f>163.5717 * CHOOSE(CONTROL!$C$9, $C$13, 100%, $E$13) + CHOOSE(CONTROL!$C$28, 0.0181, 0)</f>
        <v>163.5898</v>
      </c>
      <c r="C971" s="4">
        <f>163.2592 * CHOOSE(CONTROL!$C$9, $C$13, 100%, $E$13) + CHOOSE(CONTROL!$C$28, 0.0181, 0)</f>
        <v>163.2773</v>
      </c>
      <c r="D971" s="4">
        <f>126.0347 * CHOOSE(CONTROL!$C$9, $C$13, 100%, $E$13) + CHOOSE(CONTROL!$C$28, 0, 0)</f>
        <v>126.0347</v>
      </c>
      <c r="E971" s="4">
        <f>874.412699057132 * CHOOSE(CONTROL!$C$9, $C$13, 100%, $E$13) + CHOOSE(CONTROL!$C$28, 0, 0)</f>
        <v>874.41269905713204</v>
      </c>
    </row>
    <row r="972" spans="1:5" ht="15">
      <c r="A972" s="13">
        <v>71102</v>
      </c>
      <c r="B972" s="4">
        <f>167.443 * CHOOSE(CONTROL!$C$9, $C$13, 100%, $E$13) + CHOOSE(CONTROL!$C$28, 0.0181, 0)</f>
        <v>167.46110000000002</v>
      </c>
      <c r="C972" s="4">
        <f>167.1305 * CHOOSE(CONTROL!$C$9, $C$13, 100%, $E$13) + CHOOSE(CONTROL!$C$28, 0.0181, 0)</f>
        <v>167.14860000000002</v>
      </c>
      <c r="D972" s="4">
        <f>124.7007 * CHOOSE(CONTROL!$C$9, $C$13, 100%, $E$13) + CHOOSE(CONTROL!$C$28, 0, 0)</f>
        <v>124.7007</v>
      </c>
      <c r="E972" s="4">
        <f>895.347969691573 * CHOOSE(CONTROL!$C$9, $C$13, 100%, $E$13) + CHOOSE(CONTROL!$C$28, 0, 0)</f>
        <v>895.34796969157298</v>
      </c>
    </row>
    <row r="973" spans="1:5" ht="15">
      <c r="A973" s="13">
        <v>71132</v>
      </c>
      <c r="B973" s="4">
        <f>160.845 * CHOOSE(CONTROL!$C$9, $C$13, 100%, $E$13) + CHOOSE(CONTROL!$C$28, 0.0181, 0)</f>
        <v>160.8631</v>
      </c>
      <c r="C973" s="4">
        <f>160.5325 * CHOOSE(CONTROL!$C$9, $C$13, 100%, $E$13) + CHOOSE(CONTROL!$C$28, 0.0181, 0)</f>
        <v>160.5506</v>
      </c>
      <c r="D973" s="4">
        <f>124.0704 * CHOOSE(CONTROL!$C$9, $C$13, 100%, $E$13) + CHOOSE(CONTROL!$C$28, 0, 0)</f>
        <v>124.07040000000001</v>
      </c>
      <c r="E973" s="4">
        <f>859.667591500649 * CHOOSE(CONTROL!$C$9, $C$13, 100%, $E$13) + CHOOSE(CONTROL!$C$28, 0, 0)</f>
        <v>859.667591500649</v>
      </c>
    </row>
    <row r="974" spans="1:5" ht="15">
      <c r="A974" s="13">
        <v>71163</v>
      </c>
      <c r="B974" s="4">
        <f>155.5631 * CHOOSE(CONTROL!$C$9, $C$13, 100%, $E$13) + CHOOSE(CONTROL!$C$28, 0.0003, 0)</f>
        <v>155.5634</v>
      </c>
      <c r="C974" s="4">
        <f>155.2506 * CHOOSE(CONTROL!$C$9, $C$13, 100%, $E$13) + CHOOSE(CONTROL!$C$28, 0.0003, 0)</f>
        <v>155.2509</v>
      </c>
      <c r="D974" s="4">
        <f>122.3828 * CHOOSE(CONTROL!$C$9, $C$13, 100%, $E$13) + CHOOSE(CONTROL!$C$28, 0, 0)</f>
        <v>122.3828</v>
      </c>
      <c r="E974" s="4">
        <f>831.104741642806 * CHOOSE(CONTROL!$C$9, $C$13, 100%, $E$13) + CHOOSE(CONTROL!$C$28, 0, 0)</f>
        <v>831.10474164280595</v>
      </c>
    </row>
    <row r="975" spans="1:5" ht="15">
      <c r="A975" s="13">
        <v>71193</v>
      </c>
      <c r="B975" s="4">
        <f>152.1612 * CHOOSE(CONTROL!$C$9, $C$13, 100%, $E$13) + CHOOSE(CONTROL!$C$28, 0.0003, 0)</f>
        <v>152.16150000000002</v>
      </c>
      <c r="C975" s="4">
        <f>151.8487 * CHOOSE(CONTROL!$C$9, $C$13, 100%, $E$13) + CHOOSE(CONTROL!$C$28, 0.0003, 0)</f>
        <v>151.84900000000002</v>
      </c>
      <c r="D975" s="4">
        <f>121.8026 * CHOOSE(CONTROL!$C$9, $C$13, 100%, $E$13) + CHOOSE(CONTROL!$C$28, 0, 0)</f>
        <v>121.8026</v>
      </c>
      <c r="E975" s="4">
        <f>812.708133394269 * CHOOSE(CONTROL!$C$9, $C$13, 100%, $E$13) + CHOOSE(CONTROL!$C$28, 0, 0)</f>
        <v>812.708133394269</v>
      </c>
    </row>
    <row r="976" spans="1:5" ht="15">
      <c r="A976" s="13">
        <v>71224</v>
      </c>
      <c r="B976" s="4">
        <f>149.8075 * CHOOSE(CONTROL!$C$9, $C$13, 100%, $E$13) + CHOOSE(CONTROL!$C$28, 0.0003, 0)</f>
        <v>149.80780000000001</v>
      </c>
      <c r="C976" s="4">
        <f>149.495 * CHOOSE(CONTROL!$C$9, $C$13, 100%, $E$13) + CHOOSE(CONTROL!$C$28, 0.0003, 0)</f>
        <v>149.49530000000001</v>
      </c>
      <c r="D976" s="4">
        <f>117.531 * CHOOSE(CONTROL!$C$9, $C$13, 100%, $E$13) + CHOOSE(CONTROL!$C$28, 0, 0)</f>
        <v>117.53100000000001</v>
      </c>
      <c r="E976" s="4">
        <f>799.980045267681 * CHOOSE(CONTROL!$C$9, $C$13, 100%, $E$13) + CHOOSE(CONTROL!$C$28, 0, 0)</f>
        <v>799.98004526768102</v>
      </c>
    </row>
    <row r="977" spans="1:5" ht="15">
      <c r="A977" s="13">
        <v>71255</v>
      </c>
      <c r="B977" s="4">
        <f>145.9833 * CHOOSE(CONTROL!$C$9, $C$13, 100%, $E$13) + CHOOSE(CONTROL!$C$28, 0.0003, 0)</f>
        <v>145.98360000000002</v>
      </c>
      <c r="C977" s="4">
        <f>145.6708 * CHOOSE(CONTROL!$C$9, $C$13, 100%, $E$13) + CHOOSE(CONTROL!$C$28, 0.0003, 0)</f>
        <v>145.67110000000002</v>
      </c>
      <c r="D977" s="4">
        <f>113.6051 * CHOOSE(CONTROL!$C$9, $C$13, 100%, $E$13) + CHOOSE(CONTROL!$C$28, 0, 0)</f>
        <v>113.60509999999999</v>
      </c>
      <c r="E977" s="4">
        <f>777.039666050839 * CHOOSE(CONTROL!$C$9, $C$13, 100%, $E$13) + CHOOSE(CONTROL!$C$28, 0, 0)</f>
        <v>777.03966605083895</v>
      </c>
    </row>
    <row r="978" spans="1:5" ht="15">
      <c r="A978" s="13">
        <v>71283</v>
      </c>
      <c r="B978" s="4">
        <f>149.405 * CHOOSE(CONTROL!$C$9, $C$13, 100%, $E$13) + CHOOSE(CONTROL!$C$28, 0.0003, 0)</f>
        <v>149.40530000000001</v>
      </c>
      <c r="C978" s="4">
        <f>149.0925 * CHOOSE(CONTROL!$C$9, $C$13, 100%, $E$13) + CHOOSE(CONTROL!$C$28, 0.0003, 0)</f>
        <v>149.09280000000001</v>
      </c>
      <c r="D978" s="4">
        <f>117.5585 * CHOOSE(CONTROL!$C$9, $C$13, 100%, $E$13) + CHOOSE(CONTROL!$C$28, 0, 0)</f>
        <v>117.5585</v>
      </c>
      <c r="E978" s="4">
        <f>795.489649965842 * CHOOSE(CONTROL!$C$9, $C$13, 100%, $E$13) + CHOOSE(CONTROL!$C$28, 0, 0)</f>
        <v>795.48964996584198</v>
      </c>
    </row>
    <row r="979" spans="1:5" ht="15">
      <c r="A979" s="13">
        <v>71314</v>
      </c>
      <c r="B979" s="4">
        <f>158.3906 * CHOOSE(CONTROL!$C$9, $C$13, 100%, $E$13) + CHOOSE(CONTROL!$C$28, 0.0003, 0)</f>
        <v>158.39090000000002</v>
      </c>
      <c r="C979" s="4">
        <f>158.0781 * CHOOSE(CONTROL!$C$9, $C$13, 100%, $E$13) + CHOOSE(CONTROL!$C$28, 0.0003, 0)</f>
        <v>158.07840000000002</v>
      </c>
      <c r="D979" s="4">
        <f>123.7473 * CHOOSE(CONTROL!$C$9, $C$13, 100%, $E$13) + CHOOSE(CONTROL!$C$28, 0, 0)</f>
        <v>123.7473</v>
      </c>
      <c r="E979" s="4">
        <f>843.940288218331 * CHOOSE(CONTROL!$C$9, $C$13, 100%, $E$13) + CHOOSE(CONTROL!$C$28, 0, 0)</f>
        <v>843.94028821833103</v>
      </c>
    </row>
    <row r="980" spans="1:5" ht="15">
      <c r="A980" s="13">
        <v>71344</v>
      </c>
      <c r="B980" s="4">
        <f>164.7749 * CHOOSE(CONTROL!$C$9, $C$13, 100%, $E$13) + CHOOSE(CONTROL!$C$28, 0.0003, 0)</f>
        <v>164.77520000000001</v>
      </c>
      <c r="C980" s="4">
        <f>164.4624 * CHOOSE(CONTROL!$C$9, $C$13, 100%, $E$13) + CHOOSE(CONTROL!$C$28, 0.0003, 0)</f>
        <v>164.46270000000001</v>
      </c>
      <c r="D980" s="4">
        <f>127.3123 * CHOOSE(CONTROL!$C$9, $C$13, 100%, $E$13) + CHOOSE(CONTROL!$C$28, 0, 0)</f>
        <v>127.31229999999999</v>
      </c>
      <c r="E980" s="4">
        <f>878.365112386376 * CHOOSE(CONTROL!$C$9, $C$13, 100%, $E$13) + CHOOSE(CONTROL!$C$28, 0, 0)</f>
        <v>878.36511238637604</v>
      </c>
    </row>
    <row r="981" spans="1:5" ht="15">
      <c r="A981" s="13">
        <v>71375</v>
      </c>
      <c r="B981" s="4">
        <f>168.6756 * CHOOSE(CONTROL!$C$9, $C$13, 100%, $E$13) + CHOOSE(CONTROL!$C$28, 0.0181, 0)</f>
        <v>168.69370000000001</v>
      </c>
      <c r="C981" s="4">
        <f>168.3631 * CHOOSE(CONTROL!$C$9, $C$13, 100%, $E$13) + CHOOSE(CONTROL!$C$28, 0.0181, 0)</f>
        <v>168.38120000000001</v>
      </c>
      <c r="D981" s="4">
        <f>125.9036 * CHOOSE(CONTROL!$C$9, $C$13, 100%, $E$13) + CHOOSE(CONTROL!$C$28, 0, 0)</f>
        <v>125.9036</v>
      </c>
      <c r="E981" s="4">
        <f>899.397854905163 * CHOOSE(CONTROL!$C$9, $C$13, 100%, $E$13) + CHOOSE(CONTROL!$C$28, 0, 0)</f>
        <v>899.39785490516294</v>
      </c>
    </row>
    <row r="982" spans="1:5" ht="15">
      <c r="A982" s="13">
        <v>71405</v>
      </c>
      <c r="B982" s="4">
        <f>169.2034 * CHOOSE(CONTROL!$C$9, $C$13, 100%, $E$13) + CHOOSE(CONTROL!$C$28, 0.0181, 0)</f>
        <v>169.22149999999999</v>
      </c>
      <c r="C982" s="4">
        <f>168.8909 * CHOOSE(CONTROL!$C$9, $C$13, 100%, $E$13) + CHOOSE(CONTROL!$C$28, 0.0181, 0)</f>
        <v>168.90899999999999</v>
      </c>
      <c r="D982" s="4">
        <f>127.0508 * CHOOSE(CONTROL!$C$9, $C$13, 100%, $E$13) + CHOOSE(CONTROL!$C$28, 0, 0)</f>
        <v>127.0508</v>
      </c>
      <c r="E982" s="4">
        <f>902.24367225563 * CHOOSE(CONTROL!$C$9, $C$13, 100%, $E$13) + CHOOSE(CONTROL!$C$28, 0, 0)</f>
        <v>902.24367225563003</v>
      </c>
    </row>
    <row r="983" spans="1:5" ht="15">
      <c r="A983" s="13">
        <v>71436</v>
      </c>
      <c r="B983" s="4">
        <f>169.1502 * CHOOSE(CONTROL!$C$9, $C$13, 100%, $E$13) + CHOOSE(CONTROL!$C$28, 0.0181, 0)</f>
        <v>169.16830000000002</v>
      </c>
      <c r="C983" s="4">
        <f>168.8377 * CHOOSE(CONTROL!$C$9, $C$13, 100%, $E$13) + CHOOSE(CONTROL!$C$28, 0.0181, 0)</f>
        <v>168.85580000000002</v>
      </c>
      <c r="D983" s="4">
        <f>129.1209 * CHOOSE(CONTROL!$C$9, $C$13, 100%, $E$13) + CHOOSE(CONTROL!$C$28, 0, 0)</f>
        <v>129.12090000000001</v>
      </c>
      <c r="E983" s="4">
        <f>901.956699077432 * CHOOSE(CONTROL!$C$9, $C$13, 100%, $E$13) + CHOOSE(CONTROL!$C$28, 0, 0)</f>
        <v>901.95669907743195</v>
      </c>
    </row>
    <row r="984" spans="1:5" ht="15">
      <c r="A984" s="13">
        <v>71467</v>
      </c>
      <c r="B984" s="4">
        <f>173.1551 * CHOOSE(CONTROL!$C$9, $C$13, 100%, $E$13) + CHOOSE(CONTROL!$C$28, 0.0181, 0)</f>
        <v>173.17320000000001</v>
      </c>
      <c r="C984" s="4">
        <f>172.8426 * CHOOSE(CONTROL!$C$9, $C$13, 100%, $E$13) + CHOOSE(CONTROL!$C$28, 0.0181, 0)</f>
        <v>172.86070000000001</v>
      </c>
      <c r="D984" s="4">
        <f>127.7538 * CHOOSE(CONTROL!$C$9, $C$13, 100%, $E$13) + CHOOSE(CONTROL!$C$28, 0, 0)</f>
        <v>127.7538</v>
      </c>
      <c r="E984" s="4">
        <f>923.551430736858 * CHOOSE(CONTROL!$C$9, $C$13, 100%, $E$13) + CHOOSE(CONTROL!$C$28, 0, 0)</f>
        <v>923.55143073685804</v>
      </c>
    </row>
    <row r="985" spans="1:5" ht="15">
      <c r="A985" s="13">
        <v>71497</v>
      </c>
      <c r="B985" s="4">
        <f>166.3294 * CHOOSE(CONTROL!$C$9, $C$13, 100%, $E$13) + CHOOSE(CONTROL!$C$28, 0.0181, 0)</f>
        <v>166.3475</v>
      </c>
      <c r="C985" s="4">
        <f>166.0169 * CHOOSE(CONTROL!$C$9, $C$13, 100%, $E$13) + CHOOSE(CONTROL!$C$28, 0.0181, 0)</f>
        <v>166.035</v>
      </c>
      <c r="D985" s="4">
        <f>127.1079 * CHOOSE(CONTROL!$C$9, $C$13, 100%, $E$13) + CHOOSE(CONTROL!$C$28, 0, 0)</f>
        <v>127.1079</v>
      </c>
      <c r="E985" s="4">
        <f>886.747120632919 * CHOOSE(CONTROL!$C$9, $C$13, 100%, $E$13) + CHOOSE(CONTROL!$C$28, 0, 0)</f>
        <v>886.74712063291895</v>
      </c>
    </row>
    <row r="986" spans="1:5" ht="15">
      <c r="A986" s="13">
        <v>71528</v>
      </c>
      <c r="B986" s="4">
        <f>160.8654 * CHOOSE(CONTROL!$C$9, $C$13, 100%, $E$13) + CHOOSE(CONTROL!$C$28, 0.0003, 0)</f>
        <v>160.8657</v>
      </c>
      <c r="C986" s="4">
        <f>160.5529 * CHOOSE(CONTROL!$C$9, $C$13, 100%, $E$13) + CHOOSE(CONTROL!$C$28, 0.0003, 0)</f>
        <v>160.5532</v>
      </c>
      <c r="D986" s="4">
        <f>125.3784 * CHOOSE(CONTROL!$C$9, $C$13, 100%, $E$13) + CHOOSE(CONTROL!$C$28, 0, 0)</f>
        <v>125.3784</v>
      </c>
      <c r="E986" s="4">
        <f>857.284541004555 * CHOOSE(CONTROL!$C$9, $C$13, 100%, $E$13) + CHOOSE(CONTROL!$C$28, 0, 0)</f>
        <v>857.28454100455497</v>
      </c>
    </row>
    <row r="987" spans="1:5" ht="15">
      <c r="A987" s="13">
        <v>71558</v>
      </c>
      <c r="B987" s="4">
        <f>157.3461 * CHOOSE(CONTROL!$C$9, $C$13, 100%, $E$13) + CHOOSE(CONTROL!$C$28, 0.0003, 0)</f>
        <v>157.34640000000002</v>
      </c>
      <c r="C987" s="4">
        <f>157.0336 * CHOOSE(CONTROL!$C$9, $C$13, 100%, $E$13) + CHOOSE(CONTROL!$C$28, 0.0003, 0)</f>
        <v>157.03390000000002</v>
      </c>
      <c r="D987" s="4">
        <f>124.7838 * CHOOSE(CONTROL!$C$9, $C$13, 100%, $E$13) + CHOOSE(CONTROL!$C$28, 0, 0)</f>
        <v>124.7838</v>
      </c>
      <c r="E987" s="4">
        <f>838.308439596188 * CHOOSE(CONTROL!$C$9, $C$13, 100%, $E$13) + CHOOSE(CONTROL!$C$28, 0, 0)</f>
        <v>838.30843959618801</v>
      </c>
    </row>
    <row r="988" spans="1:5" ht="15">
      <c r="A988" s="13">
        <v>71589</v>
      </c>
      <c r="B988" s="4">
        <f>154.9112 * CHOOSE(CONTROL!$C$9, $C$13, 100%, $E$13) + CHOOSE(CONTROL!$C$28, 0.0003, 0)</f>
        <v>154.91150000000002</v>
      </c>
      <c r="C988" s="4">
        <f>154.5987 * CHOOSE(CONTROL!$C$9, $C$13, 100%, $E$13) + CHOOSE(CONTROL!$C$28, 0.0003, 0)</f>
        <v>154.59900000000002</v>
      </c>
      <c r="D988" s="4">
        <f>120.4064 * CHOOSE(CONTROL!$C$9, $C$13, 100%, $E$13) + CHOOSE(CONTROL!$C$28, 0, 0)</f>
        <v>120.4064</v>
      </c>
      <c r="E988" s="4">
        <f>825.179416693614 * CHOOSE(CONTROL!$C$9, $C$13, 100%, $E$13) + CHOOSE(CONTROL!$C$28, 0, 0)</f>
        <v>825.17941669361403</v>
      </c>
    </row>
    <row r="989" spans="1:5" ht="15">
      <c r="A989" s="13">
        <v>71620</v>
      </c>
      <c r="B989" s="4">
        <f>150.955 * CHOOSE(CONTROL!$C$9, $C$13, 100%, $E$13) + CHOOSE(CONTROL!$C$28, 0.0003, 0)</f>
        <v>150.95530000000002</v>
      </c>
      <c r="C989" s="4">
        <f>150.6425 * CHOOSE(CONTROL!$C$9, $C$13, 100%, $E$13) + CHOOSE(CONTROL!$C$28, 0.0003, 0)</f>
        <v>150.64280000000002</v>
      </c>
      <c r="D989" s="4">
        <f>116.3831 * CHOOSE(CONTROL!$C$9, $C$13, 100%, $E$13) + CHOOSE(CONTROL!$C$28, 0, 0)</f>
        <v>116.3831</v>
      </c>
      <c r="E989" s="4">
        <f>801.516415531441 * CHOOSE(CONTROL!$C$9, $C$13, 100%, $E$13) + CHOOSE(CONTROL!$C$28, 0, 0)</f>
        <v>801.516415531441</v>
      </c>
    </row>
    <row r="990" spans="1:5" ht="15">
      <c r="A990" s="13">
        <v>71649</v>
      </c>
      <c r="B990" s="4">
        <f>154.4948 * CHOOSE(CONTROL!$C$9, $C$13, 100%, $E$13) + CHOOSE(CONTROL!$C$28, 0.0003, 0)</f>
        <v>154.49510000000001</v>
      </c>
      <c r="C990" s="4">
        <f>154.1823 * CHOOSE(CONTROL!$C$9, $C$13, 100%, $E$13) + CHOOSE(CONTROL!$C$28, 0.0003, 0)</f>
        <v>154.18260000000001</v>
      </c>
      <c r="D990" s="4">
        <f>120.4345 * CHOOSE(CONTROL!$C$9, $C$13, 100%, $E$13) + CHOOSE(CONTROL!$C$28, 0, 0)</f>
        <v>120.4345</v>
      </c>
      <c r="E990" s="4">
        <f>820.547573939766 * CHOOSE(CONTROL!$C$9, $C$13, 100%, $E$13) + CHOOSE(CONTROL!$C$28, 0, 0)</f>
        <v>820.54757393976604</v>
      </c>
    </row>
    <row r="991" spans="1:5" ht="15">
      <c r="A991" s="13">
        <v>71680</v>
      </c>
      <c r="B991" s="4">
        <f>163.7904 * CHOOSE(CONTROL!$C$9, $C$13, 100%, $E$13) + CHOOSE(CONTROL!$C$28, 0.0003, 0)</f>
        <v>163.79070000000002</v>
      </c>
      <c r="C991" s="4">
        <f>163.4779 * CHOOSE(CONTROL!$C$9, $C$13, 100%, $E$13) + CHOOSE(CONTROL!$C$28, 0.0003, 0)</f>
        <v>163.47820000000002</v>
      </c>
      <c r="D991" s="4">
        <f>126.7768 * CHOOSE(CONTROL!$C$9, $C$13, 100%, $E$13) + CHOOSE(CONTROL!$C$28, 0, 0)</f>
        <v>126.77679999999999</v>
      </c>
      <c r="E991" s="4">
        <f>870.524407297208 * CHOOSE(CONTROL!$C$9, $C$13, 100%, $E$13) + CHOOSE(CONTROL!$C$28, 0, 0)</f>
        <v>870.52440729720797</v>
      </c>
    </row>
    <row r="992" spans="1:5" ht="15">
      <c r="A992" s="13">
        <v>71710</v>
      </c>
      <c r="B992" s="4">
        <f>170.395 * CHOOSE(CONTROL!$C$9, $C$13, 100%, $E$13) + CHOOSE(CONTROL!$C$28, 0.0003, 0)</f>
        <v>170.39530000000002</v>
      </c>
      <c r="C992" s="4">
        <f>170.0825 * CHOOSE(CONTROL!$C$9, $C$13, 100%, $E$13) + CHOOSE(CONTROL!$C$28, 0.0003, 0)</f>
        <v>170.08280000000002</v>
      </c>
      <c r="D992" s="4">
        <f>130.4302 * CHOOSE(CONTROL!$C$9, $C$13, 100%, $E$13) + CHOOSE(CONTROL!$C$28, 0, 0)</f>
        <v>130.43020000000001</v>
      </c>
      <c r="E992" s="4">
        <f>906.033613426546 * CHOOSE(CONTROL!$C$9, $C$13, 100%, $E$13) + CHOOSE(CONTROL!$C$28, 0, 0)</f>
        <v>906.03361342654603</v>
      </c>
    </row>
    <row r="993" spans="1:5" ht="15">
      <c r="A993" s="13">
        <v>71741</v>
      </c>
      <c r="B993" s="4">
        <f>174.4302 * CHOOSE(CONTROL!$C$9, $C$13, 100%, $E$13) + CHOOSE(CONTROL!$C$28, 0.0181, 0)</f>
        <v>174.44830000000002</v>
      </c>
      <c r="C993" s="4">
        <f>174.1177 * CHOOSE(CONTROL!$C$9, $C$13, 100%, $E$13) + CHOOSE(CONTROL!$C$28, 0.0181, 0)</f>
        <v>174.13580000000002</v>
      </c>
      <c r="D993" s="4">
        <f>128.9865 * CHOOSE(CONTROL!$C$9, $C$13, 100%, $E$13) + CHOOSE(CONTROL!$C$28, 0, 0)</f>
        <v>128.98650000000001</v>
      </c>
      <c r="E993" s="4">
        <f>927.728887334676 * CHOOSE(CONTROL!$C$9, $C$13, 100%, $E$13) + CHOOSE(CONTROL!$C$28, 0, 0)</f>
        <v>927.72888733467596</v>
      </c>
    </row>
    <row r="994" spans="1:5" ht="15">
      <c r="A994" s="13">
        <v>71771</v>
      </c>
      <c r="B994" s="4">
        <f>174.9762 * CHOOSE(CONTROL!$C$9, $C$13, 100%, $E$13) + CHOOSE(CONTROL!$C$28, 0.0181, 0)</f>
        <v>174.99430000000001</v>
      </c>
      <c r="C994" s="4">
        <f>174.6637 * CHOOSE(CONTROL!$C$9, $C$13, 100%, $E$13) + CHOOSE(CONTROL!$C$28, 0.0181, 0)</f>
        <v>174.68180000000001</v>
      </c>
      <c r="D994" s="4">
        <f>130.1622 * CHOOSE(CONTROL!$C$9, $C$13, 100%, $E$13) + CHOOSE(CONTROL!$C$28, 0, 0)</f>
        <v>130.16220000000001</v>
      </c>
      <c r="E994" s="4">
        <f>930.664347931683 * CHOOSE(CONTROL!$C$9, $C$13, 100%, $E$13) + CHOOSE(CONTROL!$C$28, 0, 0)</f>
        <v>930.66434793168298</v>
      </c>
    </row>
    <row r="995" spans="1:5" ht="15">
      <c r="A995" s="13">
        <v>71802</v>
      </c>
      <c r="B995" s="4">
        <f>174.9212 * CHOOSE(CONTROL!$C$9, $C$13, 100%, $E$13) + CHOOSE(CONTROL!$C$28, 0.0181, 0)</f>
        <v>174.9393</v>
      </c>
      <c r="C995" s="4">
        <f>174.6087 * CHOOSE(CONTROL!$C$9, $C$13, 100%, $E$13) + CHOOSE(CONTROL!$C$28, 0.0181, 0)</f>
        <v>174.6268</v>
      </c>
      <c r="D995" s="4">
        <f>132.2837 * CHOOSE(CONTROL!$C$9, $C$13, 100%, $E$13) + CHOOSE(CONTROL!$C$28, 0, 0)</f>
        <v>132.28370000000001</v>
      </c>
      <c r="E995" s="4">
        <f>930.368335098371 * CHOOSE(CONTROL!$C$9, $C$13, 100%, $E$13) + CHOOSE(CONTROL!$C$28, 0, 0)</f>
        <v>930.36833509837095</v>
      </c>
    </row>
    <row r="996" spans="1:5" ht="15">
      <c r="A996" s="13">
        <v>71833</v>
      </c>
      <c r="B996" s="4">
        <f>179.0643 * CHOOSE(CONTROL!$C$9, $C$13, 100%, $E$13) + CHOOSE(CONTROL!$C$28, 0.0181, 0)</f>
        <v>179.08240000000001</v>
      </c>
      <c r="C996" s="4">
        <f>178.7518 * CHOOSE(CONTROL!$C$9, $C$13, 100%, $E$13) + CHOOSE(CONTROL!$C$28, 0.0181, 0)</f>
        <v>178.76990000000001</v>
      </c>
      <c r="D996" s="4">
        <f>130.8827 * CHOOSE(CONTROL!$C$9, $C$13, 100%, $E$13) + CHOOSE(CONTROL!$C$28, 0, 0)</f>
        <v>130.8827</v>
      </c>
      <c r="E996" s="4">
        <f>952.643300805069 * CHOOSE(CONTROL!$C$9, $C$13, 100%, $E$13) + CHOOSE(CONTROL!$C$28, 0, 0)</f>
        <v>952.64330080506898</v>
      </c>
    </row>
    <row r="997" spans="1:5" ht="15">
      <c r="A997" s="13">
        <v>71863</v>
      </c>
      <c r="B997" s="4">
        <f>172.0031 * CHOOSE(CONTROL!$C$9, $C$13, 100%, $E$13) + CHOOSE(CONTROL!$C$28, 0.0181, 0)</f>
        <v>172.02119999999999</v>
      </c>
      <c r="C997" s="4">
        <f>171.6906 * CHOOSE(CONTROL!$C$9, $C$13, 100%, $E$13) + CHOOSE(CONTROL!$C$28, 0.0181, 0)</f>
        <v>171.70869999999999</v>
      </c>
      <c r="D997" s="4">
        <f>130.2207 * CHOOSE(CONTROL!$C$9, $C$13, 100%, $E$13) + CHOOSE(CONTROL!$C$28, 0, 0)</f>
        <v>130.22069999999999</v>
      </c>
      <c r="E997" s="4">
        <f>914.679654932856 * CHOOSE(CONTROL!$C$9, $C$13, 100%, $E$13) + CHOOSE(CONTROL!$C$28, 0, 0)</f>
        <v>914.67965493285601</v>
      </c>
    </row>
    <row r="998" spans="1:5" ht="15">
      <c r="A998" s="13">
        <v>71894</v>
      </c>
      <c r="B998" s="4">
        <f>166.3505 * CHOOSE(CONTROL!$C$9, $C$13, 100%, $E$13) + CHOOSE(CONTROL!$C$28, 0.0003, 0)</f>
        <v>166.35080000000002</v>
      </c>
      <c r="C998" s="4">
        <f>166.038 * CHOOSE(CONTROL!$C$9, $C$13, 100%, $E$13) + CHOOSE(CONTROL!$C$28, 0.0003, 0)</f>
        <v>166.03830000000002</v>
      </c>
      <c r="D998" s="4">
        <f>128.4484 * CHOOSE(CONTROL!$C$9, $C$13, 100%, $E$13) + CHOOSE(CONTROL!$C$28, 0, 0)</f>
        <v>128.44839999999999</v>
      </c>
      <c r="E998" s="4">
        <f>884.289004046198 * CHOOSE(CONTROL!$C$9, $C$13, 100%, $E$13) + CHOOSE(CONTROL!$C$28, 0, 0)</f>
        <v>884.28900404619799</v>
      </c>
    </row>
    <row r="999" spans="1:5" ht="15">
      <c r="A999" s="13">
        <v>71924</v>
      </c>
      <c r="B999" s="4">
        <f>162.7099 * CHOOSE(CONTROL!$C$9, $C$13, 100%, $E$13) + CHOOSE(CONTROL!$C$28, 0.0003, 0)</f>
        <v>162.71020000000001</v>
      </c>
      <c r="C999" s="4">
        <f>162.3974 * CHOOSE(CONTROL!$C$9, $C$13, 100%, $E$13) + CHOOSE(CONTROL!$C$28, 0.0003, 0)</f>
        <v>162.39770000000001</v>
      </c>
      <c r="D999" s="4">
        <f>127.839 * CHOOSE(CONTROL!$C$9, $C$13, 100%, $E$13) + CHOOSE(CONTROL!$C$28, 0, 0)</f>
        <v>127.839</v>
      </c>
      <c r="E999" s="4">
        <f>864.715155443468 * CHOOSE(CONTROL!$C$9, $C$13, 100%, $E$13) + CHOOSE(CONTROL!$C$28, 0, 0)</f>
        <v>864.71515544346801</v>
      </c>
    </row>
    <row r="1000" spans="1:5" ht="15">
      <c r="A1000" s="13">
        <v>71955</v>
      </c>
      <c r="B1000" s="4">
        <f>160.191 * CHOOSE(CONTROL!$C$9, $C$13, 100%, $E$13) + CHOOSE(CONTROL!$C$28, 0.0003, 0)</f>
        <v>160.19130000000001</v>
      </c>
      <c r="C1000" s="4">
        <f>159.8785 * CHOOSE(CONTROL!$C$9, $C$13, 100%, $E$13) + CHOOSE(CONTROL!$C$28, 0.0003, 0)</f>
        <v>159.87880000000001</v>
      </c>
      <c r="D1000" s="4">
        <f>123.353 * CHOOSE(CONTROL!$C$9, $C$13, 100%, $E$13) + CHOOSE(CONTROL!$C$28, 0, 0)</f>
        <v>123.35299999999999</v>
      </c>
      <c r="E1000" s="4">
        <f>851.172568319462 * CHOOSE(CONTROL!$C$9, $C$13, 100%, $E$13) + CHOOSE(CONTROL!$C$28, 0, 0)</f>
        <v>851.17256831946202</v>
      </c>
    </row>
    <row r="1001" spans="1:5" ht="15">
      <c r="A1001" s="13">
        <v>71986</v>
      </c>
      <c r="B1001" s="4">
        <f>156.0983 * CHOOSE(CONTROL!$C$9, $C$13, 100%, $E$13) + CHOOSE(CONTROL!$C$28, 0.0003, 0)</f>
        <v>156.0986</v>
      </c>
      <c r="C1001" s="4">
        <f>155.7858 * CHOOSE(CONTROL!$C$9, $C$13, 100%, $E$13) + CHOOSE(CONTROL!$C$28, 0.0003, 0)</f>
        <v>155.7861</v>
      </c>
      <c r="D1001" s="4">
        <f>119.2299 * CHOOSE(CONTROL!$C$9, $C$13, 100%, $E$13) + CHOOSE(CONTROL!$C$28, 0, 0)</f>
        <v>119.2299</v>
      </c>
      <c r="E1001" s="4">
        <f>826.764182620681 * CHOOSE(CONTROL!$C$9, $C$13, 100%, $E$13) + CHOOSE(CONTROL!$C$28, 0, 0)</f>
        <v>826.76418262068103</v>
      </c>
    </row>
    <row r="1002" spans="1:5" ht="15">
      <c r="A1002" s="13">
        <v>72014</v>
      </c>
      <c r="B1002" s="4">
        <f>159.7602 * CHOOSE(CONTROL!$C$9, $C$13, 100%, $E$13) + CHOOSE(CONTROL!$C$28, 0.0003, 0)</f>
        <v>159.76050000000001</v>
      </c>
      <c r="C1002" s="4">
        <f>159.4477 * CHOOSE(CONTROL!$C$9, $C$13, 100%, $E$13) + CHOOSE(CONTROL!$C$28, 0.0003, 0)</f>
        <v>159.44800000000001</v>
      </c>
      <c r="D1002" s="4">
        <f>123.3819 * CHOOSE(CONTROL!$C$9, $C$13, 100%, $E$13) + CHOOSE(CONTROL!$C$28, 0, 0)</f>
        <v>123.3819</v>
      </c>
      <c r="E1002" s="4">
        <f>846.394822518869 * CHOOSE(CONTROL!$C$9, $C$13, 100%, $E$13) + CHOOSE(CONTROL!$C$28, 0, 0)</f>
        <v>846.39482251886898</v>
      </c>
    </row>
    <row r="1003" spans="1:5" ht="15">
      <c r="A1003" s="13">
        <v>72045</v>
      </c>
      <c r="B1003" s="4">
        <f>169.3764 * CHOOSE(CONTROL!$C$9, $C$13, 100%, $E$13) + CHOOSE(CONTROL!$C$28, 0.0003, 0)</f>
        <v>169.3767</v>
      </c>
      <c r="C1003" s="4">
        <f>169.0639 * CHOOSE(CONTROL!$C$9, $C$13, 100%, $E$13) + CHOOSE(CONTROL!$C$28, 0.0003, 0)</f>
        <v>169.0642</v>
      </c>
      <c r="D1003" s="4">
        <f>129.8814 * CHOOSE(CONTROL!$C$9, $C$13, 100%, $E$13) + CHOOSE(CONTROL!$C$28, 0, 0)</f>
        <v>129.88140000000001</v>
      </c>
      <c r="E1003" s="4">
        <f>897.94592612707 * CHOOSE(CONTROL!$C$9, $C$13, 100%, $E$13) + CHOOSE(CONTROL!$C$28, 0, 0)</f>
        <v>897.94592612707004</v>
      </c>
    </row>
    <row r="1004" spans="1:5" ht="15">
      <c r="A1004" s="13">
        <v>72075</v>
      </c>
      <c r="B1004" s="4">
        <f>176.2089 * CHOOSE(CONTROL!$C$9, $C$13, 100%, $E$13) + CHOOSE(CONTROL!$C$28, 0.0003, 0)</f>
        <v>176.20920000000001</v>
      </c>
      <c r="C1004" s="4">
        <f>175.8964 * CHOOSE(CONTROL!$C$9, $C$13, 100%, $E$13) + CHOOSE(CONTROL!$C$28, 0.0003, 0)</f>
        <v>175.89670000000001</v>
      </c>
      <c r="D1004" s="4">
        <f>133.6254 * CHOOSE(CONTROL!$C$9, $C$13, 100%, $E$13) + CHOOSE(CONTROL!$C$28, 0, 0)</f>
        <v>133.62540000000001</v>
      </c>
      <c r="E1004" s="4">
        <f>934.573672249483 * CHOOSE(CONTROL!$C$9, $C$13, 100%, $E$13) + CHOOSE(CONTROL!$C$28, 0, 0)</f>
        <v>934.57367224948302</v>
      </c>
    </row>
    <row r="1005" spans="1:5" ht="15">
      <c r="A1005" s="13">
        <v>72106</v>
      </c>
      <c r="B1005" s="4">
        <f>180.3834 * CHOOSE(CONTROL!$C$9, $C$13, 100%, $E$13) + CHOOSE(CONTROL!$C$28, 0.0181, 0)</f>
        <v>180.4015</v>
      </c>
      <c r="C1005" s="4">
        <f>180.0709 * CHOOSE(CONTROL!$C$9, $C$13, 100%, $E$13) + CHOOSE(CONTROL!$C$28, 0.0181, 0)</f>
        <v>180.089</v>
      </c>
      <c r="D1005" s="4">
        <f>132.1459 * CHOOSE(CONTROL!$C$9, $C$13, 100%, $E$13) + CHOOSE(CONTROL!$C$28, 0, 0)</f>
        <v>132.14590000000001</v>
      </c>
      <c r="E1005" s="4">
        <f>956.952347285718 * CHOOSE(CONTROL!$C$9, $C$13, 100%, $E$13) + CHOOSE(CONTROL!$C$28, 0, 0)</f>
        <v>956.95234728571802</v>
      </c>
    </row>
    <row r="1006" spans="1:5" ht="15">
      <c r="A1006" s="13">
        <v>72136</v>
      </c>
      <c r="B1006" s="4">
        <f>180.9482 * CHOOSE(CONTROL!$C$9, $C$13, 100%, $E$13) + CHOOSE(CONTROL!$C$28, 0.0181, 0)</f>
        <v>180.96630000000002</v>
      </c>
      <c r="C1006" s="4">
        <f>180.6357 * CHOOSE(CONTROL!$C$9, $C$13, 100%, $E$13) + CHOOSE(CONTROL!$C$28, 0.0181, 0)</f>
        <v>180.65380000000002</v>
      </c>
      <c r="D1006" s="4">
        <f>133.3508 * CHOOSE(CONTROL!$C$9, $C$13, 100%, $E$13) + CHOOSE(CONTROL!$C$28, 0, 0)</f>
        <v>133.35079999999999</v>
      </c>
      <c r="E1006" s="4">
        <f>959.980274891531 * CHOOSE(CONTROL!$C$9, $C$13, 100%, $E$13) + CHOOSE(CONTROL!$C$28, 0, 0)</f>
        <v>959.98027489153105</v>
      </c>
    </row>
    <row r="1007" spans="1:5" ht="15">
      <c r="A1007" s="13">
        <v>72167</v>
      </c>
      <c r="B1007" s="4">
        <f>180.8913 * CHOOSE(CONTROL!$C$9, $C$13, 100%, $E$13) + CHOOSE(CONTROL!$C$28, 0.0181, 0)</f>
        <v>180.90940000000001</v>
      </c>
      <c r="C1007" s="4">
        <f>180.5788 * CHOOSE(CONTROL!$C$9, $C$13, 100%, $E$13) + CHOOSE(CONTROL!$C$28, 0.0181, 0)</f>
        <v>180.59690000000001</v>
      </c>
      <c r="D1007" s="4">
        <f>135.5249 * CHOOSE(CONTROL!$C$9, $C$13, 100%, $E$13) + CHOOSE(CONTROL!$C$28, 0, 0)</f>
        <v>135.5249</v>
      </c>
      <c r="E1007" s="4">
        <f>959.67493765397 * CHOOSE(CONTROL!$C$9, $C$13, 100%, $E$13) + CHOOSE(CONTROL!$C$28, 0, 0)</f>
        <v>959.67493765397001</v>
      </c>
    </row>
    <row r="1008" spans="1:5" ht="15">
      <c r="A1008" s="13">
        <v>72198</v>
      </c>
      <c r="B1008" s="4">
        <f>185.1773 * CHOOSE(CONTROL!$C$9, $C$13, 100%, $E$13) + CHOOSE(CONTROL!$C$28, 0.0181, 0)</f>
        <v>185.19540000000001</v>
      </c>
      <c r="C1008" s="4">
        <f>184.8648 * CHOOSE(CONTROL!$C$9, $C$13, 100%, $E$13) + CHOOSE(CONTROL!$C$28, 0.0181, 0)</f>
        <v>184.88290000000001</v>
      </c>
      <c r="D1008" s="4">
        <f>134.0891 * CHOOSE(CONTROL!$C$9, $C$13, 100%, $E$13) + CHOOSE(CONTROL!$C$28, 0, 0)</f>
        <v>134.0891</v>
      </c>
      <c r="E1008" s="4">
        <f>982.651564780429 * CHOOSE(CONTROL!$C$9, $C$13, 100%, $E$13) + CHOOSE(CONTROL!$C$28, 0, 0)</f>
        <v>982.651564780429</v>
      </c>
    </row>
    <row r="1009" spans="1:5" ht="15">
      <c r="A1009" s="13">
        <v>72228</v>
      </c>
      <c r="B1009" s="4">
        <f>177.8725 * CHOOSE(CONTROL!$C$9, $C$13, 100%, $E$13) + CHOOSE(CONTROL!$C$28, 0.0181, 0)</f>
        <v>177.89060000000001</v>
      </c>
      <c r="C1009" s="4">
        <f>177.56 * CHOOSE(CONTROL!$C$9, $C$13, 100%, $E$13) + CHOOSE(CONTROL!$C$28, 0.0181, 0)</f>
        <v>177.57810000000001</v>
      </c>
      <c r="D1009" s="4">
        <f>133.4108 * CHOOSE(CONTROL!$C$9, $C$13, 100%, $E$13) + CHOOSE(CONTROL!$C$28, 0, 0)</f>
        <v>133.41079999999999</v>
      </c>
      <c r="E1009" s="4">
        <f>943.492064063241 * CHOOSE(CONTROL!$C$9, $C$13, 100%, $E$13) + CHOOSE(CONTROL!$C$28, 0, 0)</f>
        <v>943.49206406324095</v>
      </c>
    </row>
    <row r="1010" spans="1:5" ht="15">
      <c r="A1010" s="13">
        <v>72259</v>
      </c>
      <c r="B1010" s="4">
        <f>172.0249 * CHOOSE(CONTROL!$C$9, $C$13, 100%, $E$13) + CHOOSE(CONTROL!$C$28, 0.0003, 0)</f>
        <v>172.02520000000001</v>
      </c>
      <c r="C1010" s="4">
        <f>171.7124 * CHOOSE(CONTROL!$C$9, $C$13, 100%, $E$13) + CHOOSE(CONTROL!$C$28, 0.0003, 0)</f>
        <v>171.71270000000001</v>
      </c>
      <c r="D1010" s="4">
        <f>131.5944 * CHOOSE(CONTROL!$C$9, $C$13, 100%, $E$13) + CHOOSE(CONTROL!$C$28, 0, 0)</f>
        <v>131.59440000000001</v>
      </c>
      <c r="E1010" s="4">
        <f>912.144107673653 * CHOOSE(CONTROL!$C$9, $C$13, 100%, $E$13) + CHOOSE(CONTROL!$C$28, 0, 0)</f>
        <v>912.14410767365302</v>
      </c>
    </row>
    <row r="1011" spans="1:5" ht="15">
      <c r="A1011" s="13">
        <v>72289</v>
      </c>
      <c r="B1011" s="4">
        <f>168.2587 * CHOOSE(CONTROL!$C$9, $C$13, 100%, $E$13) + CHOOSE(CONTROL!$C$28, 0.0003, 0)</f>
        <v>168.25900000000001</v>
      </c>
      <c r="C1011" s="4">
        <f>167.9462 * CHOOSE(CONTROL!$C$9, $C$13, 100%, $E$13) + CHOOSE(CONTROL!$C$28, 0.0003, 0)</f>
        <v>167.94650000000001</v>
      </c>
      <c r="D1011" s="4">
        <f>130.97 * CHOOSE(CONTROL!$C$9, $C$13, 100%, $E$13) + CHOOSE(CONTROL!$C$28, 0, 0)</f>
        <v>130.97</v>
      </c>
      <c r="E1011" s="4">
        <f>891.953682839937 * CHOOSE(CONTROL!$C$9, $C$13, 100%, $E$13) + CHOOSE(CONTROL!$C$28, 0, 0)</f>
        <v>891.95368283993696</v>
      </c>
    </row>
    <row r="1012" spans="1:5" ht="15">
      <c r="A1012" s="13">
        <v>72320</v>
      </c>
      <c r="B1012" s="4">
        <f>165.6529 * CHOOSE(CONTROL!$C$9, $C$13, 100%, $E$13) + CHOOSE(CONTROL!$C$28, 0.0003, 0)</f>
        <v>165.6532</v>
      </c>
      <c r="C1012" s="4">
        <f>165.3404 * CHOOSE(CONTROL!$C$9, $C$13, 100%, $E$13) + CHOOSE(CONTROL!$C$28, 0.0003, 0)</f>
        <v>165.3407</v>
      </c>
      <c r="D1012" s="4">
        <f>126.3727 * CHOOSE(CONTROL!$C$9, $C$13, 100%, $E$13) + CHOOSE(CONTROL!$C$28, 0, 0)</f>
        <v>126.37269999999999</v>
      </c>
      <c r="E1012" s="4">
        <f>877.984504221526 * CHOOSE(CONTROL!$C$9, $C$13, 100%, $E$13) + CHOOSE(CONTROL!$C$28, 0, 0)</f>
        <v>877.98450422152598</v>
      </c>
    </row>
    <row r="1013" spans="1:5" ht="15">
      <c r="A1013" s="13">
        <v>72351</v>
      </c>
      <c r="B1013" s="4">
        <f>161.419 * CHOOSE(CONTROL!$C$9, $C$13, 100%, $E$13) + CHOOSE(CONTROL!$C$28, 0.0003, 0)</f>
        <v>161.41930000000002</v>
      </c>
      <c r="C1013" s="4">
        <f>161.1065 * CHOOSE(CONTROL!$C$9, $C$13, 100%, $E$13) + CHOOSE(CONTROL!$C$28, 0.0003, 0)</f>
        <v>161.10680000000002</v>
      </c>
      <c r="D1013" s="4">
        <f>122.1474 * CHOOSE(CONTROL!$C$9, $C$13, 100%, $E$13) + CHOOSE(CONTROL!$C$28, 0, 0)</f>
        <v>122.1474</v>
      </c>
      <c r="E1013" s="4">
        <f>852.807254373233 * CHOOSE(CONTROL!$C$9, $C$13, 100%, $E$13) + CHOOSE(CONTROL!$C$28, 0, 0)</f>
        <v>852.80725437323304</v>
      </c>
    </row>
    <row r="1014" spans="1:5" ht="15">
      <c r="A1014" s="13">
        <v>72379</v>
      </c>
      <c r="B1014" s="4">
        <f>165.2072 * CHOOSE(CONTROL!$C$9, $C$13, 100%, $E$13) + CHOOSE(CONTROL!$C$28, 0.0003, 0)</f>
        <v>165.20750000000001</v>
      </c>
      <c r="C1014" s="4">
        <f>164.8947 * CHOOSE(CONTROL!$C$9, $C$13, 100%, $E$13) + CHOOSE(CONTROL!$C$28, 0.0003, 0)</f>
        <v>164.89500000000001</v>
      </c>
      <c r="D1014" s="4">
        <f>126.4023 * CHOOSE(CONTROL!$C$9, $C$13, 100%, $E$13) + CHOOSE(CONTROL!$C$28, 0, 0)</f>
        <v>126.4023</v>
      </c>
      <c r="E1014" s="4">
        <f>873.056259428213 * CHOOSE(CONTROL!$C$9, $C$13, 100%, $E$13) + CHOOSE(CONTROL!$C$28, 0, 0)</f>
        <v>873.05625942821302</v>
      </c>
    </row>
    <row r="1015" spans="1:5" ht="15">
      <c r="A1015" s="13">
        <v>72410</v>
      </c>
      <c r="B1015" s="4">
        <f>175.1552 * CHOOSE(CONTROL!$C$9, $C$13, 100%, $E$13) + CHOOSE(CONTROL!$C$28, 0.0003, 0)</f>
        <v>175.15550000000002</v>
      </c>
      <c r="C1015" s="4">
        <f>174.8427 * CHOOSE(CONTROL!$C$9, $C$13, 100%, $E$13) + CHOOSE(CONTROL!$C$28, 0.0003, 0)</f>
        <v>174.84300000000002</v>
      </c>
      <c r="D1015" s="4">
        <f>133.063 * CHOOSE(CONTROL!$C$9, $C$13, 100%, $E$13) + CHOOSE(CONTROL!$C$28, 0, 0)</f>
        <v>133.06299999999999</v>
      </c>
      <c r="E1015" s="4">
        <f>926.231222800073 * CHOOSE(CONTROL!$C$9, $C$13, 100%, $E$13) + CHOOSE(CONTROL!$C$28, 0, 0)</f>
        <v>926.23122280007306</v>
      </c>
    </row>
    <row r="1016" spans="1:5" ht="15">
      <c r="A1016" s="13">
        <v>72440</v>
      </c>
      <c r="B1016" s="4">
        <f>182.2234 * CHOOSE(CONTROL!$C$9, $C$13, 100%, $E$13) + CHOOSE(CONTROL!$C$28, 0.0003, 0)</f>
        <v>182.22370000000001</v>
      </c>
      <c r="C1016" s="4">
        <f>181.9109 * CHOOSE(CONTROL!$C$9, $C$13, 100%, $E$13) + CHOOSE(CONTROL!$C$28, 0.0003, 0)</f>
        <v>181.91120000000001</v>
      </c>
      <c r="D1016" s="4">
        <f>136.8998 * CHOOSE(CONTROL!$C$9, $C$13, 100%, $E$13) + CHOOSE(CONTROL!$C$28, 0, 0)</f>
        <v>136.8998</v>
      </c>
      <c r="E1016" s="4">
        <f>964.012742925341 * CHOOSE(CONTROL!$C$9, $C$13, 100%, $E$13) + CHOOSE(CONTROL!$C$28, 0, 0)</f>
        <v>964.01274292534094</v>
      </c>
    </row>
    <row r="1017" spans="1:5" ht="15">
      <c r="A1017" s="13">
        <v>72471</v>
      </c>
      <c r="B1017" s="4">
        <f>186.5419 * CHOOSE(CONTROL!$C$9, $C$13, 100%, $E$13) + CHOOSE(CONTROL!$C$28, 0.0181, 0)</f>
        <v>186.56</v>
      </c>
      <c r="C1017" s="4">
        <f>186.2294 * CHOOSE(CONTROL!$C$9, $C$13, 100%, $E$13) + CHOOSE(CONTROL!$C$28, 0.0181, 0)</f>
        <v>186.2475</v>
      </c>
      <c r="D1017" s="4">
        <f>135.3837 * CHOOSE(CONTROL!$C$9, $C$13, 100%, $E$13) + CHOOSE(CONTROL!$C$28, 0, 0)</f>
        <v>135.3837</v>
      </c>
      <c r="E1017" s="4">
        <f>987.096346225218 * CHOOSE(CONTROL!$C$9, $C$13, 100%, $E$13) + CHOOSE(CONTROL!$C$28, 0, 0)</f>
        <v>987.09634622521799</v>
      </c>
    </row>
    <row r="1018" spans="1:5" ht="15">
      <c r="A1018" s="13">
        <v>72501</v>
      </c>
      <c r="B1018" s="4">
        <f>187.1263 * CHOOSE(CONTROL!$C$9, $C$13, 100%, $E$13) + CHOOSE(CONTROL!$C$28, 0.0181, 0)</f>
        <v>187.14439999999999</v>
      </c>
      <c r="C1018" s="4">
        <f>186.8138 * CHOOSE(CONTROL!$C$9, $C$13, 100%, $E$13) + CHOOSE(CONTROL!$C$28, 0.0181, 0)</f>
        <v>186.83189999999999</v>
      </c>
      <c r="D1018" s="4">
        <f>136.6185 * CHOOSE(CONTROL!$C$9, $C$13, 100%, $E$13) + CHOOSE(CONTROL!$C$28, 0, 0)</f>
        <v>136.61850000000001</v>
      </c>
      <c r="E1018" s="4">
        <f>990.219653550614 * CHOOSE(CONTROL!$C$9, $C$13, 100%, $E$13) + CHOOSE(CONTROL!$C$28, 0, 0)</f>
        <v>990.219653550614</v>
      </c>
    </row>
    <row r="1019" spans="1:5" ht="15">
      <c r="A1019" s="13">
        <v>72532</v>
      </c>
      <c r="B1019" s="4">
        <f>187.0673 * CHOOSE(CONTROL!$C$9, $C$13, 100%, $E$13) + CHOOSE(CONTROL!$C$28, 0.0181, 0)</f>
        <v>187.08539999999999</v>
      </c>
      <c r="C1019" s="4">
        <f>186.7548 * CHOOSE(CONTROL!$C$9, $C$13, 100%, $E$13) + CHOOSE(CONTROL!$C$28, 0.0181, 0)</f>
        <v>186.77289999999999</v>
      </c>
      <c r="D1019" s="4">
        <f>138.8464 * CHOOSE(CONTROL!$C$9, $C$13, 100%, $E$13) + CHOOSE(CONTROL!$C$28, 0, 0)</f>
        <v>138.84639999999999</v>
      </c>
      <c r="E1019" s="4">
        <f>989.90469819007 * CHOOSE(CONTROL!$C$9, $C$13, 100%, $E$13) + CHOOSE(CONTROL!$C$28, 0, 0)</f>
        <v>989.90469819007001</v>
      </c>
    </row>
    <row r="1020" spans="1:5" ht="15">
      <c r="A1020" s="13">
        <v>72563</v>
      </c>
      <c r="B1020" s="4">
        <f>191.5012 * CHOOSE(CONTROL!$C$9, $C$13, 100%, $E$13) + CHOOSE(CONTROL!$C$28, 0.0181, 0)</f>
        <v>191.51930000000002</v>
      </c>
      <c r="C1020" s="4">
        <f>191.1887 * CHOOSE(CONTROL!$C$9, $C$13, 100%, $E$13) + CHOOSE(CONTROL!$C$28, 0.0181, 0)</f>
        <v>191.20680000000002</v>
      </c>
      <c r="D1020" s="4">
        <f>137.3751 * CHOOSE(CONTROL!$C$9, $C$13, 100%, $E$13) + CHOOSE(CONTROL!$C$28, 0, 0)</f>
        <v>137.3751</v>
      </c>
      <c r="E1020" s="4">
        <f>1013.60508907101 * CHOOSE(CONTROL!$C$9, $C$13, 100%, $E$13) + CHOOSE(CONTROL!$C$28, 0, 0)</f>
        <v>1013.60508907101</v>
      </c>
    </row>
    <row r="1021" spans="1:5" ht="15">
      <c r="A1021" s="13">
        <v>72593</v>
      </c>
      <c r="B1021" s="4">
        <f>183.9445 * CHOOSE(CONTROL!$C$9, $C$13, 100%, $E$13) + CHOOSE(CONTROL!$C$28, 0.0181, 0)</f>
        <v>183.96260000000001</v>
      </c>
      <c r="C1021" s="4">
        <f>183.632 * CHOOSE(CONTROL!$C$9, $C$13, 100%, $E$13) + CHOOSE(CONTROL!$C$28, 0.0181, 0)</f>
        <v>183.65010000000001</v>
      </c>
      <c r="D1021" s="4">
        <f>136.6799 * CHOOSE(CONTROL!$C$9, $C$13, 100%, $E$13) + CHOOSE(CONTROL!$C$28, 0, 0)</f>
        <v>136.6799</v>
      </c>
      <c r="E1021" s="4">
        <f>973.212064081233 * CHOOSE(CONTROL!$C$9, $C$13, 100%, $E$13) + CHOOSE(CONTROL!$C$28, 0, 0)</f>
        <v>973.21206408123305</v>
      </c>
    </row>
    <row r="1022" spans="1:5" ht="15">
      <c r="A1022" s="13">
        <v>72624</v>
      </c>
      <c r="B1022" s="4">
        <f>177.8951 * CHOOSE(CONTROL!$C$9, $C$13, 100%, $E$13) + CHOOSE(CONTROL!$C$28, 0.0003, 0)</f>
        <v>177.89540000000002</v>
      </c>
      <c r="C1022" s="4">
        <f>177.5826 * CHOOSE(CONTROL!$C$9, $C$13, 100%, $E$13) + CHOOSE(CONTROL!$C$28, 0.0003, 0)</f>
        <v>177.58290000000002</v>
      </c>
      <c r="D1022" s="4">
        <f>134.8185 * CHOOSE(CONTROL!$C$9, $C$13, 100%, $E$13) + CHOOSE(CONTROL!$C$28, 0, 0)</f>
        <v>134.8185</v>
      </c>
      <c r="E1022" s="4">
        <f>940.876647065373 * CHOOSE(CONTROL!$C$9, $C$13, 100%, $E$13) + CHOOSE(CONTROL!$C$28, 0, 0)</f>
        <v>940.87664706537305</v>
      </c>
    </row>
    <row r="1023" spans="1:5" ht="15">
      <c r="A1023" s="13">
        <v>72654</v>
      </c>
      <c r="B1023" s="4">
        <f>173.9989 * CHOOSE(CONTROL!$C$9, $C$13, 100%, $E$13) + CHOOSE(CONTROL!$C$28, 0.0003, 0)</f>
        <v>173.9992</v>
      </c>
      <c r="C1023" s="4">
        <f>173.6864 * CHOOSE(CONTROL!$C$9, $C$13, 100%, $E$13) + CHOOSE(CONTROL!$C$28, 0.0003, 0)</f>
        <v>173.6867</v>
      </c>
      <c r="D1023" s="4">
        <f>134.1786 * CHOOSE(CONTROL!$C$9, $C$13, 100%, $E$13) + CHOOSE(CONTROL!$C$28, 0, 0)</f>
        <v>134.17859999999999</v>
      </c>
      <c r="E1023" s="4">
        <f>920.050223849395 * CHOOSE(CONTROL!$C$9, $C$13, 100%, $E$13) + CHOOSE(CONTROL!$C$28, 0, 0)</f>
        <v>920.05022384939502</v>
      </c>
    </row>
    <row r="1024" spans="1:5" ht="15">
      <c r="A1024" s="13">
        <v>72685</v>
      </c>
      <c r="B1024" s="4">
        <f>171.3032 * CHOOSE(CONTROL!$C$9, $C$13, 100%, $E$13) + CHOOSE(CONTROL!$C$28, 0.0003, 0)</f>
        <v>171.30350000000001</v>
      </c>
      <c r="C1024" s="4">
        <f>170.9907 * CHOOSE(CONTROL!$C$9, $C$13, 100%, $E$13) + CHOOSE(CONTROL!$C$28, 0.0003, 0)</f>
        <v>170.99100000000001</v>
      </c>
      <c r="D1024" s="4">
        <f>129.4673 * CHOOSE(CONTROL!$C$9, $C$13, 100%, $E$13) + CHOOSE(CONTROL!$C$28, 0, 0)</f>
        <v>129.46729999999999</v>
      </c>
      <c r="E1024" s="4">
        <f>905.641016104504 * CHOOSE(CONTROL!$C$9, $C$13, 100%, $E$13) + CHOOSE(CONTROL!$C$28, 0, 0)</f>
        <v>905.64101610450405</v>
      </c>
    </row>
    <row r="1025" spans="1:5" ht="15">
      <c r="A1025" s="13">
        <v>72716</v>
      </c>
      <c r="B1025" s="4">
        <f>166.9233 * CHOOSE(CONTROL!$C$9, $C$13, 100%, $E$13) + CHOOSE(CONTROL!$C$28, 0.0003, 0)</f>
        <v>166.92360000000002</v>
      </c>
      <c r="C1025" s="4">
        <f>166.6108 * CHOOSE(CONTROL!$C$9, $C$13, 100%, $E$13) + CHOOSE(CONTROL!$C$28, 0.0003, 0)</f>
        <v>166.61110000000002</v>
      </c>
      <c r="D1025" s="4">
        <f>125.1372 * CHOOSE(CONTROL!$C$9, $C$13, 100%, $E$13) + CHOOSE(CONTROL!$C$28, 0, 0)</f>
        <v>125.13720000000001</v>
      </c>
      <c r="E1025" s="4">
        <f>879.670682885989 * CHOOSE(CONTROL!$C$9, $C$13, 100%, $E$13) + CHOOSE(CONTROL!$C$28, 0, 0)</f>
        <v>879.67068288598898</v>
      </c>
    </row>
    <row r="1026" spans="1:5" ht="15">
      <c r="A1026" s="13">
        <v>72744</v>
      </c>
      <c r="B1026" s="4">
        <f>170.8422 * CHOOSE(CONTROL!$C$9, $C$13, 100%, $E$13) + CHOOSE(CONTROL!$C$28, 0.0003, 0)</f>
        <v>170.8425</v>
      </c>
      <c r="C1026" s="4">
        <f>170.5297 * CHOOSE(CONTROL!$C$9, $C$13, 100%, $E$13) + CHOOSE(CONTROL!$C$28, 0.0003, 0)</f>
        <v>170.53</v>
      </c>
      <c r="D1026" s="4">
        <f>129.4976 * CHOOSE(CONTROL!$C$9, $C$13, 100%, $E$13) + CHOOSE(CONTROL!$C$28, 0, 0)</f>
        <v>129.49760000000001</v>
      </c>
      <c r="E1026" s="4">
        <f>900.557531600202 * CHOOSE(CONTROL!$C$9, $C$13, 100%, $E$13) + CHOOSE(CONTROL!$C$28, 0, 0)</f>
        <v>900.55753160020197</v>
      </c>
    </row>
    <row r="1027" spans="1:5" ht="15">
      <c r="A1027" s="13">
        <v>72775</v>
      </c>
      <c r="B1027" s="4">
        <f>181.1334 * CHOOSE(CONTROL!$C$9, $C$13, 100%, $E$13) + CHOOSE(CONTROL!$C$28, 0.0003, 0)</f>
        <v>181.1337</v>
      </c>
      <c r="C1027" s="4">
        <f>180.8209 * CHOOSE(CONTROL!$C$9, $C$13, 100%, $E$13) + CHOOSE(CONTROL!$C$28, 0.0003, 0)</f>
        <v>180.8212</v>
      </c>
      <c r="D1027" s="4">
        <f>136.3235 * CHOOSE(CONTROL!$C$9, $C$13, 100%, $E$13) + CHOOSE(CONTROL!$C$28, 0, 0)</f>
        <v>136.3235</v>
      </c>
      <c r="E1027" s="4">
        <f>955.407506318276 * CHOOSE(CONTROL!$C$9, $C$13, 100%, $E$13) + CHOOSE(CONTROL!$C$28, 0, 0)</f>
        <v>955.40750631827598</v>
      </c>
    </row>
    <row r="1028" spans="1:5" ht="15">
      <c r="A1028" s="13">
        <v>72805</v>
      </c>
      <c r="B1028" s="4">
        <f>188.4455 * CHOOSE(CONTROL!$C$9, $C$13, 100%, $E$13) + CHOOSE(CONTROL!$C$28, 0.0003, 0)</f>
        <v>188.44580000000002</v>
      </c>
      <c r="C1028" s="4">
        <f>188.133 * CHOOSE(CONTROL!$C$9, $C$13, 100%, $E$13) + CHOOSE(CONTROL!$C$28, 0.0003, 0)</f>
        <v>188.13330000000002</v>
      </c>
      <c r="D1028" s="4">
        <f>140.2555 * CHOOSE(CONTROL!$C$9, $C$13, 100%, $E$13) + CHOOSE(CONTROL!$C$28, 0, 0)</f>
        <v>140.25550000000001</v>
      </c>
      <c r="E1028" s="4">
        <f>994.37914432749 * CHOOSE(CONTROL!$C$9, $C$13, 100%, $E$13) + CHOOSE(CONTROL!$C$28, 0, 0)</f>
        <v>994.37914432749005</v>
      </c>
    </row>
    <row r="1029" spans="1:5" ht="15">
      <c r="A1029" s="13">
        <v>72836</v>
      </c>
      <c r="B1029" s="4">
        <f>192.913 * CHOOSE(CONTROL!$C$9, $C$13, 100%, $E$13) + CHOOSE(CONTROL!$C$28, 0.0181, 0)</f>
        <v>192.93110000000001</v>
      </c>
      <c r="C1029" s="4">
        <f>192.6005 * CHOOSE(CONTROL!$C$9, $C$13, 100%, $E$13) + CHOOSE(CONTROL!$C$28, 0.0181, 0)</f>
        <v>192.61860000000001</v>
      </c>
      <c r="D1029" s="4">
        <f>138.7018 * CHOOSE(CONTROL!$C$9, $C$13, 100%, $E$13) + CHOOSE(CONTROL!$C$28, 0, 0)</f>
        <v>138.70179999999999</v>
      </c>
      <c r="E1029" s="4">
        <f>1018.18988113131 * CHOOSE(CONTROL!$C$9, $C$13, 100%, $E$13) + CHOOSE(CONTROL!$C$28, 0, 0)</f>
        <v>1018.18988113131</v>
      </c>
    </row>
    <row r="1030" spans="1:5" ht="15">
      <c r="A1030" s="13">
        <v>72866</v>
      </c>
      <c r="B1030" s="4">
        <f>193.5174 * CHOOSE(CONTROL!$C$9, $C$13, 100%, $E$13) + CHOOSE(CONTROL!$C$28, 0.0181, 0)</f>
        <v>193.53550000000001</v>
      </c>
      <c r="C1030" s="4">
        <f>193.2049 * CHOOSE(CONTROL!$C$9, $C$13, 100%, $E$13) + CHOOSE(CONTROL!$C$28, 0.0181, 0)</f>
        <v>193.22300000000001</v>
      </c>
      <c r="D1030" s="4">
        <f>139.9672 * CHOOSE(CONTROL!$C$9, $C$13, 100%, $E$13) + CHOOSE(CONTROL!$C$28, 0, 0)</f>
        <v>139.96719999999999</v>
      </c>
      <c r="E1030" s="4">
        <f>1021.41157263746 * CHOOSE(CONTROL!$C$9, $C$13, 100%, $E$13) + CHOOSE(CONTROL!$C$28, 0, 0)</f>
        <v>1021.41157263746</v>
      </c>
    </row>
    <row r="1031" spans="1:5" ht="15">
      <c r="A1031" s="13">
        <v>72897</v>
      </c>
      <c r="B1031" s="4">
        <f>193.4565 * CHOOSE(CONTROL!$C$9, $C$13, 100%, $E$13) + CHOOSE(CONTROL!$C$28, 0.0181, 0)</f>
        <v>193.47460000000001</v>
      </c>
      <c r="C1031" s="4">
        <f>193.144 * CHOOSE(CONTROL!$C$9, $C$13, 100%, $E$13) + CHOOSE(CONTROL!$C$28, 0.0181, 0)</f>
        <v>193.16210000000001</v>
      </c>
      <c r="D1031" s="4">
        <f>142.2504 * CHOOSE(CONTROL!$C$9, $C$13, 100%, $E$13) + CHOOSE(CONTROL!$C$28, 0, 0)</f>
        <v>142.25040000000001</v>
      </c>
      <c r="E1031" s="4">
        <f>1021.08669618306 * CHOOSE(CONTROL!$C$9, $C$13, 100%, $E$13) + CHOOSE(CONTROL!$C$28, 0, 0)</f>
        <v>1021.08669618306</v>
      </c>
    </row>
    <row r="1032" spans="1:5" ht="15">
      <c r="A1032" s="13">
        <v>72928</v>
      </c>
      <c r="B1032" s="4">
        <f>198.0433 * CHOOSE(CONTROL!$C$9, $C$13, 100%, $E$13) + CHOOSE(CONTROL!$C$28, 0.0181, 0)</f>
        <v>198.06139999999999</v>
      </c>
      <c r="C1032" s="4">
        <f>197.7308 * CHOOSE(CONTROL!$C$9, $C$13, 100%, $E$13) + CHOOSE(CONTROL!$C$28, 0.0181, 0)</f>
        <v>197.74889999999999</v>
      </c>
      <c r="D1032" s="4">
        <f>140.7425 * CHOOSE(CONTROL!$C$9, $C$13, 100%, $E$13) + CHOOSE(CONTROL!$C$28, 0, 0)</f>
        <v>140.74250000000001</v>
      </c>
      <c r="E1032" s="4">
        <f>1045.53364937675 * CHOOSE(CONTROL!$C$9, $C$13, 100%, $E$13) + CHOOSE(CONTROL!$C$28, 0, 0)</f>
        <v>1045.53364937675</v>
      </c>
    </row>
    <row r="1033" spans="1:5" ht="15">
      <c r="A1033" s="13">
        <v>72958</v>
      </c>
      <c r="B1033" s="4">
        <f>190.2259 * CHOOSE(CONTROL!$C$9, $C$13, 100%, $E$13) + CHOOSE(CONTROL!$C$28, 0.0181, 0)</f>
        <v>190.244</v>
      </c>
      <c r="C1033" s="4">
        <f>189.9134 * CHOOSE(CONTROL!$C$9, $C$13, 100%, $E$13) + CHOOSE(CONTROL!$C$28, 0.0181, 0)</f>
        <v>189.9315</v>
      </c>
      <c r="D1033" s="4">
        <f>140.0301 * CHOOSE(CONTROL!$C$9, $C$13, 100%, $E$13) + CHOOSE(CONTROL!$C$28, 0, 0)</f>
        <v>140.0301</v>
      </c>
      <c r="E1033" s="4">
        <f>1003.86824409979 * CHOOSE(CONTROL!$C$9, $C$13, 100%, $E$13) + CHOOSE(CONTROL!$C$28, 0, 0)</f>
        <v>1003.86824409979</v>
      </c>
    </row>
    <row r="1034" spans="1:5" ht="15">
      <c r="A1034" s="13">
        <v>72989</v>
      </c>
      <c r="B1034" s="4">
        <f>183.9678 * CHOOSE(CONTROL!$C$9, $C$13, 100%, $E$13) + CHOOSE(CONTROL!$C$28, 0.0003, 0)</f>
        <v>183.96810000000002</v>
      </c>
      <c r="C1034" s="4">
        <f>183.6553 * CHOOSE(CONTROL!$C$9, $C$13, 100%, $E$13) + CHOOSE(CONTROL!$C$28, 0.0003, 0)</f>
        <v>183.65560000000002</v>
      </c>
      <c r="D1034" s="4">
        <f>138.1226 * CHOOSE(CONTROL!$C$9, $C$13, 100%, $E$13) + CHOOSE(CONTROL!$C$28, 0, 0)</f>
        <v>138.12260000000001</v>
      </c>
      <c r="E1034" s="4">
        <f>970.514261447933 * CHOOSE(CONTROL!$C$9, $C$13, 100%, $E$13) + CHOOSE(CONTROL!$C$28, 0, 0)</f>
        <v>970.51426144793299</v>
      </c>
    </row>
    <row r="1035" spans="1:5" ht="15">
      <c r="A1035" s="13">
        <v>73019</v>
      </c>
      <c r="B1035" s="4">
        <f>179.9372 * CHOOSE(CONTROL!$C$9, $C$13, 100%, $E$13) + CHOOSE(CONTROL!$C$28, 0.0003, 0)</f>
        <v>179.9375</v>
      </c>
      <c r="C1035" s="4">
        <f>179.6247 * CHOOSE(CONTROL!$C$9, $C$13, 100%, $E$13) + CHOOSE(CONTROL!$C$28, 0.0003, 0)</f>
        <v>179.625</v>
      </c>
      <c r="D1035" s="4">
        <f>137.4668 * CHOOSE(CONTROL!$C$9, $C$13, 100%, $E$13) + CHOOSE(CONTROL!$C$28, 0, 0)</f>
        <v>137.46680000000001</v>
      </c>
      <c r="E1035" s="4">
        <f>949.031805900652 * CHOOSE(CONTROL!$C$9, $C$13, 100%, $E$13) + CHOOSE(CONTROL!$C$28, 0, 0)</f>
        <v>949.03180590065199</v>
      </c>
    </row>
    <row r="1036" spans="1:5" ht="15">
      <c r="A1036" s="13">
        <v>73050</v>
      </c>
      <c r="B1036" s="4">
        <f>177.1485 * CHOOSE(CONTROL!$C$9, $C$13, 100%, $E$13) + CHOOSE(CONTROL!$C$28, 0.0003, 0)</f>
        <v>177.14880000000002</v>
      </c>
      <c r="C1036" s="4">
        <f>176.836 * CHOOSE(CONTROL!$C$9, $C$13, 100%, $E$13) + CHOOSE(CONTROL!$C$28, 0.0003, 0)</f>
        <v>176.83630000000002</v>
      </c>
      <c r="D1036" s="4">
        <f>132.6386 * CHOOSE(CONTROL!$C$9, $C$13, 100%, $E$13) + CHOOSE(CONTROL!$C$28, 0, 0)</f>
        <v>132.6386</v>
      </c>
      <c r="E1036" s="4">
        <f>934.168708111795 * CHOOSE(CONTROL!$C$9, $C$13, 100%, $E$13) + CHOOSE(CONTROL!$C$28, 0, 0)</f>
        <v>934.16870811179501</v>
      </c>
    </row>
    <row r="1037" spans="1:5" ht="15">
      <c r="A1037" s="13">
        <v>73081</v>
      </c>
      <c r="B1037" s="4">
        <f>172.6174 * CHOOSE(CONTROL!$C$9, $C$13, 100%, $E$13) + CHOOSE(CONTROL!$C$28, 0.0003, 0)</f>
        <v>172.61770000000001</v>
      </c>
      <c r="C1037" s="4">
        <f>172.3049 * CHOOSE(CONTROL!$C$9, $C$13, 100%, $E$13) + CHOOSE(CONTROL!$C$28, 0.0003, 0)</f>
        <v>172.30520000000001</v>
      </c>
      <c r="D1037" s="4">
        <f>128.2011 * CHOOSE(CONTROL!$C$9, $C$13, 100%, $E$13) + CHOOSE(CONTROL!$C$28, 0, 0)</f>
        <v>128.2011</v>
      </c>
      <c r="E1037" s="4">
        <f>907.380309396898 * CHOOSE(CONTROL!$C$9, $C$13, 100%, $E$13) + CHOOSE(CONTROL!$C$28, 0, 0)</f>
        <v>907.38030939689804</v>
      </c>
    </row>
    <row r="1038" spans="1:5" ht="15">
      <c r="A1038" s="13">
        <v>73109</v>
      </c>
      <c r="B1038" s="4">
        <f>176.6715 * CHOOSE(CONTROL!$C$9, $C$13, 100%, $E$13) + CHOOSE(CONTROL!$C$28, 0.0003, 0)</f>
        <v>176.67180000000002</v>
      </c>
      <c r="C1038" s="4">
        <f>176.359 * CHOOSE(CONTROL!$C$9, $C$13, 100%, $E$13) + CHOOSE(CONTROL!$C$28, 0.0003, 0)</f>
        <v>176.35930000000002</v>
      </c>
      <c r="D1038" s="4">
        <f>132.6697 * CHOOSE(CONTROL!$C$9, $C$13, 100%, $E$13) + CHOOSE(CONTROL!$C$28, 0, 0)</f>
        <v>132.66970000000001</v>
      </c>
      <c r="E1038" s="4">
        <f>928.925093845608 * CHOOSE(CONTROL!$C$9, $C$13, 100%, $E$13) + CHOOSE(CONTROL!$C$28, 0, 0)</f>
        <v>928.92509384560799</v>
      </c>
    </row>
    <row r="1039" spans="1:5" ht="15">
      <c r="A1039" s="13">
        <v>73140</v>
      </c>
      <c r="B1039" s="4">
        <f>187.3178 * CHOOSE(CONTROL!$C$9, $C$13, 100%, $E$13) + CHOOSE(CONTROL!$C$28, 0.0003, 0)</f>
        <v>187.31810000000002</v>
      </c>
      <c r="C1039" s="4">
        <f>187.0053 * CHOOSE(CONTROL!$C$9, $C$13, 100%, $E$13) + CHOOSE(CONTROL!$C$28, 0.0003, 0)</f>
        <v>187.00560000000002</v>
      </c>
      <c r="D1039" s="4">
        <f>139.6649 * CHOOSE(CONTROL!$C$9, $C$13, 100%, $E$13) + CHOOSE(CONTROL!$C$28, 0, 0)</f>
        <v>139.66489999999999</v>
      </c>
      <c r="E1039" s="4">
        <f>985.502842767301 * CHOOSE(CONTROL!$C$9, $C$13, 100%, $E$13) + CHOOSE(CONTROL!$C$28, 0, 0)</f>
        <v>985.50284276730099</v>
      </c>
    </row>
    <row r="1040" spans="1:5" ht="15">
      <c r="A1040" s="13">
        <v>73170</v>
      </c>
      <c r="B1040" s="4">
        <f>194.8821 * CHOOSE(CONTROL!$C$9, $C$13, 100%, $E$13) + CHOOSE(CONTROL!$C$28, 0.0003, 0)</f>
        <v>194.88240000000002</v>
      </c>
      <c r="C1040" s="4">
        <f>194.5696 * CHOOSE(CONTROL!$C$9, $C$13, 100%, $E$13) + CHOOSE(CONTROL!$C$28, 0.0003, 0)</f>
        <v>194.56990000000002</v>
      </c>
      <c r="D1040" s="4">
        <f>143.6944 * CHOOSE(CONTROL!$C$9, $C$13, 100%, $E$13) + CHOOSE(CONTROL!$C$28, 0, 0)</f>
        <v>143.6944</v>
      </c>
      <c r="E1040" s="4">
        <f>1025.70208737381 * CHOOSE(CONTROL!$C$9, $C$13, 100%, $E$13) + CHOOSE(CONTROL!$C$28, 0, 0)</f>
        <v>1025.7020873738099</v>
      </c>
    </row>
    <row r="1041" spans="1:5" ht="15">
      <c r="A1041" s="13">
        <v>73201</v>
      </c>
      <c r="B1041" s="4">
        <f>199.5038 * CHOOSE(CONTROL!$C$9, $C$13, 100%, $E$13) + CHOOSE(CONTROL!$C$28, 0.0181, 0)</f>
        <v>199.52190000000002</v>
      </c>
      <c r="C1041" s="4">
        <f>199.1913 * CHOOSE(CONTROL!$C$9, $C$13, 100%, $E$13) + CHOOSE(CONTROL!$C$28, 0.0181, 0)</f>
        <v>199.20940000000002</v>
      </c>
      <c r="D1041" s="4">
        <f>142.1021 * CHOOSE(CONTROL!$C$9, $C$13, 100%, $E$13) + CHOOSE(CONTROL!$C$28, 0, 0)</f>
        <v>142.10210000000001</v>
      </c>
      <c r="E1041" s="4">
        <f>1050.26286238695 * CHOOSE(CONTROL!$C$9, $C$13, 100%, $E$13) + CHOOSE(CONTROL!$C$28, 0, 0)</f>
        <v>1050.26286238695</v>
      </c>
    </row>
    <row r="1042" spans="1:5" ht="15">
      <c r="A1042" s="13">
        <v>73231</v>
      </c>
      <c r="B1042" s="4">
        <f>200.1291 * CHOOSE(CONTROL!$C$9, $C$13, 100%, $E$13) + CHOOSE(CONTROL!$C$28, 0.0181, 0)</f>
        <v>200.1472</v>
      </c>
      <c r="C1042" s="4">
        <f>199.8166 * CHOOSE(CONTROL!$C$9, $C$13, 100%, $E$13) + CHOOSE(CONTROL!$C$28, 0.0181, 0)</f>
        <v>199.8347</v>
      </c>
      <c r="D1042" s="4">
        <f>143.3989 * CHOOSE(CONTROL!$C$9, $C$13, 100%, $E$13) + CHOOSE(CONTROL!$C$28, 0, 0)</f>
        <v>143.3989</v>
      </c>
      <c r="E1042" s="4">
        <f>1053.58603717554 * CHOOSE(CONTROL!$C$9, $C$13, 100%, $E$13) + CHOOSE(CONTROL!$C$28, 0, 0)</f>
        <v>1053.58603717554</v>
      </c>
    </row>
    <row r="1043" spans="1:5" ht="15">
      <c r="A1043" s="13">
        <v>73262</v>
      </c>
      <c r="B1043" s="4">
        <f>200.066 * CHOOSE(CONTROL!$C$9, $C$13, 100%, $E$13) + CHOOSE(CONTROL!$C$28, 0.0181, 0)</f>
        <v>200.08410000000001</v>
      </c>
      <c r="C1043" s="4">
        <f>199.7535 * CHOOSE(CONTROL!$C$9, $C$13, 100%, $E$13) + CHOOSE(CONTROL!$C$28, 0.0181, 0)</f>
        <v>199.77160000000001</v>
      </c>
      <c r="D1043" s="4">
        <f>145.7387 * CHOOSE(CONTROL!$C$9, $C$13, 100%, $E$13) + CHOOSE(CONTROL!$C$28, 0, 0)</f>
        <v>145.73869999999999</v>
      </c>
      <c r="E1043" s="4">
        <f>1053.25092711282 * CHOOSE(CONTROL!$C$9, $C$13, 100%, $E$13) + CHOOSE(CONTROL!$C$28, 0, 0)</f>
        <v>1053.2509271128199</v>
      </c>
    </row>
    <row r="1044" spans="1:5" ht="15">
      <c r="A1044" s="13">
        <v>73293</v>
      </c>
      <c r="B1044" s="4">
        <f>204.8111 * CHOOSE(CONTROL!$C$9, $C$13, 100%, $E$13) + CHOOSE(CONTROL!$C$28, 0.0181, 0)</f>
        <v>204.82920000000001</v>
      </c>
      <c r="C1044" s="4">
        <f>204.4986 * CHOOSE(CONTROL!$C$9, $C$13, 100%, $E$13) + CHOOSE(CONTROL!$C$28, 0.0181, 0)</f>
        <v>204.51670000000001</v>
      </c>
      <c r="D1044" s="4">
        <f>144.1935 * CHOOSE(CONTROL!$C$9, $C$13, 100%, $E$13) + CHOOSE(CONTROL!$C$28, 0, 0)</f>
        <v>144.1935</v>
      </c>
      <c r="E1044" s="4">
        <f>1078.46795933212 * CHOOSE(CONTROL!$C$9, $C$13, 100%, $E$13) + CHOOSE(CONTROL!$C$28, 0, 0)</f>
        <v>1078.46795933212</v>
      </c>
    </row>
    <row r="1045" spans="1:5" ht="15">
      <c r="A1045" s="13">
        <v>73323</v>
      </c>
      <c r="B1045" s="4">
        <f>196.724 * CHOOSE(CONTROL!$C$9, $C$13, 100%, $E$13) + CHOOSE(CONTROL!$C$28, 0.0181, 0)</f>
        <v>196.74209999999999</v>
      </c>
      <c r="C1045" s="4">
        <f>196.4115 * CHOOSE(CONTROL!$C$9, $C$13, 100%, $E$13) + CHOOSE(CONTROL!$C$28, 0.0181, 0)</f>
        <v>196.42959999999999</v>
      </c>
      <c r="D1045" s="4">
        <f>143.4634 * CHOOSE(CONTROL!$C$9, $C$13, 100%, $E$13) + CHOOSE(CONTROL!$C$28, 0, 0)</f>
        <v>143.46340000000001</v>
      </c>
      <c r="E1045" s="4">
        <f>1035.49009378894 * CHOOSE(CONTROL!$C$9, $C$13, 100%, $E$13) + CHOOSE(CONTROL!$C$28, 0, 0)</f>
        <v>1035.4900937889399</v>
      </c>
    </row>
    <row r="1046" spans="1:5" ht="15">
      <c r="A1046" s="13">
        <v>73354</v>
      </c>
      <c r="B1046" s="4">
        <f>190.25 * CHOOSE(CONTROL!$C$9, $C$13, 100%, $E$13) + CHOOSE(CONTROL!$C$28, 0.0003, 0)</f>
        <v>190.25030000000001</v>
      </c>
      <c r="C1046" s="4">
        <f>189.9375 * CHOOSE(CONTROL!$C$9, $C$13, 100%, $E$13) + CHOOSE(CONTROL!$C$28, 0.0003, 0)</f>
        <v>189.93780000000001</v>
      </c>
      <c r="D1046" s="4">
        <f>141.5085 * CHOOSE(CONTROL!$C$9, $C$13, 100%, $E$13) + CHOOSE(CONTROL!$C$28, 0, 0)</f>
        <v>141.5085</v>
      </c>
      <c r="E1046" s="4">
        <f>1001.08546068354 * CHOOSE(CONTROL!$C$9, $C$13, 100%, $E$13) + CHOOSE(CONTROL!$C$28, 0, 0)</f>
        <v>1001.08546068354</v>
      </c>
    </row>
    <row r="1047" spans="1:5" ht="15">
      <c r="A1047" s="13">
        <v>73384</v>
      </c>
      <c r="B1047" s="4">
        <f>186.0803 * CHOOSE(CONTROL!$C$9, $C$13, 100%, $E$13) + CHOOSE(CONTROL!$C$28, 0.0003, 0)</f>
        <v>186.0806</v>
      </c>
      <c r="C1047" s="4">
        <f>185.7678 * CHOOSE(CONTROL!$C$9, $C$13, 100%, $E$13) + CHOOSE(CONTROL!$C$28, 0.0003, 0)</f>
        <v>185.7681</v>
      </c>
      <c r="D1047" s="4">
        <f>140.8365 * CHOOSE(CONTROL!$C$9, $C$13, 100%, $E$13) + CHOOSE(CONTROL!$C$28, 0, 0)</f>
        <v>140.8365</v>
      </c>
      <c r="E1047" s="4">
        <f>978.926307786522 * CHOOSE(CONTROL!$C$9, $C$13, 100%, $E$13) + CHOOSE(CONTROL!$C$28, 0, 0)</f>
        <v>978.92630778652199</v>
      </c>
    </row>
    <row r="1048" spans="1:5" ht="15">
      <c r="A1048" s="13">
        <v>73415</v>
      </c>
      <c r="B1048" s="4">
        <f>183.1954 * CHOOSE(CONTROL!$C$9, $C$13, 100%, $E$13) + CHOOSE(CONTROL!$C$28, 0.0003, 0)</f>
        <v>183.19570000000002</v>
      </c>
      <c r="C1048" s="4">
        <f>182.8829 * CHOOSE(CONTROL!$C$9, $C$13, 100%, $E$13) + CHOOSE(CONTROL!$C$28, 0.0003, 0)</f>
        <v>182.88320000000002</v>
      </c>
      <c r="D1048" s="4">
        <f>135.8886 * CHOOSE(CONTROL!$C$9, $C$13, 100%, $E$13) + CHOOSE(CONTROL!$C$28, 0, 0)</f>
        <v>135.8886</v>
      </c>
      <c r="E1048" s="4">
        <f>963.595022417317 * CHOOSE(CONTROL!$C$9, $C$13, 100%, $E$13) + CHOOSE(CONTROL!$C$28, 0, 0)</f>
        <v>963.59502241731695</v>
      </c>
    </row>
    <row r="1049" spans="1:5" ht="15">
      <c r="A1049" s="10"/>
      <c r="B1049" s="4"/>
      <c r="C1049" s="4"/>
      <c r="D1049" s="4"/>
      <c r="E1049" s="4"/>
    </row>
    <row r="1050" spans="1:5" ht="15">
      <c r="A1050" s="3">
        <v>2015</v>
      </c>
      <c r="B1050" s="4">
        <f>AVERAGE(B17:B28)</f>
        <v>8.8253166666666658</v>
      </c>
      <c r="C1050" s="4">
        <f>AVERAGE(C17:C28)</f>
        <v>8.5128166666666658</v>
      </c>
      <c r="D1050" s="4">
        <f>AVERAGE(D17:D28)</f>
        <v>14.182691666666669</v>
      </c>
      <c r="E1050" s="4">
        <f>AVERAGE(E17:E28)</f>
        <v>49.536666666666662</v>
      </c>
    </row>
    <row r="1051" spans="1:5" ht="15">
      <c r="A1051" s="3">
        <v>2016</v>
      </c>
      <c r="B1051" s="4">
        <f>AVERAGE(B29:B40)</f>
        <v>7.3709916666666677</v>
      </c>
      <c r="C1051" s="4">
        <f>AVERAGE(C29:C40)</f>
        <v>7.0584916666666677</v>
      </c>
      <c r="D1051" s="4">
        <f>AVERAGE(D29:D40)</f>
        <v>11.608116666666669</v>
      </c>
      <c r="E1051" s="4">
        <f>AVERAGE(E29:E40)</f>
        <v>42.597499999999997</v>
      </c>
    </row>
    <row r="1052" spans="1:5" ht="15">
      <c r="A1052" s="3">
        <v>2017</v>
      </c>
      <c r="B1052" s="4">
        <f>AVERAGE(B41:B52)</f>
        <v>8.4706000000000028</v>
      </c>
      <c r="C1052" s="4">
        <f>AVERAGE(C41:C52)</f>
        <v>8.1580916666666692</v>
      </c>
      <c r="D1052" s="4">
        <f>AVERAGE(D41:D52)</f>
        <v>12.8645</v>
      </c>
      <c r="E1052" s="4">
        <f>AVERAGE(E41:E52)</f>
        <v>48.081666666666671</v>
      </c>
    </row>
    <row r="1053" spans="1:5" ht="15">
      <c r="A1053" s="3">
        <v>2018</v>
      </c>
      <c r="B1053" s="4">
        <f>AVERAGE(B53:B64)</f>
        <v>10.984608333333336</v>
      </c>
      <c r="C1053" s="4">
        <f>AVERAGE(C53:C64)</f>
        <v>10.672108333333336</v>
      </c>
      <c r="D1053" s="4">
        <f>AVERAGE(D53:D64)</f>
        <v>15.822374999999999</v>
      </c>
      <c r="E1053" s="4">
        <f>AVERAGE(E53:E64)</f>
        <v>63.323067982991539</v>
      </c>
    </row>
    <row r="1054" spans="1:5" ht="15">
      <c r="A1054" s="3">
        <v>2019</v>
      </c>
      <c r="B1054" s="4">
        <f>AVERAGE(B65:B76)</f>
        <v>11.563225000000001</v>
      </c>
      <c r="C1054" s="4">
        <f>AVERAGE(C65:C76)</f>
        <v>11.250725000000001</v>
      </c>
      <c r="D1054" s="4">
        <f>AVERAGE(D65:D76)</f>
        <v>16.559349999999998</v>
      </c>
      <c r="E1054" s="4">
        <f>AVERAGE(E65:E76)</f>
        <v>67.184889831542975</v>
      </c>
    </row>
    <row r="1055" spans="1:5" ht="15">
      <c r="A1055" s="3">
        <v>2020</v>
      </c>
      <c r="B1055" s="4">
        <f>AVERAGE(B77:B88)</f>
        <v>14.332574999999999</v>
      </c>
      <c r="C1055" s="4">
        <f>AVERAGE(C77:C88)</f>
        <v>14.020074999999999</v>
      </c>
      <c r="D1055" s="4">
        <f>AVERAGE(D77:D88)</f>
        <v>19.559808333333333</v>
      </c>
      <c r="E1055" s="4">
        <f>AVERAGE(E77:E88)</f>
        <v>83.568161010742202</v>
      </c>
    </row>
    <row r="1056" spans="1:5" ht="15">
      <c r="A1056" s="3">
        <v>2021</v>
      </c>
      <c r="B1056" s="4">
        <f>AVERAGE(B89:B100)</f>
        <v>15.067049999999997</v>
      </c>
      <c r="C1056" s="4">
        <f>AVERAGE(C89:C100)</f>
        <v>14.754549999999997</v>
      </c>
      <c r="D1056" s="4">
        <f>AVERAGE(D89:D100)</f>
        <v>20.270050000000001</v>
      </c>
      <c r="E1056" s="4">
        <f>AVERAGE(E89:E100)</f>
        <v>86.957878112792969</v>
      </c>
    </row>
    <row r="1057" spans="1:5" ht="15">
      <c r="A1057" s="3">
        <v>2022</v>
      </c>
      <c r="B1057" s="4">
        <f>AVERAGE(B101:B112)</f>
        <v>15.612358333333335</v>
      </c>
      <c r="C1057" s="4">
        <f>AVERAGE(C101:C112)</f>
        <v>15.299858333333335</v>
      </c>
      <c r="D1057" s="4">
        <f>AVERAGE(D101:D112)</f>
        <v>21.021516666666667</v>
      </c>
      <c r="E1057" s="4">
        <f>AVERAGE(E101:E112)</f>
        <v>90.366950988769517</v>
      </c>
    </row>
    <row r="1058" spans="1:5" ht="15">
      <c r="A1058" s="3">
        <v>2023</v>
      </c>
      <c r="B1058" s="4">
        <f>AVERAGE(B113:B124)</f>
        <v>16.245999999999999</v>
      </c>
      <c r="C1058" s="4">
        <f>AVERAGE(C113:C124)</f>
        <v>15.9335</v>
      </c>
      <c r="D1058" s="4">
        <f>AVERAGE(D113:D124)</f>
        <v>21.867258333333336</v>
      </c>
      <c r="E1058" s="4">
        <f>AVERAGE(E113:E124)</f>
        <v>93.928741455078082</v>
      </c>
    </row>
    <row r="1059" spans="1:5" ht="15">
      <c r="A1059" s="3">
        <v>2024</v>
      </c>
      <c r="B1059" s="4">
        <f>AVERAGE(B125:B136)</f>
        <v>16.854183333333332</v>
      </c>
      <c r="C1059" s="4">
        <f>AVERAGE(C125:C136)</f>
        <v>16.541683333333332</v>
      </c>
      <c r="D1059" s="4">
        <f>AVERAGE(D125:D136)</f>
        <v>23.074041666666663</v>
      </c>
      <c r="E1059" s="4">
        <f>AVERAGE(E125:E136)</f>
        <v>97.590248107910199</v>
      </c>
    </row>
    <row r="1060" spans="1:5" ht="15">
      <c r="A1060" s="3">
        <v>2025</v>
      </c>
      <c r="B1060" s="4">
        <f>AVERAGE(B137:B148)</f>
        <v>17.690358333333336</v>
      </c>
      <c r="C1060" s="4">
        <f>AVERAGE(C137:C148)</f>
        <v>17.377858333333336</v>
      </c>
      <c r="D1060" s="4">
        <f>AVERAGE(D137:D148)</f>
        <v>24.014158333333338</v>
      </c>
      <c r="E1060" s="4">
        <f>AVERAGE(E137:E148)</f>
        <v>100.97199249267577</v>
      </c>
    </row>
    <row r="1061" spans="1:5" ht="15">
      <c r="A1061" s="3">
        <v>2026</v>
      </c>
      <c r="B1061" s="4">
        <f>AVERAGE(B149:B160)</f>
        <v>18.245608333333337</v>
      </c>
      <c r="C1061" s="4">
        <f>AVERAGE(C149:C160)</f>
        <v>17.933108333333337</v>
      </c>
      <c r="D1061" s="4">
        <f>AVERAGE(D149:D160)</f>
        <v>24.772591666666671</v>
      </c>
      <c r="E1061" s="4">
        <f>AVERAGE(E149:E160)</f>
        <v>104.8860244750976</v>
      </c>
    </row>
    <row r="1062" spans="1:5" ht="15">
      <c r="A1062" s="3">
        <v>2027</v>
      </c>
      <c r="B1062" s="4">
        <f>AVERAGE(B161:B172)</f>
        <v>18.842566666666666</v>
      </c>
      <c r="C1062" s="4">
        <f>AVERAGE(C161:C172)</f>
        <v>18.530066666666666</v>
      </c>
      <c r="D1062" s="4">
        <f>AVERAGE(D161:D172)</f>
        <v>25.524616666666663</v>
      </c>
      <c r="E1062" s="4">
        <f>AVERAGE(E161:E172)</f>
        <v>108.77172851562506</v>
      </c>
    </row>
    <row r="1063" spans="1:5" ht="15">
      <c r="A1063" s="3">
        <v>2028</v>
      </c>
      <c r="B1063" s="4">
        <f>AVERAGE(B173:B184)</f>
        <v>19.463624999999997</v>
      </c>
      <c r="C1063" s="4">
        <f>AVERAGE(C173:C184)</f>
        <v>19.151124999999997</v>
      </c>
      <c r="D1063" s="4">
        <f>AVERAGE(D173:D184)</f>
        <v>26.252658333333329</v>
      </c>
      <c r="E1063" s="4">
        <f>AVERAGE(E173:E184)</f>
        <v>112.86653900146474</v>
      </c>
    </row>
    <row r="1064" spans="1:5" ht="15">
      <c r="A1064" s="3">
        <v>2029</v>
      </c>
      <c r="B1064" s="4">
        <f>AVERAGE(B185:B196)</f>
        <v>20.119808333333335</v>
      </c>
      <c r="C1064" s="4">
        <f>AVERAGE(C185:C196)</f>
        <v>19.807308333333335</v>
      </c>
      <c r="D1064" s="4">
        <f>AVERAGE(D185:D196)</f>
        <v>26.951591666666662</v>
      </c>
      <c r="E1064" s="4">
        <f>AVERAGE(E185:E196)</f>
        <v>117.08607482910168</v>
      </c>
    </row>
    <row r="1065" spans="1:5" ht="15">
      <c r="A1065" s="3">
        <v>2030</v>
      </c>
      <c r="B1065" s="4">
        <f>AVERAGE(B197:B208)</f>
        <v>20.785250000000001</v>
      </c>
      <c r="C1065" s="4">
        <f>AVERAGE(C197:C208)</f>
        <v>20.472750000000001</v>
      </c>
      <c r="D1065" s="4">
        <f>AVERAGE(D197:D208)</f>
        <v>27.668433333333336</v>
      </c>
      <c r="E1065" s="4">
        <f>AVERAGE(E197:E208)</f>
        <v>121.37888336181641</v>
      </c>
    </row>
    <row r="1066" spans="1:5" ht="15">
      <c r="A1066" s="3">
        <v>2031</v>
      </c>
      <c r="B1066" s="4">
        <f>AVERAGE(B209:B220)</f>
        <v>21.150691666666667</v>
      </c>
      <c r="C1066" s="4">
        <f>AVERAGE(C209:C220)</f>
        <v>20.838191666666667</v>
      </c>
      <c r="D1066" s="4">
        <f>AVERAGE(D209:D220)</f>
        <v>28.06901666666667</v>
      </c>
      <c r="E1066" s="4">
        <f>AVERAGE(E209:E220)</f>
        <v>123.79613494873041</v>
      </c>
    </row>
    <row r="1067" spans="1:5" ht="15">
      <c r="A1067" s="3">
        <v>2032</v>
      </c>
      <c r="B1067" s="4">
        <f>AVERAGE(B221:B232)</f>
        <v>21.539749999999998</v>
      </c>
      <c r="C1067" s="4">
        <f>AVERAGE(C221:C232)</f>
        <v>21.227249999999998</v>
      </c>
      <c r="D1067" s="4">
        <f>AVERAGE(D221:D232)</f>
        <v>28.478416666666664</v>
      </c>
      <c r="E1067" s="4">
        <f>AVERAGE(E221:E232)</f>
        <v>126.25200653076173</v>
      </c>
    </row>
    <row r="1068" spans="1:5" ht="15">
      <c r="A1068" s="3">
        <v>2033</v>
      </c>
      <c r="B1068" s="4">
        <f>AVERAGE(B233:B244)</f>
        <v>21.933325</v>
      </c>
      <c r="C1068" s="4">
        <f>AVERAGE(C233:C244)</f>
        <v>21.620825</v>
      </c>
      <c r="D1068" s="4">
        <f>AVERAGE(D233:D244)</f>
        <v>28.892708333333335</v>
      </c>
      <c r="E1068" s="4">
        <f>AVERAGE(E233:E244)</f>
        <v>128.74780273437517</v>
      </c>
    </row>
    <row r="1069" spans="1:5" ht="15">
      <c r="A1069" s="3">
        <v>2034</v>
      </c>
      <c r="B1069" s="4">
        <f>AVERAGE(B245:B256)</f>
        <v>22.333650000000002</v>
      </c>
      <c r="C1069" s="4">
        <f>AVERAGE(C245:C256)</f>
        <v>22.021150000000002</v>
      </c>
      <c r="D1069" s="4">
        <f>AVERAGE(D245:D256)</f>
        <v>29.314458333333338</v>
      </c>
      <c r="E1069" s="4">
        <f>AVERAGE(E245:E256)</f>
        <v>131.29217529296875</v>
      </c>
    </row>
    <row r="1070" spans="1:5" ht="15">
      <c r="A1070" s="3">
        <v>2035</v>
      </c>
      <c r="B1070" s="4">
        <f>AVERAGE(B257:B268)</f>
        <v>22.742725000000004</v>
      </c>
      <c r="C1070" s="4">
        <f>AVERAGE(C257:C268)</f>
        <v>22.430225000000004</v>
      </c>
      <c r="D1070" s="4">
        <f>AVERAGE(D257:D268)</f>
        <v>29.773233333333334</v>
      </c>
      <c r="E1070" s="4">
        <f>AVERAGE(E257:E268)</f>
        <v>133.88880920410159</v>
      </c>
    </row>
    <row r="1071" spans="1:5" ht="15">
      <c r="A1071" s="3">
        <v>2036</v>
      </c>
      <c r="B1071" s="4">
        <f>AVERAGE(B269:B280)</f>
        <v>23.462383333333332</v>
      </c>
      <c r="C1071" s="4">
        <f>AVERAGE(C269:C280)</f>
        <v>23.149883333333332</v>
      </c>
      <c r="D1071" s="4">
        <f>AVERAGE(D269:D280)</f>
        <v>30.472149999999999</v>
      </c>
      <c r="E1071" s="4">
        <f>AVERAGE(E269:E280)</f>
        <v>138.10630669403074</v>
      </c>
    </row>
    <row r="1072" spans="1:5" ht="15">
      <c r="A1072" s="3">
        <v>2037</v>
      </c>
      <c r="B1072" s="4">
        <f>AVERAGE(B281:B292)</f>
        <v>24.206891666666664</v>
      </c>
      <c r="C1072" s="4">
        <f>AVERAGE(C281:C292)</f>
        <v>23.894391666666664</v>
      </c>
      <c r="D1072" s="4">
        <f>AVERAGE(D281:D292)</f>
        <v>31.188416666666665</v>
      </c>
      <c r="E1072" s="4">
        <f>AVERAGE(E281:E292)</f>
        <v>142.45665535489275</v>
      </c>
    </row>
    <row r="1073" spans="1:5" ht="15">
      <c r="A1073" s="3">
        <f t="shared" ref="A1073:A1104" si="0">A1072+1</f>
        <v>2038</v>
      </c>
      <c r="B1073" s="4">
        <f>AVERAGE(B293:B304)</f>
        <v>24.977058333333336</v>
      </c>
      <c r="C1073" s="4">
        <f>AVERAGE(C293:C304)</f>
        <v>24.664558333333336</v>
      </c>
      <c r="D1073" s="4">
        <f>AVERAGE(D293:D304)</f>
        <v>31.922433333333334</v>
      </c>
      <c r="E1073" s="4">
        <f>AVERAGE(E293:E304)</f>
        <v>146.94403999857184</v>
      </c>
    </row>
    <row r="1074" spans="1:5" ht="15">
      <c r="A1074" s="3">
        <f t="shared" si="0"/>
        <v>2039</v>
      </c>
      <c r="B1074" s="4">
        <f>AVERAGE(B305:B316)</f>
        <v>25.773833333333332</v>
      </c>
      <c r="C1074" s="4">
        <f>AVERAGE(C305:C316)</f>
        <v>25.461333333333332</v>
      </c>
      <c r="D1074" s="4">
        <f>AVERAGE(D305:D316)</f>
        <v>32.674641666666666</v>
      </c>
      <c r="E1074" s="4">
        <f>AVERAGE(E305:E316)</f>
        <v>151.57277725852688</v>
      </c>
    </row>
    <row r="1075" spans="1:5" ht="15">
      <c r="A1075" s="3">
        <f t="shared" si="0"/>
        <v>2040</v>
      </c>
      <c r="B1075" s="4">
        <f>AVERAGE(B317:B328)</f>
        <v>26.598058333333338</v>
      </c>
      <c r="C1075" s="4">
        <f>AVERAGE(C317:C328)</f>
        <v>26.285558333333338</v>
      </c>
      <c r="D1075" s="4">
        <f>AVERAGE(D317:D328)</f>
        <v>33.44553333333333</v>
      </c>
      <c r="E1075" s="4">
        <f>AVERAGE(E317:E328)</f>
        <v>156.34731974217067</v>
      </c>
    </row>
    <row r="1076" spans="1:5" ht="15">
      <c r="A1076" s="3">
        <f t="shared" si="0"/>
        <v>2041</v>
      </c>
      <c r="B1076" s="4">
        <f>AVERAGE(B329:B340)</f>
        <v>27.450749999999999</v>
      </c>
      <c r="C1076" s="4">
        <f>AVERAGE(C329:C340)</f>
        <v>27.138249999999999</v>
      </c>
      <c r="D1076" s="4">
        <f>AVERAGE(D329:D340)</f>
        <v>34.235516666666662</v>
      </c>
      <c r="E1076" s="4">
        <f>AVERAGE(E329:E340)</f>
        <v>161.27226031404882</v>
      </c>
    </row>
    <row r="1077" spans="1:5" ht="15">
      <c r="A1077" s="3">
        <f t="shared" si="0"/>
        <v>2042</v>
      </c>
      <c r="B1077" s="4">
        <f>AVERAGE(B341:B352)</f>
        <v>28.332841666666656</v>
      </c>
      <c r="C1077" s="4">
        <f>AVERAGE(C341:C352)</f>
        <v>28.020341666666656</v>
      </c>
      <c r="D1077" s="4">
        <f>AVERAGE(D341:D352)</f>
        <v>35.045125000000006</v>
      </c>
      <c r="E1077" s="4">
        <f>AVERAGE(E341:E352)</f>
        <v>166.35233651394134</v>
      </c>
    </row>
    <row r="1078" spans="1:5" ht="15">
      <c r="A1078" s="3">
        <f t="shared" si="0"/>
        <v>2043</v>
      </c>
      <c r="B1078" s="4">
        <f>AVERAGE(B353:B364)</f>
        <v>29.245383333333336</v>
      </c>
      <c r="C1078" s="4">
        <f>AVERAGE(C353:C364)</f>
        <v>28.932883333333336</v>
      </c>
      <c r="D1078" s="4">
        <f>AVERAGE(D353:D364)</f>
        <v>35.874783333333333</v>
      </c>
      <c r="E1078" s="4">
        <f>AVERAGE(E353:E364)</f>
        <v>171.5924351141305</v>
      </c>
    </row>
    <row r="1079" spans="1:5" ht="15">
      <c r="A1079" s="3">
        <f t="shared" si="0"/>
        <v>2044</v>
      </c>
      <c r="B1079" s="4">
        <f>AVERAGE(B365:B376)</f>
        <v>30.189391666666666</v>
      </c>
      <c r="C1079" s="4">
        <f>AVERAGE(C365:C376)</f>
        <v>29.876891666666666</v>
      </c>
      <c r="D1079" s="4">
        <f>AVERAGE(D365:D376)</f>
        <v>36.725033333333329</v>
      </c>
      <c r="E1079" s="4">
        <f>AVERAGE(E365:E376)</f>
        <v>176.99759682022568</v>
      </c>
    </row>
    <row r="1080" spans="1:5" ht="15">
      <c r="A1080" s="3">
        <f t="shared" si="0"/>
        <v>2045</v>
      </c>
      <c r="B1080" s="4">
        <f>AVERAGE(B377:B388)</f>
        <v>31.165966666666666</v>
      </c>
      <c r="C1080" s="4">
        <f>AVERAGE(C377:C388)</f>
        <v>30.853466666666666</v>
      </c>
      <c r="D1080" s="4">
        <f>AVERAGE(D377:D388)</f>
        <v>37.596358333333335</v>
      </c>
      <c r="E1080" s="4">
        <f>AVERAGE(E377:E388)</f>
        <v>182.573021120063</v>
      </c>
    </row>
    <row r="1081" spans="1:5" ht="15">
      <c r="A1081" s="3">
        <f t="shared" si="0"/>
        <v>2046</v>
      </c>
      <c r="B1081" s="4">
        <f>AVERAGE(B389:B400)</f>
        <v>32.176258333333337</v>
      </c>
      <c r="C1081" s="4">
        <f>AVERAGE(C389:C400)</f>
        <v>31.863758333333337</v>
      </c>
      <c r="D1081" s="4">
        <f>AVERAGE(D389:D400)</f>
        <v>38.489274999999999</v>
      </c>
      <c r="E1081" s="4">
        <f>AVERAGE(E389:E400)</f>
        <v>188.32407128534476</v>
      </c>
    </row>
    <row r="1082" spans="1:5" ht="15">
      <c r="A1082" s="3">
        <f t="shared" si="0"/>
        <v>2047</v>
      </c>
      <c r="B1082" s="4">
        <f>AVERAGE(B401:B412)</f>
        <v>33.221366666666661</v>
      </c>
      <c r="C1082" s="4">
        <f>AVERAGE(C401:C412)</f>
        <v>32.908866666666661</v>
      </c>
      <c r="D1082" s="4">
        <f>AVERAGE(D401:D412)</f>
        <v>39.404383333333335</v>
      </c>
      <c r="E1082" s="4">
        <f>AVERAGE(E401:E412)</f>
        <v>194.25627953083335</v>
      </c>
    </row>
    <row r="1083" spans="1:5" ht="15">
      <c r="A1083" s="3">
        <f t="shared" si="0"/>
        <v>2048</v>
      </c>
      <c r="B1083" s="4">
        <f>AVERAGE(B413:B424)</f>
        <v>34.302550000000004</v>
      </c>
      <c r="C1083" s="4">
        <f>AVERAGE(C413:C424)</f>
        <v>33.990050000000004</v>
      </c>
      <c r="D1083" s="4">
        <f>AVERAGE(D413:D424)</f>
        <v>40.342141666666663</v>
      </c>
      <c r="E1083" s="4">
        <f>AVERAGE(E413:E424)</f>
        <v>200.37535233605445</v>
      </c>
    </row>
    <row r="1084" spans="1:5" ht="15">
      <c r="A1084" s="3">
        <f t="shared" si="0"/>
        <v>2049</v>
      </c>
      <c r="B1084" s="4">
        <f>AVERAGE(B425:B436)</f>
        <v>35.42104166666666</v>
      </c>
      <c r="C1084" s="4">
        <f>AVERAGE(C425:C436)</f>
        <v>35.10854166666666</v>
      </c>
      <c r="D1084" s="4">
        <f>AVERAGE(D425:D436)</f>
        <v>41.30318333333333</v>
      </c>
      <c r="E1084" s="4">
        <f>AVERAGE(E425:E436)</f>
        <v>206.68717593464032</v>
      </c>
    </row>
    <row r="1085" spans="1:5" ht="15">
      <c r="A1085" s="3">
        <f t="shared" si="0"/>
        <v>2050</v>
      </c>
      <c r="B1085" s="4">
        <f>AVERAGE(B437:B448)</f>
        <v>36.578116666666666</v>
      </c>
      <c r="C1085" s="4">
        <f>AVERAGE(C437:C448)</f>
        <v>36.265616666666666</v>
      </c>
      <c r="D1085" s="4">
        <f>AVERAGE(D437:D448)</f>
        <v>42.288041666666672</v>
      </c>
      <c r="E1085" s="4">
        <f>AVERAGE(E437:E448)</f>
        <v>213.19782197658142</v>
      </c>
    </row>
    <row r="1086" spans="1:5" ht="15">
      <c r="A1086" s="3">
        <f t="shared" si="0"/>
        <v>2051</v>
      </c>
      <c r="B1086" s="4">
        <f>AVERAGE(B449:B460)</f>
        <v>37.775091666666668</v>
      </c>
      <c r="C1086" s="4">
        <f>AVERAGE(C449:C460)</f>
        <v>37.462591666666668</v>
      </c>
      <c r="D1086" s="4">
        <f>AVERAGE(D449:D460)</f>
        <v>43.297333333333334</v>
      </c>
      <c r="E1086" s="4">
        <f>AVERAGE(E449:E460)</f>
        <v>219.91355336884365</v>
      </c>
    </row>
    <row r="1087" spans="1:5" ht="15">
      <c r="A1087" s="3">
        <f t="shared" si="0"/>
        <v>2052</v>
      </c>
      <c r="B1087" s="4">
        <f>AVERAGE(B461:B472)</f>
        <v>39.013391666666671</v>
      </c>
      <c r="C1087" s="4">
        <f>AVERAGE(C461:C472)</f>
        <v>38.700891666666671</v>
      </c>
      <c r="D1087" s="4">
        <f>AVERAGE(D461:D472)</f>
        <v>44.331666666666671</v>
      </c>
      <c r="E1087" s="4">
        <f>AVERAGE(E461:E472)</f>
        <v>226.84083029996251</v>
      </c>
    </row>
    <row r="1088" spans="1:5" ht="15">
      <c r="A1088" s="3">
        <f t="shared" si="0"/>
        <v>2053</v>
      </c>
      <c r="B1088" s="4">
        <f>AVERAGE(B473:B484)</f>
        <v>40.294391666666662</v>
      </c>
      <c r="C1088" s="4">
        <f>AVERAGE(C473:C484)</f>
        <v>39.981891666666662</v>
      </c>
      <c r="D1088" s="4">
        <f>AVERAGE(D473:D484)</f>
        <v>45.391633333333338</v>
      </c>
      <c r="E1088" s="4">
        <f>AVERAGE(E473:E484)</f>
        <v>233.98631645441097</v>
      </c>
    </row>
    <row r="1089" spans="1:5" ht="15">
      <c r="A1089" s="3">
        <f t="shared" si="0"/>
        <v>2054</v>
      </c>
      <c r="B1089" s="4">
        <f>AVERAGE(B485:B496)</f>
        <v>41.619600000000005</v>
      </c>
      <c r="C1089" s="4">
        <f>AVERAGE(C485:C496)</f>
        <v>41.307100000000005</v>
      </c>
      <c r="D1089" s="4">
        <f>AVERAGE(D485:D496)</f>
        <v>46.477875000000004</v>
      </c>
      <c r="E1089" s="4">
        <f>AVERAGE(E485:E496)</f>
        <v>241.35688542272518</v>
      </c>
    </row>
    <row r="1090" spans="1:5" ht="15">
      <c r="A1090" s="3">
        <f t="shared" si="0"/>
        <v>2055</v>
      </c>
      <c r="B1090" s="4">
        <f>AVERAGE(B497:B508)</f>
        <v>42.990516666666672</v>
      </c>
      <c r="C1090" s="4">
        <f>AVERAGE(C497:C508)</f>
        <v>42.678016666666672</v>
      </c>
      <c r="D1090" s="4">
        <f>AVERAGE(D497:D508)</f>
        <v>47.59108333333333</v>
      </c>
      <c r="E1090" s="4">
        <f>AVERAGE(E497:E508)</f>
        <v>248.95962731354086</v>
      </c>
    </row>
    <row r="1091" spans="1:5" ht="15">
      <c r="A1091" s="3">
        <f t="shared" si="0"/>
        <v>2056</v>
      </c>
      <c r="B1091" s="4">
        <f>AVERAGE(B509:B520)</f>
        <v>44.408741666666664</v>
      </c>
      <c r="C1091" s="4">
        <f>AVERAGE(C509:C520)</f>
        <v>44.096241666666664</v>
      </c>
      <c r="D1091" s="4">
        <f>AVERAGE(D509:D520)</f>
        <v>48.731908333333344</v>
      </c>
      <c r="E1091" s="4">
        <f>AVERAGE(E509:E520)</f>
        <v>256.80185557391752</v>
      </c>
    </row>
    <row r="1092" spans="1:5" ht="15">
      <c r="A1092" s="3">
        <f t="shared" si="0"/>
        <v>2057</v>
      </c>
      <c r="B1092" s="4">
        <f>AVERAGE(B521:B532)</f>
        <v>45.875891666666661</v>
      </c>
      <c r="C1092" s="4">
        <f>AVERAGE(C521:C532)</f>
        <v>45.563391666666661</v>
      </c>
      <c r="D1092" s="4">
        <f>AVERAGE(D521:D532)</f>
        <v>49.901000000000003</v>
      </c>
      <c r="E1092" s="4">
        <f>AVERAGE(E521:E532)</f>
        <v>264.89111402449583</v>
      </c>
    </row>
    <row r="1093" spans="1:5" ht="15">
      <c r="A1093" s="3">
        <f t="shared" si="0"/>
        <v>2058</v>
      </c>
      <c r="B1093" s="4">
        <f>AVERAGE(B533:B544)</f>
        <v>47.393658333333342</v>
      </c>
      <c r="C1093" s="4">
        <f>AVERAGE(C533:C544)</f>
        <v>47.081158333333342</v>
      </c>
      <c r="D1093" s="4">
        <f>AVERAGE(D533:D544)</f>
        <v>51.099066666666666</v>
      </c>
      <c r="E1093" s="4">
        <f>AVERAGE(E533:E544)</f>
        <v>273.23518411626765</v>
      </c>
    </row>
    <row r="1094" spans="1:5" ht="15">
      <c r="A1094" s="3">
        <f t="shared" si="0"/>
        <v>2059</v>
      </c>
      <c r="B1094" s="4">
        <f>AVERAGE(B545:B556)</f>
        <v>48.963774999999998</v>
      </c>
      <c r="C1094" s="4">
        <f>AVERAGE(C545:C556)</f>
        <v>48.651274999999998</v>
      </c>
      <c r="D1094" s="4">
        <f>AVERAGE(D545:D556)</f>
        <v>52.326883333333335</v>
      </c>
      <c r="E1094" s="4">
        <f>AVERAGE(E545:E556)</f>
        <v>281.84209241593004</v>
      </c>
    </row>
    <row r="1095" spans="1:5" ht="15">
      <c r="A1095" s="3">
        <f t="shared" si="0"/>
        <v>2060</v>
      </c>
      <c r="B1095" s="4">
        <f>AVERAGE(B557:B568)</f>
        <v>50.588075000000003</v>
      </c>
      <c r="C1095" s="4">
        <f>AVERAGE(C557:C568)</f>
        <v>50.275575000000003</v>
      </c>
      <c r="D1095" s="4">
        <f>AVERAGE(D557:D568)</f>
        <v>53.585149999999999</v>
      </c>
      <c r="E1095" s="4">
        <f>AVERAGE(E557:E568)</f>
        <v>290.72011832703197</v>
      </c>
    </row>
    <row r="1096" spans="1:5" ht="15">
      <c r="A1096" s="3">
        <f t="shared" si="0"/>
        <v>2061</v>
      </c>
      <c r="B1096" s="4">
        <f>AVERAGE(B569:B580)</f>
        <v>52.268408333333333</v>
      </c>
      <c r="C1096" s="4">
        <f>AVERAGE(C569:C580)</f>
        <v>51.955908333333333</v>
      </c>
      <c r="D1096" s="4">
        <f>AVERAGE(D569:D580)</f>
        <v>54.874608333333335</v>
      </c>
      <c r="E1096" s="4">
        <f>AVERAGE(E569:E580)</f>
        <v>299.87780205433319</v>
      </c>
    </row>
    <row r="1097" spans="1:5" ht="15">
      <c r="A1097" s="3">
        <f t="shared" si="0"/>
        <v>2062</v>
      </c>
      <c r="B1097" s="4">
        <f t="shared" ref="B1097:E1116" ca="1" si="1">AVERAGE(OFFSET(B$581,($A1097-$A$1097)*12,0,12,1))</f>
        <v>54.006708333333336</v>
      </c>
      <c r="C1097" s="4">
        <f t="shared" ca="1" si="1"/>
        <v>53.694208333333336</v>
      </c>
      <c r="D1097" s="4">
        <f t="shared" ca="1" si="1"/>
        <v>56.196041666666666</v>
      </c>
      <c r="E1097" s="4">
        <f t="shared" ca="1" si="1"/>
        <v>309.32395281904473</v>
      </c>
    </row>
    <row r="1098" spans="1:5" ht="15">
      <c r="A1098" s="3">
        <f t="shared" si="0"/>
        <v>2063</v>
      </c>
      <c r="B1098" s="4">
        <f t="shared" ca="1" si="1"/>
        <v>55.804983333333332</v>
      </c>
      <c r="C1098" s="4">
        <f t="shared" ca="1" si="1"/>
        <v>55.492483333333332</v>
      </c>
      <c r="D1098" s="4">
        <f t="shared" ca="1" si="1"/>
        <v>57.550258333333346</v>
      </c>
      <c r="E1098" s="4">
        <f t="shared" ca="1" si="1"/>
        <v>319.06765733284493</v>
      </c>
    </row>
    <row r="1099" spans="1:5" ht="15">
      <c r="A1099" s="3">
        <f t="shared" si="0"/>
        <v>2064</v>
      </c>
      <c r="B1099" s="4">
        <f t="shared" ca="1" si="1"/>
        <v>57.665308333333343</v>
      </c>
      <c r="C1099" s="4">
        <f t="shared" ca="1" si="1"/>
        <v>57.352808333333343</v>
      </c>
      <c r="D1099" s="4">
        <f t="shared" ca="1" si="1"/>
        <v>58.938041666666663</v>
      </c>
      <c r="E1099" s="4">
        <f t="shared" ca="1" si="1"/>
        <v>329.1182885388294</v>
      </c>
    </row>
    <row r="1100" spans="1:5" ht="15">
      <c r="A1100" s="3">
        <f t="shared" si="0"/>
        <v>2065</v>
      </c>
      <c r="B1100" s="4">
        <f t="shared" ca="1" si="1"/>
        <v>59.589824999999998</v>
      </c>
      <c r="C1100" s="4">
        <f t="shared" ca="1" si="1"/>
        <v>59.277324999999998</v>
      </c>
      <c r="D1100" s="4">
        <f t="shared" ca="1" si="1"/>
        <v>60.360258333333327</v>
      </c>
      <c r="E1100" s="4">
        <f t="shared" ca="1" si="1"/>
        <v>339.48551462780262</v>
      </c>
    </row>
    <row r="1101" spans="1:5" ht="15">
      <c r="A1101" s="3">
        <f t="shared" si="0"/>
        <v>2066</v>
      </c>
      <c r="B1101" s="4">
        <f t="shared" ca="1" si="1"/>
        <v>61.580708333333348</v>
      </c>
      <c r="C1101" s="4">
        <f t="shared" ca="1" si="1"/>
        <v>61.268208333333348</v>
      </c>
      <c r="D1101" s="4">
        <f t="shared" ca="1" si="1"/>
        <v>61.817733333333337</v>
      </c>
      <c r="E1101" s="4">
        <f t="shared" ca="1" si="1"/>
        <v>350.17930833857844</v>
      </c>
    </row>
    <row r="1102" spans="1:5" ht="15">
      <c r="A1102" s="3">
        <f t="shared" si="0"/>
        <v>2067</v>
      </c>
      <c r="B1102" s="4">
        <f t="shared" ca="1" si="1"/>
        <v>63.640266666666669</v>
      </c>
      <c r="C1102" s="4">
        <f t="shared" ca="1" si="1"/>
        <v>63.327766666666669</v>
      </c>
      <c r="D1102" s="4">
        <f t="shared" ca="1" si="1"/>
        <v>63.311358333333338</v>
      </c>
      <c r="E1102" s="4">
        <f t="shared" ca="1" si="1"/>
        <v>361.20995655124375</v>
      </c>
    </row>
    <row r="1103" spans="1:5" ht="15">
      <c r="A1103" s="3">
        <f t="shared" si="0"/>
        <v>2068</v>
      </c>
      <c r="B1103" s="4">
        <f t="shared" ca="1" si="1"/>
        <v>65.770924999999991</v>
      </c>
      <c r="C1103" s="4">
        <f t="shared" ca="1" si="1"/>
        <v>65.458424999999991</v>
      </c>
      <c r="D1103" s="4">
        <f t="shared" ca="1" si="1"/>
        <v>64.842025000000007</v>
      </c>
      <c r="E1103" s="4">
        <f t="shared" ca="1" si="1"/>
        <v>372.58807018260791</v>
      </c>
    </row>
    <row r="1104" spans="1:5" ht="15">
      <c r="A1104" s="3">
        <f t="shared" si="0"/>
        <v>2069</v>
      </c>
      <c r="B1104" s="4">
        <f t="shared" ca="1" si="1"/>
        <v>67.975058333333337</v>
      </c>
      <c r="C1104" s="4">
        <f t="shared" ca="1" si="1"/>
        <v>67.662558333333337</v>
      </c>
      <c r="D1104" s="4">
        <f t="shared" ca="1" si="1"/>
        <v>66.41065833333333</v>
      </c>
      <c r="E1104" s="4">
        <f t="shared" ca="1" si="1"/>
        <v>384.3245943933602</v>
      </c>
    </row>
    <row r="1105" spans="1:5" ht="15">
      <c r="A1105" s="3">
        <f t="shared" ref="A1105:A1135" si="2">A1104+1</f>
        <v>2070</v>
      </c>
      <c r="B1105" s="4">
        <f t="shared" ca="1" si="1"/>
        <v>70.255241666666663</v>
      </c>
      <c r="C1105" s="4">
        <f t="shared" ca="1" si="1"/>
        <v>69.942741666666663</v>
      </c>
      <c r="D1105" s="4">
        <f t="shared" ca="1" si="1"/>
        <v>68.01818333333334</v>
      </c>
      <c r="E1105" s="4">
        <f t="shared" ca="1" si="1"/>
        <v>396.43081911675102</v>
      </c>
    </row>
    <row r="1106" spans="1:5" ht="15">
      <c r="A1106" s="3">
        <f t="shared" si="2"/>
        <v>2071</v>
      </c>
      <c r="B1106" s="4">
        <f t="shared" ca="1" si="1"/>
        <v>72.614099999999993</v>
      </c>
      <c r="C1106" s="4">
        <f t="shared" ca="1" si="1"/>
        <v>72.301599999999993</v>
      </c>
      <c r="D1106" s="4">
        <f t="shared" ca="1" si="1"/>
        <v>69.665575000000004</v>
      </c>
      <c r="E1106" s="4">
        <f t="shared" ca="1" si="1"/>
        <v>408.91838991892865</v>
      </c>
    </row>
    <row r="1107" spans="1:5" ht="15">
      <c r="A1107" s="3">
        <f t="shared" si="2"/>
        <v>2072</v>
      </c>
      <c r="B1107" s="4">
        <f t="shared" ca="1" si="1"/>
        <v>75.054333333333332</v>
      </c>
      <c r="C1107" s="4">
        <f t="shared" ca="1" si="1"/>
        <v>74.741833333333332</v>
      </c>
      <c r="D1107" s="4">
        <f t="shared" ca="1" si="1"/>
        <v>71.353841666666668</v>
      </c>
      <c r="E1107" s="4">
        <f t="shared" ca="1" si="1"/>
        <v>421.79931920137506</v>
      </c>
    </row>
    <row r="1108" spans="1:5" ht="15">
      <c r="A1108" s="3">
        <f t="shared" si="2"/>
        <v>2073</v>
      </c>
      <c r="B1108" s="4">
        <f t="shared" ca="1" si="1"/>
        <v>77.578766666666667</v>
      </c>
      <c r="C1108" s="4">
        <f t="shared" ca="1" si="1"/>
        <v>77.266266666666667</v>
      </c>
      <c r="D1108" s="4">
        <f t="shared" ca="1" si="1"/>
        <v>73.083974999999995</v>
      </c>
      <c r="E1108" s="4">
        <f t="shared" ca="1" si="1"/>
        <v>435.08599775621821</v>
      </c>
    </row>
    <row r="1109" spans="1:5" ht="15">
      <c r="A1109" s="3">
        <f t="shared" si="2"/>
        <v>2074</v>
      </c>
      <c r="B1109" s="4">
        <f t="shared" ca="1" si="1"/>
        <v>80.190275</v>
      </c>
      <c r="C1109" s="4">
        <f t="shared" ca="1" si="1"/>
        <v>79.877775</v>
      </c>
      <c r="D1109" s="4">
        <f t="shared" ca="1" si="1"/>
        <v>74.857000000000014</v>
      </c>
      <c r="E1109" s="4">
        <f t="shared" ca="1" si="1"/>
        <v>448.79120668553918</v>
      </c>
    </row>
    <row r="1110" spans="1:5" ht="15">
      <c r="A1110" s="3">
        <f t="shared" si="2"/>
        <v>2075</v>
      </c>
      <c r="B1110" s="4">
        <f t="shared" ca="1" si="1"/>
        <v>82.891891666666666</v>
      </c>
      <c r="C1110" s="4">
        <f t="shared" ca="1" si="1"/>
        <v>82.579391666666666</v>
      </c>
      <c r="D1110" s="4">
        <f t="shared" ca="1" si="1"/>
        <v>76.673974999999999</v>
      </c>
      <c r="E1110" s="4">
        <f t="shared" ca="1" si="1"/>
        <v>462.92812969613391</v>
      </c>
    </row>
    <row r="1111" spans="1:5" ht="15">
      <c r="A1111" s="3">
        <f t="shared" si="2"/>
        <v>2076</v>
      </c>
      <c r="B1111" s="4">
        <f t="shared" ca="1" si="1"/>
        <v>85.686700000000016</v>
      </c>
      <c r="C1111" s="4">
        <f t="shared" ca="1" si="1"/>
        <v>85.374200000000016</v>
      </c>
      <c r="D1111" s="4">
        <f t="shared" ca="1" si="1"/>
        <v>78.536058333333344</v>
      </c>
      <c r="E1111" s="4">
        <f t="shared" ca="1" si="1"/>
        <v>477.5103657815618</v>
      </c>
    </row>
    <row r="1112" spans="1:5" ht="15">
      <c r="A1112" s="3">
        <f t="shared" si="2"/>
        <v>2077</v>
      </c>
      <c r="B1112" s="4">
        <f t="shared" ca="1" si="1"/>
        <v>88.577925000000008</v>
      </c>
      <c r="C1112" s="4">
        <f t="shared" ca="1" si="1"/>
        <v>88.265425000000008</v>
      </c>
      <c r="D1112" s="4">
        <f t="shared" ca="1" si="1"/>
        <v>80.444300000000013</v>
      </c>
      <c r="E1112" s="4">
        <f t="shared" ca="1" si="1"/>
        <v>492.55194230368119</v>
      </c>
    </row>
    <row r="1113" spans="1:5" ht="15">
      <c r="A1113" s="3">
        <f t="shared" si="2"/>
        <v>2078</v>
      </c>
      <c r="B1113" s="4">
        <f t="shared" ca="1" si="1"/>
        <v>91.568924999999993</v>
      </c>
      <c r="C1113" s="4">
        <f t="shared" ca="1" si="1"/>
        <v>91.256424999999993</v>
      </c>
      <c r="D1113" s="4">
        <f t="shared" ca="1" si="1"/>
        <v>82.399858333333341</v>
      </c>
      <c r="E1113" s="4">
        <f t="shared" ca="1" si="1"/>
        <v>508.06732848624711</v>
      </c>
    </row>
    <row r="1114" spans="1:5" ht="15">
      <c r="A1114" s="3">
        <f t="shared" si="2"/>
        <v>2079</v>
      </c>
      <c r="B1114" s="4">
        <f t="shared" ca="1" si="1"/>
        <v>94.663083333333319</v>
      </c>
      <c r="C1114" s="4">
        <f t="shared" ca="1" si="1"/>
        <v>94.350583333333319</v>
      </c>
      <c r="D1114" s="4">
        <f t="shared" ca="1" si="1"/>
        <v>84.40391666666666</v>
      </c>
      <c r="E1114" s="4">
        <f t="shared" ca="1" si="1"/>
        <v>524.07144933356403</v>
      </c>
    </row>
    <row r="1115" spans="1:5" ht="15">
      <c r="A1115" s="3">
        <f t="shared" si="2"/>
        <v>2080</v>
      </c>
      <c r="B1115" s="4">
        <f t="shared" ca="1" si="1"/>
        <v>97.864025000000012</v>
      </c>
      <c r="C1115" s="4">
        <f t="shared" ca="1" si="1"/>
        <v>97.551525000000012</v>
      </c>
      <c r="D1115" s="4">
        <f t="shared" ca="1" si="1"/>
        <v>86.457691666666662</v>
      </c>
      <c r="E1115" s="4">
        <f t="shared" ca="1" si="1"/>
        <v>540.5796999875713</v>
      </c>
    </row>
    <row r="1116" spans="1:5" ht="15">
      <c r="A1116" s="3">
        <f t="shared" si="2"/>
        <v>2081</v>
      </c>
      <c r="B1116" s="4">
        <f t="shared" ca="1" si="1"/>
        <v>101.17537499999999</v>
      </c>
      <c r="C1116" s="4">
        <f t="shared" ca="1" si="1"/>
        <v>100.86287499999999</v>
      </c>
      <c r="D1116" s="4">
        <f t="shared" ca="1" si="1"/>
        <v>88.56239166666667</v>
      </c>
      <c r="E1116" s="4">
        <f t="shared" ca="1" si="1"/>
        <v>557.60796053717968</v>
      </c>
    </row>
    <row r="1117" spans="1:5" ht="15">
      <c r="A1117" s="3">
        <f t="shared" si="2"/>
        <v>2082</v>
      </c>
      <c r="B1117" s="4">
        <f t="shared" ref="B1117:E1135" ca="1" si="3">AVERAGE(OFFSET(B$581,($A1117-$A$1097)*12,0,12,1))</f>
        <v>104.60095833333334</v>
      </c>
      <c r="C1117" s="4">
        <f t="shared" ca="1" si="3"/>
        <v>104.28845833333334</v>
      </c>
      <c r="D1117" s="4">
        <f t="shared" ca="1" si="3"/>
        <v>90.719291666666663</v>
      </c>
      <c r="E1117" s="4">
        <f t="shared" ca="1" si="3"/>
        <v>575.17261129410088</v>
      </c>
    </row>
    <row r="1118" spans="1:5" ht="15">
      <c r="A1118" s="3">
        <f t="shared" si="2"/>
        <v>2083</v>
      </c>
      <c r="B1118" s="4">
        <f t="shared" ca="1" si="3"/>
        <v>108.14474999999999</v>
      </c>
      <c r="C1118" s="4">
        <f t="shared" ca="1" si="3"/>
        <v>107.83224999999999</v>
      </c>
      <c r="D1118" s="4">
        <f t="shared" ca="1" si="3"/>
        <v>92.929666666666662</v>
      </c>
      <c r="E1118" s="4">
        <f t="shared" ca="1" si="3"/>
        <v>593.29054854986487</v>
      </c>
    </row>
    <row r="1119" spans="1:5" ht="15">
      <c r="A1119" s="3">
        <f t="shared" si="2"/>
        <v>2084</v>
      </c>
      <c r="B1119" s="4">
        <f t="shared" ca="1" si="3"/>
        <v>111.81078333333333</v>
      </c>
      <c r="C1119" s="4">
        <f t="shared" ca="1" si="3"/>
        <v>111.49828333333333</v>
      </c>
      <c r="D1119" s="4">
        <f t="shared" ca="1" si="3"/>
        <v>95.194858333333329</v>
      </c>
      <c r="E1119" s="4">
        <f t="shared" ca="1" si="3"/>
        <v>611.97920082918563</v>
      </c>
    </row>
    <row r="1120" spans="1:5" ht="15">
      <c r="A1120" s="3">
        <f t="shared" si="2"/>
        <v>2085</v>
      </c>
      <c r="B1120" s="4">
        <f t="shared" ca="1" si="3"/>
        <v>115.60330833333335</v>
      </c>
      <c r="C1120" s="4">
        <f t="shared" ca="1" si="3"/>
        <v>115.29080833333335</v>
      </c>
      <c r="D1120" s="4">
        <f t="shared" ca="1" si="3"/>
        <v>97.516241666666645</v>
      </c>
      <c r="E1120" s="4">
        <f t="shared" ca="1" si="3"/>
        <v>631.2565456553051</v>
      </c>
    </row>
    <row r="1121" spans="1:5" ht="15">
      <c r="A1121" s="3">
        <f t="shared" si="2"/>
        <v>2086</v>
      </c>
      <c r="B1121" s="4">
        <f t="shared" ca="1" si="3"/>
        <v>119.52665833333333</v>
      </c>
      <c r="C1121" s="4">
        <f t="shared" ca="1" si="3"/>
        <v>119.21415833333333</v>
      </c>
      <c r="D1121" s="4">
        <f t="shared" ca="1" si="3"/>
        <v>99.895183333333321</v>
      </c>
      <c r="E1121" s="4">
        <f t="shared" ca="1" si="3"/>
        <v>651.14112684344741</v>
      </c>
    </row>
    <row r="1122" spans="1:5" ht="15">
      <c r="A1122" s="3">
        <f t="shared" si="2"/>
        <v>2087</v>
      </c>
      <c r="B1122" s="4">
        <f t="shared" ca="1" si="3"/>
        <v>123.585375</v>
      </c>
      <c r="C1122" s="4">
        <f t="shared" ca="1" si="3"/>
        <v>123.272875</v>
      </c>
      <c r="D1122" s="4">
        <f t="shared" ca="1" si="3"/>
        <v>102.33314166666666</v>
      </c>
      <c r="E1122" s="4">
        <f t="shared" ca="1" si="3"/>
        <v>671.65207233901629</v>
      </c>
    </row>
    <row r="1123" spans="1:5" ht="15">
      <c r="A1123" s="3">
        <f t="shared" si="2"/>
        <v>2088</v>
      </c>
      <c r="B1123" s="4">
        <f t="shared" ca="1" si="3"/>
        <v>127.78411666666666</v>
      </c>
      <c r="C1123" s="4">
        <f t="shared" ca="1" si="3"/>
        <v>127.47161666666666</v>
      </c>
      <c r="D1123" s="4">
        <f t="shared" ca="1" si="3"/>
        <v>104.83155833333335</v>
      </c>
      <c r="E1123" s="4">
        <f t="shared" ca="1" si="3"/>
        <v>692.80911261769506</v>
      </c>
    </row>
    <row r="1124" spans="1:5" ht="15">
      <c r="A1124" s="3">
        <f t="shared" si="2"/>
        <v>2089</v>
      </c>
      <c r="B1124" s="4">
        <f t="shared" ca="1" si="3"/>
        <v>132.127725</v>
      </c>
      <c r="C1124" s="4">
        <f t="shared" ca="1" si="3"/>
        <v>131.815225</v>
      </c>
      <c r="D1124" s="4">
        <f t="shared" ca="1" si="3"/>
        <v>107.39190833333332</v>
      </c>
      <c r="E1124" s="4">
        <f t="shared" ca="1" si="3"/>
        <v>714.63259966515272</v>
      </c>
    </row>
    <row r="1125" spans="1:5" ht="15">
      <c r="A1125" s="3">
        <f t="shared" si="2"/>
        <v>2090</v>
      </c>
      <c r="B1125" s="4">
        <f t="shared" ca="1" si="3"/>
        <v>136.62117499999999</v>
      </c>
      <c r="C1125" s="4">
        <f t="shared" ca="1" si="3"/>
        <v>136.30867499999999</v>
      </c>
      <c r="D1125" s="4">
        <f t="shared" ca="1" si="3"/>
        <v>110.01578333333333</v>
      </c>
      <c r="E1125" s="4">
        <f t="shared" ca="1" si="3"/>
        <v>737.1435265546047</v>
      </c>
    </row>
    <row r="1126" spans="1:5" ht="15">
      <c r="A1126" s="3">
        <f t="shared" si="2"/>
        <v>2091</v>
      </c>
      <c r="B1126" s="4">
        <f t="shared" ca="1" si="3"/>
        <v>141.26964999999998</v>
      </c>
      <c r="C1126" s="4">
        <f t="shared" ca="1" si="3"/>
        <v>140.95714999999998</v>
      </c>
      <c r="D1126" s="4">
        <f t="shared" ca="1" si="3"/>
        <v>112.70473333333332</v>
      </c>
      <c r="E1126" s="4">
        <f t="shared" ca="1" si="3"/>
        <v>760.36354764107489</v>
      </c>
    </row>
    <row r="1127" spans="1:5" ht="15">
      <c r="A1127" s="3">
        <f t="shared" si="2"/>
        <v>2092</v>
      </c>
      <c r="B1127" s="4">
        <f t="shared" ca="1" si="3"/>
        <v>146.07849166666665</v>
      </c>
      <c r="C1127" s="4">
        <f t="shared" ca="1" si="3"/>
        <v>145.76599166666665</v>
      </c>
      <c r="D1127" s="4">
        <f t="shared" ca="1" si="3"/>
        <v>115.46035000000001</v>
      </c>
      <c r="E1127" s="4">
        <f t="shared" ca="1" si="3"/>
        <v>784.31499939176865</v>
      </c>
    </row>
    <row r="1128" spans="1:5" ht="15">
      <c r="A1128" s="3">
        <f t="shared" si="2"/>
        <v>2093</v>
      </c>
      <c r="B1128" s="4">
        <f t="shared" ca="1" si="3"/>
        <v>151.05325833333333</v>
      </c>
      <c r="C1128" s="4">
        <f t="shared" ca="1" si="3"/>
        <v>150.74075833333333</v>
      </c>
      <c r="D1128" s="4">
        <f t="shared" ca="1" si="3"/>
        <v>118.28431666666665</v>
      </c>
      <c r="E1128" s="4">
        <f t="shared" ca="1" si="3"/>
        <v>809.02092187260951</v>
      </c>
    </row>
    <row r="1129" spans="1:5" ht="15">
      <c r="A1129" s="3">
        <f t="shared" si="2"/>
        <v>2094</v>
      </c>
      <c r="B1129" s="4">
        <f t="shared" ca="1" si="3"/>
        <v>156.19964166666668</v>
      </c>
      <c r="C1129" s="4">
        <f t="shared" ca="1" si="3"/>
        <v>155.88714166666668</v>
      </c>
      <c r="D1129" s="4">
        <f t="shared" ca="1" si="3"/>
        <v>121.17830000000002</v>
      </c>
      <c r="E1129" s="4">
        <f t="shared" ca="1" si="3"/>
        <v>834.50508091159679</v>
      </c>
    </row>
    <row r="1130" spans="1:5" ht="15">
      <c r="A1130" s="3">
        <f t="shared" si="2"/>
        <v>2095</v>
      </c>
      <c r="B1130" s="4">
        <f t="shared" ca="1" si="3"/>
        <v>161.52356666666668</v>
      </c>
      <c r="C1130" s="4">
        <f t="shared" ca="1" si="3"/>
        <v>161.21106666666668</v>
      </c>
      <c r="D1130" s="4">
        <f t="shared" ca="1" si="3"/>
        <v>124.14406666666667</v>
      </c>
      <c r="E1130" s="4">
        <f t="shared" ca="1" si="3"/>
        <v>860.79199096031243</v>
      </c>
    </row>
    <row r="1131" spans="1:5" ht="15">
      <c r="A1131" s="3">
        <f t="shared" si="2"/>
        <v>2096</v>
      </c>
      <c r="B1131" s="4">
        <f t="shared" ca="1" si="3"/>
        <v>167.03118333333333</v>
      </c>
      <c r="C1131" s="4">
        <f t="shared" ca="1" si="3"/>
        <v>166.71868333333333</v>
      </c>
      <c r="D1131" s="4">
        <f t="shared" ca="1" si="3"/>
        <v>127.18340000000001</v>
      </c>
      <c r="E1131" s="4">
        <f t="shared" ca="1" si="3"/>
        <v>887.90693867556195</v>
      </c>
    </row>
    <row r="1132" spans="1:5" ht="15">
      <c r="A1132" s="3">
        <f t="shared" si="2"/>
        <v>2097</v>
      </c>
      <c r="B1132" s="4">
        <f t="shared" ca="1" si="3"/>
        <v>172.72880000000001</v>
      </c>
      <c r="C1132" s="4">
        <f t="shared" ca="1" si="3"/>
        <v>172.41630000000001</v>
      </c>
      <c r="D1132" s="4">
        <f t="shared" ca="1" si="3"/>
        <v>130.29810000000001</v>
      </c>
      <c r="E1132" s="4">
        <f t="shared" ca="1" si="3"/>
        <v>915.87600724384254</v>
      </c>
    </row>
    <row r="1133" spans="1:5" ht="15">
      <c r="A1133" s="3">
        <f t="shared" si="2"/>
        <v>2098</v>
      </c>
      <c r="B1133" s="4">
        <f t="shared" ca="1" si="3"/>
        <v>178.62298333333334</v>
      </c>
      <c r="C1133" s="4">
        <f t="shared" ca="1" si="3"/>
        <v>178.31048333333334</v>
      </c>
      <c r="D1133" s="4">
        <f t="shared" ca="1" si="3"/>
        <v>133.49004166666668</v>
      </c>
      <c r="E1133" s="4">
        <f t="shared" ca="1" si="3"/>
        <v>944.72610147202329</v>
      </c>
    </row>
    <row r="1134" spans="1:5" ht="15">
      <c r="A1134" s="3">
        <f t="shared" si="2"/>
        <v>2099</v>
      </c>
      <c r="B1134" s="4">
        <f t="shared" ca="1" si="3"/>
        <v>184.72055</v>
      </c>
      <c r="C1134" s="4">
        <f t="shared" ca="1" si="3"/>
        <v>184.40805</v>
      </c>
      <c r="D1134" s="4">
        <f t="shared" ca="1" si="3"/>
        <v>136.76114999999999</v>
      </c>
      <c r="E1134" s="4">
        <f t="shared" ca="1" si="3"/>
        <v>974.48497366839217</v>
      </c>
    </row>
    <row r="1135" spans="1:5" ht="15">
      <c r="A1135" s="3">
        <f t="shared" si="2"/>
        <v>2100</v>
      </c>
      <c r="B1135" s="4">
        <f t="shared" ca="1" si="3"/>
        <v>191.028425</v>
      </c>
      <c r="C1135" s="4">
        <f t="shared" ca="1" si="3"/>
        <v>190.715925</v>
      </c>
      <c r="D1135" s="4">
        <f t="shared" ca="1" si="3"/>
        <v>140.11335833333334</v>
      </c>
      <c r="E1135" s="4">
        <f t="shared" ca="1" si="3"/>
        <v>1005.1812503389473</v>
      </c>
    </row>
    <row r="1136" spans="1:5">
      <c r="A1136" s="32"/>
    </row>
    <row r="1137" spans="1:1">
      <c r="A1137" s="32"/>
    </row>
    <row r="1138" spans="1:1">
      <c r="A1138" s="32"/>
    </row>
    <row r="1139" spans="1:1">
      <c r="A1139" s="32"/>
    </row>
    <row r="1140" spans="1:1">
      <c r="A1140" s="32"/>
    </row>
    <row r="1141" spans="1:1">
      <c r="A1141" s="32"/>
    </row>
    <row r="1142" spans="1:1">
      <c r="A1142" s="32"/>
    </row>
    <row r="1143" spans="1:1">
      <c r="A1143" s="32"/>
    </row>
    <row r="1144" spans="1:1">
      <c r="A1144" s="32"/>
    </row>
    <row r="1145" spans="1:1">
      <c r="A1145" s="32"/>
    </row>
    <row r="1146" spans="1:1">
      <c r="A1146" s="32"/>
    </row>
    <row r="1147" spans="1:1">
      <c r="A1147" s="32"/>
    </row>
    <row r="1148" spans="1:1">
      <c r="A1148" s="32"/>
    </row>
    <row r="1149" spans="1:1">
      <c r="A1149" s="32"/>
    </row>
    <row r="1150" spans="1:1">
      <c r="A1150" s="32"/>
    </row>
    <row r="1151" spans="1:1">
      <c r="A1151" s="32"/>
    </row>
    <row r="1152" spans="1:1">
      <c r="A1152" s="32"/>
    </row>
    <row r="1153" spans="1:1">
      <c r="A1153" s="32"/>
    </row>
    <row r="1154" spans="1:1">
      <c r="A1154" s="32"/>
    </row>
    <row r="1155" spans="1:1">
      <c r="A1155" s="32"/>
    </row>
  </sheetData>
  <mergeCells count="1">
    <mergeCell ref="B14:C14"/>
  </mergeCells>
  <pageMargins left="0.25" right="0.25" top="0.5" bottom="0.5" header="0.25" footer="0.25"/>
  <pageSetup orientation="portrait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30"/>
  <sheetViews>
    <sheetView zoomScale="70" zoomScaleNormal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B17" sqref="B17"/>
    </sheetView>
  </sheetViews>
  <sheetFormatPr defaultColWidth="7.109375" defaultRowHeight="12.75"/>
  <cols>
    <col min="1" max="1" width="14.5546875" style="32" customWidth="1"/>
    <col min="2" max="2" width="19" style="32" customWidth="1"/>
    <col min="3" max="3" width="16.109375" style="32" customWidth="1"/>
    <col min="4" max="4" width="20.21875" style="32" customWidth="1"/>
    <col min="5" max="5" width="20.6640625" style="32" customWidth="1"/>
    <col min="6" max="6" width="16.109375" style="32" customWidth="1"/>
    <col min="7" max="9" width="20" style="32" customWidth="1"/>
    <col min="10" max="11" width="19.109375" style="32" customWidth="1"/>
    <col min="12" max="12" width="16.109375" style="32" customWidth="1"/>
    <col min="13" max="15" width="17.6640625" style="32" customWidth="1"/>
    <col min="16" max="16384" width="7.109375" style="32"/>
  </cols>
  <sheetData>
    <row r="1" spans="1:15" ht="15.75">
      <c r="A1" s="84" t="s">
        <v>64</v>
      </c>
    </row>
    <row r="2" spans="1:15" ht="15.75">
      <c r="A2" s="84" t="s">
        <v>65</v>
      </c>
    </row>
    <row r="3" spans="1:15" ht="15.75">
      <c r="A3" s="84" t="s">
        <v>66</v>
      </c>
    </row>
    <row r="4" spans="1:15" ht="15.75">
      <c r="A4" s="84" t="s">
        <v>67</v>
      </c>
    </row>
    <row r="5" spans="1:15" ht="15.75">
      <c r="A5" s="84" t="s">
        <v>69</v>
      </c>
    </row>
    <row r="6" spans="1:15" ht="15.75">
      <c r="A6" s="84" t="s">
        <v>72</v>
      </c>
    </row>
    <row r="9" spans="1:15" ht="15" customHeight="1">
      <c r="A9" s="74" t="s">
        <v>25</v>
      </c>
    </row>
    <row r="10" spans="1:15" ht="15" customHeight="1">
      <c r="A10" s="75"/>
    </row>
    <row r="11" spans="1:15" ht="15" customHeight="1">
      <c r="A11" s="75"/>
    </row>
    <row r="12" spans="1:15" ht="15" customHeight="1">
      <c r="B12" s="74"/>
      <c r="H12" s="71" t="s">
        <v>51</v>
      </c>
    </row>
    <row r="13" spans="1:15" ht="15" customHeight="1">
      <c r="A13" s="74"/>
      <c r="B13" s="73" t="s">
        <v>24</v>
      </c>
      <c r="C13" s="72">
        <f>1-0.141</f>
        <v>0.85899999999999999</v>
      </c>
      <c r="D13" s="73" t="s">
        <v>23</v>
      </c>
      <c r="E13" s="72">
        <f>1+0.141</f>
        <v>1.141</v>
      </c>
      <c r="H13" s="71"/>
      <c r="L13" s="89"/>
      <c r="M13" s="89"/>
      <c r="N13" s="89"/>
      <c r="O13" s="89"/>
    </row>
    <row r="14" spans="1:15" ht="15" customHeight="1">
      <c r="B14" s="88" t="s">
        <v>50</v>
      </c>
      <c r="C14" s="88"/>
      <c r="D14" s="88"/>
      <c r="E14" s="90" t="s">
        <v>49</v>
      </c>
      <c r="F14" s="90"/>
      <c r="G14" s="91"/>
      <c r="H14" s="92" t="s">
        <v>48</v>
      </c>
      <c r="I14" s="92"/>
      <c r="J14" s="91" t="s">
        <v>47</v>
      </c>
      <c r="K14" s="91"/>
      <c r="L14" s="89"/>
      <c r="M14" s="89"/>
      <c r="N14" s="89"/>
      <c r="O14" s="89"/>
    </row>
    <row r="15" spans="1:15" ht="63">
      <c r="B15" s="70" t="s">
        <v>46</v>
      </c>
      <c r="C15" s="69" t="s">
        <v>45</v>
      </c>
      <c r="D15" s="68" t="s">
        <v>44</v>
      </c>
      <c r="E15" s="70" t="s">
        <v>46</v>
      </c>
      <c r="F15" s="69" t="s">
        <v>45</v>
      </c>
      <c r="G15" s="68" t="s">
        <v>44</v>
      </c>
      <c r="H15" s="69" t="s">
        <v>45</v>
      </c>
      <c r="I15" s="68" t="s">
        <v>44</v>
      </c>
      <c r="J15" s="69" t="s">
        <v>45</v>
      </c>
      <c r="K15" s="68" t="s">
        <v>44</v>
      </c>
      <c r="L15" s="60"/>
      <c r="M15" s="67"/>
      <c r="N15" s="67"/>
      <c r="O15" s="67"/>
    </row>
    <row r="16" spans="1:15" ht="20.25">
      <c r="A16" s="24" t="s">
        <v>2</v>
      </c>
      <c r="B16" s="66" t="s">
        <v>1</v>
      </c>
      <c r="C16" s="66" t="s">
        <v>1</v>
      </c>
      <c r="D16" s="66" t="s">
        <v>1</v>
      </c>
      <c r="E16" s="66" t="s">
        <v>1</v>
      </c>
      <c r="F16" s="66" t="s">
        <v>1</v>
      </c>
      <c r="G16" s="66" t="s">
        <v>1</v>
      </c>
      <c r="H16" s="66" t="s">
        <v>1</v>
      </c>
      <c r="I16" s="66" t="s">
        <v>1</v>
      </c>
      <c r="J16" s="66" t="s">
        <v>1</v>
      </c>
      <c r="K16" s="66" t="s">
        <v>1</v>
      </c>
      <c r="L16" s="65"/>
      <c r="M16" s="65"/>
      <c r="N16" s="65"/>
      <c r="O16" s="65"/>
    </row>
    <row r="17" spans="1:14" ht="15">
      <c r="A17" s="13">
        <v>42156</v>
      </c>
      <c r="B17" s="63">
        <f>2.2099 * CHOOSE(CONTROL!$C$22, $C$13, 100%, $E$13)</f>
        <v>2.2099000000000002</v>
      </c>
      <c r="C17" s="63">
        <f>2.2099 * CHOOSE(CONTROL!$C$22, $C$13, 100%, $E$13)</f>
        <v>2.2099000000000002</v>
      </c>
      <c r="D17" s="63">
        <f>2.233 * CHOOSE(CONTROL!$C$22, $C$13, 100%, $E$13)</f>
        <v>2.2330000000000001</v>
      </c>
      <c r="E17" s="64">
        <f>3.1268 * CHOOSE(CONTROL!$C$22, $C$13, 100%, $E$13)</f>
        <v>3.1267999999999998</v>
      </c>
      <c r="F17" s="64">
        <f>4.06 * CHOOSE(CONTROL!$C$22, $C$13, 100%, $E$13)</f>
        <v>4.0599999999999996</v>
      </c>
      <c r="G17" s="64">
        <f>4.0615 * CHOOSE(CONTROL!$C$22, $C$13, 100%, $E$13)</f>
        <v>4.0614999999999997</v>
      </c>
      <c r="H17" s="64">
        <f>5.6482* CHOOSE(CONTROL!$C$22, $C$13, 100%, $E$13)</f>
        <v>5.6482000000000001</v>
      </c>
      <c r="I17" s="64">
        <f>5.6496 * CHOOSE(CONTROL!$C$22, $C$13, 100%, $E$13)</f>
        <v>5.6496000000000004</v>
      </c>
      <c r="J17" s="64">
        <f>3.1268 * CHOOSE(CONTROL!$C$22, $C$13, 100%, $E$13)</f>
        <v>3.1267999999999998</v>
      </c>
      <c r="K17" s="64">
        <f>3.1283 * CHOOSE(CONTROL!$C$22, $C$13, 100%, $E$13)</f>
        <v>3.1282999999999999</v>
      </c>
      <c r="L17" s="4"/>
      <c r="M17" s="64"/>
      <c r="N17" s="64"/>
    </row>
    <row r="18" spans="1:14" ht="15">
      <c r="A18" s="13">
        <v>42186</v>
      </c>
      <c r="B18" s="63">
        <f>2.2225 * CHOOSE(CONTROL!$C$22, $C$13, 100%, $E$13)</f>
        <v>2.2225000000000001</v>
      </c>
      <c r="C18" s="63">
        <f>2.2225 * CHOOSE(CONTROL!$C$22, $C$13, 100%, $E$13)</f>
        <v>2.2225000000000001</v>
      </c>
      <c r="D18" s="63">
        <f>2.2456 * CHOOSE(CONTROL!$C$22, $C$13, 100%, $E$13)</f>
        <v>2.2456</v>
      </c>
      <c r="E18" s="64">
        <f>3.2309 * CHOOSE(CONTROL!$C$22, $C$13, 100%, $E$13)</f>
        <v>3.2309000000000001</v>
      </c>
      <c r="F18" s="64">
        <f>4.06 * CHOOSE(CONTROL!$C$22, $C$13, 100%, $E$13)</f>
        <v>4.0599999999999996</v>
      </c>
      <c r="G18" s="64">
        <f>4.0615 * CHOOSE(CONTROL!$C$22, $C$13, 100%, $E$13)</f>
        <v>4.0614999999999997</v>
      </c>
      <c r="H18" s="64">
        <f>5.6599* CHOOSE(CONTROL!$C$22, $C$13, 100%, $E$13)</f>
        <v>5.6599000000000004</v>
      </c>
      <c r="I18" s="64">
        <f>5.6614 * CHOOSE(CONTROL!$C$22, $C$13, 100%, $E$13)</f>
        <v>5.6614000000000004</v>
      </c>
      <c r="J18" s="64">
        <f>3.2309 * CHOOSE(CONTROL!$C$22, $C$13, 100%, $E$13)</f>
        <v>3.2309000000000001</v>
      </c>
      <c r="K18" s="64">
        <f>3.2324 * CHOOSE(CONTROL!$C$22, $C$13, 100%, $E$13)</f>
        <v>3.2324000000000002</v>
      </c>
      <c r="L18" s="4"/>
      <c r="M18" s="64"/>
      <c r="N18" s="64"/>
    </row>
    <row r="19" spans="1:14" ht="15">
      <c r="A19" s="13">
        <v>42217</v>
      </c>
      <c r="B19" s="63">
        <f>2.2353 * CHOOSE(CONTROL!$C$22, $C$13, 100%, $E$13)</f>
        <v>2.2353000000000001</v>
      </c>
      <c r="C19" s="63">
        <f>2.2353 * CHOOSE(CONTROL!$C$22, $C$13, 100%, $E$13)</f>
        <v>2.2353000000000001</v>
      </c>
      <c r="D19" s="63">
        <f>2.2584 * CHOOSE(CONTROL!$C$22, $C$13, 100%, $E$13)</f>
        <v>2.2584</v>
      </c>
      <c r="E19" s="64">
        <f>3.4538 * CHOOSE(CONTROL!$C$22, $C$13, 100%, $E$13)</f>
        <v>3.4538000000000002</v>
      </c>
      <c r="F19" s="64">
        <f>4.06 * CHOOSE(CONTROL!$C$22, $C$13, 100%, $E$13)</f>
        <v>4.0599999999999996</v>
      </c>
      <c r="G19" s="64">
        <f>4.0615 * CHOOSE(CONTROL!$C$22, $C$13, 100%, $E$13)</f>
        <v>4.0614999999999997</v>
      </c>
      <c r="H19" s="64">
        <f>5.6717* CHOOSE(CONTROL!$C$22, $C$13, 100%, $E$13)</f>
        <v>5.6717000000000004</v>
      </c>
      <c r="I19" s="64">
        <f>5.6732 * CHOOSE(CONTROL!$C$22, $C$13, 100%, $E$13)</f>
        <v>5.6731999999999996</v>
      </c>
      <c r="J19" s="64">
        <f>3.4538 * CHOOSE(CONTROL!$C$22, $C$13, 100%, $E$13)</f>
        <v>3.4538000000000002</v>
      </c>
      <c r="K19" s="64">
        <f>3.4552 * CHOOSE(CONTROL!$C$22, $C$13, 100%, $E$13)</f>
        <v>3.4552</v>
      </c>
      <c r="L19" s="4"/>
      <c r="M19" s="64"/>
      <c r="N19" s="64"/>
    </row>
    <row r="20" spans="1:14" ht="15">
      <c r="A20" s="13">
        <v>42248</v>
      </c>
      <c r="B20" s="63">
        <f>2.2292 * CHOOSE(CONTROL!$C$22, $C$13, 100%, $E$13)</f>
        <v>2.2292000000000001</v>
      </c>
      <c r="C20" s="63">
        <f>2.2292 * CHOOSE(CONTROL!$C$22, $C$13, 100%, $E$13)</f>
        <v>2.2292000000000001</v>
      </c>
      <c r="D20" s="63">
        <f>2.2523 * CHOOSE(CONTROL!$C$22, $C$13, 100%, $E$13)</f>
        <v>2.2523</v>
      </c>
      <c r="E20" s="64">
        <f>3.3064 * CHOOSE(CONTROL!$C$22, $C$13, 100%, $E$13)</f>
        <v>3.3064</v>
      </c>
      <c r="F20" s="64">
        <f>4.06 * CHOOSE(CONTROL!$C$22, $C$13, 100%, $E$13)</f>
        <v>4.0599999999999996</v>
      </c>
      <c r="G20" s="64">
        <f>4.0615 * CHOOSE(CONTROL!$C$22, $C$13, 100%, $E$13)</f>
        <v>4.0614999999999997</v>
      </c>
      <c r="H20" s="64">
        <f>5.6835* CHOOSE(CONTROL!$C$22, $C$13, 100%, $E$13)</f>
        <v>5.6835000000000004</v>
      </c>
      <c r="I20" s="64">
        <f>5.685 * CHOOSE(CONTROL!$C$22, $C$13, 100%, $E$13)</f>
        <v>5.6849999999999996</v>
      </c>
      <c r="J20" s="64">
        <f>3.3064 * CHOOSE(CONTROL!$C$22, $C$13, 100%, $E$13)</f>
        <v>3.3064</v>
      </c>
      <c r="K20" s="64">
        <f>3.3079 * CHOOSE(CONTROL!$C$22, $C$13, 100%, $E$13)</f>
        <v>3.3079000000000001</v>
      </c>
      <c r="L20" s="4"/>
      <c r="M20" s="64"/>
      <c r="N20" s="64"/>
    </row>
    <row r="21" spans="1:14" ht="15">
      <c r="A21" s="13">
        <v>42278</v>
      </c>
      <c r="B21" s="63">
        <f>2.2231 * CHOOSE(CONTROL!$C$22, $C$13, 100%, $E$13)</f>
        <v>2.2231000000000001</v>
      </c>
      <c r="C21" s="63">
        <f>2.2231 * CHOOSE(CONTROL!$C$22, $C$13, 100%, $E$13)</f>
        <v>2.2231000000000001</v>
      </c>
      <c r="D21" s="63">
        <f>2.2347 * CHOOSE(CONTROL!$C$22, $C$13, 100%, $E$13)</f>
        <v>2.2347000000000001</v>
      </c>
      <c r="E21" s="64">
        <f>3.4538 * CHOOSE(CONTROL!$C$22, $C$13, 100%, $E$13)</f>
        <v>3.4538000000000002</v>
      </c>
      <c r="F21" s="64">
        <f>4.06 * CHOOSE(CONTROL!$C$22, $C$13, 100%, $E$13)</f>
        <v>4.0599999999999996</v>
      </c>
      <c r="G21" s="64">
        <f>4.0602 * CHOOSE(CONTROL!$C$22, $C$13, 100%, $E$13)</f>
        <v>4.0602</v>
      </c>
      <c r="H21" s="64">
        <f>5.6954* CHOOSE(CONTROL!$C$22, $C$13, 100%, $E$13)</f>
        <v>5.6954000000000002</v>
      </c>
      <c r="I21" s="64">
        <f>5.6955 * CHOOSE(CONTROL!$C$22, $C$13, 100%, $E$13)</f>
        <v>5.6955</v>
      </c>
      <c r="J21" s="64">
        <f>3.4538 * CHOOSE(CONTROL!$C$22, $C$13, 100%, $E$13)</f>
        <v>3.4538000000000002</v>
      </c>
      <c r="K21" s="64">
        <f>3.4539 * CHOOSE(CONTROL!$C$22, $C$13, 100%, $E$13)</f>
        <v>3.4539</v>
      </c>
      <c r="L21" s="4"/>
      <c r="M21" s="64"/>
      <c r="N21" s="64"/>
    </row>
    <row r="22" spans="1:14" ht="15">
      <c r="A22" s="13">
        <v>42309</v>
      </c>
      <c r="B22" s="63">
        <f>2.242 * CHOOSE(CONTROL!$C$22, $C$13, 100%, $E$13)</f>
        <v>2.242</v>
      </c>
      <c r="C22" s="63">
        <f>2.242 * CHOOSE(CONTROL!$C$22, $C$13, 100%, $E$13)</f>
        <v>2.242</v>
      </c>
      <c r="D22" s="63">
        <f>2.2535 * CHOOSE(CONTROL!$C$22, $C$13, 100%, $E$13)</f>
        <v>2.2534999999999998</v>
      </c>
      <c r="E22" s="64">
        <f>3.3432 * CHOOSE(CONTROL!$C$22, $C$13, 100%, $E$13)</f>
        <v>3.3431999999999999</v>
      </c>
      <c r="F22" s="64">
        <f>4.06 * CHOOSE(CONTROL!$C$22, $C$13, 100%, $E$13)</f>
        <v>4.0599999999999996</v>
      </c>
      <c r="G22" s="64">
        <f>4.0602 * CHOOSE(CONTROL!$C$22, $C$13, 100%, $E$13)</f>
        <v>4.0602</v>
      </c>
      <c r="H22" s="64">
        <f>5.7072* CHOOSE(CONTROL!$C$22, $C$13, 100%, $E$13)</f>
        <v>5.7072000000000003</v>
      </c>
      <c r="I22" s="64">
        <f>5.7074 * CHOOSE(CONTROL!$C$22, $C$13, 100%, $E$13)</f>
        <v>5.7073999999999998</v>
      </c>
      <c r="J22" s="64">
        <f>3.3432 * CHOOSE(CONTROL!$C$22, $C$13, 100%, $E$13)</f>
        <v>3.3431999999999999</v>
      </c>
      <c r="K22" s="64">
        <f>3.3434 * CHOOSE(CONTROL!$C$22, $C$13, 100%, $E$13)</f>
        <v>3.3433999999999999</v>
      </c>
      <c r="L22" s="4"/>
      <c r="M22" s="64"/>
      <c r="N22" s="64"/>
    </row>
    <row r="23" spans="1:14" ht="15">
      <c r="A23" s="13">
        <v>42339</v>
      </c>
      <c r="B23" s="63">
        <f>2.2724 * CHOOSE(CONTROL!$C$22, $C$13, 100%, $E$13)</f>
        <v>2.2724000000000002</v>
      </c>
      <c r="C23" s="63">
        <f>2.2724 * CHOOSE(CONTROL!$C$22, $C$13, 100%, $E$13)</f>
        <v>2.2724000000000002</v>
      </c>
      <c r="D23" s="63">
        <f>2.2839 * CHOOSE(CONTROL!$C$22, $C$13, 100%, $E$13)</f>
        <v>2.2839</v>
      </c>
      <c r="E23" s="64">
        <f>3.3054 * CHOOSE(CONTROL!$C$22, $C$13, 100%, $E$13)</f>
        <v>3.3054000000000001</v>
      </c>
      <c r="F23" s="64">
        <f>4.06 * CHOOSE(CONTROL!$C$22, $C$13, 100%, $E$13)</f>
        <v>4.0599999999999996</v>
      </c>
      <c r="G23" s="64">
        <f>4.0602 * CHOOSE(CONTROL!$C$22, $C$13, 100%, $E$13)</f>
        <v>4.0602</v>
      </c>
      <c r="H23" s="64">
        <f>5.7191* CHOOSE(CONTROL!$C$22, $C$13, 100%, $E$13)</f>
        <v>5.7191000000000001</v>
      </c>
      <c r="I23" s="64">
        <f>5.7193 * CHOOSE(CONTROL!$C$22, $C$13, 100%, $E$13)</f>
        <v>5.7192999999999996</v>
      </c>
      <c r="J23" s="64">
        <f>3.3054 * CHOOSE(CONTROL!$C$22, $C$13, 100%, $E$13)</f>
        <v>3.3054000000000001</v>
      </c>
      <c r="K23" s="64">
        <f>3.3056 * CHOOSE(CONTROL!$C$22, $C$13, 100%, $E$13)</f>
        <v>3.3056000000000001</v>
      </c>
      <c r="L23" s="4"/>
      <c r="M23" s="64"/>
      <c r="N23" s="64"/>
    </row>
    <row r="24" spans="1:14" ht="15">
      <c r="A24" s="13">
        <v>42370</v>
      </c>
      <c r="B24" s="63">
        <f>2.6078 * CHOOSE(CONTROL!$C$22, $C$13, 100%, $E$13)</f>
        <v>2.6078000000000001</v>
      </c>
      <c r="C24" s="63">
        <f>2.6078 * CHOOSE(CONTROL!$C$22, $C$13, 100%, $E$13)</f>
        <v>2.6078000000000001</v>
      </c>
      <c r="D24" s="63">
        <f>2.6194 * CHOOSE(CONTROL!$C$22, $C$13, 100%, $E$13)</f>
        <v>2.6194000000000002</v>
      </c>
      <c r="E24" s="64">
        <f>3.383 * CHOOSE(CONTROL!$C$22, $C$13, 100%, $E$13)</f>
        <v>3.383</v>
      </c>
      <c r="F24" s="64">
        <f>4.017 * CHOOSE(CONTROL!$C$22, $C$13, 100%, $E$13)</f>
        <v>4.0170000000000003</v>
      </c>
      <c r="G24" s="64">
        <f>4.0172 * CHOOSE(CONTROL!$C$22, $C$13, 100%, $E$13)</f>
        <v>4.0171999999999999</v>
      </c>
      <c r="H24" s="64">
        <f>5.731* CHOOSE(CONTROL!$C$22, $C$13, 100%, $E$13)</f>
        <v>5.7309999999999999</v>
      </c>
      <c r="I24" s="64">
        <f>5.7312 * CHOOSE(CONTROL!$C$22, $C$13, 100%, $E$13)</f>
        <v>5.7312000000000003</v>
      </c>
      <c r="J24" s="64">
        <f>3.383 * CHOOSE(CONTROL!$C$22, $C$13, 100%, $E$13)</f>
        <v>3.383</v>
      </c>
      <c r="K24" s="64">
        <f>3.3832 * CHOOSE(CONTROL!$C$22, $C$13, 100%, $E$13)</f>
        <v>3.3832</v>
      </c>
      <c r="L24" s="4"/>
      <c r="M24" s="64"/>
      <c r="N24" s="64"/>
    </row>
    <row r="25" spans="1:14" ht="15">
      <c r="A25" s="13">
        <v>42401</v>
      </c>
      <c r="B25" s="63">
        <f>2.6017 * CHOOSE(CONTROL!$C$22, $C$13, 100%, $E$13)</f>
        <v>2.6017000000000001</v>
      </c>
      <c r="C25" s="63">
        <f>2.6017 * CHOOSE(CONTROL!$C$22, $C$13, 100%, $E$13)</f>
        <v>2.6017000000000001</v>
      </c>
      <c r="D25" s="63">
        <f>2.6133 * CHOOSE(CONTROL!$C$22, $C$13, 100%, $E$13)</f>
        <v>2.6133000000000002</v>
      </c>
      <c r="E25" s="64">
        <f>3.3427 * CHOOSE(CONTROL!$C$22, $C$13, 100%, $E$13)</f>
        <v>3.3426999999999998</v>
      </c>
      <c r="F25" s="64">
        <f>4.035 * CHOOSE(CONTROL!$C$22, $C$13, 100%, $E$13)</f>
        <v>4.0350000000000001</v>
      </c>
      <c r="G25" s="64">
        <f>4.0352 * CHOOSE(CONTROL!$C$22, $C$13, 100%, $E$13)</f>
        <v>4.0351999999999997</v>
      </c>
      <c r="H25" s="64">
        <f>5.743* CHOOSE(CONTROL!$C$22, $C$13, 100%, $E$13)</f>
        <v>5.7430000000000003</v>
      </c>
      <c r="I25" s="64">
        <f>5.7432 * CHOOSE(CONTROL!$C$22, $C$13, 100%, $E$13)</f>
        <v>5.7431999999999999</v>
      </c>
      <c r="J25" s="64">
        <f>3.3427 * CHOOSE(CONTROL!$C$22, $C$13, 100%, $E$13)</f>
        <v>3.3426999999999998</v>
      </c>
      <c r="K25" s="64">
        <f>3.3429 * CHOOSE(CONTROL!$C$22, $C$13, 100%, $E$13)</f>
        <v>3.3429000000000002</v>
      </c>
      <c r="L25" s="4"/>
      <c r="M25" s="64"/>
      <c r="N25" s="64"/>
    </row>
    <row r="26" spans="1:14" ht="15">
      <c r="A26" s="13">
        <v>42430</v>
      </c>
      <c r="B26" s="63">
        <f>2.5956 * CHOOSE(CONTROL!$C$22, $C$13, 100%, $E$13)</f>
        <v>2.5956000000000001</v>
      </c>
      <c r="C26" s="63">
        <f>2.5956 * CHOOSE(CONTROL!$C$22, $C$13, 100%, $E$13)</f>
        <v>2.5956000000000001</v>
      </c>
      <c r="D26" s="63">
        <f>2.6072 * CHOOSE(CONTROL!$C$22, $C$13, 100%, $E$13)</f>
        <v>2.6072000000000002</v>
      </c>
      <c r="E26" s="64">
        <f>3.5819 * CHOOSE(CONTROL!$C$22, $C$13, 100%, $E$13)</f>
        <v>3.5819000000000001</v>
      </c>
      <c r="F26" s="64">
        <f>4.01 * CHOOSE(CONTROL!$C$22, $C$13, 100%, $E$13)</f>
        <v>4.01</v>
      </c>
      <c r="G26" s="64">
        <f>4.0102 * CHOOSE(CONTROL!$C$22, $C$13, 100%, $E$13)</f>
        <v>4.0102000000000002</v>
      </c>
      <c r="H26" s="64">
        <f>5.7549* CHOOSE(CONTROL!$C$22, $C$13, 100%, $E$13)</f>
        <v>5.7549000000000001</v>
      </c>
      <c r="I26" s="64">
        <f>5.7551 * CHOOSE(CONTROL!$C$22, $C$13, 100%, $E$13)</f>
        <v>5.7550999999999997</v>
      </c>
      <c r="J26" s="64">
        <f>3.5819 * CHOOSE(CONTROL!$C$22, $C$13, 100%, $E$13)</f>
        <v>3.5819000000000001</v>
      </c>
      <c r="K26" s="64">
        <f>3.5821 * CHOOSE(CONTROL!$C$22, $C$13, 100%, $E$13)</f>
        <v>3.5821000000000001</v>
      </c>
      <c r="L26" s="4"/>
      <c r="M26" s="64"/>
      <c r="N26" s="64"/>
    </row>
    <row r="27" spans="1:14" ht="15">
      <c r="A27" s="13">
        <v>42461</v>
      </c>
      <c r="B27" s="63">
        <f>2.6042 * CHOOSE(CONTROL!$C$22, $C$13, 100%, $E$13)</f>
        <v>2.6042000000000001</v>
      </c>
      <c r="C27" s="63">
        <f>2.6042 * CHOOSE(CONTROL!$C$22, $C$13, 100%, $E$13)</f>
        <v>2.6042000000000001</v>
      </c>
      <c r="D27" s="63">
        <f>2.6158 * CHOOSE(CONTROL!$C$22, $C$13, 100%, $E$13)</f>
        <v>2.6158000000000001</v>
      </c>
      <c r="E27" s="64">
        <f>3.3427 * CHOOSE(CONTROL!$C$22, $C$13, 100%, $E$13)</f>
        <v>3.3426999999999998</v>
      </c>
      <c r="F27" s="64">
        <f>4.035 * CHOOSE(CONTROL!$C$22, $C$13, 100%, $E$13)</f>
        <v>4.0350000000000001</v>
      </c>
      <c r="G27" s="64">
        <f>4.0352 * CHOOSE(CONTROL!$C$22, $C$13, 100%, $E$13)</f>
        <v>4.0351999999999997</v>
      </c>
      <c r="H27" s="64">
        <f>5.7669* CHOOSE(CONTROL!$C$22, $C$13, 100%, $E$13)</f>
        <v>5.7668999999999997</v>
      </c>
      <c r="I27" s="64">
        <f>5.7671 * CHOOSE(CONTROL!$C$22, $C$13, 100%, $E$13)</f>
        <v>5.7671000000000001</v>
      </c>
      <c r="J27" s="64">
        <f>3.3427 * CHOOSE(CONTROL!$C$22, $C$13, 100%, $E$13)</f>
        <v>3.3426999999999998</v>
      </c>
      <c r="K27" s="64">
        <f>3.3429 * CHOOSE(CONTROL!$C$22, $C$13, 100%, $E$13)</f>
        <v>3.3429000000000002</v>
      </c>
      <c r="L27" s="4"/>
      <c r="M27" s="64"/>
      <c r="N27" s="64"/>
    </row>
    <row r="28" spans="1:14" ht="15">
      <c r="A28" s="13">
        <v>42491</v>
      </c>
      <c r="B28" s="63">
        <f>2.6103 * CHOOSE(CONTROL!$C$22, $C$13, 100%, $E$13)</f>
        <v>2.6103000000000001</v>
      </c>
      <c r="C28" s="63">
        <f>2.6103 * CHOOSE(CONTROL!$C$22, $C$13, 100%, $E$13)</f>
        <v>2.6103000000000001</v>
      </c>
      <c r="D28" s="63">
        <f>2.6334 * CHOOSE(CONTROL!$C$22, $C$13, 100%, $E$13)</f>
        <v>2.6334</v>
      </c>
      <c r="E28" s="64">
        <f>3.3395 * CHOOSE(CONTROL!$C$22, $C$13, 100%, $E$13)</f>
        <v>3.3395000000000001</v>
      </c>
      <c r="F28" s="64">
        <f>4.005 * CHOOSE(CONTROL!$C$22, $C$13, 100%, $E$13)</f>
        <v>4.0049999999999999</v>
      </c>
      <c r="G28" s="64">
        <f>4.0065 * CHOOSE(CONTROL!$C$22, $C$13, 100%, $E$13)</f>
        <v>4.0065</v>
      </c>
      <c r="H28" s="64">
        <f>5.7789* CHOOSE(CONTROL!$C$22, $C$13, 100%, $E$13)</f>
        <v>5.7789000000000001</v>
      </c>
      <c r="I28" s="64">
        <f>5.7804 * CHOOSE(CONTROL!$C$22, $C$13, 100%, $E$13)</f>
        <v>5.7804000000000002</v>
      </c>
      <c r="J28" s="64">
        <f>3.3395 * CHOOSE(CONTROL!$C$22, $C$13, 100%, $E$13)</f>
        <v>3.3395000000000001</v>
      </c>
      <c r="K28" s="64">
        <f>3.3409 * CHOOSE(CONTROL!$C$22, $C$13, 100%, $E$13)</f>
        <v>3.3409</v>
      </c>
      <c r="L28" s="4"/>
      <c r="M28" s="64"/>
      <c r="N28" s="64"/>
    </row>
    <row r="29" spans="1:14" ht="15">
      <c r="A29" s="13">
        <v>42522</v>
      </c>
      <c r="B29" s="63">
        <f>2.6164 * CHOOSE(CONTROL!$C$22, $C$13, 100%, $E$13)</f>
        <v>2.6164000000000001</v>
      </c>
      <c r="C29" s="63">
        <f>2.6164 * CHOOSE(CONTROL!$C$22, $C$13, 100%, $E$13)</f>
        <v>2.6164000000000001</v>
      </c>
      <c r="D29" s="63">
        <f>2.6395 * CHOOSE(CONTROL!$C$22, $C$13, 100%, $E$13)</f>
        <v>2.6395</v>
      </c>
      <c r="E29" s="64">
        <f>3.1559 * CHOOSE(CONTROL!$C$22, $C$13, 100%, $E$13)</f>
        <v>3.1558999999999999</v>
      </c>
      <c r="F29" s="64">
        <f>4.017 * CHOOSE(CONTROL!$C$22, $C$13, 100%, $E$13)</f>
        <v>4.0170000000000003</v>
      </c>
      <c r="G29" s="64">
        <f>4.0185 * CHOOSE(CONTROL!$C$22, $C$13, 100%, $E$13)</f>
        <v>4.0185000000000004</v>
      </c>
      <c r="H29" s="64">
        <f>5.791* CHOOSE(CONTROL!$C$22, $C$13, 100%, $E$13)</f>
        <v>5.7910000000000004</v>
      </c>
      <c r="I29" s="64">
        <f>5.7925 * CHOOSE(CONTROL!$C$22, $C$13, 100%, $E$13)</f>
        <v>5.7925000000000004</v>
      </c>
      <c r="J29" s="64">
        <f>3.1559 * CHOOSE(CONTROL!$C$22, $C$13, 100%, $E$13)</f>
        <v>3.1558999999999999</v>
      </c>
      <c r="K29" s="64">
        <f>3.1574 * CHOOSE(CONTROL!$C$22, $C$13, 100%, $E$13)</f>
        <v>3.1574</v>
      </c>
      <c r="L29" s="4"/>
      <c r="M29" s="64"/>
      <c r="N29" s="64"/>
    </row>
    <row r="30" spans="1:14" ht="15">
      <c r="A30" s="13">
        <v>42552</v>
      </c>
      <c r="B30" s="63">
        <f>2.6506 * CHOOSE(CONTROL!$C$22, $C$13, 100%, $E$13)</f>
        <v>2.6505999999999998</v>
      </c>
      <c r="C30" s="63">
        <f>2.6506 * CHOOSE(CONTROL!$C$22, $C$13, 100%, $E$13)</f>
        <v>2.6505999999999998</v>
      </c>
      <c r="D30" s="63">
        <f>2.6737 * CHOOSE(CONTROL!$C$22, $C$13, 100%, $E$13)</f>
        <v>2.6737000000000002</v>
      </c>
      <c r="E30" s="64">
        <f>3.2732 * CHOOSE(CONTROL!$C$22, $C$13, 100%, $E$13)</f>
        <v>3.2732000000000001</v>
      </c>
      <c r="F30" s="64">
        <f>4.017 * CHOOSE(CONTROL!$C$22, $C$13, 100%, $E$13)</f>
        <v>4.0170000000000003</v>
      </c>
      <c r="G30" s="64">
        <f>4.0185 * CHOOSE(CONTROL!$C$22, $C$13, 100%, $E$13)</f>
        <v>4.0185000000000004</v>
      </c>
      <c r="H30" s="64">
        <f>5.8031* CHOOSE(CONTROL!$C$22, $C$13, 100%, $E$13)</f>
        <v>5.8030999999999997</v>
      </c>
      <c r="I30" s="64">
        <f>5.8045 * CHOOSE(CONTROL!$C$22, $C$13, 100%, $E$13)</f>
        <v>5.8045</v>
      </c>
      <c r="J30" s="64">
        <f>3.2732 * CHOOSE(CONTROL!$C$22, $C$13, 100%, $E$13)</f>
        <v>3.2732000000000001</v>
      </c>
      <c r="K30" s="64">
        <f>3.2747 * CHOOSE(CONTROL!$C$22, $C$13, 100%, $E$13)</f>
        <v>3.2747000000000002</v>
      </c>
      <c r="L30" s="4"/>
      <c r="M30" s="4"/>
      <c r="N30" s="4"/>
    </row>
    <row r="31" spans="1:14" ht="15">
      <c r="A31" s="13">
        <v>42583</v>
      </c>
      <c r="B31" s="63">
        <f>2.6658 * CHOOSE(CONTROL!$C$22, $C$13, 100%, $E$13)</f>
        <v>2.6657999999999999</v>
      </c>
      <c r="C31" s="63">
        <f>2.6658 * CHOOSE(CONTROL!$C$22, $C$13, 100%, $E$13)</f>
        <v>2.6657999999999999</v>
      </c>
      <c r="D31" s="63">
        <f>2.6889 * CHOOSE(CONTROL!$C$22, $C$13, 100%, $E$13)</f>
        <v>2.6888999999999998</v>
      </c>
      <c r="E31" s="64">
        <f>3.383 * CHOOSE(CONTROL!$C$22, $C$13, 100%, $E$13)</f>
        <v>3.383</v>
      </c>
      <c r="F31" s="64">
        <f>4.017 * CHOOSE(CONTROL!$C$22, $C$13, 100%, $E$13)</f>
        <v>4.0170000000000003</v>
      </c>
      <c r="G31" s="64">
        <f>4.0185 * CHOOSE(CONTROL!$C$22, $C$13, 100%, $E$13)</f>
        <v>4.0185000000000004</v>
      </c>
      <c r="H31" s="64">
        <f>5.8151* CHOOSE(CONTROL!$C$22, $C$13, 100%, $E$13)</f>
        <v>5.8151000000000002</v>
      </c>
      <c r="I31" s="64">
        <f>5.8166 * CHOOSE(CONTROL!$C$22, $C$13, 100%, $E$13)</f>
        <v>5.8166000000000002</v>
      </c>
      <c r="J31" s="64">
        <f>3.383 * CHOOSE(CONTROL!$C$22, $C$13, 100%, $E$13)</f>
        <v>3.383</v>
      </c>
      <c r="K31" s="64">
        <f>3.3845 * CHOOSE(CONTROL!$C$22, $C$13, 100%, $E$13)</f>
        <v>3.3845000000000001</v>
      </c>
      <c r="L31" s="4"/>
      <c r="M31" s="4"/>
      <c r="N31" s="4"/>
    </row>
    <row r="32" spans="1:14" ht="15">
      <c r="A32" s="13">
        <v>42614</v>
      </c>
      <c r="B32" s="63">
        <f>2.6597 * CHOOSE(CONTROL!$C$22, $C$13, 100%, $E$13)</f>
        <v>2.6597</v>
      </c>
      <c r="C32" s="63">
        <f>2.6597 * CHOOSE(CONTROL!$C$22, $C$13, 100%, $E$13)</f>
        <v>2.6597</v>
      </c>
      <c r="D32" s="63">
        <f>2.6828 * CHOOSE(CONTROL!$C$22, $C$13, 100%, $E$13)</f>
        <v>2.6827999999999999</v>
      </c>
      <c r="E32" s="64">
        <f>3.2732 * CHOOSE(CONTROL!$C$22, $C$13, 100%, $E$13)</f>
        <v>3.2732000000000001</v>
      </c>
      <c r="F32" s="64">
        <f>4.017 * CHOOSE(CONTROL!$C$22, $C$13, 100%, $E$13)</f>
        <v>4.0170000000000003</v>
      </c>
      <c r="G32" s="64">
        <f>4.0185 * CHOOSE(CONTROL!$C$22, $C$13, 100%, $E$13)</f>
        <v>4.0185000000000004</v>
      </c>
      <c r="H32" s="64">
        <f>5.8273* CHOOSE(CONTROL!$C$22, $C$13, 100%, $E$13)</f>
        <v>5.8273000000000001</v>
      </c>
      <c r="I32" s="64">
        <f>5.8287 * CHOOSE(CONTROL!$C$22, $C$13, 100%, $E$13)</f>
        <v>5.8287000000000004</v>
      </c>
      <c r="J32" s="64">
        <f>3.2732 * CHOOSE(CONTROL!$C$22, $C$13, 100%, $E$13)</f>
        <v>3.2732000000000001</v>
      </c>
      <c r="K32" s="64">
        <f>3.2747 * CHOOSE(CONTROL!$C$22, $C$13, 100%, $E$13)</f>
        <v>3.2747000000000002</v>
      </c>
      <c r="L32" s="4"/>
      <c r="M32" s="4"/>
      <c r="N32" s="4"/>
    </row>
    <row r="33" spans="1:14" ht="15">
      <c r="A33" s="13">
        <v>42644</v>
      </c>
      <c r="B33" s="63">
        <f>2.6898 * CHOOSE(CONTROL!$C$22, $C$13, 100%, $E$13)</f>
        <v>2.6898</v>
      </c>
      <c r="C33" s="63">
        <f>2.6898 * CHOOSE(CONTROL!$C$22, $C$13, 100%, $E$13)</f>
        <v>2.6898</v>
      </c>
      <c r="D33" s="63">
        <f>2.7013 * CHOOSE(CONTROL!$C$22, $C$13, 100%, $E$13)</f>
        <v>2.7012999999999998</v>
      </c>
      <c r="E33" s="64">
        <f>3.3427 * CHOOSE(CONTROL!$C$22, $C$13, 100%, $E$13)</f>
        <v>3.3426999999999998</v>
      </c>
      <c r="F33" s="64">
        <f>4.035 * CHOOSE(CONTROL!$C$22, $C$13, 100%, $E$13)</f>
        <v>4.0350000000000001</v>
      </c>
      <c r="G33" s="64">
        <f>4.0352 * CHOOSE(CONTROL!$C$22, $C$13, 100%, $E$13)</f>
        <v>4.0351999999999997</v>
      </c>
      <c r="H33" s="64">
        <f>5.8394* CHOOSE(CONTROL!$C$22, $C$13, 100%, $E$13)</f>
        <v>5.8394000000000004</v>
      </c>
      <c r="I33" s="64">
        <f>5.8396 * CHOOSE(CONTROL!$C$22, $C$13, 100%, $E$13)</f>
        <v>5.8395999999999999</v>
      </c>
      <c r="J33" s="64">
        <f>3.3427 * CHOOSE(CONTROL!$C$22, $C$13, 100%, $E$13)</f>
        <v>3.3426999999999998</v>
      </c>
      <c r="K33" s="64">
        <f>3.3429 * CHOOSE(CONTROL!$C$22, $C$13, 100%, $E$13)</f>
        <v>3.3429000000000002</v>
      </c>
      <c r="L33" s="4"/>
      <c r="M33" s="4"/>
      <c r="N33" s="4"/>
    </row>
    <row r="34" spans="1:14" ht="15">
      <c r="A34" s="13">
        <v>42675</v>
      </c>
      <c r="B34" s="63">
        <f>2.6928 * CHOOSE(CONTROL!$C$22, $C$13, 100%, $E$13)</f>
        <v>2.6928000000000001</v>
      </c>
      <c r="C34" s="63">
        <f>2.6928 * CHOOSE(CONTROL!$C$22, $C$13, 100%, $E$13)</f>
        <v>2.6928000000000001</v>
      </c>
      <c r="D34" s="63">
        <f>2.7044 * CHOOSE(CONTROL!$C$22, $C$13, 100%, $E$13)</f>
        <v>2.7044000000000001</v>
      </c>
      <c r="E34" s="64">
        <f>3.3427 * CHOOSE(CONTROL!$C$22, $C$13, 100%, $E$13)</f>
        <v>3.3426999999999998</v>
      </c>
      <c r="F34" s="64">
        <f>4.035 * CHOOSE(CONTROL!$C$22, $C$13, 100%, $E$13)</f>
        <v>4.0350000000000001</v>
      </c>
      <c r="G34" s="64">
        <f>4.0352 * CHOOSE(CONTROL!$C$22, $C$13, 100%, $E$13)</f>
        <v>4.0351999999999997</v>
      </c>
      <c r="H34" s="64">
        <f>5.8516* CHOOSE(CONTROL!$C$22, $C$13, 100%, $E$13)</f>
        <v>5.8516000000000004</v>
      </c>
      <c r="I34" s="64">
        <f>5.8517 * CHOOSE(CONTROL!$C$22, $C$13, 100%, $E$13)</f>
        <v>5.8517000000000001</v>
      </c>
      <c r="J34" s="64">
        <f>3.3427 * CHOOSE(CONTROL!$C$22, $C$13, 100%, $E$13)</f>
        <v>3.3426999999999998</v>
      </c>
      <c r="K34" s="64">
        <f>3.3429 * CHOOSE(CONTROL!$C$22, $C$13, 100%, $E$13)</f>
        <v>3.3429000000000002</v>
      </c>
      <c r="L34" s="4"/>
      <c r="M34" s="4"/>
      <c r="N34" s="4"/>
    </row>
    <row r="35" spans="1:14" ht="15">
      <c r="A35" s="13">
        <v>42705</v>
      </c>
      <c r="B35" s="63">
        <f>2.6959 * CHOOSE(CONTROL!$C$22, $C$13, 100%, $E$13)</f>
        <v>2.6959</v>
      </c>
      <c r="C35" s="63">
        <f>2.6959 * CHOOSE(CONTROL!$C$22, $C$13, 100%, $E$13)</f>
        <v>2.6959</v>
      </c>
      <c r="D35" s="63">
        <f>2.7074 * CHOOSE(CONTROL!$C$22, $C$13, 100%, $E$13)</f>
        <v>2.7073999999999998</v>
      </c>
      <c r="E35" s="64">
        <f>3.5831 * CHOOSE(CONTROL!$C$22, $C$13, 100%, $E$13)</f>
        <v>3.5831</v>
      </c>
      <c r="F35" s="64">
        <f>4.017 * CHOOSE(CONTROL!$C$22, $C$13, 100%, $E$13)</f>
        <v>4.0170000000000003</v>
      </c>
      <c r="G35" s="64">
        <f>4.0172 * CHOOSE(CONTROL!$C$22, $C$13, 100%, $E$13)</f>
        <v>4.0171999999999999</v>
      </c>
      <c r="H35" s="64">
        <f>5.8638* CHOOSE(CONTROL!$C$22, $C$13, 100%, $E$13)</f>
        <v>5.8638000000000003</v>
      </c>
      <c r="I35" s="64">
        <f>5.8639 * CHOOSE(CONTROL!$C$22, $C$13, 100%, $E$13)</f>
        <v>5.8639000000000001</v>
      </c>
      <c r="J35" s="64">
        <f>3.5831 * CHOOSE(CONTROL!$C$22, $C$13, 100%, $E$13)</f>
        <v>3.5831</v>
      </c>
      <c r="K35" s="64">
        <f>3.5833 * CHOOSE(CONTROL!$C$22, $C$13, 100%, $E$13)</f>
        <v>3.5832999999999999</v>
      </c>
      <c r="L35" s="4"/>
      <c r="M35" s="4"/>
      <c r="N35" s="4"/>
    </row>
    <row r="36" spans="1:14" ht="15">
      <c r="A36" s="13">
        <v>42736</v>
      </c>
      <c r="B36" s="63">
        <f>2.7015 * CHOOSE(CONTROL!$C$22, $C$13, 100%, $E$13)</f>
        <v>2.7014999999999998</v>
      </c>
      <c r="C36" s="63">
        <f>2.7015 * CHOOSE(CONTROL!$C$22, $C$13, 100%, $E$13)</f>
        <v>2.7014999999999998</v>
      </c>
      <c r="D36" s="63">
        <f>2.713 * CHOOSE(CONTROL!$C$22, $C$13, 100%, $E$13)</f>
        <v>2.7130000000000001</v>
      </c>
      <c r="E36" s="64">
        <f>3.4856 * CHOOSE(CONTROL!$C$22, $C$13, 100%, $E$13)</f>
        <v>3.4855999999999998</v>
      </c>
      <c r="F36" s="64">
        <f>3.4856 * CHOOSE(CONTROL!$C$22, $C$13, 100%, $E$13)</f>
        <v>3.4855999999999998</v>
      </c>
      <c r="G36" s="64">
        <f>3.4858 * CHOOSE(CONTROL!$C$22, $C$13, 100%, $E$13)</f>
        <v>3.4857999999999998</v>
      </c>
      <c r="H36" s="64">
        <f>5.876* CHOOSE(CONTROL!$C$22, $C$13, 100%, $E$13)</f>
        <v>5.8760000000000003</v>
      </c>
      <c r="I36" s="64">
        <f>5.8761 * CHOOSE(CONTROL!$C$22, $C$13, 100%, $E$13)</f>
        <v>5.8761000000000001</v>
      </c>
      <c r="J36" s="64">
        <f>3.4856 * CHOOSE(CONTROL!$C$22, $C$13, 100%, $E$13)</f>
        <v>3.4855999999999998</v>
      </c>
      <c r="K36" s="64">
        <f>3.4858 * CHOOSE(CONTROL!$C$22, $C$13, 100%, $E$13)</f>
        <v>3.4857999999999998</v>
      </c>
      <c r="L36" s="4"/>
      <c r="M36" s="4"/>
      <c r="N36" s="4"/>
    </row>
    <row r="37" spans="1:14" ht="15">
      <c r="A37" s="13">
        <v>42767</v>
      </c>
      <c r="B37" s="63">
        <f>2.6954 * CHOOSE(CONTROL!$C$22, $C$13, 100%, $E$13)</f>
        <v>2.6953999999999998</v>
      </c>
      <c r="C37" s="63">
        <f>2.6954 * CHOOSE(CONTROL!$C$22, $C$13, 100%, $E$13)</f>
        <v>2.6953999999999998</v>
      </c>
      <c r="D37" s="63">
        <f>2.707 * CHOOSE(CONTROL!$C$22, $C$13, 100%, $E$13)</f>
        <v>2.7069999999999999</v>
      </c>
      <c r="E37" s="64">
        <f>3.3873 * CHOOSE(CONTROL!$C$22, $C$13, 100%, $E$13)</f>
        <v>3.3873000000000002</v>
      </c>
      <c r="F37" s="64">
        <f>3.3873 * CHOOSE(CONTROL!$C$22, $C$13, 100%, $E$13)</f>
        <v>3.3873000000000002</v>
      </c>
      <c r="G37" s="64">
        <f>3.3875 * CHOOSE(CONTROL!$C$22, $C$13, 100%, $E$13)</f>
        <v>3.3875000000000002</v>
      </c>
      <c r="H37" s="64">
        <f>5.8882* CHOOSE(CONTROL!$C$22, $C$13, 100%, $E$13)</f>
        <v>5.8882000000000003</v>
      </c>
      <c r="I37" s="64">
        <f>5.8884 * CHOOSE(CONTROL!$C$22, $C$13, 100%, $E$13)</f>
        <v>5.8883999999999999</v>
      </c>
      <c r="J37" s="64">
        <f>3.3873 * CHOOSE(CONTROL!$C$22, $C$13, 100%, $E$13)</f>
        <v>3.3873000000000002</v>
      </c>
      <c r="K37" s="64">
        <f>3.3875 * CHOOSE(CONTROL!$C$22, $C$13, 100%, $E$13)</f>
        <v>3.3875000000000002</v>
      </c>
      <c r="L37" s="4"/>
      <c r="M37" s="4"/>
      <c r="N37" s="4"/>
    </row>
    <row r="38" spans="1:14" ht="15">
      <c r="A38" s="13">
        <v>42795</v>
      </c>
      <c r="B38" s="63">
        <f>2.6924 * CHOOSE(CONTROL!$C$22, $C$13, 100%, $E$13)</f>
        <v>2.6924000000000001</v>
      </c>
      <c r="C38" s="63">
        <f>2.6924 * CHOOSE(CONTROL!$C$22, $C$13, 100%, $E$13)</f>
        <v>2.6924000000000001</v>
      </c>
      <c r="D38" s="63">
        <f>2.7039 * CHOOSE(CONTROL!$C$22, $C$13, 100%, $E$13)</f>
        <v>2.7039</v>
      </c>
      <c r="E38" s="64">
        <f>3.4487 * CHOOSE(CONTROL!$C$22, $C$13, 100%, $E$13)</f>
        <v>3.4487000000000001</v>
      </c>
      <c r="F38" s="64">
        <f>3.4487 * CHOOSE(CONTROL!$C$22, $C$13, 100%, $E$13)</f>
        <v>3.4487000000000001</v>
      </c>
      <c r="G38" s="64">
        <f>3.4489 * CHOOSE(CONTROL!$C$22, $C$13, 100%, $E$13)</f>
        <v>3.4489000000000001</v>
      </c>
      <c r="H38" s="64">
        <f>5.9005* CHOOSE(CONTROL!$C$22, $C$13, 100%, $E$13)</f>
        <v>5.9005000000000001</v>
      </c>
      <c r="I38" s="64">
        <f>5.9007 * CHOOSE(CONTROL!$C$22, $C$13, 100%, $E$13)</f>
        <v>5.9006999999999996</v>
      </c>
      <c r="J38" s="64">
        <f>3.4487 * CHOOSE(CONTROL!$C$22, $C$13, 100%, $E$13)</f>
        <v>3.4487000000000001</v>
      </c>
      <c r="K38" s="64">
        <f>3.4489 * CHOOSE(CONTROL!$C$22, $C$13, 100%, $E$13)</f>
        <v>3.4489000000000001</v>
      </c>
      <c r="L38" s="4"/>
      <c r="M38" s="4"/>
      <c r="N38" s="4"/>
    </row>
    <row r="39" spans="1:14" ht="15">
      <c r="A39" s="13">
        <v>42826</v>
      </c>
      <c r="B39" s="63">
        <f>2.7147 * CHOOSE(CONTROL!$C$22, $C$13, 100%, $E$13)</f>
        <v>2.7147000000000001</v>
      </c>
      <c r="C39" s="63">
        <f>2.7147 * CHOOSE(CONTROL!$C$22, $C$13, 100%, $E$13)</f>
        <v>2.7147000000000001</v>
      </c>
      <c r="D39" s="63">
        <f>2.7262 * CHOOSE(CONTROL!$C$22, $C$13, 100%, $E$13)</f>
        <v>2.7262</v>
      </c>
      <c r="E39" s="64">
        <f>3.3873 * CHOOSE(CONTROL!$C$22, $C$13, 100%, $E$13)</f>
        <v>3.3873000000000002</v>
      </c>
      <c r="F39" s="64">
        <f>3.3873 * CHOOSE(CONTROL!$C$22, $C$13, 100%, $E$13)</f>
        <v>3.3873000000000002</v>
      </c>
      <c r="G39" s="64">
        <f>3.3875 * CHOOSE(CONTROL!$C$22, $C$13, 100%, $E$13)</f>
        <v>3.3875000000000002</v>
      </c>
      <c r="H39" s="64">
        <f>5.9128* CHOOSE(CONTROL!$C$22, $C$13, 100%, $E$13)</f>
        <v>5.9127999999999998</v>
      </c>
      <c r="I39" s="64">
        <f>5.9129 * CHOOSE(CONTROL!$C$22, $C$13, 100%, $E$13)</f>
        <v>5.9128999999999996</v>
      </c>
      <c r="J39" s="64">
        <f>3.3873 * CHOOSE(CONTROL!$C$22, $C$13, 100%, $E$13)</f>
        <v>3.3873000000000002</v>
      </c>
      <c r="K39" s="64">
        <f>3.3875 * CHOOSE(CONTROL!$C$22, $C$13, 100%, $E$13)</f>
        <v>3.3875000000000002</v>
      </c>
      <c r="L39" s="4"/>
      <c r="M39" s="4"/>
      <c r="N39" s="4"/>
    </row>
    <row r="40" spans="1:14" ht="15">
      <c r="A40" s="13">
        <v>42856</v>
      </c>
      <c r="B40" s="63">
        <f>2.7117 * CHOOSE(CONTROL!$C$22, $C$13, 100%, $E$13)</f>
        <v>2.7117</v>
      </c>
      <c r="C40" s="63">
        <f>2.7117 * CHOOSE(CONTROL!$C$22, $C$13, 100%, $E$13)</f>
        <v>2.7117</v>
      </c>
      <c r="D40" s="63">
        <f>2.7348 * CHOOSE(CONTROL!$C$22, $C$13, 100%, $E$13)</f>
        <v>2.7347999999999999</v>
      </c>
      <c r="E40" s="64">
        <f>3.3873 * CHOOSE(CONTROL!$C$22, $C$13, 100%, $E$13)</f>
        <v>3.3873000000000002</v>
      </c>
      <c r="F40" s="64">
        <f>3.3873 * CHOOSE(CONTROL!$C$22, $C$13, 100%, $E$13)</f>
        <v>3.3873000000000002</v>
      </c>
      <c r="G40" s="64">
        <f>3.3888 * CHOOSE(CONTROL!$C$22, $C$13, 100%, $E$13)</f>
        <v>3.3887999999999998</v>
      </c>
      <c r="H40" s="64">
        <f>5.9251* CHOOSE(CONTROL!$C$22, $C$13, 100%, $E$13)</f>
        <v>5.9250999999999996</v>
      </c>
      <c r="I40" s="64">
        <f>5.9266 * CHOOSE(CONTROL!$C$22, $C$13, 100%, $E$13)</f>
        <v>5.9265999999999996</v>
      </c>
      <c r="J40" s="64">
        <f>3.3873 * CHOOSE(CONTROL!$C$22, $C$13, 100%, $E$13)</f>
        <v>3.3873000000000002</v>
      </c>
      <c r="K40" s="64">
        <f>3.3888 * CHOOSE(CONTROL!$C$22, $C$13, 100%, $E$13)</f>
        <v>3.3887999999999998</v>
      </c>
      <c r="L40" s="4"/>
      <c r="M40" s="4"/>
      <c r="N40" s="4"/>
    </row>
    <row r="41" spans="1:14" ht="15">
      <c r="A41" s="13">
        <v>42887</v>
      </c>
      <c r="B41" s="63">
        <f>2.7177 * CHOOSE(CONTROL!$C$22, $C$13, 100%, $E$13)</f>
        <v>2.7176999999999998</v>
      </c>
      <c r="C41" s="63">
        <f>2.7177 * CHOOSE(CONTROL!$C$22, $C$13, 100%, $E$13)</f>
        <v>2.7176999999999998</v>
      </c>
      <c r="D41" s="63">
        <f>2.7408 * CHOOSE(CONTROL!$C$22, $C$13, 100%, $E$13)</f>
        <v>2.7408000000000001</v>
      </c>
      <c r="E41" s="64">
        <f>3.2645 * CHOOSE(CONTROL!$C$22, $C$13, 100%, $E$13)</f>
        <v>3.2645</v>
      </c>
      <c r="F41" s="64">
        <f>3.2645 * CHOOSE(CONTROL!$C$22, $C$13, 100%, $E$13)</f>
        <v>3.2645</v>
      </c>
      <c r="G41" s="64">
        <f>3.266 * CHOOSE(CONTROL!$C$22, $C$13, 100%, $E$13)</f>
        <v>3.266</v>
      </c>
      <c r="H41" s="64">
        <f>5.9374* CHOOSE(CONTROL!$C$22, $C$13, 100%, $E$13)</f>
        <v>5.9374000000000002</v>
      </c>
      <c r="I41" s="64">
        <f>5.9389 * CHOOSE(CONTROL!$C$22, $C$13, 100%, $E$13)</f>
        <v>5.9389000000000003</v>
      </c>
      <c r="J41" s="64">
        <f>3.2645 * CHOOSE(CONTROL!$C$22, $C$13, 100%, $E$13)</f>
        <v>3.2645</v>
      </c>
      <c r="K41" s="64">
        <f>3.266 * CHOOSE(CONTROL!$C$22, $C$13, 100%, $E$13)</f>
        <v>3.266</v>
      </c>
      <c r="L41" s="4"/>
      <c r="M41" s="4"/>
      <c r="N41" s="4"/>
    </row>
    <row r="42" spans="1:14" ht="15">
      <c r="A42" s="13">
        <v>42917</v>
      </c>
      <c r="B42" s="63">
        <f>2.7414 * CHOOSE(CONTROL!$C$22, $C$13, 100%, $E$13)</f>
        <v>2.7414000000000001</v>
      </c>
      <c r="C42" s="63">
        <f>2.7414 * CHOOSE(CONTROL!$C$22, $C$13, 100%, $E$13)</f>
        <v>2.7414000000000001</v>
      </c>
      <c r="D42" s="63">
        <f>2.7645 * CHOOSE(CONTROL!$C$22, $C$13, 100%, $E$13)</f>
        <v>2.7645</v>
      </c>
      <c r="E42" s="64">
        <f>3.633 * CHOOSE(CONTROL!$C$22, $C$13, 100%, $E$13)</f>
        <v>3.633</v>
      </c>
      <c r="F42" s="64">
        <f>3.633 * CHOOSE(CONTROL!$C$22, $C$13, 100%, $E$13)</f>
        <v>3.633</v>
      </c>
      <c r="G42" s="64">
        <f>3.6345 * CHOOSE(CONTROL!$C$22, $C$13, 100%, $E$13)</f>
        <v>3.6345000000000001</v>
      </c>
      <c r="H42" s="64">
        <f>5.9498* CHOOSE(CONTROL!$C$22, $C$13, 100%, $E$13)</f>
        <v>5.9497999999999998</v>
      </c>
      <c r="I42" s="64">
        <f>5.9513 * CHOOSE(CONTROL!$C$22, $C$13, 100%, $E$13)</f>
        <v>5.9512999999999998</v>
      </c>
      <c r="J42" s="64">
        <f>3.633 * CHOOSE(CONTROL!$C$22, $C$13, 100%, $E$13)</f>
        <v>3.633</v>
      </c>
      <c r="K42" s="64">
        <f>3.6345 * CHOOSE(CONTROL!$C$22, $C$13, 100%, $E$13)</f>
        <v>3.6345000000000001</v>
      </c>
      <c r="L42" s="4"/>
      <c r="M42" s="4"/>
      <c r="N42" s="4"/>
    </row>
    <row r="43" spans="1:14" ht="15">
      <c r="A43" s="13">
        <v>42948</v>
      </c>
      <c r="B43" s="63">
        <f>2.7566 * CHOOSE(CONTROL!$C$22, $C$13, 100%, $E$13)</f>
        <v>2.7566000000000002</v>
      </c>
      <c r="C43" s="63">
        <f>2.7566 * CHOOSE(CONTROL!$C$22, $C$13, 100%, $E$13)</f>
        <v>2.7566000000000002</v>
      </c>
      <c r="D43" s="63">
        <f>2.7797 * CHOOSE(CONTROL!$C$22, $C$13, 100%, $E$13)</f>
        <v>2.7797000000000001</v>
      </c>
      <c r="E43" s="64">
        <f>3.633 * CHOOSE(CONTROL!$C$22, $C$13, 100%, $E$13)</f>
        <v>3.633</v>
      </c>
      <c r="F43" s="64">
        <f>3.633 * CHOOSE(CONTROL!$C$22, $C$13, 100%, $E$13)</f>
        <v>3.633</v>
      </c>
      <c r="G43" s="64">
        <f>3.6345 * CHOOSE(CONTROL!$C$22, $C$13, 100%, $E$13)</f>
        <v>3.6345000000000001</v>
      </c>
      <c r="H43" s="64">
        <f>5.9622* CHOOSE(CONTROL!$C$22, $C$13, 100%, $E$13)</f>
        <v>5.9622000000000002</v>
      </c>
      <c r="I43" s="64">
        <f>5.9637 * CHOOSE(CONTROL!$C$22, $C$13, 100%, $E$13)</f>
        <v>5.9637000000000002</v>
      </c>
      <c r="J43" s="64">
        <f>3.633 * CHOOSE(CONTROL!$C$22, $C$13, 100%, $E$13)</f>
        <v>3.633</v>
      </c>
      <c r="K43" s="64">
        <f>3.6345 * CHOOSE(CONTROL!$C$22, $C$13, 100%, $E$13)</f>
        <v>3.6345000000000001</v>
      </c>
      <c r="L43" s="4"/>
      <c r="M43" s="4"/>
      <c r="N43" s="4"/>
    </row>
    <row r="44" spans="1:14" ht="15">
      <c r="A44" s="13">
        <v>42979</v>
      </c>
      <c r="B44" s="63">
        <f>2.7506 * CHOOSE(CONTROL!$C$22, $C$13, 100%, $E$13)</f>
        <v>2.7505999999999999</v>
      </c>
      <c r="C44" s="63">
        <f>2.7506 * CHOOSE(CONTROL!$C$22, $C$13, 100%, $E$13)</f>
        <v>2.7505999999999999</v>
      </c>
      <c r="D44" s="63">
        <f>2.7737 * CHOOSE(CONTROL!$C$22, $C$13, 100%, $E$13)</f>
        <v>2.7736999999999998</v>
      </c>
      <c r="E44" s="64">
        <f>3.633 * CHOOSE(CONTROL!$C$22, $C$13, 100%, $E$13)</f>
        <v>3.633</v>
      </c>
      <c r="F44" s="64">
        <f>3.633 * CHOOSE(CONTROL!$C$22, $C$13, 100%, $E$13)</f>
        <v>3.633</v>
      </c>
      <c r="G44" s="64">
        <f>3.6345 * CHOOSE(CONTROL!$C$22, $C$13, 100%, $E$13)</f>
        <v>3.6345000000000001</v>
      </c>
      <c r="H44" s="64">
        <f>5.9746* CHOOSE(CONTROL!$C$22, $C$13, 100%, $E$13)</f>
        <v>5.9745999999999997</v>
      </c>
      <c r="I44" s="64">
        <f>5.9761 * CHOOSE(CONTROL!$C$22, $C$13, 100%, $E$13)</f>
        <v>5.9760999999999997</v>
      </c>
      <c r="J44" s="64">
        <f>3.633 * CHOOSE(CONTROL!$C$22, $C$13, 100%, $E$13)</f>
        <v>3.633</v>
      </c>
      <c r="K44" s="64">
        <f>3.6345 * CHOOSE(CONTROL!$C$22, $C$13, 100%, $E$13)</f>
        <v>3.6345000000000001</v>
      </c>
      <c r="L44" s="4"/>
      <c r="M44" s="4"/>
      <c r="N44" s="4"/>
    </row>
    <row r="45" spans="1:14" ht="15">
      <c r="A45" s="13">
        <v>43009</v>
      </c>
      <c r="B45" s="63">
        <f>2.7682 * CHOOSE(CONTROL!$C$22, $C$13, 100%, $E$13)</f>
        <v>2.7682000000000002</v>
      </c>
      <c r="C45" s="63">
        <f>2.7682 * CHOOSE(CONTROL!$C$22, $C$13, 100%, $E$13)</f>
        <v>2.7682000000000002</v>
      </c>
      <c r="D45" s="63">
        <f>2.7798 * CHOOSE(CONTROL!$C$22, $C$13, 100%, $E$13)</f>
        <v>2.7797999999999998</v>
      </c>
      <c r="E45" s="64">
        <f>3.633 * CHOOSE(CONTROL!$C$22, $C$13, 100%, $E$13)</f>
        <v>3.633</v>
      </c>
      <c r="F45" s="64">
        <f>3.633 * CHOOSE(CONTROL!$C$22, $C$13, 100%, $E$13)</f>
        <v>3.633</v>
      </c>
      <c r="G45" s="64">
        <f>3.6332 * CHOOSE(CONTROL!$C$22, $C$13, 100%, $E$13)</f>
        <v>3.6332</v>
      </c>
      <c r="H45" s="64">
        <f>5.9871* CHOOSE(CONTROL!$C$22, $C$13, 100%, $E$13)</f>
        <v>5.9870999999999999</v>
      </c>
      <c r="I45" s="64">
        <f>5.9872 * CHOOSE(CONTROL!$C$22, $C$13, 100%, $E$13)</f>
        <v>5.9871999999999996</v>
      </c>
      <c r="J45" s="64">
        <f>3.633 * CHOOSE(CONTROL!$C$22, $C$13, 100%, $E$13)</f>
        <v>3.633</v>
      </c>
      <c r="K45" s="64">
        <f>3.6332 * CHOOSE(CONTROL!$C$22, $C$13, 100%, $E$13)</f>
        <v>3.6332</v>
      </c>
      <c r="L45" s="4"/>
      <c r="M45" s="4"/>
      <c r="N45" s="4"/>
    </row>
    <row r="46" spans="1:14" ht="15">
      <c r="A46" s="13">
        <v>43040</v>
      </c>
      <c r="B46" s="63">
        <f>2.7713 * CHOOSE(CONTROL!$C$22, $C$13, 100%, $E$13)</f>
        <v>2.7713000000000001</v>
      </c>
      <c r="C46" s="63">
        <f>2.7713 * CHOOSE(CONTROL!$C$22, $C$13, 100%, $E$13)</f>
        <v>2.7713000000000001</v>
      </c>
      <c r="D46" s="63">
        <f>2.7828 * CHOOSE(CONTROL!$C$22, $C$13, 100%, $E$13)</f>
        <v>2.7827999999999999</v>
      </c>
      <c r="E46" s="64">
        <f>3.633 * CHOOSE(CONTROL!$C$22, $C$13, 100%, $E$13)</f>
        <v>3.633</v>
      </c>
      <c r="F46" s="64">
        <f>3.633 * CHOOSE(CONTROL!$C$22, $C$13, 100%, $E$13)</f>
        <v>3.633</v>
      </c>
      <c r="G46" s="64">
        <f>3.6332 * CHOOSE(CONTROL!$C$22, $C$13, 100%, $E$13)</f>
        <v>3.6332</v>
      </c>
      <c r="H46" s="64">
        <f>5.9995* CHOOSE(CONTROL!$C$22, $C$13, 100%, $E$13)</f>
        <v>5.9995000000000003</v>
      </c>
      <c r="I46" s="64">
        <f>5.9997 * CHOOSE(CONTROL!$C$22, $C$13, 100%, $E$13)</f>
        <v>5.9996999999999998</v>
      </c>
      <c r="J46" s="64">
        <f>3.633 * CHOOSE(CONTROL!$C$22, $C$13, 100%, $E$13)</f>
        <v>3.633</v>
      </c>
      <c r="K46" s="64">
        <f>3.6332 * CHOOSE(CONTROL!$C$22, $C$13, 100%, $E$13)</f>
        <v>3.6332</v>
      </c>
      <c r="L46" s="4"/>
      <c r="M46" s="4"/>
      <c r="N46" s="4"/>
    </row>
    <row r="47" spans="1:14" ht="15">
      <c r="A47" s="13">
        <v>43070</v>
      </c>
      <c r="B47" s="63">
        <f>2.7743 * CHOOSE(CONTROL!$C$22, $C$13, 100%, $E$13)</f>
        <v>2.7743000000000002</v>
      </c>
      <c r="C47" s="63">
        <f>2.7743 * CHOOSE(CONTROL!$C$22, $C$13, 100%, $E$13)</f>
        <v>2.7743000000000002</v>
      </c>
      <c r="D47" s="63">
        <f>2.7858 * CHOOSE(CONTROL!$C$22, $C$13, 100%, $E$13)</f>
        <v>2.7858000000000001</v>
      </c>
      <c r="E47" s="64">
        <f>3.633 * CHOOSE(CONTROL!$C$22, $C$13, 100%, $E$13)</f>
        <v>3.633</v>
      </c>
      <c r="F47" s="64">
        <f>3.633 * CHOOSE(CONTROL!$C$22, $C$13, 100%, $E$13)</f>
        <v>3.633</v>
      </c>
      <c r="G47" s="64">
        <f>3.6332 * CHOOSE(CONTROL!$C$22, $C$13, 100%, $E$13)</f>
        <v>3.6332</v>
      </c>
      <c r="H47" s="64">
        <f>6.012* CHOOSE(CONTROL!$C$22, $C$13, 100%, $E$13)</f>
        <v>6.0119999999999996</v>
      </c>
      <c r="I47" s="64">
        <f>6.0122 * CHOOSE(CONTROL!$C$22, $C$13, 100%, $E$13)</f>
        <v>6.0122</v>
      </c>
      <c r="J47" s="64">
        <f>3.633 * CHOOSE(CONTROL!$C$22, $C$13, 100%, $E$13)</f>
        <v>3.633</v>
      </c>
      <c r="K47" s="64">
        <f>3.6332 * CHOOSE(CONTROL!$C$22, $C$13, 100%, $E$13)</f>
        <v>3.6332</v>
      </c>
      <c r="L47" s="4"/>
      <c r="M47" s="4"/>
      <c r="N47" s="4"/>
    </row>
    <row r="48" spans="1:14" ht="15">
      <c r="A48" s="13">
        <v>43101</v>
      </c>
      <c r="B48" s="63">
        <f>2.8174 * CHOOSE(CONTROL!$C$22, $C$13, 100%, $E$13)</f>
        <v>2.8174000000000001</v>
      </c>
      <c r="C48" s="63">
        <f>2.8174 * CHOOSE(CONTROL!$C$22, $C$13, 100%, $E$13)</f>
        <v>2.8174000000000001</v>
      </c>
      <c r="D48" s="63">
        <f>2.829 * CHOOSE(CONTROL!$C$22, $C$13, 100%, $E$13)</f>
        <v>2.8290000000000002</v>
      </c>
      <c r="E48" s="64">
        <f>3.2609 * CHOOSE(CONTROL!$C$22, $C$13, 100%, $E$13)</f>
        <v>3.2608999999999999</v>
      </c>
      <c r="F48" s="64">
        <f>3.2609 * CHOOSE(CONTROL!$C$22, $C$13, 100%, $E$13)</f>
        <v>3.2608999999999999</v>
      </c>
      <c r="G48" s="64">
        <f>3.261 * CHOOSE(CONTROL!$C$22, $C$13, 100%, $E$13)</f>
        <v>3.2610000000000001</v>
      </c>
      <c r="H48" s="64">
        <f>6.0246* CHOOSE(CONTROL!$C$22, $C$13, 100%, $E$13)</f>
        <v>6.0246000000000004</v>
      </c>
      <c r="I48" s="64">
        <f>6.0247 * CHOOSE(CONTROL!$C$22, $C$13, 100%, $E$13)</f>
        <v>6.0247000000000002</v>
      </c>
      <c r="J48" s="64">
        <f>3.2609 * CHOOSE(CONTROL!$C$22, $C$13, 100%, $E$13)</f>
        <v>3.2608999999999999</v>
      </c>
      <c r="K48" s="64">
        <f>3.261 * CHOOSE(CONTROL!$C$22, $C$13, 100%, $E$13)</f>
        <v>3.2610000000000001</v>
      </c>
      <c r="L48" s="4"/>
      <c r="M48" s="4"/>
      <c r="N48" s="4"/>
    </row>
    <row r="49" spans="1:14" ht="15">
      <c r="A49" s="13">
        <v>43132</v>
      </c>
      <c r="B49" s="63">
        <f>2.8144 * CHOOSE(CONTROL!$C$22, $C$13, 100%, $E$13)</f>
        <v>2.8144</v>
      </c>
      <c r="C49" s="63">
        <f>2.8144 * CHOOSE(CONTROL!$C$22, $C$13, 100%, $E$13)</f>
        <v>2.8144</v>
      </c>
      <c r="D49" s="63">
        <f>2.8259 * CHOOSE(CONTROL!$C$22, $C$13, 100%, $E$13)</f>
        <v>2.8258999999999999</v>
      </c>
      <c r="E49" s="64">
        <f>3.2349 * CHOOSE(CONTROL!$C$22, $C$13, 100%, $E$13)</f>
        <v>3.2349000000000001</v>
      </c>
      <c r="F49" s="64">
        <f>3.2349 * CHOOSE(CONTROL!$C$22, $C$13, 100%, $E$13)</f>
        <v>3.2349000000000001</v>
      </c>
      <c r="G49" s="64">
        <f>3.2351 * CHOOSE(CONTROL!$C$22, $C$13, 100%, $E$13)</f>
        <v>3.2351000000000001</v>
      </c>
      <c r="H49" s="64">
        <f>6.0371* CHOOSE(CONTROL!$C$22, $C$13, 100%, $E$13)</f>
        <v>6.0370999999999997</v>
      </c>
      <c r="I49" s="64">
        <f>6.0373 * CHOOSE(CONTROL!$C$22, $C$13, 100%, $E$13)</f>
        <v>6.0373000000000001</v>
      </c>
      <c r="J49" s="64">
        <f>3.2349 * CHOOSE(CONTROL!$C$22, $C$13, 100%, $E$13)</f>
        <v>3.2349000000000001</v>
      </c>
      <c r="K49" s="64">
        <f>3.2351 * CHOOSE(CONTROL!$C$22, $C$13, 100%, $E$13)</f>
        <v>3.2351000000000001</v>
      </c>
      <c r="L49" s="4"/>
      <c r="M49" s="4"/>
      <c r="N49" s="4"/>
    </row>
    <row r="50" spans="1:14" ht="15">
      <c r="A50" s="13">
        <v>43160</v>
      </c>
      <c r="B50" s="63">
        <f>2.8113 * CHOOSE(CONTROL!$C$22, $C$13, 100%, $E$13)</f>
        <v>2.8113000000000001</v>
      </c>
      <c r="C50" s="63">
        <f>2.8113 * CHOOSE(CONTROL!$C$22, $C$13, 100%, $E$13)</f>
        <v>2.8113000000000001</v>
      </c>
      <c r="D50" s="63">
        <f>2.8229 * CHOOSE(CONTROL!$C$22, $C$13, 100%, $E$13)</f>
        <v>2.8229000000000002</v>
      </c>
      <c r="E50" s="64">
        <f>3.2516 * CHOOSE(CONTROL!$C$22, $C$13, 100%, $E$13)</f>
        <v>3.2515999999999998</v>
      </c>
      <c r="F50" s="64">
        <f>3.2516 * CHOOSE(CONTROL!$C$22, $C$13, 100%, $E$13)</f>
        <v>3.2515999999999998</v>
      </c>
      <c r="G50" s="64">
        <f>3.2518 * CHOOSE(CONTROL!$C$22, $C$13, 100%, $E$13)</f>
        <v>3.2517999999999998</v>
      </c>
      <c r="H50" s="64">
        <f>6.0497* CHOOSE(CONTROL!$C$22, $C$13, 100%, $E$13)</f>
        <v>6.0496999999999996</v>
      </c>
      <c r="I50" s="64">
        <f>6.0499 * CHOOSE(CONTROL!$C$22, $C$13, 100%, $E$13)</f>
        <v>6.0499000000000001</v>
      </c>
      <c r="J50" s="64">
        <f>3.2516 * CHOOSE(CONTROL!$C$22, $C$13, 100%, $E$13)</f>
        <v>3.2515999999999998</v>
      </c>
      <c r="K50" s="64">
        <f>3.2518 * CHOOSE(CONTROL!$C$22, $C$13, 100%, $E$13)</f>
        <v>3.2517999999999998</v>
      </c>
      <c r="L50" s="4"/>
      <c r="M50" s="4"/>
      <c r="N50" s="4"/>
    </row>
    <row r="51" spans="1:14" ht="15">
      <c r="A51" s="13">
        <v>43191</v>
      </c>
      <c r="B51" s="63">
        <f>2.8078 * CHOOSE(CONTROL!$C$22, $C$13, 100%, $E$13)</f>
        <v>2.8077999999999999</v>
      </c>
      <c r="C51" s="63">
        <f>2.8078 * CHOOSE(CONTROL!$C$22, $C$13, 100%, $E$13)</f>
        <v>2.8077999999999999</v>
      </c>
      <c r="D51" s="63">
        <f>2.8194 * CHOOSE(CONTROL!$C$22, $C$13, 100%, $E$13)</f>
        <v>2.8193999999999999</v>
      </c>
      <c r="E51" s="64">
        <f>3.2675 * CHOOSE(CONTROL!$C$22, $C$13, 100%, $E$13)</f>
        <v>3.2675000000000001</v>
      </c>
      <c r="F51" s="64">
        <f>3.2675 * CHOOSE(CONTROL!$C$22, $C$13, 100%, $E$13)</f>
        <v>3.2675000000000001</v>
      </c>
      <c r="G51" s="64">
        <f>3.2677 * CHOOSE(CONTROL!$C$22, $C$13, 100%, $E$13)</f>
        <v>3.2677</v>
      </c>
      <c r="H51" s="64">
        <f>6.0623* CHOOSE(CONTROL!$C$22, $C$13, 100%, $E$13)</f>
        <v>6.0622999999999996</v>
      </c>
      <c r="I51" s="64">
        <f>6.0625 * CHOOSE(CONTROL!$C$22, $C$13, 100%, $E$13)</f>
        <v>6.0625</v>
      </c>
      <c r="J51" s="64">
        <f>3.2675 * CHOOSE(CONTROL!$C$22, $C$13, 100%, $E$13)</f>
        <v>3.2675000000000001</v>
      </c>
      <c r="K51" s="64">
        <f>3.2677 * CHOOSE(CONTROL!$C$22, $C$13, 100%, $E$13)</f>
        <v>3.2677</v>
      </c>
      <c r="L51" s="4"/>
      <c r="M51" s="4"/>
      <c r="N51" s="4"/>
    </row>
    <row r="52" spans="1:14" ht="15">
      <c r="A52" s="13">
        <v>43221</v>
      </c>
      <c r="B52" s="63">
        <f>2.8078 * CHOOSE(CONTROL!$C$22, $C$13, 100%, $E$13)</f>
        <v>2.8077999999999999</v>
      </c>
      <c r="C52" s="63">
        <f>2.8078 * CHOOSE(CONTROL!$C$22, $C$13, 100%, $E$13)</f>
        <v>2.8077999999999999</v>
      </c>
      <c r="D52" s="63">
        <f>2.831 * CHOOSE(CONTROL!$C$22, $C$13, 100%, $E$13)</f>
        <v>2.831</v>
      </c>
      <c r="E52" s="64">
        <f>3.2751 * CHOOSE(CONTROL!$C$22, $C$13, 100%, $E$13)</f>
        <v>3.2751000000000001</v>
      </c>
      <c r="F52" s="64">
        <f>3.2751 * CHOOSE(CONTROL!$C$22, $C$13, 100%, $E$13)</f>
        <v>3.2751000000000001</v>
      </c>
      <c r="G52" s="64">
        <f>3.2766 * CHOOSE(CONTROL!$C$22, $C$13, 100%, $E$13)</f>
        <v>3.2766000000000002</v>
      </c>
      <c r="H52" s="64">
        <f>6.0749* CHOOSE(CONTROL!$C$22, $C$13, 100%, $E$13)</f>
        <v>6.0749000000000004</v>
      </c>
      <c r="I52" s="64">
        <f>6.0764 * CHOOSE(CONTROL!$C$22, $C$13, 100%, $E$13)</f>
        <v>6.0763999999999996</v>
      </c>
      <c r="J52" s="64">
        <f>3.2751 * CHOOSE(CONTROL!$C$22, $C$13, 100%, $E$13)</f>
        <v>3.2751000000000001</v>
      </c>
      <c r="K52" s="64">
        <f>3.2766 * CHOOSE(CONTROL!$C$22, $C$13, 100%, $E$13)</f>
        <v>3.2766000000000002</v>
      </c>
      <c r="L52" s="4"/>
      <c r="M52" s="4"/>
      <c r="N52" s="4"/>
    </row>
    <row r="53" spans="1:14" ht="15">
      <c r="A53" s="13">
        <v>43252</v>
      </c>
      <c r="B53" s="63">
        <f>2.8139 * CHOOSE(CONTROL!$C$22, $C$13, 100%, $E$13)</f>
        <v>2.8138999999999998</v>
      </c>
      <c r="C53" s="63">
        <f>2.8139 * CHOOSE(CONTROL!$C$22, $C$13, 100%, $E$13)</f>
        <v>2.8138999999999998</v>
      </c>
      <c r="D53" s="63">
        <f>2.837 * CHOOSE(CONTROL!$C$22, $C$13, 100%, $E$13)</f>
        <v>2.8370000000000002</v>
      </c>
      <c r="E53" s="64">
        <f>3.2718 * CHOOSE(CONTROL!$C$22, $C$13, 100%, $E$13)</f>
        <v>3.2717999999999998</v>
      </c>
      <c r="F53" s="64">
        <f>3.2718 * CHOOSE(CONTROL!$C$22, $C$13, 100%, $E$13)</f>
        <v>3.2717999999999998</v>
      </c>
      <c r="G53" s="64">
        <f>3.2733 * CHOOSE(CONTROL!$C$22, $C$13, 100%, $E$13)</f>
        <v>3.2732999999999999</v>
      </c>
      <c r="H53" s="64">
        <f>6.0876* CHOOSE(CONTROL!$C$22, $C$13, 100%, $E$13)</f>
        <v>6.0876000000000001</v>
      </c>
      <c r="I53" s="64">
        <f>6.0891 * CHOOSE(CONTROL!$C$22, $C$13, 100%, $E$13)</f>
        <v>6.0891000000000002</v>
      </c>
      <c r="J53" s="64">
        <f>3.2718 * CHOOSE(CONTROL!$C$22, $C$13, 100%, $E$13)</f>
        <v>3.2717999999999998</v>
      </c>
      <c r="K53" s="64">
        <f>3.2733 * CHOOSE(CONTROL!$C$22, $C$13, 100%, $E$13)</f>
        <v>3.2732999999999999</v>
      </c>
      <c r="L53" s="4"/>
      <c r="M53" s="4"/>
      <c r="N53" s="4"/>
    </row>
    <row r="54" spans="1:14" ht="15">
      <c r="A54" s="13">
        <v>43282</v>
      </c>
      <c r="B54" s="63">
        <f>2.8974 * CHOOSE(CONTROL!$C$22, $C$13, 100%, $E$13)</f>
        <v>2.8974000000000002</v>
      </c>
      <c r="C54" s="63">
        <f>2.8974 * CHOOSE(CONTROL!$C$22, $C$13, 100%, $E$13)</f>
        <v>2.8974000000000002</v>
      </c>
      <c r="D54" s="63">
        <f>2.9205 * CHOOSE(CONTROL!$C$22, $C$13, 100%, $E$13)</f>
        <v>2.9205000000000001</v>
      </c>
      <c r="E54" s="64">
        <f>3.459 * CHOOSE(CONTROL!$C$22, $C$13, 100%, $E$13)</f>
        <v>3.4590000000000001</v>
      </c>
      <c r="F54" s="64">
        <f>3.459 * CHOOSE(CONTROL!$C$22, $C$13, 100%, $E$13)</f>
        <v>3.4590000000000001</v>
      </c>
      <c r="G54" s="64">
        <f>3.4605 * CHOOSE(CONTROL!$C$22, $C$13, 100%, $E$13)</f>
        <v>3.4605000000000001</v>
      </c>
      <c r="H54" s="64">
        <f>6.1003* CHOOSE(CONTROL!$C$22, $C$13, 100%, $E$13)</f>
        <v>6.1002999999999998</v>
      </c>
      <c r="I54" s="64">
        <f>6.1018 * CHOOSE(CONTROL!$C$22, $C$13, 100%, $E$13)</f>
        <v>6.1017999999999999</v>
      </c>
      <c r="J54" s="64">
        <f>3.459 * CHOOSE(CONTROL!$C$22, $C$13, 100%, $E$13)</f>
        <v>3.4590000000000001</v>
      </c>
      <c r="K54" s="64">
        <f>3.4605 * CHOOSE(CONTROL!$C$22, $C$13, 100%, $E$13)</f>
        <v>3.4605000000000001</v>
      </c>
      <c r="L54" s="4"/>
      <c r="M54" s="4"/>
      <c r="N54" s="4"/>
    </row>
    <row r="55" spans="1:14" ht="15">
      <c r="A55" s="13">
        <v>43313</v>
      </c>
      <c r="B55" s="63">
        <f>2.904 * CHOOSE(CONTROL!$C$22, $C$13, 100%, $E$13)</f>
        <v>2.9039999999999999</v>
      </c>
      <c r="C55" s="63">
        <f>2.904 * CHOOSE(CONTROL!$C$22, $C$13, 100%, $E$13)</f>
        <v>2.9039999999999999</v>
      </c>
      <c r="D55" s="63">
        <f>2.9272 * CHOOSE(CONTROL!$C$22, $C$13, 100%, $E$13)</f>
        <v>2.9272</v>
      </c>
      <c r="E55" s="64">
        <f>3.4409 * CHOOSE(CONTROL!$C$22, $C$13, 100%, $E$13)</f>
        <v>3.4409000000000001</v>
      </c>
      <c r="F55" s="64">
        <f>3.4409 * CHOOSE(CONTROL!$C$22, $C$13, 100%, $E$13)</f>
        <v>3.4409000000000001</v>
      </c>
      <c r="G55" s="64">
        <f>3.4424 * CHOOSE(CONTROL!$C$22, $C$13, 100%, $E$13)</f>
        <v>3.4424000000000001</v>
      </c>
      <c r="H55" s="64">
        <f>6.113* CHOOSE(CONTROL!$C$22, $C$13, 100%, $E$13)</f>
        <v>6.1130000000000004</v>
      </c>
      <c r="I55" s="64">
        <f>6.1145 * CHOOSE(CONTROL!$C$22, $C$13, 100%, $E$13)</f>
        <v>6.1144999999999996</v>
      </c>
      <c r="J55" s="64">
        <f>3.4409 * CHOOSE(CONTROL!$C$22, $C$13, 100%, $E$13)</f>
        <v>3.4409000000000001</v>
      </c>
      <c r="K55" s="64">
        <f>3.4424 * CHOOSE(CONTROL!$C$22, $C$13, 100%, $E$13)</f>
        <v>3.4424000000000001</v>
      </c>
      <c r="L55" s="4"/>
      <c r="M55" s="4"/>
      <c r="N55" s="4"/>
    </row>
    <row r="56" spans="1:14" ht="15">
      <c r="A56" s="13">
        <v>43344</v>
      </c>
      <c r="B56" s="63">
        <f>2.901 * CHOOSE(CONTROL!$C$22, $C$13, 100%, $E$13)</f>
        <v>2.9009999999999998</v>
      </c>
      <c r="C56" s="63">
        <f>2.901 * CHOOSE(CONTROL!$C$22, $C$13, 100%, $E$13)</f>
        <v>2.9009999999999998</v>
      </c>
      <c r="D56" s="63">
        <f>2.9241 * CHOOSE(CONTROL!$C$22, $C$13, 100%, $E$13)</f>
        <v>2.9241000000000001</v>
      </c>
      <c r="E56" s="64">
        <f>3.4363 * CHOOSE(CONTROL!$C$22, $C$13, 100%, $E$13)</f>
        <v>3.4363000000000001</v>
      </c>
      <c r="F56" s="64">
        <f>3.4363 * CHOOSE(CONTROL!$C$22, $C$13, 100%, $E$13)</f>
        <v>3.4363000000000001</v>
      </c>
      <c r="G56" s="64">
        <f>3.4378 * CHOOSE(CONTROL!$C$22, $C$13, 100%, $E$13)</f>
        <v>3.4378000000000002</v>
      </c>
      <c r="H56" s="64">
        <f>6.1257* CHOOSE(CONTROL!$C$22, $C$13, 100%, $E$13)</f>
        <v>6.1257000000000001</v>
      </c>
      <c r="I56" s="64">
        <f>6.1272 * CHOOSE(CONTROL!$C$22, $C$13, 100%, $E$13)</f>
        <v>6.1272000000000002</v>
      </c>
      <c r="J56" s="64">
        <f>3.4363 * CHOOSE(CONTROL!$C$22, $C$13, 100%, $E$13)</f>
        <v>3.4363000000000001</v>
      </c>
      <c r="K56" s="64">
        <f>3.4378 * CHOOSE(CONTROL!$C$22, $C$13, 100%, $E$13)</f>
        <v>3.4378000000000002</v>
      </c>
      <c r="L56" s="4"/>
      <c r="M56" s="4"/>
      <c r="N56" s="4"/>
    </row>
    <row r="57" spans="1:14" ht="15">
      <c r="A57" s="13">
        <v>43374</v>
      </c>
      <c r="B57" s="63">
        <f>2.8921 * CHOOSE(CONTROL!$C$22, $C$13, 100%, $E$13)</f>
        <v>2.8921000000000001</v>
      </c>
      <c r="C57" s="63">
        <f>2.8921 * CHOOSE(CONTROL!$C$22, $C$13, 100%, $E$13)</f>
        <v>2.8921000000000001</v>
      </c>
      <c r="D57" s="63">
        <f>2.9036 * CHOOSE(CONTROL!$C$22, $C$13, 100%, $E$13)</f>
        <v>2.9036</v>
      </c>
      <c r="E57" s="64">
        <f>3.433 * CHOOSE(CONTROL!$C$22, $C$13, 100%, $E$13)</f>
        <v>3.4329999999999998</v>
      </c>
      <c r="F57" s="64">
        <f>3.433 * CHOOSE(CONTROL!$C$22, $C$13, 100%, $E$13)</f>
        <v>3.4329999999999998</v>
      </c>
      <c r="G57" s="64">
        <f>3.4331 * CHOOSE(CONTROL!$C$22, $C$13, 100%, $E$13)</f>
        <v>3.4331</v>
      </c>
      <c r="H57" s="64">
        <f>6.1385* CHOOSE(CONTROL!$C$22, $C$13, 100%, $E$13)</f>
        <v>6.1384999999999996</v>
      </c>
      <c r="I57" s="64">
        <f>6.1386 * CHOOSE(CONTROL!$C$22, $C$13, 100%, $E$13)</f>
        <v>6.1386000000000003</v>
      </c>
      <c r="J57" s="64">
        <f>3.433 * CHOOSE(CONTROL!$C$22, $C$13, 100%, $E$13)</f>
        <v>3.4329999999999998</v>
      </c>
      <c r="K57" s="64">
        <f>3.4331 * CHOOSE(CONTROL!$C$22, $C$13, 100%, $E$13)</f>
        <v>3.4331</v>
      </c>
      <c r="L57" s="4"/>
      <c r="M57" s="4"/>
      <c r="N57" s="4"/>
    </row>
    <row r="58" spans="1:14" ht="15">
      <c r="A58" s="13">
        <v>43405</v>
      </c>
      <c r="B58" s="63">
        <f>2.8951 * CHOOSE(CONTROL!$C$22, $C$13, 100%, $E$13)</f>
        <v>2.8950999999999998</v>
      </c>
      <c r="C58" s="63">
        <f>2.8951 * CHOOSE(CONTROL!$C$22, $C$13, 100%, $E$13)</f>
        <v>2.8950999999999998</v>
      </c>
      <c r="D58" s="63">
        <f>2.9067 * CHOOSE(CONTROL!$C$22, $C$13, 100%, $E$13)</f>
        <v>2.9066999999999998</v>
      </c>
      <c r="E58" s="64">
        <f>3.4401 * CHOOSE(CONTROL!$C$22, $C$13, 100%, $E$13)</f>
        <v>3.4401000000000002</v>
      </c>
      <c r="F58" s="64">
        <f>3.4401 * CHOOSE(CONTROL!$C$22, $C$13, 100%, $E$13)</f>
        <v>3.4401000000000002</v>
      </c>
      <c r="G58" s="64">
        <f>3.4403 * CHOOSE(CONTROL!$C$22, $C$13, 100%, $E$13)</f>
        <v>3.4403000000000001</v>
      </c>
      <c r="H58" s="64">
        <f>6.1513* CHOOSE(CONTROL!$C$22, $C$13, 100%, $E$13)</f>
        <v>6.1513</v>
      </c>
      <c r="I58" s="64">
        <f>6.1514 * CHOOSE(CONTROL!$C$22, $C$13, 100%, $E$13)</f>
        <v>6.1513999999999998</v>
      </c>
      <c r="J58" s="64">
        <f>3.4401 * CHOOSE(CONTROL!$C$22, $C$13, 100%, $E$13)</f>
        <v>3.4401000000000002</v>
      </c>
      <c r="K58" s="64">
        <f>3.4403 * CHOOSE(CONTROL!$C$22, $C$13, 100%, $E$13)</f>
        <v>3.4403000000000001</v>
      </c>
      <c r="L58" s="4"/>
      <c r="M58" s="4"/>
      <c r="N58" s="4"/>
    </row>
    <row r="59" spans="1:14" ht="15">
      <c r="A59" s="13">
        <v>43435</v>
      </c>
      <c r="B59" s="63">
        <f>2.8951 * CHOOSE(CONTROL!$C$22, $C$13, 100%, $E$13)</f>
        <v>2.8950999999999998</v>
      </c>
      <c r="C59" s="63">
        <f>2.8951 * CHOOSE(CONTROL!$C$22, $C$13, 100%, $E$13)</f>
        <v>2.8950999999999998</v>
      </c>
      <c r="D59" s="63">
        <f>2.9067 * CHOOSE(CONTROL!$C$22, $C$13, 100%, $E$13)</f>
        <v>2.9066999999999998</v>
      </c>
      <c r="E59" s="64">
        <f>3.4275 * CHOOSE(CONTROL!$C$22, $C$13, 100%, $E$13)</f>
        <v>3.4275000000000002</v>
      </c>
      <c r="F59" s="64">
        <f>3.4275 * CHOOSE(CONTROL!$C$22, $C$13, 100%, $E$13)</f>
        <v>3.4275000000000002</v>
      </c>
      <c r="G59" s="64">
        <f>3.4277 * CHOOSE(CONTROL!$C$22, $C$13, 100%, $E$13)</f>
        <v>3.4277000000000002</v>
      </c>
      <c r="H59" s="64">
        <f>6.1641* CHOOSE(CONTROL!$C$22, $C$13, 100%, $E$13)</f>
        <v>6.1641000000000004</v>
      </c>
      <c r="I59" s="64">
        <f>6.1643 * CHOOSE(CONTROL!$C$22, $C$13, 100%, $E$13)</f>
        <v>6.1642999999999999</v>
      </c>
      <c r="J59" s="64">
        <f>3.4275 * CHOOSE(CONTROL!$C$22, $C$13, 100%, $E$13)</f>
        <v>3.4275000000000002</v>
      </c>
      <c r="K59" s="64">
        <f>3.4277 * CHOOSE(CONTROL!$C$22, $C$13, 100%, $E$13)</f>
        <v>3.4277000000000002</v>
      </c>
      <c r="L59" s="4"/>
      <c r="M59" s="4"/>
      <c r="N59" s="4"/>
    </row>
    <row r="60" spans="1:14" ht="15">
      <c r="A60" s="13">
        <v>43466</v>
      </c>
      <c r="B60" s="63">
        <f>2.9246 * CHOOSE(CONTROL!$C$22, $C$13, 100%, $E$13)</f>
        <v>2.9245999999999999</v>
      </c>
      <c r="C60" s="63">
        <f>2.9246 * CHOOSE(CONTROL!$C$22, $C$13, 100%, $E$13)</f>
        <v>2.9245999999999999</v>
      </c>
      <c r="D60" s="63">
        <f>2.9362 * CHOOSE(CONTROL!$C$22, $C$13, 100%, $E$13)</f>
        <v>2.9361999999999999</v>
      </c>
      <c r="E60" s="64">
        <f>3.4699 * CHOOSE(CONTROL!$C$22, $C$13, 100%, $E$13)</f>
        <v>3.4699</v>
      </c>
      <c r="F60" s="64">
        <f>3.4699 * CHOOSE(CONTROL!$C$22, $C$13, 100%, $E$13)</f>
        <v>3.4699</v>
      </c>
      <c r="G60" s="64">
        <f>3.4701 * CHOOSE(CONTROL!$C$22, $C$13, 100%, $E$13)</f>
        <v>3.4701</v>
      </c>
      <c r="H60" s="64">
        <f>6.1769* CHOOSE(CONTROL!$C$22, $C$13, 100%, $E$13)</f>
        <v>6.1768999999999998</v>
      </c>
      <c r="I60" s="64">
        <f>6.1771 * CHOOSE(CONTROL!$C$22, $C$13, 100%, $E$13)</f>
        <v>6.1771000000000003</v>
      </c>
      <c r="J60" s="64">
        <f>3.4699 * CHOOSE(CONTROL!$C$22, $C$13, 100%, $E$13)</f>
        <v>3.4699</v>
      </c>
      <c r="K60" s="64">
        <f>3.4701 * CHOOSE(CONTROL!$C$22, $C$13, 100%, $E$13)</f>
        <v>3.4701</v>
      </c>
      <c r="L60" s="4"/>
      <c r="M60" s="4"/>
      <c r="N60" s="4"/>
    </row>
    <row r="61" spans="1:14" ht="15">
      <c r="A61" s="13">
        <v>43497</v>
      </c>
      <c r="B61" s="63">
        <f>2.9216 * CHOOSE(CONTROL!$C$22, $C$13, 100%, $E$13)</f>
        <v>2.9216000000000002</v>
      </c>
      <c r="C61" s="63">
        <f>2.9216 * CHOOSE(CONTROL!$C$22, $C$13, 100%, $E$13)</f>
        <v>2.9216000000000002</v>
      </c>
      <c r="D61" s="63">
        <f>2.9331 * CHOOSE(CONTROL!$C$22, $C$13, 100%, $E$13)</f>
        <v>2.9331</v>
      </c>
      <c r="E61" s="64">
        <f>3.4392 * CHOOSE(CONTROL!$C$22, $C$13, 100%, $E$13)</f>
        <v>3.4392</v>
      </c>
      <c r="F61" s="64">
        <f>3.4392 * CHOOSE(CONTROL!$C$22, $C$13, 100%, $E$13)</f>
        <v>3.4392</v>
      </c>
      <c r="G61" s="64">
        <f>3.4394 * CHOOSE(CONTROL!$C$22, $C$13, 100%, $E$13)</f>
        <v>3.4394</v>
      </c>
      <c r="H61" s="64">
        <f>6.1898* CHOOSE(CONTROL!$C$22, $C$13, 100%, $E$13)</f>
        <v>6.1898</v>
      </c>
      <c r="I61" s="64">
        <f>6.19 * CHOOSE(CONTROL!$C$22, $C$13, 100%, $E$13)</f>
        <v>6.19</v>
      </c>
      <c r="J61" s="64">
        <f>3.4392 * CHOOSE(CONTROL!$C$22, $C$13, 100%, $E$13)</f>
        <v>3.4392</v>
      </c>
      <c r="K61" s="64">
        <f>3.4394 * CHOOSE(CONTROL!$C$22, $C$13, 100%, $E$13)</f>
        <v>3.4394</v>
      </c>
      <c r="L61" s="4"/>
      <c r="M61" s="4"/>
      <c r="N61" s="4"/>
    </row>
    <row r="62" spans="1:14" ht="15">
      <c r="A62" s="13">
        <v>43525</v>
      </c>
      <c r="B62" s="63">
        <f>2.9185 * CHOOSE(CONTROL!$C$22, $C$13, 100%, $E$13)</f>
        <v>2.9184999999999999</v>
      </c>
      <c r="C62" s="63">
        <f>2.9185 * CHOOSE(CONTROL!$C$22, $C$13, 100%, $E$13)</f>
        <v>2.9184999999999999</v>
      </c>
      <c r="D62" s="63">
        <f>2.9301 * CHOOSE(CONTROL!$C$22, $C$13, 100%, $E$13)</f>
        <v>2.9300999999999999</v>
      </c>
      <c r="E62" s="64">
        <f>3.4596 * CHOOSE(CONTROL!$C$22, $C$13, 100%, $E$13)</f>
        <v>3.4596</v>
      </c>
      <c r="F62" s="64">
        <f>3.4596 * CHOOSE(CONTROL!$C$22, $C$13, 100%, $E$13)</f>
        <v>3.4596</v>
      </c>
      <c r="G62" s="64">
        <f>3.4598 * CHOOSE(CONTROL!$C$22, $C$13, 100%, $E$13)</f>
        <v>3.4598</v>
      </c>
      <c r="H62" s="64">
        <f>6.2027* CHOOSE(CONTROL!$C$22, $C$13, 100%, $E$13)</f>
        <v>6.2027000000000001</v>
      </c>
      <c r="I62" s="64">
        <f>6.2029 * CHOOSE(CONTROL!$C$22, $C$13, 100%, $E$13)</f>
        <v>6.2028999999999996</v>
      </c>
      <c r="J62" s="64">
        <f>3.4596 * CHOOSE(CONTROL!$C$22, $C$13, 100%, $E$13)</f>
        <v>3.4596</v>
      </c>
      <c r="K62" s="64">
        <f>3.4598 * CHOOSE(CONTROL!$C$22, $C$13, 100%, $E$13)</f>
        <v>3.4598</v>
      </c>
      <c r="L62" s="4"/>
      <c r="M62" s="4"/>
      <c r="N62" s="4"/>
    </row>
    <row r="63" spans="1:14" ht="15">
      <c r="A63" s="13">
        <v>43556</v>
      </c>
      <c r="B63" s="63">
        <f>2.9152 * CHOOSE(CONTROL!$C$22, $C$13, 100%, $E$13)</f>
        <v>2.9152</v>
      </c>
      <c r="C63" s="63">
        <f>2.9152 * CHOOSE(CONTROL!$C$22, $C$13, 100%, $E$13)</f>
        <v>2.9152</v>
      </c>
      <c r="D63" s="63">
        <f>2.9267 * CHOOSE(CONTROL!$C$22, $C$13, 100%, $E$13)</f>
        <v>2.9266999999999999</v>
      </c>
      <c r="E63" s="64">
        <f>3.4796 * CHOOSE(CONTROL!$C$22, $C$13, 100%, $E$13)</f>
        <v>3.4796</v>
      </c>
      <c r="F63" s="64">
        <f>3.4796 * CHOOSE(CONTROL!$C$22, $C$13, 100%, $E$13)</f>
        <v>3.4796</v>
      </c>
      <c r="G63" s="64">
        <f>3.4798 * CHOOSE(CONTROL!$C$22, $C$13, 100%, $E$13)</f>
        <v>3.4798</v>
      </c>
      <c r="H63" s="64">
        <f>6.2156* CHOOSE(CONTROL!$C$22, $C$13, 100%, $E$13)</f>
        <v>6.2156000000000002</v>
      </c>
      <c r="I63" s="64">
        <f>6.2158 * CHOOSE(CONTROL!$C$22, $C$13, 100%, $E$13)</f>
        <v>6.2157999999999998</v>
      </c>
      <c r="J63" s="64">
        <f>3.4796 * CHOOSE(CONTROL!$C$22, $C$13, 100%, $E$13)</f>
        <v>3.4796</v>
      </c>
      <c r="K63" s="64">
        <f>3.4798 * CHOOSE(CONTROL!$C$22, $C$13, 100%, $E$13)</f>
        <v>3.4798</v>
      </c>
      <c r="L63" s="4"/>
      <c r="M63" s="4"/>
      <c r="N63" s="4"/>
    </row>
    <row r="64" spans="1:14" ht="15">
      <c r="A64" s="13">
        <v>43586</v>
      </c>
      <c r="B64" s="63">
        <f>2.9152 * CHOOSE(CONTROL!$C$22, $C$13, 100%, $E$13)</f>
        <v>2.9152</v>
      </c>
      <c r="C64" s="63">
        <f>2.9152 * CHOOSE(CONTROL!$C$22, $C$13, 100%, $E$13)</f>
        <v>2.9152</v>
      </c>
      <c r="D64" s="63">
        <f>2.9383 * CHOOSE(CONTROL!$C$22, $C$13, 100%, $E$13)</f>
        <v>2.9382999999999999</v>
      </c>
      <c r="E64" s="64">
        <f>3.4887 * CHOOSE(CONTROL!$C$22, $C$13, 100%, $E$13)</f>
        <v>3.4887000000000001</v>
      </c>
      <c r="F64" s="64">
        <f>3.4887 * CHOOSE(CONTROL!$C$22, $C$13, 100%, $E$13)</f>
        <v>3.4887000000000001</v>
      </c>
      <c r="G64" s="64">
        <f>3.4902 * CHOOSE(CONTROL!$C$22, $C$13, 100%, $E$13)</f>
        <v>3.4902000000000002</v>
      </c>
      <c r="H64" s="64">
        <f>6.2286* CHOOSE(CONTROL!$C$22, $C$13, 100%, $E$13)</f>
        <v>6.2286000000000001</v>
      </c>
      <c r="I64" s="64">
        <f>6.23 * CHOOSE(CONTROL!$C$22, $C$13, 100%, $E$13)</f>
        <v>6.23</v>
      </c>
      <c r="J64" s="64">
        <f>3.4887 * CHOOSE(CONTROL!$C$22, $C$13, 100%, $E$13)</f>
        <v>3.4887000000000001</v>
      </c>
      <c r="K64" s="64">
        <f>3.4902 * CHOOSE(CONTROL!$C$22, $C$13, 100%, $E$13)</f>
        <v>3.4902000000000002</v>
      </c>
      <c r="L64" s="4"/>
      <c r="M64" s="4"/>
      <c r="N64" s="4"/>
    </row>
    <row r="65" spans="1:14" ht="15">
      <c r="A65" s="13">
        <v>43617</v>
      </c>
      <c r="B65" s="63">
        <f>2.9213 * CHOOSE(CONTROL!$C$22, $C$13, 100%, $E$13)</f>
        <v>2.9213</v>
      </c>
      <c r="C65" s="63">
        <f>2.9213 * CHOOSE(CONTROL!$C$22, $C$13, 100%, $E$13)</f>
        <v>2.9213</v>
      </c>
      <c r="D65" s="63">
        <f>2.9444 * CHOOSE(CONTROL!$C$22, $C$13, 100%, $E$13)</f>
        <v>2.9443999999999999</v>
      </c>
      <c r="E65" s="64">
        <f>3.4839 * CHOOSE(CONTROL!$C$22, $C$13, 100%, $E$13)</f>
        <v>3.4839000000000002</v>
      </c>
      <c r="F65" s="64">
        <f>3.4839 * CHOOSE(CONTROL!$C$22, $C$13, 100%, $E$13)</f>
        <v>3.4839000000000002</v>
      </c>
      <c r="G65" s="64">
        <f>3.4854 * CHOOSE(CONTROL!$C$22, $C$13, 100%, $E$13)</f>
        <v>3.4853999999999998</v>
      </c>
      <c r="H65" s="64">
        <f>6.2415* CHOOSE(CONTROL!$C$22, $C$13, 100%, $E$13)</f>
        <v>6.2415000000000003</v>
      </c>
      <c r="I65" s="64">
        <f>6.243 * CHOOSE(CONTROL!$C$22, $C$13, 100%, $E$13)</f>
        <v>6.2430000000000003</v>
      </c>
      <c r="J65" s="64">
        <f>3.4839 * CHOOSE(CONTROL!$C$22, $C$13, 100%, $E$13)</f>
        <v>3.4839000000000002</v>
      </c>
      <c r="K65" s="64">
        <f>3.4854 * CHOOSE(CONTROL!$C$22, $C$13, 100%, $E$13)</f>
        <v>3.4853999999999998</v>
      </c>
      <c r="L65" s="4"/>
      <c r="M65" s="4"/>
      <c r="N65" s="4"/>
    </row>
    <row r="66" spans="1:14" ht="15">
      <c r="A66" s="13">
        <v>43647</v>
      </c>
      <c r="B66" s="63">
        <f>2.9781 * CHOOSE(CONTROL!$C$22, $C$13, 100%, $E$13)</f>
        <v>2.9781</v>
      </c>
      <c r="C66" s="63">
        <f>2.9781 * CHOOSE(CONTROL!$C$22, $C$13, 100%, $E$13)</f>
        <v>2.9781</v>
      </c>
      <c r="D66" s="63">
        <f>3.0012 * CHOOSE(CONTROL!$C$22, $C$13, 100%, $E$13)</f>
        <v>3.0011999999999999</v>
      </c>
      <c r="E66" s="64">
        <f>3.4566 * CHOOSE(CONTROL!$C$22, $C$13, 100%, $E$13)</f>
        <v>3.4565999999999999</v>
      </c>
      <c r="F66" s="64">
        <f>3.4566 * CHOOSE(CONTROL!$C$22, $C$13, 100%, $E$13)</f>
        <v>3.4565999999999999</v>
      </c>
      <c r="G66" s="64">
        <f>3.4581 * CHOOSE(CONTROL!$C$22, $C$13, 100%, $E$13)</f>
        <v>3.4581</v>
      </c>
      <c r="H66" s="64">
        <f>6.2545* CHOOSE(CONTROL!$C$22, $C$13, 100%, $E$13)</f>
        <v>6.2545000000000002</v>
      </c>
      <c r="I66" s="64">
        <f>6.256 * CHOOSE(CONTROL!$C$22, $C$13, 100%, $E$13)</f>
        <v>6.2560000000000002</v>
      </c>
      <c r="J66" s="64">
        <f>3.4566 * CHOOSE(CONTROL!$C$22, $C$13, 100%, $E$13)</f>
        <v>3.4565999999999999</v>
      </c>
      <c r="K66" s="64">
        <f>3.4581 * CHOOSE(CONTROL!$C$22, $C$13, 100%, $E$13)</f>
        <v>3.4581</v>
      </c>
      <c r="L66" s="4"/>
      <c r="M66" s="4"/>
      <c r="N66" s="4"/>
    </row>
    <row r="67" spans="1:14" ht="15">
      <c r="A67" s="13">
        <v>43678</v>
      </c>
      <c r="B67" s="63">
        <f>2.9848 * CHOOSE(CONTROL!$C$22, $C$13, 100%, $E$13)</f>
        <v>2.9847999999999999</v>
      </c>
      <c r="C67" s="63">
        <f>2.9848 * CHOOSE(CONTROL!$C$22, $C$13, 100%, $E$13)</f>
        <v>2.9847999999999999</v>
      </c>
      <c r="D67" s="63">
        <f>3.0079 * CHOOSE(CONTROL!$C$22, $C$13, 100%, $E$13)</f>
        <v>3.0078999999999998</v>
      </c>
      <c r="E67" s="64">
        <f>3.434 * CHOOSE(CONTROL!$C$22, $C$13, 100%, $E$13)</f>
        <v>3.4340000000000002</v>
      </c>
      <c r="F67" s="64">
        <f>3.434 * CHOOSE(CONTROL!$C$22, $C$13, 100%, $E$13)</f>
        <v>3.4340000000000002</v>
      </c>
      <c r="G67" s="64">
        <f>3.4355 * CHOOSE(CONTROL!$C$22, $C$13, 100%, $E$13)</f>
        <v>3.4355000000000002</v>
      </c>
      <c r="H67" s="64">
        <f>6.2676* CHOOSE(CONTROL!$C$22, $C$13, 100%, $E$13)</f>
        <v>6.2675999999999998</v>
      </c>
      <c r="I67" s="64">
        <f>6.269 * CHOOSE(CONTROL!$C$22, $C$13, 100%, $E$13)</f>
        <v>6.2690000000000001</v>
      </c>
      <c r="J67" s="64">
        <f>3.434 * CHOOSE(CONTROL!$C$22, $C$13, 100%, $E$13)</f>
        <v>3.4340000000000002</v>
      </c>
      <c r="K67" s="64">
        <f>3.4355 * CHOOSE(CONTROL!$C$22, $C$13, 100%, $E$13)</f>
        <v>3.4355000000000002</v>
      </c>
      <c r="L67" s="4"/>
      <c r="M67" s="4"/>
      <c r="N67" s="4"/>
    </row>
    <row r="68" spans="1:14" ht="15">
      <c r="A68" s="13">
        <v>43709</v>
      </c>
      <c r="B68" s="63">
        <f>2.9818 * CHOOSE(CONTROL!$C$22, $C$13, 100%, $E$13)</f>
        <v>2.9817999999999998</v>
      </c>
      <c r="C68" s="63">
        <f>2.9818 * CHOOSE(CONTROL!$C$22, $C$13, 100%, $E$13)</f>
        <v>2.9817999999999998</v>
      </c>
      <c r="D68" s="63">
        <f>3.0049 * CHOOSE(CONTROL!$C$22, $C$13, 100%, $E$13)</f>
        <v>3.0049000000000001</v>
      </c>
      <c r="E68" s="64">
        <f>3.4288 * CHOOSE(CONTROL!$C$22, $C$13, 100%, $E$13)</f>
        <v>3.4287999999999998</v>
      </c>
      <c r="F68" s="64">
        <f>3.4288 * CHOOSE(CONTROL!$C$22, $C$13, 100%, $E$13)</f>
        <v>3.4287999999999998</v>
      </c>
      <c r="G68" s="64">
        <f>3.4303 * CHOOSE(CONTROL!$C$22, $C$13, 100%, $E$13)</f>
        <v>3.4302999999999999</v>
      </c>
      <c r="H68" s="64">
        <f>6.2806* CHOOSE(CONTROL!$C$22, $C$13, 100%, $E$13)</f>
        <v>6.2805999999999997</v>
      </c>
      <c r="I68" s="64">
        <f>6.2821 * CHOOSE(CONTROL!$C$22, $C$13, 100%, $E$13)</f>
        <v>6.2820999999999998</v>
      </c>
      <c r="J68" s="64">
        <f>3.4288 * CHOOSE(CONTROL!$C$22, $C$13, 100%, $E$13)</f>
        <v>3.4287999999999998</v>
      </c>
      <c r="K68" s="64">
        <f>3.4303 * CHOOSE(CONTROL!$C$22, $C$13, 100%, $E$13)</f>
        <v>3.4302999999999999</v>
      </c>
      <c r="L68" s="4"/>
      <c r="M68" s="4"/>
      <c r="N68" s="4"/>
    </row>
    <row r="69" spans="1:14" ht="15">
      <c r="A69" s="13">
        <v>43739</v>
      </c>
      <c r="B69" s="63">
        <f>2.9731 * CHOOSE(CONTROL!$C$22, $C$13, 100%, $E$13)</f>
        <v>2.9731000000000001</v>
      </c>
      <c r="C69" s="63">
        <f>2.9731 * CHOOSE(CONTROL!$C$22, $C$13, 100%, $E$13)</f>
        <v>2.9731000000000001</v>
      </c>
      <c r="D69" s="63">
        <f>2.9847 * CHOOSE(CONTROL!$C$22, $C$13, 100%, $E$13)</f>
        <v>2.9847000000000001</v>
      </c>
      <c r="E69" s="64">
        <f>3.4275 * CHOOSE(CONTROL!$C$22, $C$13, 100%, $E$13)</f>
        <v>3.4275000000000002</v>
      </c>
      <c r="F69" s="64">
        <f>3.4275 * CHOOSE(CONTROL!$C$22, $C$13, 100%, $E$13)</f>
        <v>3.4275000000000002</v>
      </c>
      <c r="G69" s="64">
        <f>3.4277 * CHOOSE(CONTROL!$C$22, $C$13, 100%, $E$13)</f>
        <v>3.4277000000000002</v>
      </c>
      <c r="H69" s="64">
        <f>6.2937* CHOOSE(CONTROL!$C$22, $C$13, 100%, $E$13)</f>
        <v>6.2937000000000003</v>
      </c>
      <c r="I69" s="64">
        <f>6.2939 * CHOOSE(CONTROL!$C$22, $C$13, 100%, $E$13)</f>
        <v>6.2938999999999998</v>
      </c>
      <c r="J69" s="64">
        <f>3.4275 * CHOOSE(CONTROL!$C$22, $C$13, 100%, $E$13)</f>
        <v>3.4275000000000002</v>
      </c>
      <c r="K69" s="64">
        <f>3.4277 * CHOOSE(CONTROL!$C$22, $C$13, 100%, $E$13)</f>
        <v>3.4277000000000002</v>
      </c>
      <c r="L69" s="4"/>
      <c r="M69" s="4"/>
      <c r="N69" s="4"/>
    </row>
    <row r="70" spans="1:14" ht="15">
      <c r="A70" s="13">
        <v>43770</v>
      </c>
      <c r="B70" s="63">
        <f>2.9762 * CHOOSE(CONTROL!$C$22, $C$13, 100%, $E$13)</f>
        <v>2.9762</v>
      </c>
      <c r="C70" s="63">
        <f>2.9762 * CHOOSE(CONTROL!$C$22, $C$13, 100%, $E$13)</f>
        <v>2.9762</v>
      </c>
      <c r="D70" s="63">
        <f>2.9877 * CHOOSE(CONTROL!$C$22, $C$13, 100%, $E$13)</f>
        <v>2.9876999999999998</v>
      </c>
      <c r="E70" s="64">
        <f>3.4357 * CHOOSE(CONTROL!$C$22, $C$13, 100%, $E$13)</f>
        <v>3.4357000000000002</v>
      </c>
      <c r="F70" s="64">
        <f>3.4357 * CHOOSE(CONTROL!$C$22, $C$13, 100%, $E$13)</f>
        <v>3.4357000000000002</v>
      </c>
      <c r="G70" s="64">
        <f>3.4359 * CHOOSE(CONTROL!$C$22, $C$13, 100%, $E$13)</f>
        <v>3.4359000000000002</v>
      </c>
      <c r="H70" s="64">
        <f>6.3068* CHOOSE(CONTROL!$C$22, $C$13, 100%, $E$13)</f>
        <v>6.3068</v>
      </c>
      <c r="I70" s="64">
        <f>6.307 * CHOOSE(CONTROL!$C$22, $C$13, 100%, $E$13)</f>
        <v>6.3070000000000004</v>
      </c>
      <c r="J70" s="64">
        <f>3.4357 * CHOOSE(CONTROL!$C$22, $C$13, 100%, $E$13)</f>
        <v>3.4357000000000002</v>
      </c>
      <c r="K70" s="64">
        <f>3.4359 * CHOOSE(CONTROL!$C$22, $C$13, 100%, $E$13)</f>
        <v>3.4359000000000002</v>
      </c>
      <c r="L70" s="4"/>
      <c r="M70" s="4"/>
      <c r="N70" s="4"/>
    </row>
    <row r="71" spans="1:14" ht="15">
      <c r="A71" s="13">
        <v>43800</v>
      </c>
      <c r="B71" s="63">
        <f>2.9762 * CHOOSE(CONTROL!$C$22, $C$13, 100%, $E$13)</f>
        <v>2.9762</v>
      </c>
      <c r="C71" s="63">
        <f>2.9762 * CHOOSE(CONTROL!$C$22, $C$13, 100%, $E$13)</f>
        <v>2.9762</v>
      </c>
      <c r="D71" s="63">
        <f>2.9877 * CHOOSE(CONTROL!$C$22, $C$13, 100%, $E$13)</f>
        <v>2.9876999999999998</v>
      </c>
      <c r="E71" s="64">
        <f>3.4206 * CHOOSE(CONTROL!$C$22, $C$13, 100%, $E$13)</f>
        <v>3.4205999999999999</v>
      </c>
      <c r="F71" s="64">
        <f>3.4206 * CHOOSE(CONTROL!$C$22, $C$13, 100%, $E$13)</f>
        <v>3.4205999999999999</v>
      </c>
      <c r="G71" s="64">
        <f>3.4207 * CHOOSE(CONTROL!$C$22, $C$13, 100%, $E$13)</f>
        <v>3.4207000000000001</v>
      </c>
      <c r="H71" s="64">
        <f>6.32* CHOOSE(CONTROL!$C$22, $C$13, 100%, $E$13)</f>
        <v>6.32</v>
      </c>
      <c r="I71" s="64">
        <f>6.3201 * CHOOSE(CONTROL!$C$22, $C$13, 100%, $E$13)</f>
        <v>6.3201000000000001</v>
      </c>
      <c r="J71" s="64">
        <f>3.4206 * CHOOSE(CONTROL!$C$22, $C$13, 100%, $E$13)</f>
        <v>3.4205999999999999</v>
      </c>
      <c r="K71" s="64">
        <f>3.4207 * CHOOSE(CONTROL!$C$22, $C$13, 100%, $E$13)</f>
        <v>3.4207000000000001</v>
      </c>
      <c r="L71" s="4"/>
      <c r="M71" s="4"/>
      <c r="N71" s="4"/>
    </row>
    <row r="72" spans="1:14" ht="15">
      <c r="A72" s="13">
        <v>43831</v>
      </c>
      <c r="B72" s="63">
        <f>3.0034 * CHOOSE(CONTROL!$C$22, $C$13, 100%, $E$13)</f>
        <v>3.0034000000000001</v>
      </c>
      <c r="C72" s="63">
        <f>3.0034 * CHOOSE(CONTROL!$C$22, $C$13, 100%, $E$13)</f>
        <v>3.0034000000000001</v>
      </c>
      <c r="D72" s="63">
        <f>3.0149 * CHOOSE(CONTROL!$C$22, $C$13, 100%, $E$13)</f>
        <v>3.0148999999999999</v>
      </c>
      <c r="E72" s="64">
        <f>3.5343 * CHOOSE(CONTROL!$C$22, $C$13, 100%, $E$13)</f>
        <v>3.5343</v>
      </c>
      <c r="F72" s="64">
        <f>3.5343 * CHOOSE(CONTROL!$C$22, $C$13, 100%, $E$13)</f>
        <v>3.5343</v>
      </c>
      <c r="G72" s="64">
        <f>3.5345 * CHOOSE(CONTROL!$C$22, $C$13, 100%, $E$13)</f>
        <v>3.5345</v>
      </c>
      <c r="H72" s="64">
        <f>6.3331* CHOOSE(CONTROL!$C$22, $C$13, 100%, $E$13)</f>
        <v>6.3331</v>
      </c>
      <c r="I72" s="64">
        <f>6.3333 * CHOOSE(CONTROL!$C$22, $C$13, 100%, $E$13)</f>
        <v>6.3333000000000004</v>
      </c>
      <c r="J72" s="64">
        <f>3.5343 * CHOOSE(CONTROL!$C$22, $C$13, 100%, $E$13)</f>
        <v>3.5343</v>
      </c>
      <c r="K72" s="64">
        <f>3.5345 * CHOOSE(CONTROL!$C$22, $C$13, 100%, $E$13)</f>
        <v>3.5345</v>
      </c>
      <c r="L72" s="4"/>
      <c r="M72" s="4"/>
      <c r="N72" s="4"/>
    </row>
    <row r="73" spans="1:14" ht="15">
      <c r="A73" s="13">
        <v>43862</v>
      </c>
      <c r="B73" s="63">
        <f>3.0003 * CHOOSE(CONTROL!$C$22, $C$13, 100%, $E$13)</f>
        <v>3.0003000000000002</v>
      </c>
      <c r="C73" s="63">
        <f>3.0003 * CHOOSE(CONTROL!$C$22, $C$13, 100%, $E$13)</f>
        <v>3.0003000000000002</v>
      </c>
      <c r="D73" s="63">
        <f>3.0119 * CHOOSE(CONTROL!$C$22, $C$13, 100%, $E$13)</f>
        <v>3.0118999999999998</v>
      </c>
      <c r="E73" s="64">
        <f>3.4967 * CHOOSE(CONTROL!$C$22, $C$13, 100%, $E$13)</f>
        <v>3.4967000000000001</v>
      </c>
      <c r="F73" s="64">
        <f>3.4967 * CHOOSE(CONTROL!$C$22, $C$13, 100%, $E$13)</f>
        <v>3.4967000000000001</v>
      </c>
      <c r="G73" s="64">
        <f>3.4969 * CHOOSE(CONTROL!$C$22, $C$13, 100%, $E$13)</f>
        <v>3.4969000000000001</v>
      </c>
      <c r="H73" s="64">
        <f>6.3463* CHOOSE(CONTROL!$C$22, $C$13, 100%, $E$13)</f>
        <v>6.3463000000000003</v>
      </c>
      <c r="I73" s="64">
        <f>6.3465 * CHOOSE(CONTROL!$C$22, $C$13, 100%, $E$13)</f>
        <v>6.3464999999999998</v>
      </c>
      <c r="J73" s="64">
        <f>3.4967 * CHOOSE(CONTROL!$C$22, $C$13, 100%, $E$13)</f>
        <v>3.4967000000000001</v>
      </c>
      <c r="K73" s="64">
        <f>3.4969 * CHOOSE(CONTROL!$C$22, $C$13, 100%, $E$13)</f>
        <v>3.4969000000000001</v>
      </c>
      <c r="L73" s="4"/>
      <c r="M73" s="4"/>
      <c r="N73" s="4"/>
    </row>
    <row r="74" spans="1:14" ht="15">
      <c r="A74" s="13">
        <v>43891</v>
      </c>
      <c r="B74" s="63">
        <f>2.9973 * CHOOSE(CONTROL!$C$22, $C$13, 100%, $E$13)</f>
        <v>2.9973000000000001</v>
      </c>
      <c r="C74" s="63">
        <f>2.9973 * CHOOSE(CONTROL!$C$22, $C$13, 100%, $E$13)</f>
        <v>2.9973000000000001</v>
      </c>
      <c r="D74" s="63">
        <f>3.0088 * CHOOSE(CONTROL!$C$22, $C$13, 100%, $E$13)</f>
        <v>3.0087999999999999</v>
      </c>
      <c r="E74" s="64">
        <f>3.5226 * CHOOSE(CONTROL!$C$22, $C$13, 100%, $E$13)</f>
        <v>3.5226000000000002</v>
      </c>
      <c r="F74" s="64">
        <f>3.5226 * CHOOSE(CONTROL!$C$22, $C$13, 100%, $E$13)</f>
        <v>3.5226000000000002</v>
      </c>
      <c r="G74" s="64">
        <f>3.5228 * CHOOSE(CONTROL!$C$22, $C$13, 100%, $E$13)</f>
        <v>3.5228000000000002</v>
      </c>
      <c r="H74" s="64">
        <f>6.3595* CHOOSE(CONTROL!$C$22, $C$13, 100%, $E$13)</f>
        <v>6.3594999999999997</v>
      </c>
      <c r="I74" s="64">
        <f>6.3597 * CHOOSE(CONTROL!$C$22, $C$13, 100%, $E$13)</f>
        <v>6.3597000000000001</v>
      </c>
      <c r="J74" s="64">
        <f>3.5226 * CHOOSE(CONTROL!$C$22, $C$13, 100%, $E$13)</f>
        <v>3.5226000000000002</v>
      </c>
      <c r="K74" s="64">
        <f>3.5228 * CHOOSE(CONTROL!$C$22, $C$13, 100%, $E$13)</f>
        <v>3.5228000000000002</v>
      </c>
      <c r="L74" s="4"/>
      <c r="M74" s="4"/>
      <c r="N74" s="4"/>
    </row>
    <row r="75" spans="1:14" ht="15">
      <c r="A75" s="13">
        <v>43922</v>
      </c>
      <c r="B75" s="63">
        <f>2.994 * CHOOSE(CONTROL!$C$22, $C$13, 100%, $E$13)</f>
        <v>2.9940000000000002</v>
      </c>
      <c r="C75" s="63">
        <f>2.994 * CHOOSE(CONTROL!$C$22, $C$13, 100%, $E$13)</f>
        <v>2.9940000000000002</v>
      </c>
      <c r="D75" s="63">
        <f>3.0056 * CHOOSE(CONTROL!$C$22, $C$13, 100%, $E$13)</f>
        <v>3.0055999999999998</v>
      </c>
      <c r="E75" s="64">
        <f>3.5484 * CHOOSE(CONTROL!$C$22, $C$13, 100%, $E$13)</f>
        <v>3.5484</v>
      </c>
      <c r="F75" s="64">
        <f>3.5484 * CHOOSE(CONTROL!$C$22, $C$13, 100%, $E$13)</f>
        <v>3.5484</v>
      </c>
      <c r="G75" s="64">
        <f>3.5486 * CHOOSE(CONTROL!$C$22, $C$13, 100%, $E$13)</f>
        <v>3.5486</v>
      </c>
      <c r="H75" s="64">
        <f>6.3728* CHOOSE(CONTROL!$C$22, $C$13, 100%, $E$13)</f>
        <v>6.3727999999999998</v>
      </c>
      <c r="I75" s="64">
        <f>6.373 * CHOOSE(CONTROL!$C$22, $C$13, 100%, $E$13)</f>
        <v>6.3730000000000002</v>
      </c>
      <c r="J75" s="64">
        <f>3.5484 * CHOOSE(CONTROL!$C$22, $C$13, 100%, $E$13)</f>
        <v>3.5484</v>
      </c>
      <c r="K75" s="64">
        <f>3.5486 * CHOOSE(CONTROL!$C$22, $C$13, 100%, $E$13)</f>
        <v>3.5486</v>
      </c>
      <c r="L75" s="4"/>
      <c r="M75" s="4"/>
      <c r="N75" s="4"/>
    </row>
    <row r="76" spans="1:14" ht="15">
      <c r="A76" s="13">
        <v>43952</v>
      </c>
      <c r="B76" s="63">
        <f>2.994 * CHOOSE(CONTROL!$C$22, $C$13, 100%, $E$13)</f>
        <v>2.9940000000000002</v>
      </c>
      <c r="C76" s="63">
        <f>2.994 * CHOOSE(CONTROL!$C$22, $C$13, 100%, $E$13)</f>
        <v>2.9940000000000002</v>
      </c>
      <c r="D76" s="63">
        <f>3.0171 * CHOOSE(CONTROL!$C$22, $C$13, 100%, $E$13)</f>
        <v>3.0171000000000001</v>
      </c>
      <c r="E76" s="64">
        <f>3.5597 * CHOOSE(CONTROL!$C$22, $C$13, 100%, $E$13)</f>
        <v>3.5596999999999999</v>
      </c>
      <c r="F76" s="64">
        <f>3.5597 * CHOOSE(CONTROL!$C$22, $C$13, 100%, $E$13)</f>
        <v>3.5596999999999999</v>
      </c>
      <c r="G76" s="64">
        <f>3.5612 * CHOOSE(CONTROL!$C$22, $C$13, 100%, $E$13)</f>
        <v>3.5611999999999999</v>
      </c>
      <c r="H76" s="64">
        <f>6.3861* CHOOSE(CONTROL!$C$22, $C$13, 100%, $E$13)</f>
        <v>6.3860999999999999</v>
      </c>
      <c r="I76" s="64">
        <f>6.3876 * CHOOSE(CONTROL!$C$22, $C$13, 100%, $E$13)</f>
        <v>6.3875999999999999</v>
      </c>
      <c r="J76" s="64">
        <f>3.5597 * CHOOSE(CONTROL!$C$22, $C$13, 100%, $E$13)</f>
        <v>3.5596999999999999</v>
      </c>
      <c r="K76" s="64">
        <f>3.5612 * CHOOSE(CONTROL!$C$22, $C$13, 100%, $E$13)</f>
        <v>3.5611999999999999</v>
      </c>
      <c r="L76" s="4"/>
      <c r="M76" s="4"/>
      <c r="N76" s="4"/>
    </row>
    <row r="77" spans="1:14" ht="15">
      <c r="A77" s="13">
        <v>43983</v>
      </c>
      <c r="B77" s="63">
        <f>3.0001 * CHOOSE(CONTROL!$C$22, $C$13, 100%, $E$13)</f>
        <v>3.0001000000000002</v>
      </c>
      <c r="C77" s="63">
        <f>3.0001 * CHOOSE(CONTROL!$C$22, $C$13, 100%, $E$13)</f>
        <v>3.0001000000000002</v>
      </c>
      <c r="D77" s="63">
        <f>3.0232 * CHOOSE(CONTROL!$C$22, $C$13, 100%, $E$13)</f>
        <v>3.0232000000000001</v>
      </c>
      <c r="E77" s="64">
        <f>3.5526 * CHOOSE(CONTROL!$C$22, $C$13, 100%, $E$13)</f>
        <v>3.5526</v>
      </c>
      <c r="F77" s="64">
        <f>3.5526 * CHOOSE(CONTROL!$C$22, $C$13, 100%, $E$13)</f>
        <v>3.5526</v>
      </c>
      <c r="G77" s="64">
        <f>3.5541 * CHOOSE(CONTROL!$C$22, $C$13, 100%, $E$13)</f>
        <v>3.5541</v>
      </c>
      <c r="H77" s="64">
        <f>6.3994* CHOOSE(CONTROL!$C$22, $C$13, 100%, $E$13)</f>
        <v>6.3994</v>
      </c>
      <c r="I77" s="64">
        <f>6.4009 * CHOOSE(CONTROL!$C$22, $C$13, 100%, $E$13)</f>
        <v>6.4009</v>
      </c>
      <c r="J77" s="64">
        <f>3.5526 * CHOOSE(CONTROL!$C$22, $C$13, 100%, $E$13)</f>
        <v>3.5526</v>
      </c>
      <c r="K77" s="64">
        <f>3.5541 * CHOOSE(CONTROL!$C$22, $C$13, 100%, $E$13)</f>
        <v>3.5541</v>
      </c>
      <c r="L77" s="4"/>
      <c r="M77" s="4"/>
      <c r="N77" s="4"/>
    </row>
    <row r="78" spans="1:14" ht="15">
      <c r="A78" s="13">
        <v>44013</v>
      </c>
      <c r="B78" s="63">
        <f>3.0509 * CHOOSE(CONTROL!$C$22, $C$13, 100%, $E$13)</f>
        <v>3.0508999999999999</v>
      </c>
      <c r="C78" s="63">
        <f>3.0509 * CHOOSE(CONTROL!$C$22, $C$13, 100%, $E$13)</f>
        <v>3.0508999999999999</v>
      </c>
      <c r="D78" s="63">
        <f>3.074 * CHOOSE(CONTROL!$C$22, $C$13, 100%, $E$13)</f>
        <v>3.0739999999999998</v>
      </c>
      <c r="E78" s="64">
        <f>3.6456 * CHOOSE(CONTROL!$C$22, $C$13, 100%, $E$13)</f>
        <v>3.6456</v>
      </c>
      <c r="F78" s="64">
        <f>3.6456 * CHOOSE(CONTROL!$C$22, $C$13, 100%, $E$13)</f>
        <v>3.6456</v>
      </c>
      <c r="G78" s="64">
        <f>3.6471 * CHOOSE(CONTROL!$C$22, $C$13, 100%, $E$13)</f>
        <v>3.6471</v>
      </c>
      <c r="H78" s="64">
        <f>6.4127* CHOOSE(CONTROL!$C$22, $C$13, 100%, $E$13)</f>
        <v>6.4127000000000001</v>
      </c>
      <c r="I78" s="64">
        <f>6.4142 * CHOOSE(CONTROL!$C$22, $C$13, 100%, $E$13)</f>
        <v>6.4142000000000001</v>
      </c>
      <c r="J78" s="64">
        <f>3.6456 * CHOOSE(CONTROL!$C$22, $C$13, 100%, $E$13)</f>
        <v>3.6456</v>
      </c>
      <c r="K78" s="64">
        <f>3.6471 * CHOOSE(CONTROL!$C$22, $C$13, 100%, $E$13)</f>
        <v>3.6471</v>
      </c>
      <c r="L78" s="4"/>
      <c r="M78" s="4"/>
      <c r="N78" s="4"/>
    </row>
    <row r="79" spans="1:14" ht="15">
      <c r="A79" s="13">
        <v>44044</v>
      </c>
      <c r="B79" s="63">
        <f>3.0576 * CHOOSE(CONTROL!$C$22, $C$13, 100%, $E$13)</f>
        <v>3.0575999999999999</v>
      </c>
      <c r="C79" s="63">
        <f>3.0576 * CHOOSE(CONTROL!$C$22, $C$13, 100%, $E$13)</f>
        <v>3.0575999999999999</v>
      </c>
      <c r="D79" s="63">
        <f>3.0807 * CHOOSE(CONTROL!$C$22, $C$13, 100%, $E$13)</f>
        <v>3.0807000000000002</v>
      </c>
      <c r="E79" s="64">
        <f>3.6165 * CHOOSE(CONTROL!$C$22, $C$13, 100%, $E$13)</f>
        <v>3.6164999999999998</v>
      </c>
      <c r="F79" s="64">
        <f>3.6165 * CHOOSE(CONTROL!$C$22, $C$13, 100%, $E$13)</f>
        <v>3.6164999999999998</v>
      </c>
      <c r="G79" s="64">
        <f>3.618 * CHOOSE(CONTROL!$C$22, $C$13, 100%, $E$13)</f>
        <v>3.6179999999999999</v>
      </c>
      <c r="H79" s="64">
        <f>6.4261* CHOOSE(CONTROL!$C$22, $C$13, 100%, $E$13)</f>
        <v>6.4260999999999999</v>
      </c>
      <c r="I79" s="64">
        <f>6.4275 * CHOOSE(CONTROL!$C$22, $C$13, 100%, $E$13)</f>
        <v>6.4275000000000002</v>
      </c>
      <c r="J79" s="64">
        <f>3.6165 * CHOOSE(CONTROL!$C$22, $C$13, 100%, $E$13)</f>
        <v>3.6164999999999998</v>
      </c>
      <c r="K79" s="64">
        <f>3.618 * CHOOSE(CONTROL!$C$22, $C$13, 100%, $E$13)</f>
        <v>3.6179999999999999</v>
      </c>
      <c r="L79" s="4"/>
      <c r="M79" s="4"/>
      <c r="N79" s="4"/>
    </row>
    <row r="80" spans="1:14" ht="15">
      <c r="A80" s="13">
        <v>44075</v>
      </c>
      <c r="B80" s="63">
        <f>3.0545 * CHOOSE(CONTROL!$C$22, $C$13, 100%, $E$13)</f>
        <v>3.0545</v>
      </c>
      <c r="C80" s="63">
        <f>3.0545 * CHOOSE(CONTROL!$C$22, $C$13, 100%, $E$13)</f>
        <v>3.0545</v>
      </c>
      <c r="D80" s="63">
        <f>3.0776 * CHOOSE(CONTROL!$C$22, $C$13, 100%, $E$13)</f>
        <v>3.0775999999999999</v>
      </c>
      <c r="E80" s="64">
        <f>3.6106 * CHOOSE(CONTROL!$C$22, $C$13, 100%, $E$13)</f>
        <v>3.6105999999999998</v>
      </c>
      <c r="F80" s="64">
        <f>3.6106 * CHOOSE(CONTROL!$C$22, $C$13, 100%, $E$13)</f>
        <v>3.6105999999999998</v>
      </c>
      <c r="G80" s="64">
        <f>3.6121 * CHOOSE(CONTROL!$C$22, $C$13, 100%, $E$13)</f>
        <v>3.6120999999999999</v>
      </c>
      <c r="H80" s="64">
        <f>6.4394* CHOOSE(CONTROL!$C$22, $C$13, 100%, $E$13)</f>
        <v>6.4394</v>
      </c>
      <c r="I80" s="64">
        <f>6.4409 * CHOOSE(CONTROL!$C$22, $C$13, 100%, $E$13)</f>
        <v>6.4409000000000001</v>
      </c>
      <c r="J80" s="64">
        <f>3.6106 * CHOOSE(CONTROL!$C$22, $C$13, 100%, $E$13)</f>
        <v>3.6105999999999998</v>
      </c>
      <c r="K80" s="64">
        <f>3.6121 * CHOOSE(CONTROL!$C$22, $C$13, 100%, $E$13)</f>
        <v>3.6120999999999999</v>
      </c>
      <c r="L80" s="4"/>
      <c r="M80" s="4"/>
      <c r="N80" s="4"/>
    </row>
    <row r="81" spans="1:14" ht="15">
      <c r="A81" s="13">
        <v>44105</v>
      </c>
      <c r="B81" s="63">
        <f>3.0462 * CHOOSE(CONTROL!$C$22, $C$13, 100%, $E$13)</f>
        <v>3.0461999999999998</v>
      </c>
      <c r="C81" s="63">
        <f>3.0462 * CHOOSE(CONTROL!$C$22, $C$13, 100%, $E$13)</f>
        <v>3.0461999999999998</v>
      </c>
      <c r="D81" s="63">
        <f>3.0578 * CHOOSE(CONTROL!$C$22, $C$13, 100%, $E$13)</f>
        <v>3.0577999999999999</v>
      </c>
      <c r="E81" s="64">
        <f>3.6122 * CHOOSE(CONTROL!$C$22, $C$13, 100%, $E$13)</f>
        <v>3.6122000000000001</v>
      </c>
      <c r="F81" s="64">
        <f>3.6122 * CHOOSE(CONTROL!$C$22, $C$13, 100%, $E$13)</f>
        <v>3.6122000000000001</v>
      </c>
      <c r="G81" s="64">
        <f>3.6124 * CHOOSE(CONTROL!$C$22, $C$13, 100%, $E$13)</f>
        <v>3.6124000000000001</v>
      </c>
      <c r="H81" s="64">
        <f>6.4529* CHOOSE(CONTROL!$C$22, $C$13, 100%, $E$13)</f>
        <v>6.4528999999999996</v>
      </c>
      <c r="I81" s="64">
        <f>6.453 * CHOOSE(CONTROL!$C$22, $C$13, 100%, $E$13)</f>
        <v>6.4530000000000003</v>
      </c>
      <c r="J81" s="64">
        <f>3.6122 * CHOOSE(CONTROL!$C$22, $C$13, 100%, $E$13)</f>
        <v>3.6122000000000001</v>
      </c>
      <c r="K81" s="64">
        <f>3.6124 * CHOOSE(CONTROL!$C$22, $C$13, 100%, $E$13)</f>
        <v>3.6124000000000001</v>
      </c>
      <c r="L81" s="4"/>
      <c r="M81" s="4"/>
      <c r="N81" s="4"/>
    </row>
    <row r="82" spans="1:14" ht="15">
      <c r="A82" s="13">
        <v>44136</v>
      </c>
      <c r="B82" s="63">
        <f>3.0493 * CHOOSE(CONTROL!$C$22, $C$13, 100%, $E$13)</f>
        <v>3.0493000000000001</v>
      </c>
      <c r="C82" s="63">
        <f>3.0493 * CHOOSE(CONTROL!$C$22, $C$13, 100%, $E$13)</f>
        <v>3.0493000000000001</v>
      </c>
      <c r="D82" s="63">
        <f>3.0608 * CHOOSE(CONTROL!$C$22, $C$13, 100%, $E$13)</f>
        <v>3.0608</v>
      </c>
      <c r="E82" s="64">
        <f>3.6219 * CHOOSE(CONTROL!$C$22, $C$13, 100%, $E$13)</f>
        <v>3.6219000000000001</v>
      </c>
      <c r="F82" s="64">
        <f>3.6219 * CHOOSE(CONTROL!$C$22, $C$13, 100%, $E$13)</f>
        <v>3.6219000000000001</v>
      </c>
      <c r="G82" s="64">
        <f>3.622 * CHOOSE(CONTROL!$C$22, $C$13, 100%, $E$13)</f>
        <v>3.6219999999999999</v>
      </c>
      <c r="H82" s="64">
        <f>6.4663* CHOOSE(CONTROL!$C$22, $C$13, 100%, $E$13)</f>
        <v>6.4663000000000004</v>
      </c>
      <c r="I82" s="64">
        <f>6.4665 * CHOOSE(CONTROL!$C$22, $C$13, 100%, $E$13)</f>
        <v>6.4664999999999999</v>
      </c>
      <c r="J82" s="64">
        <f>3.6219 * CHOOSE(CONTROL!$C$22, $C$13, 100%, $E$13)</f>
        <v>3.6219000000000001</v>
      </c>
      <c r="K82" s="64">
        <f>3.622 * CHOOSE(CONTROL!$C$22, $C$13, 100%, $E$13)</f>
        <v>3.6219999999999999</v>
      </c>
      <c r="L82" s="4"/>
      <c r="M82" s="4"/>
      <c r="N82" s="4"/>
    </row>
    <row r="83" spans="1:14" ht="15">
      <c r="A83" s="13">
        <v>44166</v>
      </c>
      <c r="B83" s="63">
        <f>3.0493 * CHOOSE(CONTROL!$C$22, $C$13, 100%, $E$13)</f>
        <v>3.0493000000000001</v>
      </c>
      <c r="C83" s="63">
        <f>3.0493 * CHOOSE(CONTROL!$C$22, $C$13, 100%, $E$13)</f>
        <v>3.0493000000000001</v>
      </c>
      <c r="D83" s="63">
        <f>3.0608 * CHOOSE(CONTROL!$C$22, $C$13, 100%, $E$13)</f>
        <v>3.0608</v>
      </c>
      <c r="E83" s="64">
        <f>3.6031 * CHOOSE(CONTROL!$C$22, $C$13, 100%, $E$13)</f>
        <v>3.6031</v>
      </c>
      <c r="F83" s="64">
        <f>3.6031 * CHOOSE(CONTROL!$C$22, $C$13, 100%, $E$13)</f>
        <v>3.6031</v>
      </c>
      <c r="G83" s="64">
        <f>3.6033 * CHOOSE(CONTROL!$C$22, $C$13, 100%, $E$13)</f>
        <v>3.6032999999999999</v>
      </c>
      <c r="H83" s="64">
        <f>6.4798* CHOOSE(CONTROL!$C$22, $C$13, 100%, $E$13)</f>
        <v>6.4798</v>
      </c>
      <c r="I83" s="64">
        <f>6.48 * CHOOSE(CONTROL!$C$22, $C$13, 100%, $E$13)</f>
        <v>6.48</v>
      </c>
      <c r="J83" s="64">
        <f>3.6031 * CHOOSE(CONTROL!$C$22, $C$13, 100%, $E$13)</f>
        <v>3.6031</v>
      </c>
      <c r="K83" s="64">
        <f>3.6033 * CHOOSE(CONTROL!$C$22, $C$13, 100%, $E$13)</f>
        <v>3.6032999999999999</v>
      </c>
      <c r="L83" s="4"/>
      <c r="M83" s="4"/>
      <c r="N83" s="4"/>
    </row>
    <row r="84" spans="1:14" ht="15">
      <c r="A84" s="13">
        <v>44197</v>
      </c>
      <c r="B84" s="63">
        <f>3.0805 * CHOOSE(CONTROL!$C$22, $C$13, 100%, $E$13)</f>
        <v>3.0804999999999998</v>
      </c>
      <c r="C84" s="63">
        <f>3.0805 * CHOOSE(CONTROL!$C$22, $C$13, 100%, $E$13)</f>
        <v>3.0804999999999998</v>
      </c>
      <c r="D84" s="63">
        <f>3.0921 * CHOOSE(CONTROL!$C$22, $C$13, 100%, $E$13)</f>
        <v>3.0920999999999998</v>
      </c>
      <c r="E84" s="64">
        <f>3.649 * CHOOSE(CONTROL!$C$22, $C$13, 100%, $E$13)</f>
        <v>3.649</v>
      </c>
      <c r="F84" s="64">
        <f>3.649 * CHOOSE(CONTROL!$C$22, $C$13, 100%, $E$13)</f>
        <v>3.649</v>
      </c>
      <c r="G84" s="64">
        <f>3.6492 * CHOOSE(CONTROL!$C$22, $C$13, 100%, $E$13)</f>
        <v>3.6492</v>
      </c>
      <c r="H84" s="64">
        <f>6.4933* CHOOSE(CONTROL!$C$22, $C$13, 100%, $E$13)</f>
        <v>6.4932999999999996</v>
      </c>
      <c r="I84" s="64">
        <f>6.4935 * CHOOSE(CONTROL!$C$22, $C$13, 100%, $E$13)</f>
        <v>6.4935</v>
      </c>
      <c r="J84" s="64">
        <f>3.649 * CHOOSE(CONTROL!$C$22, $C$13, 100%, $E$13)</f>
        <v>3.649</v>
      </c>
      <c r="K84" s="64">
        <f>3.6492 * CHOOSE(CONTROL!$C$22, $C$13, 100%, $E$13)</f>
        <v>3.6492</v>
      </c>
      <c r="L84" s="4"/>
      <c r="M84" s="4"/>
      <c r="N84" s="4"/>
    </row>
    <row r="85" spans="1:14" ht="15">
      <c r="A85" s="13">
        <v>44228</v>
      </c>
      <c r="B85" s="63">
        <f>3.0775 * CHOOSE(CONTROL!$C$22, $C$13, 100%, $E$13)</f>
        <v>3.0775000000000001</v>
      </c>
      <c r="C85" s="63">
        <f>3.0775 * CHOOSE(CONTROL!$C$22, $C$13, 100%, $E$13)</f>
        <v>3.0775000000000001</v>
      </c>
      <c r="D85" s="63">
        <f>3.089 * CHOOSE(CONTROL!$C$22, $C$13, 100%, $E$13)</f>
        <v>3.089</v>
      </c>
      <c r="E85" s="64">
        <f>3.6087 * CHOOSE(CONTROL!$C$22, $C$13, 100%, $E$13)</f>
        <v>3.6086999999999998</v>
      </c>
      <c r="F85" s="64">
        <f>3.6087 * CHOOSE(CONTROL!$C$22, $C$13, 100%, $E$13)</f>
        <v>3.6086999999999998</v>
      </c>
      <c r="G85" s="64">
        <f>3.6088 * CHOOSE(CONTROL!$C$22, $C$13, 100%, $E$13)</f>
        <v>3.6088</v>
      </c>
      <c r="H85" s="64">
        <f>6.5068* CHOOSE(CONTROL!$C$22, $C$13, 100%, $E$13)</f>
        <v>6.5068000000000001</v>
      </c>
      <c r="I85" s="64">
        <f>6.507 * CHOOSE(CONTROL!$C$22, $C$13, 100%, $E$13)</f>
        <v>6.5069999999999997</v>
      </c>
      <c r="J85" s="64">
        <f>3.6087 * CHOOSE(CONTROL!$C$22, $C$13, 100%, $E$13)</f>
        <v>3.6086999999999998</v>
      </c>
      <c r="K85" s="64">
        <f>3.6088 * CHOOSE(CONTROL!$C$22, $C$13, 100%, $E$13)</f>
        <v>3.6088</v>
      </c>
      <c r="L85" s="4"/>
      <c r="M85" s="4"/>
      <c r="N85" s="4"/>
    </row>
    <row r="86" spans="1:14" ht="15">
      <c r="A86" s="13">
        <v>44256</v>
      </c>
      <c r="B86" s="63">
        <f>3.0744 * CHOOSE(CONTROL!$C$22, $C$13, 100%, $E$13)</f>
        <v>3.0743999999999998</v>
      </c>
      <c r="C86" s="63">
        <f>3.0744 * CHOOSE(CONTROL!$C$22, $C$13, 100%, $E$13)</f>
        <v>3.0743999999999998</v>
      </c>
      <c r="D86" s="63">
        <f>3.086 * CHOOSE(CONTROL!$C$22, $C$13, 100%, $E$13)</f>
        <v>3.0859999999999999</v>
      </c>
      <c r="E86" s="64">
        <f>3.6367 * CHOOSE(CONTROL!$C$22, $C$13, 100%, $E$13)</f>
        <v>3.6366999999999998</v>
      </c>
      <c r="F86" s="64">
        <f>3.6367 * CHOOSE(CONTROL!$C$22, $C$13, 100%, $E$13)</f>
        <v>3.6366999999999998</v>
      </c>
      <c r="G86" s="64">
        <f>3.6369 * CHOOSE(CONTROL!$C$22, $C$13, 100%, $E$13)</f>
        <v>3.6368999999999998</v>
      </c>
      <c r="H86" s="64">
        <f>6.5204* CHOOSE(CONTROL!$C$22, $C$13, 100%, $E$13)</f>
        <v>6.5204000000000004</v>
      </c>
      <c r="I86" s="64">
        <f>6.5205 * CHOOSE(CONTROL!$C$22, $C$13, 100%, $E$13)</f>
        <v>6.5205000000000002</v>
      </c>
      <c r="J86" s="64">
        <f>3.6367 * CHOOSE(CONTROL!$C$22, $C$13, 100%, $E$13)</f>
        <v>3.6366999999999998</v>
      </c>
      <c r="K86" s="64">
        <f>3.6369 * CHOOSE(CONTROL!$C$22, $C$13, 100%, $E$13)</f>
        <v>3.6368999999999998</v>
      </c>
      <c r="L86" s="4"/>
      <c r="M86" s="4"/>
      <c r="N86" s="4"/>
    </row>
    <row r="87" spans="1:14" ht="15">
      <c r="A87" s="13">
        <v>44287</v>
      </c>
      <c r="B87" s="63">
        <f>3.0712 * CHOOSE(CONTROL!$C$22, $C$13, 100%, $E$13)</f>
        <v>3.0712000000000002</v>
      </c>
      <c r="C87" s="63">
        <f>3.0712 * CHOOSE(CONTROL!$C$22, $C$13, 100%, $E$13)</f>
        <v>3.0712000000000002</v>
      </c>
      <c r="D87" s="63">
        <f>3.0828 * CHOOSE(CONTROL!$C$22, $C$13, 100%, $E$13)</f>
        <v>3.0828000000000002</v>
      </c>
      <c r="E87" s="64">
        <f>3.6649 * CHOOSE(CONTROL!$C$22, $C$13, 100%, $E$13)</f>
        <v>3.6648999999999998</v>
      </c>
      <c r="F87" s="64">
        <f>3.6649 * CHOOSE(CONTROL!$C$22, $C$13, 100%, $E$13)</f>
        <v>3.6648999999999998</v>
      </c>
      <c r="G87" s="64">
        <f>3.665 * CHOOSE(CONTROL!$C$22, $C$13, 100%, $E$13)</f>
        <v>3.665</v>
      </c>
      <c r="H87" s="64">
        <f>6.5339* CHOOSE(CONTROL!$C$22, $C$13, 100%, $E$13)</f>
        <v>6.5339</v>
      </c>
      <c r="I87" s="64">
        <f>6.5341 * CHOOSE(CONTROL!$C$22, $C$13, 100%, $E$13)</f>
        <v>6.5340999999999996</v>
      </c>
      <c r="J87" s="64">
        <f>3.6649 * CHOOSE(CONTROL!$C$22, $C$13, 100%, $E$13)</f>
        <v>3.6648999999999998</v>
      </c>
      <c r="K87" s="64">
        <f>3.665 * CHOOSE(CONTROL!$C$22, $C$13, 100%, $E$13)</f>
        <v>3.665</v>
      </c>
      <c r="L87" s="4"/>
      <c r="M87" s="4"/>
      <c r="N87" s="4"/>
    </row>
    <row r="88" spans="1:14" ht="15">
      <c r="A88" s="13">
        <v>44317</v>
      </c>
      <c r="B88" s="63">
        <f>3.0712 * CHOOSE(CONTROL!$C$22, $C$13, 100%, $E$13)</f>
        <v>3.0712000000000002</v>
      </c>
      <c r="C88" s="63">
        <f>3.0712 * CHOOSE(CONTROL!$C$22, $C$13, 100%, $E$13)</f>
        <v>3.0712000000000002</v>
      </c>
      <c r="D88" s="63">
        <f>3.0943 * CHOOSE(CONTROL!$C$22, $C$13, 100%, $E$13)</f>
        <v>3.0943000000000001</v>
      </c>
      <c r="E88" s="64">
        <f>3.677 * CHOOSE(CONTROL!$C$22, $C$13, 100%, $E$13)</f>
        <v>3.677</v>
      </c>
      <c r="F88" s="64">
        <f>3.677 * CHOOSE(CONTROL!$C$22, $C$13, 100%, $E$13)</f>
        <v>3.677</v>
      </c>
      <c r="G88" s="64">
        <f>3.6785 * CHOOSE(CONTROL!$C$22, $C$13, 100%, $E$13)</f>
        <v>3.6785000000000001</v>
      </c>
      <c r="H88" s="64">
        <f>6.5476* CHOOSE(CONTROL!$C$22, $C$13, 100%, $E$13)</f>
        <v>6.5476000000000001</v>
      </c>
      <c r="I88" s="64">
        <f>6.549 * CHOOSE(CONTROL!$C$22, $C$13, 100%, $E$13)</f>
        <v>6.5490000000000004</v>
      </c>
      <c r="J88" s="64">
        <f>3.677 * CHOOSE(CONTROL!$C$22, $C$13, 100%, $E$13)</f>
        <v>3.677</v>
      </c>
      <c r="K88" s="64">
        <f>3.6785 * CHOOSE(CONTROL!$C$22, $C$13, 100%, $E$13)</f>
        <v>3.6785000000000001</v>
      </c>
      <c r="L88" s="4"/>
      <c r="M88" s="4"/>
      <c r="N88" s="4"/>
    </row>
    <row r="89" spans="1:14" ht="15">
      <c r="A89" s="13">
        <v>44348</v>
      </c>
      <c r="B89" s="63">
        <f>3.0773 * CHOOSE(CONTROL!$C$22, $C$13, 100%, $E$13)</f>
        <v>3.0773000000000001</v>
      </c>
      <c r="C89" s="63">
        <f>3.0773 * CHOOSE(CONTROL!$C$22, $C$13, 100%, $E$13)</f>
        <v>3.0773000000000001</v>
      </c>
      <c r="D89" s="63">
        <f>3.1004 * CHOOSE(CONTROL!$C$22, $C$13, 100%, $E$13)</f>
        <v>3.1004</v>
      </c>
      <c r="E89" s="64">
        <f>3.6691 * CHOOSE(CONTROL!$C$22, $C$13, 100%, $E$13)</f>
        <v>3.6690999999999998</v>
      </c>
      <c r="F89" s="64">
        <f>3.6691 * CHOOSE(CONTROL!$C$22, $C$13, 100%, $E$13)</f>
        <v>3.6690999999999998</v>
      </c>
      <c r="G89" s="64">
        <f>3.6706 * CHOOSE(CONTROL!$C$22, $C$13, 100%, $E$13)</f>
        <v>3.6705999999999999</v>
      </c>
      <c r="H89" s="64">
        <f>6.5612* CHOOSE(CONTROL!$C$22, $C$13, 100%, $E$13)</f>
        <v>6.5612000000000004</v>
      </c>
      <c r="I89" s="64">
        <f>6.5627 * CHOOSE(CONTROL!$C$22, $C$13, 100%, $E$13)</f>
        <v>6.5627000000000004</v>
      </c>
      <c r="J89" s="64">
        <f>3.6691 * CHOOSE(CONTROL!$C$22, $C$13, 100%, $E$13)</f>
        <v>3.6690999999999998</v>
      </c>
      <c r="K89" s="64">
        <f>3.6706 * CHOOSE(CONTROL!$C$22, $C$13, 100%, $E$13)</f>
        <v>3.6705999999999999</v>
      </c>
      <c r="L89" s="4"/>
      <c r="M89" s="4"/>
      <c r="N89" s="4"/>
    </row>
    <row r="90" spans="1:14" ht="15">
      <c r="A90" s="13">
        <v>44378</v>
      </c>
      <c r="B90" s="63">
        <f>3.137 * CHOOSE(CONTROL!$C$22, $C$13, 100%, $E$13)</f>
        <v>3.137</v>
      </c>
      <c r="C90" s="63">
        <f>3.137 * CHOOSE(CONTROL!$C$22, $C$13, 100%, $E$13)</f>
        <v>3.137</v>
      </c>
      <c r="D90" s="63">
        <f>3.1601 * CHOOSE(CONTROL!$C$22, $C$13, 100%, $E$13)</f>
        <v>3.1600999999999999</v>
      </c>
      <c r="E90" s="64">
        <f>3.6976 * CHOOSE(CONTROL!$C$22, $C$13, 100%, $E$13)</f>
        <v>3.6976</v>
      </c>
      <c r="F90" s="64">
        <f>3.6976 * CHOOSE(CONTROL!$C$22, $C$13, 100%, $E$13)</f>
        <v>3.6976</v>
      </c>
      <c r="G90" s="64">
        <f>3.6991 * CHOOSE(CONTROL!$C$22, $C$13, 100%, $E$13)</f>
        <v>3.6991000000000001</v>
      </c>
      <c r="H90" s="64">
        <f>6.5749* CHOOSE(CONTROL!$C$22, $C$13, 100%, $E$13)</f>
        <v>6.5749000000000004</v>
      </c>
      <c r="I90" s="64">
        <f>6.5764 * CHOOSE(CONTROL!$C$22, $C$13, 100%, $E$13)</f>
        <v>6.5763999999999996</v>
      </c>
      <c r="J90" s="64">
        <f>3.6976 * CHOOSE(CONTROL!$C$22, $C$13, 100%, $E$13)</f>
        <v>3.6976</v>
      </c>
      <c r="K90" s="64">
        <f>3.6991 * CHOOSE(CONTROL!$C$22, $C$13, 100%, $E$13)</f>
        <v>3.6991000000000001</v>
      </c>
      <c r="L90" s="4"/>
      <c r="M90" s="4"/>
      <c r="N90" s="4"/>
    </row>
    <row r="91" spans="1:14" ht="15">
      <c r="A91" s="13">
        <v>44409</v>
      </c>
      <c r="B91" s="63">
        <f>3.1436 * CHOOSE(CONTROL!$C$22, $C$13, 100%, $E$13)</f>
        <v>3.1436000000000002</v>
      </c>
      <c r="C91" s="63">
        <f>3.1436 * CHOOSE(CONTROL!$C$22, $C$13, 100%, $E$13)</f>
        <v>3.1436000000000002</v>
      </c>
      <c r="D91" s="63">
        <f>3.1667 * CHOOSE(CONTROL!$C$22, $C$13, 100%, $E$13)</f>
        <v>3.1667000000000001</v>
      </c>
      <c r="E91" s="64">
        <f>3.6658 * CHOOSE(CONTROL!$C$22, $C$13, 100%, $E$13)</f>
        <v>3.6657999999999999</v>
      </c>
      <c r="F91" s="64">
        <f>3.6658 * CHOOSE(CONTROL!$C$22, $C$13, 100%, $E$13)</f>
        <v>3.6657999999999999</v>
      </c>
      <c r="G91" s="64">
        <f>3.6673 * CHOOSE(CONTROL!$C$22, $C$13, 100%, $E$13)</f>
        <v>3.6673</v>
      </c>
      <c r="H91" s="64">
        <f>6.5886* CHOOSE(CONTROL!$C$22, $C$13, 100%, $E$13)</f>
        <v>6.5885999999999996</v>
      </c>
      <c r="I91" s="64">
        <f>6.5901 * CHOOSE(CONTROL!$C$22, $C$13, 100%, $E$13)</f>
        <v>6.5900999999999996</v>
      </c>
      <c r="J91" s="64">
        <f>3.6658 * CHOOSE(CONTROL!$C$22, $C$13, 100%, $E$13)</f>
        <v>3.6657999999999999</v>
      </c>
      <c r="K91" s="64">
        <f>3.6673 * CHOOSE(CONTROL!$C$22, $C$13, 100%, $E$13)</f>
        <v>3.6673</v>
      </c>
      <c r="L91" s="4"/>
      <c r="M91" s="4"/>
      <c r="N91" s="4"/>
    </row>
    <row r="92" spans="1:14" ht="15">
      <c r="A92" s="13">
        <v>44440</v>
      </c>
      <c r="B92" s="63">
        <f>3.1406 * CHOOSE(CONTROL!$C$22, $C$13, 100%, $E$13)</f>
        <v>3.1406000000000001</v>
      </c>
      <c r="C92" s="63">
        <f>3.1406 * CHOOSE(CONTROL!$C$22, $C$13, 100%, $E$13)</f>
        <v>3.1406000000000001</v>
      </c>
      <c r="D92" s="63">
        <f>3.1637 * CHOOSE(CONTROL!$C$22, $C$13, 100%, $E$13)</f>
        <v>3.1637</v>
      </c>
      <c r="E92" s="64">
        <f>3.6597 * CHOOSE(CONTROL!$C$22, $C$13, 100%, $E$13)</f>
        <v>3.6597</v>
      </c>
      <c r="F92" s="64">
        <f>3.6597 * CHOOSE(CONTROL!$C$22, $C$13, 100%, $E$13)</f>
        <v>3.6597</v>
      </c>
      <c r="G92" s="64">
        <f>3.6612 * CHOOSE(CONTROL!$C$22, $C$13, 100%, $E$13)</f>
        <v>3.6612</v>
      </c>
      <c r="H92" s="64">
        <f>6.6023* CHOOSE(CONTROL!$C$22, $C$13, 100%, $E$13)</f>
        <v>6.6022999999999996</v>
      </c>
      <c r="I92" s="64">
        <f>6.6038 * CHOOSE(CONTROL!$C$22, $C$13, 100%, $E$13)</f>
        <v>6.6037999999999997</v>
      </c>
      <c r="J92" s="64">
        <f>3.6597 * CHOOSE(CONTROL!$C$22, $C$13, 100%, $E$13)</f>
        <v>3.6597</v>
      </c>
      <c r="K92" s="64">
        <f>3.6612 * CHOOSE(CONTROL!$C$22, $C$13, 100%, $E$13)</f>
        <v>3.6612</v>
      </c>
      <c r="L92" s="4"/>
      <c r="M92" s="4"/>
      <c r="N92" s="4"/>
    </row>
    <row r="93" spans="1:14" ht="15">
      <c r="A93" s="13">
        <v>44470</v>
      </c>
      <c r="B93" s="63">
        <f>3.1326 * CHOOSE(CONTROL!$C$22, $C$13, 100%, $E$13)</f>
        <v>3.1326000000000001</v>
      </c>
      <c r="C93" s="63">
        <f>3.1326 * CHOOSE(CONTROL!$C$22, $C$13, 100%, $E$13)</f>
        <v>3.1326000000000001</v>
      </c>
      <c r="D93" s="63">
        <f>3.1441 * CHOOSE(CONTROL!$C$22, $C$13, 100%, $E$13)</f>
        <v>3.1440999999999999</v>
      </c>
      <c r="E93" s="64">
        <f>3.6625 * CHOOSE(CONTROL!$C$22, $C$13, 100%, $E$13)</f>
        <v>3.6625000000000001</v>
      </c>
      <c r="F93" s="64">
        <f>3.6625 * CHOOSE(CONTROL!$C$22, $C$13, 100%, $E$13)</f>
        <v>3.6625000000000001</v>
      </c>
      <c r="G93" s="64">
        <f>3.6626 * CHOOSE(CONTROL!$C$22, $C$13, 100%, $E$13)</f>
        <v>3.6625999999999999</v>
      </c>
      <c r="H93" s="64">
        <f>6.616* CHOOSE(CONTROL!$C$22, $C$13, 100%, $E$13)</f>
        <v>6.6159999999999997</v>
      </c>
      <c r="I93" s="64">
        <f>6.6162 * CHOOSE(CONTROL!$C$22, $C$13, 100%, $E$13)</f>
        <v>6.6162000000000001</v>
      </c>
      <c r="J93" s="64">
        <f>3.6625 * CHOOSE(CONTROL!$C$22, $C$13, 100%, $E$13)</f>
        <v>3.6625000000000001</v>
      </c>
      <c r="K93" s="64">
        <f>3.6626 * CHOOSE(CONTROL!$C$22, $C$13, 100%, $E$13)</f>
        <v>3.6625999999999999</v>
      </c>
      <c r="L93" s="4"/>
      <c r="M93" s="4"/>
      <c r="N93" s="4"/>
    </row>
    <row r="94" spans="1:14" ht="15">
      <c r="A94" s="13">
        <v>44501</v>
      </c>
      <c r="B94" s="63">
        <f>3.1356 * CHOOSE(CONTROL!$C$22, $C$13, 100%, $E$13)</f>
        <v>3.1356000000000002</v>
      </c>
      <c r="C94" s="63">
        <f>3.1356 * CHOOSE(CONTROL!$C$22, $C$13, 100%, $E$13)</f>
        <v>3.1356000000000002</v>
      </c>
      <c r="D94" s="63">
        <f>3.1472 * CHOOSE(CONTROL!$C$22, $C$13, 100%, $E$13)</f>
        <v>3.1472000000000002</v>
      </c>
      <c r="E94" s="64">
        <f>3.6727 * CHOOSE(CONTROL!$C$22, $C$13, 100%, $E$13)</f>
        <v>3.6726999999999999</v>
      </c>
      <c r="F94" s="64">
        <f>3.6727 * CHOOSE(CONTROL!$C$22, $C$13, 100%, $E$13)</f>
        <v>3.6726999999999999</v>
      </c>
      <c r="G94" s="64">
        <f>3.6728 * CHOOSE(CONTROL!$C$22, $C$13, 100%, $E$13)</f>
        <v>3.6728000000000001</v>
      </c>
      <c r="H94" s="64">
        <f>6.6298* CHOOSE(CONTROL!$C$22, $C$13, 100%, $E$13)</f>
        <v>6.6298000000000004</v>
      </c>
      <c r="I94" s="64">
        <f>6.63 * CHOOSE(CONTROL!$C$22, $C$13, 100%, $E$13)</f>
        <v>6.63</v>
      </c>
      <c r="J94" s="64">
        <f>3.6727 * CHOOSE(CONTROL!$C$22, $C$13, 100%, $E$13)</f>
        <v>3.6726999999999999</v>
      </c>
      <c r="K94" s="64">
        <f>3.6728 * CHOOSE(CONTROL!$C$22, $C$13, 100%, $E$13)</f>
        <v>3.6728000000000001</v>
      </c>
      <c r="L94" s="4"/>
      <c r="M94" s="4"/>
      <c r="N94" s="4"/>
    </row>
    <row r="95" spans="1:14" ht="15">
      <c r="A95" s="13">
        <v>44531</v>
      </c>
      <c r="B95" s="63">
        <f>3.1356 * CHOOSE(CONTROL!$C$22, $C$13, 100%, $E$13)</f>
        <v>3.1356000000000002</v>
      </c>
      <c r="C95" s="63">
        <f>3.1356 * CHOOSE(CONTROL!$C$22, $C$13, 100%, $E$13)</f>
        <v>3.1356000000000002</v>
      </c>
      <c r="D95" s="63">
        <f>3.1472 * CHOOSE(CONTROL!$C$22, $C$13, 100%, $E$13)</f>
        <v>3.1472000000000002</v>
      </c>
      <c r="E95" s="64">
        <f>3.6524 * CHOOSE(CONTROL!$C$22, $C$13, 100%, $E$13)</f>
        <v>3.6524000000000001</v>
      </c>
      <c r="F95" s="64">
        <f>3.6524 * CHOOSE(CONTROL!$C$22, $C$13, 100%, $E$13)</f>
        <v>3.6524000000000001</v>
      </c>
      <c r="G95" s="64">
        <f>3.6526 * CHOOSE(CONTROL!$C$22, $C$13, 100%, $E$13)</f>
        <v>3.6526000000000001</v>
      </c>
      <c r="H95" s="64">
        <f>6.6436* CHOOSE(CONTROL!$C$22, $C$13, 100%, $E$13)</f>
        <v>6.6436000000000002</v>
      </c>
      <c r="I95" s="64">
        <f>6.6438 * CHOOSE(CONTROL!$C$22, $C$13, 100%, $E$13)</f>
        <v>6.6437999999999997</v>
      </c>
      <c r="J95" s="64">
        <f>3.6524 * CHOOSE(CONTROL!$C$22, $C$13, 100%, $E$13)</f>
        <v>3.6524000000000001</v>
      </c>
      <c r="K95" s="64">
        <f>3.6526 * CHOOSE(CONTROL!$C$22, $C$13, 100%, $E$13)</f>
        <v>3.6526000000000001</v>
      </c>
      <c r="L95" s="4"/>
      <c r="M95" s="4"/>
      <c r="N95" s="4"/>
    </row>
    <row r="96" spans="1:14" ht="15">
      <c r="A96" s="13">
        <v>44562</v>
      </c>
      <c r="B96" s="63">
        <f>3.1653 * CHOOSE(CONTROL!$C$22, $C$13, 100%, $E$13)</f>
        <v>3.1652999999999998</v>
      </c>
      <c r="C96" s="63">
        <f>3.1653 * CHOOSE(CONTROL!$C$22, $C$13, 100%, $E$13)</f>
        <v>3.1652999999999998</v>
      </c>
      <c r="D96" s="63">
        <f>3.1769 * CHOOSE(CONTROL!$C$22, $C$13, 100%, $E$13)</f>
        <v>3.1768999999999998</v>
      </c>
      <c r="E96" s="64">
        <f>3.7076 * CHOOSE(CONTROL!$C$22, $C$13, 100%, $E$13)</f>
        <v>3.7075999999999998</v>
      </c>
      <c r="F96" s="64">
        <f>3.7076 * CHOOSE(CONTROL!$C$22, $C$13, 100%, $E$13)</f>
        <v>3.7075999999999998</v>
      </c>
      <c r="G96" s="64">
        <f>3.7078 * CHOOSE(CONTROL!$C$22, $C$13, 100%, $E$13)</f>
        <v>3.7078000000000002</v>
      </c>
      <c r="H96" s="64">
        <f>6.6575* CHOOSE(CONTROL!$C$22, $C$13, 100%, $E$13)</f>
        <v>6.6574999999999998</v>
      </c>
      <c r="I96" s="64">
        <f>6.6577 * CHOOSE(CONTROL!$C$22, $C$13, 100%, $E$13)</f>
        <v>6.6577000000000002</v>
      </c>
      <c r="J96" s="64">
        <f>3.7076 * CHOOSE(CONTROL!$C$22, $C$13, 100%, $E$13)</f>
        <v>3.7075999999999998</v>
      </c>
      <c r="K96" s="64">
        <f>3.7078 * CHOOSE(CONTROL!$C$22, $C$13, 100%, $E$13)</f>
        <v>3.7078000000000002</v>
      </c>
      <c r="L96" s="4"/>
      <c r="M96" s="4"/>
      <c r="N96" s="4"/>
    </row>
    <row r="97" spans="1:14" ht="15">
      <c r="A97" s="13">
        <v>44593</v>
      </c>
      <c r="B97" s="63">
        <f>3.1623 * CHOOSE(CONTROL!$C$22, $C$13, 100%, $E$13)</f>
        <v>3.1623000000000001</v>
      </c>
      <c r="C97" s="63">
        <f>3.1623 * CHOOSE(CONTROL!$C$22, $C$13, 100%, $E$13)</f>
        <v>3.1623000000000001</v>
      </c>
      <c r="D97" s="63">
        <f>3.1739 * CHOOSE(CONTROL!$C$22, $C$13, 100%, $E$13)</f>
        <v>3.1739000000000002</v>
      </c>
      <c r="E97" s="64">
        <f>3.6651 * CHOOSE(CONTROL!$C$22, $C$13, 100%, $E$13)</f>
        <v>3.6650999999999998</v>
      </c>
      <c r="F97" s="64">
        <f>3.6651 * CHOOSE(CONTROL!$C$22, $C$13, 100%, $E$13)</f>
        <v>3.6650999999999998</v>
      </c>
      <c r="G97" s="64">
        <f>3.6653 * CHOOSE(CONTROL!$C$22, $C$13, 100%, $E$13)</f>
        <v>3.6652999999999998</v>
      </c>
      <c r="H97" s="64">
        <f>6.6713* CHOOSE(CONTROL!$C$22, $C$13, 100%, $E$13)</f>
        <v>6.6712999999999996</v>
      </c>
      <c r="I97" s="64">
        <f>6.6715 * CHOOSE(CONTROL!$C$22, $C$13, 100%, $E$13)</f>
        <v>6.6715</v>
      </c>
      <c r="J97" s="64">
        <f>3.6651 * CHOOSE(CONTROL!$C$22, $C$13, 100%, $E$13)</f>
        <v>3.6650999999999998</v>
      </c>
      <c r="K97" s="64">
        <f>3.6653 * CHOOSE(CONTROL!$C$22, $C$13, 100%, $E$13)</f>
        <v>3.6652999999999998</v>
      </c>
      <c r="L97" s="4"/>
      <c r="M97" s="4"/>
      <c r="N97" s="4"/>
    </row>
    <row r="98" spans="1:14" ht="15">
      <c r="A98" s="13">
        <v>44621</v>
      </c>
      <c r="B98" s="63">
        <f>3.1593 * CHOOSE(CONTROL!$C$22, $C$13, 100%, $E$13)</f>
        <v>3.1593</v>
      </c>
      <c r="C98" s="63">
        <f>3.1593 * CHOOSE(CONTROL!$C$22, $C$13, 100%, $E$13)</f>
        <v>3.1593</v>
      </c>
      <c r="D98" s="63">
        <f>3.1708 * CHOOSE(CONTROL!$C$22, $C$13, 100%, $E$13)</f>
        <v>3.1707999999999998</v>
      </c>
      <c r="E98" s="64">
        <f>3.6948 * CHOOSE(CONTROL!$C$22, $C$13, 100%, $E$13)</f>
        <v>3.6947999999999999</v>
      </c>
      <c r="F98" s="64">
        <f>3.6948 * CHOOSE(CONTROL!$C$22, $C$13, 100%, $E$13)</f>
        <v>3.6947999999999999</v>
      </c>
      <c r="G98" s="64">
        <f>3.695 * CHOOSE(CONTROL!$C$22, $C$13, 100%, $E$13)</f>
        <v>3.6949999999999998</v>
      </c>
      <c r="H98" s="64">
        <f>6.6852* CHOOSE(CONTROL!$C$22, $C$13, 100%, $E$13)</f>
        <v>6.6852</v>
      </c>
      <c r="I98" s="64">
        <f>6.6854 * CHOOSE(CONTROL!$C$22, $C$13, 100%, $E$13)</f>
        <v>6.6853999999999996</v>
      </c>
      <c r="J98" s="64">
        <f>3.6948 * CHOOSE(CONTROL!$C$22, $C$13, 100%, $E$13)</f>
        <v>3.6947999999999999</v>
      </c>
      <c r="K98" s="64">
        <f>3.695 * CHOOSE(CONTROL!$C$22, $C$13, 100%, $E$13)</f>
        <v>3.6949999999999998</v>
      </c>
      <c r="L98" s="4"/>
      <c r="M98" s="4"/>
      <c r="N98" s="4"/>
    </row>
    <row r="99" spans="1:14" ht="15">
      <c r="A99" s="13">
        <v>44652</v>
      </c>
      <c r="B99" s="63">
        <f>3.1561 * CHOOSE(CONTROL!$C$22, $C$13, 100%, $E$13)</f>
        <v>3.1560999999999999</v>
      </c>
      <c r="C99" s="63">
        <f>3.1561 * CHOOSE(CONTROL!$C$22, $C$13, 100%, $E$13)</f>
        <v>3.1560999999999999</v>
      </c>
      <c r="D99" s="63">
        <f>3.1677 * CHOOSE(CONTROL!$C$22, $C$13, 100%, $E$13)</f>
        <v>3.1677</v>
      </c>
      <c r="E99" s="64">
        <f>3.7248 * CHOOSE(CONTROL!$C$22, $C$13, 100%, $E$13)</f>
        <v>3.7248000000000001</v>
      </c>
      <c r="F99" s="64">
        <f>3.7248 * CHOOSE(CONTROL!$C$22, $C$13, 100%, $E$13)</f>
        <v>3.7248000000000001</v>
      </c>
      <c r="G99" s="64">
        <f>3.7249 * CHOOSE(CONTROL!$C$22, $C$13, 100%, $E$13)</f>
        <v>3.7248999999999999</v>
      </c>
      <c r="H99" s="64">
        <f>6.6992* CHOOSE(CONTROL!$C$22, $C$13, 100%, $E$13)</f>
        <v>6.6992000000000003</v>
      </c>
      <c r="I99" s="64">
        <f>6.6994 * CHOOSE(CONTROL!$C$22, $C$13, 100%, $E$13)</f>
        <v>6.6993999999999998</v>
      </c>
      <c r="J99" s="64">
        <f>3.7248 * CHOOSE(CONTROL!$C$22, $C$13, 100%, $E$13)</f>
        <v>3.7248000000000001</v>
      </c>
      <c r="K99" s="64">
        <f>3.7249 * CHOOSE(CONTROL!$C$22, $C$13, 100%, $E$13)</f>
        <v>3.7248999999999999</v>
      </c>
      <c r="L99" s="4"/>
      <c r="M99" s="4"/>
      <c r="N99" s="4"/>
    </row>
    <row r="100" spans="1:14" ht="15">
      <c r="A100" s="13">
        <v>44682</v>
      </c>
      <c r="B100" s="63">
        <f>3.1561 * CHOOSE(CONTROL!$C$22, $C$13, 100%, $E$13)</f>
        <v>3.1560999999999999</v>
      </c>
      <c r="C100" s="63">
        <f>3.1561 * CHOOSE(CONTROL!$C$22, $C$13, 100%, $E$13)</f>
        <v>3.1560999999999999</v>
      </c>
      <c r="D100" s="63">
        <f>3.1792 * CHOOSE(CONTROL!$C$22, $C$13, 100%, $E$13)</f>
        <v>3.1791999999999998</v>
      </c>
      <c r="E100" s="64">
        <f>3.7376 * CHOOSE(CONTROL!$C$22, $C$13, 100%, $E$13)</f>
        <v>3.7376</v>
      </c>
      <c r="F100" s="64">
        <f>3.7376 * CHOOSE(CONTROL!$C$22, $C$13, 100%, $E$13)</f>
        <v>3.7376</v>
      </c>
      <c r="G100" s="64">
        <f>3.7391 * CHOOSE(CONTROL!$C$22, $C$13, 100%, $E$13)</f>
        <v>3.7391000000000001</v>
      </c>
      <c r="H100" s="64">
        <f>6.7131* CHOOSE(CONTROL!$C$22, $C$13, 100%, $E$13)</f>
        <v>6.7130999999999998</v>
      </c>
      <c r="I100" s="64">
        <f>6.7146 * CHOOSE(CONTROL!$C$22, $C$13, 100%, $E$13)</f>
        <v>6.7145999999999999</v>
      </c>
      <c r="J100" s="64">
        <f>3.7376 * CHOOSE(CONTROL!$C$22, $C$13, 100%, $E$13)</f>
        <v>3.7376</v>
      </c>
      <c r="K100" s="64">
        <f>3.7391 * CHOOSE(CONTROL!$C$22, $C$13, 100%, $E$13)</f>
        <v>3.7391000000000001</v>
      </c>
      <c r="L100" s="4"/>
      <c r="M100" s="4"/>
      <c r="N100" s="4"/>
    </row>
    <row r="101" spans="1:14" ht="15">
      <c r="A101" s="13">
        <v>44713</v>
      </c>
      <c r="B101" s="63">
        <f>3.1622 * CHOOSE(CONTROL!$C$22, $C$13, 100%, $E$13)</f>
        <v>3.1621999999999999</v>
      </c>
      <c r="C101" s="63">
        <f>3.1622 * CHOOSE(CONTROL!$C$22, $C$13, 100%, $E$13)</f>
        <v>3.1621999999999999</v>
      </c>
      <c r="D101" s="63">
        <f>3.1853 * CHOOSE(CONTROL!$C$22, $C$13, 100%, $E$13)</f>
        <v>3.1852999999999998</v>
      </c>
      <c r="E101" s="64">
        <f>3.729 * CHOOSE(CONTROL!$C$22, $C$13, 100%, $E$13)</f>
        <v>3.7290000000000001</v>
      </c>
      <c r="F101" s="64">
        <f>3.729 * CHOOSE(CONTROL!$C$22, $C$13, 100%, $E$13)</f>
        <v>3.7290000000000001</v>
      </c>
      <c r="G101" s="64">
        <f>3.7305 * CHOOSE(CONTROL!$C$22, $C$13, 100%, $E$13)</f>
        <v>3.7305000000000001</v>
      </c>
      <c r="H101" s="64">
        <f>6.7271* CHOOSE(CONTROL!$C$22, $C$13, 100%, $E$13)</f>
        <v>6.7271000000000001</v>
      </c>
      <c r="I101" s="64">
        <f>6.7286 * CHOOSE(CONTROL!$C$22, $C$13, 100%, $E$13)</f>
        <v>6.7286000000000001</v>
      </c>
      <c r="J101" s="64">
        <f>3.729 * CHOOSE(CONTROL!$C$22, $C$13, 100%, $E$13)</f>
        <v>3.7290000000000001</v>
      </c>
      <c r="K101" s="64">
        <f>3.7305 * CHOOSE(CONTROL!$C$22, $C$13, 100%, $E$13)</f>
        <v>3.7305000000000001</v>
      </c>
      <c r="L101" s="4"/>
      <c r="M101" s="4"/>
      <c r="N101" s="4"/>
    </row>
    <row r="102" spans="1:14" ht="15">
      <c r="A102" s="13">
        <v>44743</v>
      </c>
      <c r="B102" s="63">
        <f>3.2179 * CHOOSE(CONTROL!$C$22, $C$13, 100%, $E$13)</f>
        <v>3.2179000000000002</v>
      </c>
      <c r="C102" s="63">
        <f>3.2179 * CHOOSE(CONTROL!$C$22, $C$13, 100%, $E$13)</f>
        <v>3.2179000000000002</v>
      </c>
      <c r="D102" s="63">
        <f>3.241 * CHOOSE(CONTROL!$C$22, $C$13, 100%, $E$13)</f>
        <v>3.2410000000000001</v>
      </c>
      <c r="E102" s="64">
        <f>3.796 * CHOOSE(CONTROL!$C$22, $C$13, 100%, $E$13)</f>
        <v>3.7959999999999998</v>
      </c>
      <c r="F102" s="64">
        <f>3.796 * CHOOSE(CONTROL!$C$22, $C$13, 100%, $E$13)</f>
        <v>3.7959999999999998</v>
      </c>
      <c r="G102" s="64">
        <f>3.7975 * CHOOSE(CONTROL!$C$22, $C$13, 100%, $E$13)</f>
        <v>3.7974999999999999</v>
      </c>
      <c r="H102" s="64">
        <f>6.7411* CHOOSE(CONTROL!$C$22, $C$13, 100%, $E$13)</f>
        <v>6.7411000000000003</v>
      </c>
      <c r="I102" s="64">
        <f>6.7426 * CHOOSE(CONTROL!$C$22, $C$13, 100%, $E$13)</f>
        <v>6.7426000000000004</v>
      </c>
      <c r="J102" s="64">
        <f>3.796 * CHOOSE(CONTROL!$C$22, $C$13, 100%, $E$13)</f>
        <v>3.7959999999999998</v>
      </c>
      <c r="K102" s="64">
        <f>3.7975 * CHOOSE(CONTROL!$C$22, $C$13, 100%, $E$13)</f>
        <v>3.7974999999999999</v>
      </c>
      <c r="L102" s="4"/>
      <c r="M102" s="4"/>
      <c r="N102" s="4"/>
    </row>
    <row r="103" spans="1:14" ht="15">
      <c r="A103" s="13">
        <v>44774</v>
      </c>
      <c r="B103" s="63">
        <f>3.2245 * CHOOSE(CONTROL!$C$22, $C$13, 100%, $E$13)</f>
        <v>3.2244999999999999</v>
      </c>
      <c r="C103" s="63">
        <f>3.2245 * CHOOSE(CONTROL!$C$22, $C$13, 100%, $E$13)</f>
        <v>3.2244999999999999</v>
      </c>
      <c r="D103" s="63">
        <f>3.2476 * CHOOSE(CONTROL!$C$22, $C$13, 100%, $E$13)</f>
        <v>3.2475999999999998</v>
      </c>
      <c r="E103" s="64">
        <f>3.7622 * CHOOSE(CONTROL!$C$22, $C$13, 100%, $E$13)</f>
        <v>3.7622</v>
      </c>
      <c r="F103" s="64">
        <f>3.7622 * CHOOSE(CONTROL!$C$22, $C$13, 100%, $E$13)</f>
        <v>3.7622</v>
      </c>
      <c r="G103" s="64">
        <f>3.7637 * CHOOSE(CONTROL!$C$22, $C$13, 100%, $E$13)</f>
        <v>3.7637</v>
      </c>
      <c r="H103" s="64">
        <f>6.7552* CHOOSE(CONTROL!$C$22, $C$13, 100%, $E$13)</f>
        <v>6.7552000000000003</v>
      </c>
      <c r="I103" s="64">
        <f>6.7567 * CHOOSE(CONTROL!$C$22, $C$13, 100%, $E$13)</f>
        <v>6.7567000000000004</v>
      </c>
      <c r="J103" s="64">
        <f>3.7622 * CHOOSE(CONTROL!$C$22, $C$13, 100%, $E$13)</f>
        <v>3.7622</v>
      </c>
      <c r="K103" s="64">
        <f>3.7637 * CHOOSE(CONTROL!$C$22, $C$13, 100%, $E$13)</f>
        <v>3.7637</v>
      </c>
      <c r="L103" s="4"/>
      <c r="M103" s="4"/>
      <c r="N103" s="4"/>
    </row>
    <row r="104" spans="1:14" ht="15">
      <c r="A104" s="13">
        <v>44805</v>
      </c>
      <c r="B104" s="63">
        <f>3.2215 * CHOOSE(CONTROL!$C$22, $C$13, 100%, $E$13)</f>
        <v>3.2214999999999998</v>
      </c>
      <c r="C104" s="63">
        <f>3.2215 * CHOOSE(CONTROL!$C$22, $C$13, 100%, $E$13)</f>
        <v>3.2214999999999998</v>
      </c>
      <c r="D104" s="63">
        <f>3.2446 * CHOOSE(CONTROL!$C$22, $C$13, 100%, $E$13)</f>
        <v>3.2446000000000002</v>
      </c>
      <c r="E104" s="64">
        <f>3.7558 * CHOOSE(CONTROL!$C$22, $C$13, 100%, $E$13)</f>
        <v>3.7557999999999998</v>
      </c>
      <c r="F104" s="64">
        <f>3.7558 * CHOOSE(CONTROL!$C$22, $C$13, 100%, $E$13)</f>
        <v>3.7557999999999998</v>
      </c>
      <c r="G104" s="64">
        <f>3.7573 * CHOOSE(CONTROL!$C$22, $C$13, 100%, $E$13)</f>
        <v>3.7572999999999999</v>
      </c>
      <c r="H104" s="64">
        <f>6.7692* CHOOSE(CONTROL!$C$22, $C$13, 100%, $E$13)</f>
        <v>6.7691999999999997</v>
      </c>
      <c r="I104" s="64">
        <f>6.7707 * CHOOSE(CONTROL!$C$22, $C$13, 100%, $E$13)</f>
        <v>6.7706999999999997</v>
      </c>
      <c r="J104" s="64">
        <f>3.7558 * CHOOSE(CONTROL!$C$22, $C$13, 100%, $E$13)</f>
        <v>3.7557999999999998</v>
      </c>
      <c r="K104" s="64">
        <f>3.7573 * CHOOSE(CONTROL!$C$22, $C$13, 100%, $E$13)</f>
        <v>3.7572999999999999</v>
      </c>
      <c r="L104" s="4"/>
      <c r="M104" s="4"/>
      <c r="N104" s="4"/>
    </row>
    <row r="105" spans="1:14" ht="15">
      <c r="A105" s="13">
        <v>44835</v>
      </c>
      <c r="B105" s="63">
        <f>3.2138 * CHOOSE(CONTROL!$C$22, $C$13, 100%, $E$13)</f>
        <v>3.2138</v>
      </c>
      <c r="C105" s="63">
        <f>3.2138 * CHOOSE(CONTROL!$C$22, $C$13, 100%, $E$13)</f>
        <v>3.2138</v>
      </c>
      <c r="D105" s="63">
        <f>3.2254 * CHOOSE(CONTROL!$C$22, $C$13, 100%, $E$13)</f>
        <v>3.2254</v>
      </c>
      <c r="E105" s="64">
        <f>3.7595 * CHOOSE(CONTROL!$C$22, $C$13, 100%, $E$13)</f>
        <v>3.7595000000000001</v>
      </c>
      <c r="F105" s="64">
        <f>3.7595 * CHOOSE(CONTROL!$C$22, $C$13, 100%, $E$13)</f>
        <v>3.7595000000000001</v>
      </c>
      <c r="G105" s="64">
        <f>3.7597 * CHOOSE(CONTROL!$C$22, $C$13, 100%, $E$13)</f>
        <v>3.7597</v>
      </c>
      <c r="H105" s="64">
        <f>6.7834* CHOOSE(CONTROL!$C$22, $C$13, 100%, $E$13)</f>
        <v>6.7834000000000003</v>
      </c>
      <c r="I105" s="64">
        <f>6.7835 * CHOOSE(CONTROL!$C$22, $C$13, 100%, $E$13)</f>
        <v>6.7835000000000001</v>
      </c>
      <c r="J105" s="64">
        <f>3.7595 * CHOOSE(CONTROL!$C$22, $C$13, 100%, $E$13)</f>
        <v>3.7595000000000001</v>
      </c>
      <c r="K105" s="64">
        <f>3.7597 * CHOOSE(CONTROL!$C$22, $C$13, 100%, $E$13)</f>
        <v>3.7597</v>
      </c>
      <c r="L105" s="4"/>
      <c r="M105" s="4"/>
      <c r="N105" s="4"/>
    </row>
    <row r="106" spans="1:14" ht="15">
      <c r="A106" s="13">
        <v>44866</v>
      </c>
      <c r="B106" s="63">
        <f>3.2169 * CHOOSE(CONTROL!$C$22, $C$13, 100%, $E$13)</f>
        <v>3.2168999999999999</v>
      </c>
      <c r="C106" s="63">
        <f>3.2169 * CHOOSE(CONTROL!$C$22, $C$13, 100%, $E$13)</f>
        <v>3.2168999999999999</v>
      </c>
      <c r="D106" s="63">
        <f>3.2284 * CHOOSE(CONTROL!$C$22, $C$13, 100%, $E$13)</f>
        <v>3.2284000000000002</v>
      </c>
      <c r="E106" s="64">
        <f>3.7702 * CHOOSE(CONTROL!$C$22, $C$13, 100%, $E$13)</f>
        <v>3.7702</v>
      </c>
      <c r="F106" s="64">
        <f>3.7702 * CHOOSE(CONTROL!$C$22, $C$13, 100%, $E$13)</f>
        <v>3.7702</v>
      </c>
      <c r="G106" s="64">
        <f>3.7703 * CHOOSE(CONTROL!$C$22, $C$13, 100%, $E$13)</f>
        <v>3.7703000000000002</v>
      </c>
      <c r="H106" s="64">
        <f>6.7975* CHOOSE(CONTROL!$C$22, $C$13, 100%, $E$13)</f>
        <v>6.7975000000000003</v>
      </c>
      <c r="I106" s="64">
        <f>6.7977 * CHOOSE(CONTROL!$C$22, $C$13, 100%, $E$13)</f>
        <v>6.7976999999999999</v>
      </c>
      <c r="J106" s="64">
        <f>3.7702 * CHOOSE(CONTROL!$C$22, $C$13, 100%, $E$13)</f>
        <v>3.7702</v>
      </c>
      <c r="K106" s="64">
        <f>3.7703 * CHOOSE(CONTROL!$C$22, $C$13, 100%, $E$13)</f>
        <v>3.7703000000000002</v>
      </c>
      <c r="L106" s="4"/>
      <c r="M106" s="4"/>
      <c r="N106" s="4"/>
    </row>
    <row r="107" spans="1:14" ht="15">
      <c r="A107" s="13">
        <v>44896</v>
      </c>
      <c r="B107" s="63">
        <f>3.2169 * CHOOSE(CONTROL!$C$22, $C$13, 100%, $E$13)</f>
        <v>3.2168999999999999</v>
      </c>
      <c r="C107" s="63">
        <f>3.2169 * CHOOSE(CONTROL!$C$22, $C$13, 100%, $E$13)</f>
        <v>3.2168999999999999</v>
      </c>
      <c r="D107" s="63">
        <f>3.2284 * CHOOSE(CONTROL!$C$22, $C$13, 100%, $E$13)</f>
        <v>3.2284000000000002</v>
      </c>
      <c r="E107" s="64">
        <f>3.7488 * CHOOSE(CONTROL!$C$22, $C$13, 100%, $E$13)</f>
        <v>3.7488000000000001</v>
      </c>
      <c r="F107" s="64">
        <f>3.7488 * CHOOSE(CONTROL!$C$22, $C$13, 100%, $E$13)</f>
        <v>3.7488000000000001</v>
      </c>
      <c r="G107" s="64">
        <f>3.749 * CHOOSE(CONTROL!$C$22, $C$13, 100%, $E$13)</f>
        <v>3.7490000000000001</v>
      </c>
      <c r="H107" s="64">
        <f>6.8116* CHOOSE(CONTROL!$C$22, $C$13, 100%, $E$13)</f>
        <v>6.8116000000000003</v>
      </c>
      <c r="I107" s="64">
        <f>6.8118 * CHOOSE(CONTROL!$C$22, $C$13, 100%, $E$13)</f>
        <v>6.8117999999999999</v>
      </c>
      <c r="J107" s="64">
        <f>3.7488 * CHOOSE(CONTROL!$C$22, $C$13, 100%, $E$13)</f>
        <v>3.7488000000000001</v>
      </c>
      <c r="K107" s="64">
        <f>3.749 * CHOOSE(CONTROL!$C$22, $C$13, 100%, $E$13)</f>
        <v>3.7490000000000001</v>
      </c>
      <c r="L107" s="4"/>
      <c r="M107" s="4"/>
      <c r="N107" s="4"/>
    </row>
    <row r="108" spans="1:14" ht="15">
      <c r="A108" s="13">
        <v>44927</v>
      </c>
      <c r="B108" s="63">
        <f>3.2478 * CHOOSE(CONTROL!$C$22, $C$13, 100%, $E$13)</f>
        <v>3.2477999999999998</v>
      </c>
      <c r="C108" s="63">
        <f>3.2478 * CHOOSE(CONTROL!$C$22, $C$13, 100%, $E$13)</f>
        <v>3.2477999999999998</v>
      </c>
      <c r="D108" s="63">
        <f>3.2594 * CHOOSE(CONTROL!$C$22, $C$13, 100%, $E$13)</f>
        <v>3.2593999999999999</v>
      </c>
      <c r="E108" s="64">
        <f>3.7975 * CHOOSE(CONTROL!$C$22, $C$13, 100%, $E$13)</f>
        <v>3.7974999999999999</v>
      </c>
      <c r="F108" s="64">
        <f>3.7975 * CHOOSE(CONTROL!$C$22, $C$13, 100%, $E$13)</f>
        <v>3.7974999999999999</v>
      </c>
      <c r="G108" s="64">
        <f>3.7977 * CHOOSE(CONTROL!$C$22, $C$13, 100%, $E$13)</f>
        <v>3.7976999999999999</v>
      </c>
      <c r="H108" s="64">
        <f>6.8258* CHOOSE(CONTROL!$C$22, $C$13, 100%, $E$13)</f>
        <v>6.8258000000000001</v>
      </c>
      <c r="I108" s="64">
        <f>6.826 * CHOOSE(CONTROL!$C$22, $C$13, 100%, $E$13)</f>
        <v>6.8259999999999996</v>
      </c>
      <c r="J108" s="64">
        <f>3.7975 * CHOOSE(CONTROL!$C$22, $C$13, 100%, $E$13)</f>
        <v>3.7974999999999999</v>
      </c>
      <c r="K108" s="64">
        <f>3.7977 * CHOOSE(CONTROL!$C$22, $C$13, 100%, $E$13)</f>
        <v>3.7976999999999999</v>
      </c>
      <c r="L108" s="4"/>
      <c r="M108" s="4"/>
      <c r="N108" s="4"/>
    </row>
    <row r="109" spans="1:14" ht="15">
      <c r="A109" s="13">
        <v>44958</v>
      </c>
      <c r="B109" s="63">
        <f>3.2448 * CHOOSE(CONTROL!$C$22, $C$13, 100%, $E$13)</f>
        <v>3.2448000000000001</v>
      </c>
      <c r="C109" s="63">
        <f>3.2448 * CHOOSE(CONTROL!$C$22, $C$13, 100%, $E$13)</f>
        <v>3.2448000000000001</v>
      </c>
      <c r="D109" s="63">
        <f>3.2563 * CHOOSE(CONTROL!$C$22, $C$13, 100%, $E$13)</f>
        <v>3.2563</v>
      </c>
      <c r="E109" s="64">
        <f>3.7528 * CHOOSE(CONTROL!$C$22, $C$13, 100%, $E$13)</f>
        <v>3.7528000000000001</v>
      </c>
      <c r="F109" s="64">
        <f>3.7528 * CHOOSE(CONTROL!$C$22, $C$13, 100%, $E$13)</f>
        <v>3.7528000000000001</v>
      </c>
      <c r="G109" s="64">
        <f>3.753 * CHOOSE(CONTROL!$C$22, $C$13, 100%, $E$13)</f>
        <v>3.7530000000000001</v>
      </c>
      <c r="H109" s="64">
        <f>6.8401* CHOOSE(CONTROL!$C$22, $C$13, 100%, $E$13)</f>
        <v>6.8400999999999996</v>
      </c>
      <c r="I109" s="64">
        <f>6.8402 * CHOOSE(CONTROL!$C$22, $C$13, 100%, $E$13)</f>
        <v>6.8402000000000003</v>
      </c>
      <c r="J109" s="64">
        <f>3.7528 * CHOOSE(CONTROL!$C$22, $C$13, 100%, $E$13)</f>
        <v>3.7528000000000001</v>
      </c>
      <c r="K109" s="64">
        <f>3.753 * CHOOSE(CONTROL!$C$22, $C$13, 100%, $E$13)</f>
        <v>3.7530000000000001</v>
      </c>
      <c r="L109" s="4"/>
      <c r="M109" s="4"/>
      <c r="N109" s="4"/>
    </row>
    <row r="110" spans="1:14" ht="15">
      <c r="A110" s="13">
        <v>44986</v>
      </c>
      <c r="B110" s="63">
        <f>3.2417 * CHOOSE(CONTROL!$C$22, $C$13, 100%, $E$13)</f>
        <v>3.2416999999999998</v>
      </c>
      <c r="C110" s="63">
        <f>3.2417 * CHOOSE(CONTROL!$C$22, $C$13, 100%, $E$13)</f>
        <v>3.2416999999999998</v>
      </c>
      <c r="D110" s="63">
        <f>3.2533 * CHOOSE(CONTROL!$C$22, $C$13, 100%, $E$13)</f>
        <v>3.2532999999999999</v>
      </c>
      <c r="E110" s="64">
        <f>3.7843 * CHOOSE(CONTROL!$C$22, $C$13, 100%, $E$13)</f>
        <v>3.7843</v>
      </c>
      <c r="F110" s="64">
        <f>3.7843 * CHOOSE(CONTROL!$C$22, $C$13, 100%, $E$13)</f>
        <v>3.7843</v>
      </c>
      <c r="G110" s="64">
        <f>3.7844 * CHOOSE(CONTROL!$C$22, $C$13, 100%, $E$13)</f>
        <v>3.7844000000000002</v>
      </c>
      <c r="H110" s="64">
        <f>6.8543* CHOOSE(CONTROL!$C$22, $C$13, 100%, $E$13)</f>
        <v>6.8543000000000003</v>
      </c>
      <c r="I110" s="64">
        <f>6.8545 * CHOOSE(CONTROL!$C$22, $C$13, 100%, $E$13)</f>
        <v>6.8544999999999998</v>
      </c>
      <c r="J110" s="64">
        <f>3.7843 * CHOOSE(CONTROL!$C$22, $C$13, 100%, $E$13)</f>
        <v>3.7843</v>
      </c>
      <c r="K110" s="64">
        <f>3.7844 * CHOOSE(CONTROL!$C$22, $C$13, 100%, $E$13)</f>
        <v>3.7844000000000002</v>
      </c>
      <c r="L110" s="4"/>
      <c r="M110" s="4"/>
      <c r="N110" s="4"/>
    </row>
    <row r="111" spans="1:14" ht="15">
      <c r="A111" s="13">
        <v>45017</v>
      </c>
      <c r="B111" s="63">
        <f>3.2387 * CHOOSE(CONTROL!$C$22, $C$13, 100%, $E$13)</f>
        <v>3.2387000000000001</v>
      </c>
      <c r="C111" s="63">
        <f>3.2387 * CHOOSE(CONTROL!$C$22, $C$13, 100%, $E$13)</f>
        <v>3.2387000000000001</v>
      </c>
      <c r="D111" s="63">
        <f>3.2503 * CHOOSE(CONTROL!$C$22, $C$13, 100%, $E$13)</f>
        <v>3.2503000000000002</v>
      </c>
      <c r="E111" s="64">
        <f>3.816 * CHOOSE(CONTROL!$C$22, $C$13, 100%, $E$13)</f>
        <v>3.8159999999999998</v>
      </c>
      <c r="F111" s="64">
        <f>3.816 * CHOOSE(CONTROL!$C$22, $C$13, 100%, $E$13)</f>
        <v>3.8159999999999998</v>
      </c>
      <c r="G111" s="64">
        <f>3.8162 * CHOOSE(CONTROL!$C$22, $C$13, 100%, $E$13)</f>
        <v>3.8161999999999998</v>
      </c>
      <c r="H111" s="64">
        <f>6.8686* CHOOSE(CONTROL!$C$22, $C$13, 100%, $E$13)</f>
        <v>6.8685999999999998</v>
      </c>
      <c r="I111" s="64">
        <f>6.8688 * CHOOSE(CONTROL!$C$22, $C$13, 100%, $E$13)</f>
        <v>6.8688000000000002</v>
      </c>
      <c r="J111" s="64">
        <f>3.816 * CHOOSE(CONTROL!$C$22, $C$13, 100%, $E$13)</f>
        <v>3.8159999999999998</v>
      </c>
      <c r="K111" s="64">
        <f>3.8162 * CHOOSE(CONTROL!$C$22, $C$13, 100%, $E$13)</f>
        <v>3.8161999999999998</v>
      </c>
      <c r="L111" s="4"/>
      <c r="M111" s="4"/>
      <c r="N111" s="4"/>
    </row>
    <row r="112" spans="1:14" ht="15">
      <c r="A112" s="13">
        <v>45047</v>
      </c>
      <c r="B112" s="63">
        <f>3.2387 * CHOOSE(CONTROL!$C$22, $C$13, 100%, $E$13)</f>
        <v>3.2387000000000001</v>
      </c>
      <c r="C112" s="63">
        <f>3.2387 * CHOOSE(CONTROL!$C$22, $C$13, 100%, $E$13)</f>
        <v>3.2387000000000001</v>
      </c>
      <c r="D112" s="63">
        <f>3.2618 * CHOOSE(CONTROL!$C$22, $C$13, 100%, $E$13)</f>
        <v>3.2618</v>
      </c>
      <c r="E112" s="64">
        <f>3.8295 * CHOOSE(CONTROL!$C$22, $C$13, 100%, $E$13)</f>
        <v>3.8294999999999999</v>
      </c>
      <c r="F112" s="64">
        <f>3.8295 * CHOOSE(CONTROL!$C$22, $C$13, 100%, $E$13)</f>
        <v>3.8294999999999999</v>
      </c>
      <c r="G112" s="64">
        <f>3.831 * CHOOSE(CONTROL!$C$22, $C$13, 100%, $E$13)</f>
        <v>3.831</v>
      </c>
      <c r="H112" s="64">
        <f>6.8829* CHOOSE(CONTROL!$C$22, $C$13, 100%, $E$13)</f>
        <v>6.8829000000000002</v>
      </c>
      <c r="I112" s="64">
        <f>6.8844 * CHOOSE(CONTROL!$C$22, $C$13, 100%, $E$13)</f>
        <v>6.8844000000000003</v>
      </c>
      <c r="J112" s="64">
        <f>3.8295 * CHOOSE(CONTROL!$C$22, $C$13, 100%, $E$13)</f>
        <v>3.8294999999999999</v>
      </c>
      <c r="K112" s="64">
        <f>3.831 * CHOOSE(CONTROL!$C$22, $C$13, 100%, $E$13)</f>
        <v>3.831</v>
      </c>
      <c r="L112" s="4"/>
      <c r="M112" s="4"/>
      <c r="N112" s="4"/>
    </row>
    <row r="113" spans="1:14" ht="15">
      <c r="A113" s="13">
        <v>45078</v>
      </c>
      <c r="B113" s="63">
        <f>3.2448 * CHOOSE(CONTROL!$C$22, $C$13, 100%, $E$13)</f>
        <v>3.2448000000000001</v>
      </c>
      <c r="C113" s="63">
        <f>3.2448 * CHOOSE(CONTROL!$C$22, $C$13, 100%, $E$13)</f>
        <v>3.2448000000000001</v>
      </c>
      <c r="D113" s="63">
        <f>3.2679 * CHOOSE(CONTROL!$C$22, $C$13, 100%, $E$13)</f>
        <v>3.2679</v>
      </c>
      <c r="E113" s="64">
        <f>3.8203 * CHOOSE(CONTROL!$C$22, $C$13, 100%, $E$13)</f>
        <v>3.8203</v>
      </c>
      <c r="F113" s="64">
        <f>3.8203 * CHOOSE(CONTROL!$C$22, $C$13, 100%, $E$13)</f>
        <v>3.8203</v>
      </c>
      <c r="G113" s="64">
        <f>3.8218 * CHOOSE(CONTROL!$C$22, $C$13, 100%, $E$13)</f>
        <v>3.8218000000000001</v>
      </c>
      <c r="H113" s="64">
        <f>6.8972* CHOOSE(CONTROL!$C$22, $C$13, 100%, $E$13)</f>
        <v>6.8971999999999998</v>
      </c>
      <c r="I113" s="64">
        <f>6.8987 * CHOOSE(CONTROL!$C$22, $C$13, 100%, $E$13)</f>
        <v>6.8986999999999998</v>
      </c>
      <c r="J113" s="64">
        <f>3.8203 * CHOOSE(CONTROL!$C$22, $C$13, 100%, $E$13)</f>
        <v>3.8203</v>
      </c>
      <c r="K113" s="64">
        <f>3.8218 * CHOOSE(CONTROL!$C$22, $C$13, 100%, $E$13)</f>
        <v>3.8218000000000001</v>
      </c>
      <c r="L113" s="4"/>
      <c r="M113" s="4"/>
      <c r="N113" s="4"/>
    </row>
    <row r="114" spans="1:14" ht="15">
      <c r="A114" s="13">
        <v>45108</v>
      </c>
      <c r="B114" s="63">
        <f>3.3031 * CHOOSE(CONTROL!$C$22, $C$13, 100%, $E$13)</f>
        <v>3.3031000000000001</v>
      </c>
      <c r="C114" s="63">
        <f>3.3031 * CHOOSE(CONTROL!$C$22, $C$13, 100%, $E$13)</f>
        <v>3.3031000000000001</v>
      </c>
      <c r="D114" s="63">
        <f>3.3262 * CHOOSE(CONTROL!$C$22, $C$13, 100%, $E$13)</f>
        <v>3.3262</v>
      </c>
      <c r="E114" s="64">
        <f>3.8691 * CHOOSE(CONTROL!$C$22, $C$13, 100%, $E$13)</f>
        <v>3.8691</v>
      </c>
      <c r="F114" s="64">
        <f>3.8691 * CHOOSE(CONTROL!$C$22, $C$13, 100%, $E$13)</f>
        <v>3.8691</v>
      </c>
      <c r="G114" s="64">
        <f>3.8706 * CHOOSE(CONTROL!$C$22, $C$13, 100%, $E$13)</f>
        <v>3.8706</v>
      </c>
      <c r="H114" s="64">
        <f>6.9116* CHOOSE(CONTROL!$C$22, $C$13, 100%, $E$13)</f>
        <v>6.9116</v>
      </c>
      <c r="I114" s="64">
        <f>6.9131 * CHOOSE(CONTROL!$C$22, $C$13, 100%, $E$13)</f>
        <v>6.9131</v>
      </c>
      <c r="J114" s="64">
        <f>3.8691 * CHOOSE(CONTROL!$C$22, $C$13, 100%, $E$13)</f>
        <v>3.8691</v>
      </c>
      <c r="K114" s="64">
        <f>3.8706 * CHOOSE(CONTROL!$C$22, $C$13, 100%, $E$13)</f>
        <v>3.8706</v>
      </c>
      <c r="L114" s="4"/>
      <c r="M114" s="4"/>
      <c r="N114" s="4"/>
    </row>
    <row r="115" spans="1:14" ht="15">
      <c r="A115" s="13">
        <v>45139</v>
      </c>
      <c r="B115" s="63">
        <f>3.3098 * CHOOSE(CONTROL!$C$22, $C$13, 100%, $E$13)</f>
        <v>3.3098000000000001</v>
      </c>
      <c r="C115" s="63">
        <f>3.3098 * CHOOSE(CONTROL!$C$22, $C$13, 100%, $E$13)</f>
        <v>3.3098000000000001</v>
      </c>
      <c r="D115" s="63">
        <f>3.3329 * CHOOSE(CONTROL!$C$22, $C$13, 100%, $E$13)</f>
        <v>3.3329</v>
      </c>
      <c r="E115" s="64">
        <f>3.8332 * CHOOSE(CONTROL!$C$22, $C$13, 100%, $E$13)</f>
        <v>3.8332000000000002</v>
      </c>
      <c r="F115" s="64">
        <f>3.8332 * CHOOSE(CONTROL!$C$22, $C$13, 100%, $E$13)</f>
        <v>3.8332000000000002</v>
      </c>
      <c r="G115" s="64">
        <f>3.8347 * CHOOSE(CONTROL!$C$22, $C$13, 100%, $E$13)</f>
        <v>3.8347000000000002</v>
      </c>
      <c r="H115" s="64">
        <f>6.926* CHOOSE(CONTROL!$C$22, $C$13, 100%, $E$13)</f>
        <v>6.9260000000000002</v>
      </c>
      <c r="I115" s="64">
        <f>6.9275 * CHOOSE(CONTROL!$C$22, $C$13, 100%, $E$13)</f>
        <v>6.9275000000000002</v>
      </c>
      <c r="J115" s="64">
        <f>3.8332 * CHOOSE(CONTROL!$C$22, $C$13, 100%, $E$13)</f>
        <v>3.8332000000000002</v>
      </c>
      <c r="K115" s="64">
        <f>3.8347 * CHOOSE(CONTROL!$C$22, $C$13, 100%, $E$13)</f>
        <v>3.8347000000000002</v>
      </c>
      <c r="L115" s="4"/>
      <c r="M115" s="4"/>
      <c r="N115" s="4"/>
    </row>
    <row r="116" spans="1:14" ht="15">
      <c r="A116" s="13">
        <v>45170</v>
      </c>
      <c r="B116" s="63">
        <f>3.3067 * CHOOSE(CONTROL!$C$22, $C$13, 100%, $E$13)</f>
        <v>3.3067000000000002</v>
      </c>
      <c r="C116" s="63">
        <f>3.3067 * CHOOSE(CONTROL!$C$22, $C$13, 100%, $E$13)</f>
        <v>3.3067000000000002</v>
      </c>
      <c r="D116" s="63">
        <f>3.3298 * CHOOSE(CONTROL!$C$22, $C$13, 100%, $E$13)</f>
        <v>3.3298000000000001</v>
      </c>
      <c r="E116" s="64">
        <f>3.8266 * CHOOSE(CONTROL!$C$22, $C$13, 100%, $E$13)</f>
        <v>3.8266</v>
      </c>
      <c r="F116" s="64">
        <f>3.8266 * CHOOSE(CONTROL!$C$22, $C$13, 100%, $E$13)</f>
        <v>3.8266</v>
      </c>
      <c r="G116" s="64">
        <f>3.8281 * CHOOSE(CONTROL!$C$22, $C$13, 100%, $E$13)</f>
        <v>3.8281000000000001</v>
      </c>
      <c r="H116" s="64">
        <f>6.9404* CHOOSE(CONTROL!$C$22, $C$13, 100%, $E$13)</f>
        <v>6.9404000000000003</v>
      </c>
      <c r="I116" s="64">
        <f>6.9419 * CHOOSE(CONTROL!$C$22, $C$13, 100%, $E$13)</f>
        <v>6.9419000000000004</v>
      </c>
      <c r="J116" s="64">
        <f>3.8266 * CHOOSE(CONTROL!$C$22, $C$13, 100%, $E$13)</f>
        <v>3.8266</v>
      </c>
      <c r="K116" s="64">
        <f>3.8281 * CHOOSE(CONTROL!$C$22, $C$13, 100%, $E$13)</f>
        <v>3.8281000000000001</v>
      </c>
      <c r="L116" s="4"/>
      <c r="M116" s="4"/>
      <c r="N116" s="4"/>
    </row>
    <row r="117" spans="1:14" ht="15">
      <c r="A117" s="13">
        <v>45200</v>
      </c>
      <c r="B117" s="63">
        <f>3.2994 * CHOOSE(CONTROL!$C$22, $C$13, 100%, $E$13)</f>
        <v>3.2993999999999999</v>
      </c>
      <c r="C117" s="63">
        <f>3.2994 * CHOOSE(CONTROL!$C$22, $C$13, 100%, $E$13)</f>
        <v>3.2993999999999999</v>
      </c>
      <c r="D117" s="63">
        <f>3.3109 * CHOOSE(CONTROL!$C$22, $C$13, 100%, $E$13)</f>
        <v>3.3109000000000002</v>
      </c>
      <c r="E117" s="64">
        <f>3.8312 * CHOOSE(CONTROL!$C$22, $C$13, 100%, $E$13)</f>
        <v>3.8311999999999999</v>
      </c>
      <c r="F117" s="64">
        <f>3.8312 * CHOOSE(CONTROL!$C$22, $C$13, 100%, $E$13)</f>
        <v>3.8311999999999999</v>
      </c>
      <c r="G117" s="64">
        <f>3.8314 * CHOOSE(CONTROL!$C$22, $C$13, 100%, $E$13)</f>
        <v>3.8313999999999999</v>
      </c>
      <c r="H117" s="64">
        <f>6.9549* CHOOSE(CONTROL!$C$22, $C$13, 100%, $E$13)</f>
        <v>6.9549000000000003</v>
      </c>
      <c r="I117" s="64">
        <f>6.9551 * CHOOSE(CONTROL!$C$22, $C$13, 100%, $E$13)</f>
        <v>6.9550999999999998</v>
      </c>
      <c r="J117" s="64">
        <f>3.8312 * CHOOSE(CONTROL!$C$22, $C$13, 100%, $E$13)</f>
        <v>3.8311999999999999</v>
      </c>
      <c r="K117" s="64">
        <f>3.8314 * CHOOSE(CONTROL!$C$22, $C$13, 100%, $E$13)</f>
        <v>3.8313999999999999</v>
      </c>
      <c r="L117" s="4"/>
      <c r="M117" s="4"/>
      <c r="N117" s="4"/>
    </row>
    <row r="118" spans="1:14" ht="15">
      <c r="A118" s="13">
        <v>45231</v>
      </c>
      <c r="B118" s="63">
        <f>3.3024 * CHOOSE(CONTROL!$C$22, $C$13, 100%, $E$13)</f>
        <v>3.3024</v>
      </c>
      <c r="C118" s="63">
        <f>3.3024 * CHOOSE(CONTROL!$C$22, $C$13, 100%, $E$13)</f>
        <v>3.3024</v>
      </c>
      <c r="D118" s="63">
        <f>3.314 * CHOOSE(CONTROL!$C$22, $C$13, 100%, $E$13)</f>
        <v>3.3140000000000001</v>
      </c>
      <c r="E118" s="64">
        <f>3.8423 * CHOOSE(CONTROL!$C$22, $C$13, 100%, $E$13)</f>
        <v>3.8422999999999998</v>
      </c>
      <c r="F118" s="64">
        <f>3.8423 * CHOOSE(CONTROL!$C$22, $C$13, 100%, $E$13)</f>
        <v>3.8422999999999998</v>
      </c>
      <c r="G118" s="64">
        <f>3.8425 * CHOOSE(CONTROL!$C$22, $C$13, 100%, $E$13)</f>
        <v>3.8424999999999998</v>
      </c>
      <c r="H118" s="64">
        <f>6.9694* CHOOSE(CONTROL!$C$22, $C$13, 100%, $E$13)</f>
        <v>6.9694000000000003</v>
      </c>
      <c r="I118" s="64">
        <f>6.9696 * CHOOSE(CONTROL!$C$22, $C$13, 100%, $E$13)</f>
        <v>6.9695999999999998</v>
      </c>
      <c r="J118" s="64">
        <f>3.8423 * CHOOSE(CONTROL!$C$22, $C$13, 100%, $E$13)</f>
        <v>3.8422999999999998</v>
      </c>
      <c r="K118" s="64">
        <f>3.8425 * CHOOSE(CONTROL!$C$22, $C$13, 100%, $E$13)</f>
        <v>3.8424999999999998</v>
      </c>
      <c r="L118" s="4"/>
      <c r="M118" s="4"/>
      <c r="N118" s="4"/>
    </row>
    <row r="119" spans="1:14" ht="15">
      <c r="A119" s="13">
        <v>45261</v>
      </c>
      <c r="B119" s="63">
        <f>3.3024 * CHOOSE(CONTROL!$C$22, $C$13, 100%, $E$13)</f>
        <v>3.3024</v>
      </c>
      <c r="C119" s="63">
        <f>3.3024 * CHOOSE(CONTROL!$C$22, $C$13, 100%, $E$13)</f>
        <v>3.3024</v>
      </c>
      <c r="D119" s="63">
        <f>3.314 * CHOOSE(CONTROL!$C$22, $C$13, 100%, $E$13)</f>
        <v>3.3140000000000001</v>
      </c>
      <c r="E119" s="64">
        <f>3.8198 * CHOOSE(CONTROL!$C$22, $C$13, 100%, $E$13)</f>
        <v>3.8197999999999999</v>
      </c>
      <c r="F119" s="64">
        <f>3.8198 * CHOOSE(CONTROL!$C$22, $C$13, 100%, $E$13)</f>
        <v>3.8197999999999999</v>
      </c>
      <c r="G119" s="64">
        <f>3.82 * CHOOSE(CONTROL!$C$22, $C$13, 100%, $E$13)</f>
        <v>3.82</v>
      </c>
      <c r="H119" s="64">
        <f>6.9839* CHOOSE(CONTROL!$C$22, $C$13, 100%, $E$13)</f>
        <v>6.9839000000000002</v>
      </c>
      <c r="I119" s="64">
        <f>6.9841 * CHOOSE(CONTROL!$C$22, $C$13, 100%, $E$13)</f>
        <v>6.9840999999999998</v>
      </c>
      <c r="J119" s="64">
        <f>3.8198 * CHOOSE(CONTROL!$C$22, $C$13, 100%, $E$13)</f>
        <v>3.8197999999999999</v>
      </c>
      <c r="K119" s="64">
        <f>3.82 * CHOOSE(CONTROL!$C$22, $C$13, 100%, $E$13)</f>
        <v>3.82</v>
      </c>
      <c r="L119" s="4"/>
      <c r="M119" s="4"/>
      <c r="N119" s="4"/>
    </row>
    <row r="120" spans="1:14" ht="15">
      <c r="A120" s="13">
        <v>45292</v>
      </c>
      <c r="B120" s="63">
        <f>3.3324 * CHOOSE(CONTROL!$C$22, $C$13, 100%, $E$13)</f>
        <v>3.3323999999999998</v>
      </c>
      <c r="C120" s="63">
        <f>3.3324 * CHOOSE(CONTROL!$C$22, $C$13, 100%, $E$13)</f>
        <v>3.3323999999999998</v>
      </c>
      <c r="D120" s="63">
        <f>3.344 * CHOOSE(CONTROL!$C$22, $C$13, 100%, $E$13)</f>
        <v>3.3439999999999999</v>
      </c>
      <c r="E120" s="64">
        <f>3.8554 * CHOOSE(CONTROL!$C$22, $C$13, 100%, $E$13)</f>
        <v>3.8553999999999999</v>
      </c>
      <c r="F120" s="64">
        <f>3.8554 * CHOOSE(CONTROL!$C$22, $C$13, 100%, $E$13)</f>
        <v>3.8553999999999999</v>
      </c>
      <c r="G120" s="64">
        <f>3.8555 * CHOOSE(CONTROL!$C$22, $C$13, 100%, $E$13)</f>
        <v>3.8555000000000001</v>
      </c>
      <c r="H120" s="64">
        <f>6.9985* CHOOSE(CONTROL!$C$22, $C$13, 100%, $E$13)</f>
        <v>6.9984999999999999</v>
      </c>
      <c r="I120" s="64">
        <f>6.9986 * CHOOSE(CONTROL!$C$22, $C$13, 100%, $E$13)</f>
        <v>6.9985999999999997</v>
      </c>
      <c r="J120" s="64">
        <f>3.8554 * CHOOSE(CONTROL!$C$22, $C$13, 100%, $E$13)</f>
        <v>3.8553999999999999</v>
      </c>
      <c r="K120" s="64">
        <f>3.8555 * CHOOSE(CONTROL!$C$22, $C$13, 100%, $E$13)</f>
        <v>3.8555000000000001</v>
      </c>
      <c r="L120" s="4"/>
      <c r="M120" s="4"/>
      <c r="N120" s="4"/>
    </row>
    <row r="121" spans="1:14" ht="15">
      <c r="A121" s="13">
        <v>45323</v>
      </c>
      <c r="B121" s="63">
        <f>3.3294 * CHOOSE(CONTROL!$C$22, $C$13, 100%, $E$13)</f>
        <v>3.3294000000000001</v>
      </c>
      <c r="C121" s="63">
        <f>3.3294 * CHOOSE(CONTROL!$C$22, $C$13, 100%, $E$13)</f>
        <v>3.3294000000000001</v>
      </c>
      <c r="D121" s="63">
        <f>3.3409 * CHOOSE(CONTROL!$C$22, $C$13, 100%, $E$13)</f>
        <v>3.3409</v>
      </c>
      <c r="E121" s="64">
        <f>3.8103 * CHOOSE(CONTROL!$C$22, $C$13, 100%, $E$13)</f>
        <v>3.8102999999999998</v>
      </c>
      <c r="F121" s="64">
        <f>3.8103 * CHOOSE(CONTROL!$C$22, $C$13, 100%, $E$13)</f>
        <v>3.8102999999999998</v>
      </c>
      <c r="G121" s="64">
        <f>3.8105 * CHOOSE(CONTROL!$C$22, $C$13, 100%, $E$13)</f>
        <v>3.8105000000000002</v>
      </c>
      <c r="H121" s="64">
        <f>7.013* CHOOSE(CONTROL!$C$22, $C$13, 100%, $E$13)</f>
        <v>7.0129999999999999</v>
      </c>
      <c r="I121" s="64">
        <f>7.0132 * CHOOSE(CONTROL!$C$22, $C$13, 100%, $E$13)</f>
        <v>7.0132000000000003</v>
      </c>
      <c r="J121" s="64">
        <f>3.8103 * CHOOSE(CONTROL!$C$22, $C$13, 100%, $E$13)</f>
        <v>3.8102999999999998</v>
      </c>
      <c r="K121" s="64">
        <f>3.8105 * CHOOSE(CONTROL!$C$22, $C$13, 100%, $E$13)</f>
        <v>3.8105000000000002</v>
      </c>
      <c r="L121" s="4"/>
      <c r="M121" s="4"/>
      <c r="N121" s="4"/>
    </row>
    <row r="122" spans="1:14" ht="15">
      <c r="A122" s="13">
        <v>45352</v>
      </c>
      <c r="B122" s="63">
        <f>3.3263 * CHOOSE(CONTROL!$C$22, $C$13, 100%, $E$13)</f>
        <v>3.3262999999999998</v>
      </c>
      <c r="C122" s="63">
        <f>3.3263 * CHOOSE(CONTROL!$C$22, $C$13, 100%, $E$13)</f>
        <v>3.3262999999999998</v>
      </c>
      <c r="D122" s="63">
        <f>3.3379 * CHOOSE(CONTROL!$C$22, $C$13, 100%, $E$13)</f>
        <v>3.3378999999999999</v>
      </c>
      <c r="E122" s="64">
        <f>3.842 * CHOOSE(CONTROL!$C$22, $C$13, 100%, $E$13)</f>
        <v>3.8420000000000001</v>
      </c>
      <c r="F122" s="64">
        <f>3.842 * CHOOSE(CONTROL!$C$22, $C$13, 100%, $E$13)</f>
        <v>3.8420000000000001</v>
      </c>
      <c r="G122" s="64">
        <f>3.8422 * CHOOSE(CONTROL!$C$22, $C$13, 100%, $E$13)</f>
        <v>3.8422000000000001</v>
      </c>
      <c r="H122" s="64">
        <f>7.0276* CHOOSE(CONTROL!$C$22, $C$13, 100%, $E$13)</f>
        <v>7.0275999999999996</v>
      </c>
      <c r="I122" s="64">
        <f>7.0278 * CHOOSE(CONTROL!$C$22, $C$13, 100%, $E$13)</f>
        <v>7.0278</v>
      </c>
      <c r="J122" s="64">
        <f>3.842 * CHOOSE(CONTROL!$C$22, $C$13, 100%, $E$13)</f>
        <v>3.8420000000000001</v>
      </c>
      <c r="K122" s="64">
        <f>3.8422 * CHOOSE(CONTROL!$C$22, $C$13, 100%, $E$13)</f>
        <v>3.8422000000000001</v>
      </c>
      <c r="L122" s="4"/>
      <c r="M122" s="4"/>
      <c r="N122" s="4"/>
    </row>
    <row r="123" spans="1:14" ht="15">
      <c r="A123" s="13">
        <v>45383</v>
      </c>
      <c r="B123" s="63">
        <f>3.3234 * CHOOSE(CONTROL!$C$22, $C$13, 100%, $E$13)</f>
        <v>3.3233999999999999</v>
      </c>
      <c r="C123" s="63">
        <f>3.3234 * CHOOSE(CONTROL!$C$22, $C$13, 100%, $E$13)</f>
        <v>3.3233999999999999</v>
      </c>
      <c r="D123" s="63">
        <f>3.3349 * CHOOSE(CONTROL!$C$22, $C$13, 100%, $E$13)</f>
        <v>3.3349000000000002</v>
      </c>
      <c r="E123" s="64">
        <f>3.8741 * CHOOSE(CONTROL!$C$22, $C$13, 100%, $E$13)</f>
        <v>3.8740999999999999</v>
      </c>
      <c r="F123" s="64">
        <f>3.8741 * CHOOSE(CONTROL!$C$22, $C$13, 100%, $E$13)</f>
        <v>3.8740999999999999</v>
      </c>
      <c r="G123" s="64">
        <f>3.8743 * CHOOSE(CONTROL!$C$22, $C$13, 100%, $E$13)</f>
        <v>3.8742999999999999</v>
      </c>
      <c r="H123" s="64">
        <f>7.0423* CHOOSE(CONTROL!$C$22, $C$13, 100%, $E$13)</f>
        <v>7.0423</v>
      </c>
      <c r="I123" s="64">
        <f>7.0425 * CHOOSE(CONTROL!$C$22, $C$13, 100%, $E$13)</f>
        <v>7.0425000000000004</v>
      </c>
      <c r="J123" s="64">
        <f>3.8741 * CHOOSE(CONTROL!$C$22, $C$13, 100%, $E$13)</f>
        <v>3.8740999999999999</v>
      </c>
      <c r="K123" s="64">
        <f>3.8743 * CHOOSE(CONTROL!$C$22, $C$13, 100%, $E$13)</f>
        <v>3.8742999999999999</v>
      </c>
      <c r="L123" s="4"/>
      <c r="M123" s="4"/>
      <c r="N123" s="4"/>
    </row>
    <row r="124" spans="1:14" ht="15">
      <c r="A124" s="13">
        <v>45413</v>
      </c>
      <c r="B124" s="63">
        <f>3.3234 * CHOOSE(CONTROL!$C$22, $C$13, 100%, $E$13)</f>
        <v>3.3233999999999999</v>
      </c>
      <c r="C124" s="63">
        <f>3.3234 * CHOOSE(CONTROL!$C$22, $C$13, 100%, $E$13)</f>
        <v>3.3233999999999999</v>
      </c>
      <c r="D124" s="63">
        <f>3.3465 * CHOOSE(CONTROL!$C$22, $C$13, 100%, $E$13)</f>
        <v>3.3464999999999998</v>
      </c>
      <c r="E124" s="64">
        <f>3.8877 * CHOOSE(CONTROL!$C$22, $C$13, 100%, $E$13)</f>
        <v>3.8877000000000002</v>
      </c>
      <c r="F124" s="64">
        <f>3.8877 * CHOOSE(CONTROL!$C$22, $C$13, 100%, $E$13)</f>
        <v>3.8877000000000002</v>
      </c>
      <c r="G124" s="64">
        <f>3.8892 * CHOOSE(CONTROL!$C$22, $C$13, 100%, $E$13)</f>
        <v>3.8892000000000002</v>
      </c>
      <c r="H124" s="64">
        <f>7.057* CHOOSE(CONTROL!$C$22, $C$13, 100%, $E$13)</f>
        <v>7.0570000000000004</v>
      </c>
      <c r="I124" s="64">
        <f>7.0584 * CHOOSE(CONTROL!$C$22, $C$13, 100%, $E$13)</f>
        <v>7.0583999999999998</v>
      </c>
      <c r="J124" s="64">
        <f>3.8877 * CHOOSE(CONTROL!$C$22, $C$13, 100%, $E$13)</f>
        <v>3.8877000000000002</v>
      </c>
      <c r="K124" s="64">
        <f>3.8892 * CHOOSE(CONTROL!$C$22, $C$13, 100%, $E$13)</f>
        <v>3.8892000000000002</v>
      </c>
      <c r="L124" s="4"/>
      <c r="M124" s="4"/>
      <c r="N124" s="4"/>
    </row>
    <row r="125" spans="1:14" ht="15">
      <c r="A125" s="13">
        <v>45444</v>
      </c>
      <c r="B125" s="63">
        <f>3.3294 * CHOOSE(CONTROL!$C$22, $C$13, 100%, $E$13)</f>
        <v>3.3294000000000001</v>
      </c>
      <c r="C125" s="63">
        <f>3.3294 * CHOOSE(CONTROL!$C$22, $C$13, 100%, $E$13)</f>
        <v>3.3294000000000001</v>
      </c>
      <c r="D125" s="63">
        <f>3.3526 * CHOOSE(CONTROL!$C$22, $C$13, 100%, $E$13)</f>
        <v>3.3525999999999998</v>
      </c>
      <c r="E125" s="64">
        <f>3.8784 * CHOOSE(CONTROL!$C$22, $C$13, 100%, $E$13)</f>
        <v>3.8784000000000001</v>
      </c>
      <c r="F125" s="64">
        <f>3.8784 * CHOOSE(CONTROL!$C$22, $C$13, 100%, $E$13)</f>
        <v>3.8784000000000001</v>
      </c>
      <c r="G125" s="64">
        <f>3.8798 * CHOOSE(CONTROL!$C$22, $C$13, 100%, $E$13)</f>
        <v>3.8797999999999999</v>
      </c>
      <c r="H125" s="64">
        <f>7.0717* CHOOSE(CONTROL!$C$22, $C$13, 100%, $E$13)</f>
        <v>7.0716999999999999</v>
      </c>
      <c r="I125" s="64">
        <f>7.0731 * CHOOSE(CONTROL!$C$22, $C$13, 100%, $E$13)</f>
        <v>7.0731000000000002</v>
      </c>
      <c r="J125" s="64">
        <f>3.8784 * CHOOSE(CONTROL!$C$22, $C$13, 100%, $E$13)</f>
        <v>3.8784000000000001</v>
      </c>
      <c r="K125" s="64">
        <f>3.8798 * CHOOSE(CONTROL!$C$22, $C$13, 100%, $E$13)</f>
        <v>3.8797999999999999</v>
      </c>
      <c r="L125" s="4"/>
      <c r="M125" s="4"/>
      <c r="N125" s="4"/>
    </row>
    <row r="126" spans="1:14" ht="15">
      <c r="A126" s="13">
        <v>45474</v>
      </c>
      <c r="B126" s="63">
        <f>3.3849 * CHOOSE(CONTROL!$C$22, $C$13, 100%, $E$13)</f>
        <v>3.3849</v>
      </c>
      <c r="C126" s="63">
        <f>3.3849 * CHOOSE(CONTROL!$C$22, $C$13, 100%, $E$13)</f>
        <v>3.3849</v>
      </c>
      <c r="D126" s="63">
        <f>3.408 * CHOOSE(CONTROL!$C$22, $C$13, 100%, $E$13)</f>
        <v>3.4079999999999999</v>
      </c>
      <c r="E126" s="64">
        <f>3.9401 * CHOOSE(CONTROL!$C$22, $C$13, 100%, $E$13)</f>
        <v>3.9401000000000002</v>
      </c>
      <c r="F126" s="64">
        <f>3.9401 * CHOOSE(CONTROL!$C$22, $C$13, 100%, $E$13)</f>
        <v>3.9401000000000002</v>
      </c>
      <c r="G126" s="64">
        <f>3.9415 * CHOOSE(CONTROL!$C$22, $C$13, 100%, $E$13)</f>
        <v>3.9415</v>
      </c>
      <c r="H126" s="64">
        <f>7.0864* CHOOSE(CONTROL!$C$22, $C$13, 100%, $E$13)</f>
        <v>7.0864000000000003</v>
      </c>
      <c r="I126" s="64">
        <f>7.0879 * CHOOSE(CONTROL!$C$22, $C$13, 100%, $E$13)</f>
        <v>7.0879000000000003</v>
      </c>
      <c r="J126" s="64">
        <f>3.9401 * CHOOSE(CONTROL!$C$22, $C$13, 100%, $E$13)</f>
        <v>3.9401000000000002</v>
      </c>
      <c r="K126" s="64">
        <f>3.9415 * CHOOSE(CONTROL!$C$22, $C$13, 100%, $E$13)</f>
        <v>3.9415</v>
      </c>
      <c r="L126" s="4"/>
      <c r="M126" s="4"/>
      <c r="N126" s="4"/>
    </row>
    <row r="127" spans="1:14" ht="15">
      <c r="A127" s="13">
        <v>45505</v>
      </c>
      <c r="B127" s="63">
        <f>3.3915 * CHOOSE(CONTROL!$C$22, $C$13, 100%, $E$13)</f>
        <v>3.3915000000000002</v>
      </c>
      <c r="C127" s="63">
        <f>3.3915 * CHOOSE(CONTROL!$C$22, $C$13, 100%, $E$13)</f>
        <v>3.3915000000000002</v>
      </c>
      <c r="D127" s="63">
        <f>3.4146 * CHOOSE(CONTROL!$C$22, $C$13, 100%, $E$13)</f>
        <v>3.4146000000000001</v>
      </c>
      <c r="E127" s="64">
        <f>3.9039 * CHOOSE(CONTROL!$C$22, $C$13, 100%, $E$13)</f>
        <v>3.9039000000000001</v>
      </c>
      <c r="F127" s="64">
        <f>3.9039 * CHOOSE(CONTROL!$C$22, $C$13, 100%, $E$13)</f>
        <v>3.9039000000000001</v>
      </c>
      <c r="G127" s="64">
        <f>3.9054 * CHOOSE(CONTROL!$C$22, $C$13, 100%, $E$13)</f>
        <v>3.9054000000000002</v>
      </c>
      <c r="H127" s="64">
        <f>7.1012* CHOOSE(CONTROL!$C$22, $C$13, 100%, $E$13)</f>
        <v>7.1012000000000004</v>
      </c>
      <c r="I127" s="64">
        <f>7.1026 * CHOOSE(CONTROL!$C$22, $C$13, 100%, $E$13)</f>
        <v>7.1025999999999998</v>
      </c>
      <c r="J127" s="64">
        <f>3.9039 * CHOOSE(CONTROL!$C$22, $C$13, 100%, $E$13)</f>
        <v>3.9039000000000001</v>
      </c>
      <c r="K127" s="64">
        <f>3.9054 * CHOOSE(CONTROL!$C$22, $C$13, 100%, $E$13)</f>
        <v>3.9054000000000002</v>
      </c>
      <c r="L127" s="4"/>
      <c r="M127" s="4"/>
      <c r="N127" s="4"/>
    </row>
    <row r="128" spans="1:14" ht="15">
      <c r="A128" s="13">
        <v>45536</v>
      </c>
      <c r="B128" s="63">
        <f>3.3885 * CHOOSE(CONTROL!$C$22, $C$13, 100%, $E$13)</f>
        <v>3.3885000000000001</v>
      </c>
      <c r="C128" s="63">
        <f>3.3885 * CHOOSE(CONTROL!$C$22, $C$13, 100%, $E$13)</f>
        <v>3.3885000000000001</v>
      </c>
      <c r="D128" s="63">
        <f>3.4116 * CHOOSE(CONTROL!$C$22, $C$13, 100%, $E$13)</f>
        <v>3.4116</v>
      </c>
      <c r="E128" s="64">
        <f>3.8972 * CHOOSE(CONTROL!$C$22, $C$13, 100%, $E$13)</f>
        <v>3.8972000000000002</v>
      </c>
      <c r="F128" s="64">
        <f>3.8972 * CHOOSE(CONTROL!$C$22, $C$13, 100%, $E$13)</f>
        <v>3.8972000000000002</v>
      </c>
      <c r="G128" s="64">
        <f>3.8987 * CHOOSE(CONTROL!$C$22, $C$13, 100%, $E$13)</f>
        <v>3.8986999999999998</v>
      </c>
      <c r="H128" s="64">
        <f>7.1159* CHOOSE(CONTROL!$C$22, $C$13, 100%, $E$13)</f>
        <v>7.1158999999999999</v>
      </c>
      <c r="I128" s="64">
        <f>7.1174 * CHOOSE(CONTROL!$C$22, $C$13, 100%, $E$13)</f>
        <v>7.1173999999999999</v>
      </c>
      <c r="J128" s="64">
        <f>3.8972 * CHOOSE(CONTROL!$C$22, $C$13, 100%, $E$13)</f>
        <v>3.8972000000000002</v>
      </c>
      <c r="K128" s="64">
        <f>3.8987 * CHOOSE(CONTROL!$C$22, $C$13, 100%, $E$13)</f>
        <v>3.8986999999999998</v>
      </c>
      <c r="L128" s="4"/>
      <c r="M128" s="4"/>
      <c r="N128" s="4"/>
    </row>
    <row r="129" spans="1:14" ht="15">
      <c r="A129" s="13">
        <v>45566</v>
      </c>
      <c r="B129" s="63">
        <f>3.3815 * CHOOSE(CONTROL!$C$22, $C$13, 100%, $E$13)</f>
        <v>3.3815</v>
      </c>
      <c r="C129" s="63">
        <f>3.3815 * CHOOSE(CONTROL!$C$22, $C$13, 100%, $E$13)</f>
        <v>3.3815</v>
      </c>
      <c r="D129" s="63">
        <f>3.393 * CHOOSE(CONTROL!$C$22, $C$13, 100%, $E$13)</f>
        <v>3.3929999999999998</v>
      </c>
      <c r="E129" s="64">
        <f>3.9019 * CHOOSE(CONTROL!$C$22, $C$13, 100%, $E$13)</f>
        <v>3.9018999999999999</v>
      </c>
      <c r="F129" s="64">
        <f>3.9019 * CHOOSE(CONTROL!$C$22, $C$13, 100%, $E$13)</f>
        <v>3.9018999999999999</v>
      </c>
      <c r="G129" s="64">
        <f>3.9021 * CHOOSE(CONTROL!$C$22, $C$13, 100%, $E$13)</f>
        <v>3.9020999999999999</v>
      </c>
      <c r="H129" s="64">
        <f>7.1308* CHOOSE(CONTROL!$C$22, $C$13, 100%, $E$13)</f>
        <v>7.1307999999999998</v>
      </c>
      <c r="I129" s="64">
        <f>7.1309 * CHOOSE(CONTROL!$C$22, $C$13, 100%, $E$13)</f>
        <v>7.1308999999999996</v>
      </c>
      <c r="J129" s="64">
        <f>3.9019 * CHOOSE(CONTROL!$C$22, $C$13, 100%, $E$13)</f>
        <v>3.9018999999999999</v>
      </c>
      <c r="K129" s="64">
        <f>3.9021 * CHOOSE(CONTROL!$C$22, $C$13, 100%, $E$13)</f>
        <v>3.9020999999999999</v>
      </c>
      <c r="L129" s="4"/>
      <c r="M129" s="4"/>
      <c r="N129" s="4"/>
    </row>
    <row r="130" spans="1:14" ht="15">
      <c r="A130" s="13">
        <v>45597</v>
      </c>
      <c r="B130" s="63">
        <f>3.3845 * CHOOSE(CONTROL!$C$22, $C$13, 100%, $E$13)</f>
        <v>3.3845000000000001</v>
      </c>
      <c r="C130" s="63">
        <f>3.3845 * CHOOSE(CONTROL!$C$22, $C$13, 100%, $E$13)</f>
        <v>3.3845000000000001</v>
      </c>
      <c r="D130" s="63">
        <f>3.3961 * CHOOSE(CONTROL!$C$22, $C$13, 100%, $E$13)</f>
        <v>3.3961000000000001</v>
      </c>
      <c r="E130" s="64">
        <f>3.9131 * CHOOSE(CONTROL!$C$22, $C$13, 100%, $E$13)</f>
        <v>3.9131</v>
      </c>
      <c r="F130" s="64">
        <f>3.9131 * CHOOSE(CONTROL!$C$22, $C$13, 100%, $E$13)</f>
        <v>3.9131</v>
      </c>
      <c r="G130" s="64">
        <f>3.9133 * CHOOSE(CONTROL!$C$22, $C$13, 100%, $E$13)</f>
        <v>3.9133</v>
      </c>
      <c r="H130" s="64">
        <f>7.1456* CHOOSE(CONTROL!$C$22, $C$13, 100%, $E$13)</f>
        <v>7.1456</v>
      </c>
      <c r="I130" s="64">
        <f>7.1458 * CHOOSE(CONTROL!$C$22, $C$13, 100%, $E$13)</f>
        <v>7.1458000000000004</v>
      </c>
      <c r="J130" s="64">
        <f>3.9131 * CHOOSE(CONTROL!$C$22, $C$13, 100%, $E$13)</f>
        <v>3.9131</v>
      </c>
      <c r="K130" s="64">
        <f>3.9133 * CHOOSE(CONTROL!$C$22, $C$13, 100%, $E$13)</f>
        <v>3.9133</v>
      </c>
      <c r="L130" s="4"/>
      <c r="M130" s="4"/>
      <c r="N130" s="4"/>
    </row>
    <row r="131" spans="1:14" ht="15">
      <c r="A131" s="13">
        <v>45627</v>
      </c>
      <c r="B131" s="63">
        <f>3.3845 * CHOOSE(CONTROL!$C$22, $C$13, 100%, $E$13)</f>
        <v>3.3845000000000001</v>
      </c>
      <c r="C131" s="63">
        <f>3.3845 * CHOOSE(CONTROL!$C$22, $C$13, 100%, $E$13)</f>
        <v>3.3845000000000001</v>
      </c>
      <c r="D131" s="63">
        <f>3.3961 * CHOOSE(CONTROL!$C$22, $C$13, 100%, $E$13)</f>
        <v>3.3961000000000001</v>
      </c>
      <c r="E131" s="64">
        <f>3.8904 * CHOOSE(CONTROL!$C$22, $C$13, 100%, $E$13)</f>
        <v>3.8904000000000001</v>
      </c>
      <c r="F131" s="64">
        <f>3.8904 * CHOOSE(CONTROL!$C$22, $C$13, 100%, $E$13)</f>
        <v>3.8904000000000001</v>
      </c>
      <c r="G131" s="64">
        <f>3.8906 * CHOOSE(CONTROL!$C$22, $C$13, 100%, $E$13)</f>
        <v>3.8906000000000001</v>
      </c>
      <c r="H131" s="64">
        <f>7.1605* CHOOSE(CONTROL!$C$22, $C$13, 100%, $E$13)</f>
        <v>7.1604999999999999</v>
      </c>
      <c r="I131" s="64">
        <f>7.1607 * CHOOSE(CONTROL!$C$22, $C$13, 100%, $E$13)</f>
        <v>7.1607000000000003</v>
      </c>
      <c r="J131" s="64">
        <f>3.8904 * CHOOSE(CONTROL!$C$22, $C$13, 100%, $E$13)</f>
        <v>3.8904000000000001</v>
      </c>
      <c r="K131" s="64">
        <f>3.8906 * CHOOSE(CONTROL!$C$22, $C$13, 100%, $E$13)</f>
        <v>3.8906000000000001</v>
      </c>
      <c r="L131" s="4"/>
      <c r="M131" s="4"/>
      <c r="N131" s="4"/>
    </row>
    <row r="132" spans="1:14" ht="15">
      <c r="A132" s="13">
        <v>45658</v>
      </c>
      <c r="B132" s="63">
        <f>3.4166 * CHOOSE(CONTROL!$C$22, $C$13, 100%, $E$13)</f>
        <v>3.4165999999999999</v>
      </c>
      <c r="C132" s="63">
        <f>3.4166 * CHOOSE(CONTROL!$C$22, $C$13, 100%, $E$13)</f>
        <v>3.4165999999999999</v>
      </c>
      <c r="D132" s="63">
        <f>3.4282 * CHOOSE(CONTROL!$C$22, $C$13, 100%, $E$13)</f>
        <v>3.4281999999999999</v>
      </c>
      <c r="E132" s="64">
        <f>3.9232 * CHOOSE(CONTROL!$C$22, $C$13, 100%, $E$13)</f>
        <v>3.9232</v>
      </c>
      <c r="F132" s="64">
        <f>3.9232 * CHOOSE(CONTROL!$C$22, $C$13, 100%, $E$13)</f>
        <v>3.9232</v>
      </c>
      <c r="G132" s="64">
        <f>3.9234 * CHOOSE(CONTROL!$C$22, $C$13, 100%, $E$13)</f>
        <v>3.9234</v>
      </c>
      <c r="H132" s="64">
        <f>7.1754* CHOOSE(CONTROL!$C$22, $C$13, 100%, $E$13)</f>
        <v>7.1753999999999998</v>
      </c>
      <c r="I132" s="64">
        <f>7.1756 * CHOOSE(CONTROL!$C$22, $C$13, 100%, $E$13)</f>
        <v>7.1756000000000002</v>
      </c>
      <c r="J132" s="64">
        <f>3.9232 * CHOOSE(CONTROL!$C$22, $C$13, 100%, $E$13)</f>
        <v>3.9232</v>
      </c>
      <c r="K132" s="64">
        <f>3.9234 * CHOOSE(CONTROL!$C$22, $C$13, 100%, $E$13)</f>
        <v>3.9234</v>
      </c>
      <c r="L132" s="4"/>
      <c r="M132" s="4"/>
      <c r="N132" s="4"/>
    </row>
    <row r="133" spans="1:14" ht="15">
      <c r="A133" s="13">
        <v>45689</v>
      </c>
      <c r="B133" s="63">
        <f>3.4136 * CHOOSE(CONTROL!$C$22, $C$13, 100%, $E$13)</f>
        <v>3.4136000000000002</v>
      </c>
      <c r="C133" s="63">
        <f>3.4136 * CHOOSE(CONTROL!$C$22, $C$13, 100%, $E$13)</f>
        <v>3.4136000000000002</v>
      </c>
      <c r="D133" s="63">
        <f>3.4251 * CHOOSE(CONTROL!$C$22, $C$13, 100%, $E$13)</f>
        <v>3.4251</v>
      </c>
      <c r="E133" s="64">
        <f>3.8779 * CHOOSE(CONTROL!$C$22, $C$13, 100%, $E$13)</f>
        <v>3.8778999999999999</v>
      </c>
      <c r="F133" s="64">
        <f>3.8779 * CHOOSE(CONTROL!$C$22, $C$13, 100%, $E$13)</f>
        <v>3.8778999999999999</v>
      </c>
      <c r="G133" s="64">
        <f>3.8781 * CHOOSE(CONTROL!$C$22, $C$13, 100%, $E$13)</f>
        <v>3.8780999999999999</v>
      </c>
      <c r="H133" s="64">
        <f>7.1904* CHOOSE(CONTROL!$C$22, $C$13, 100%, $E$13)</f>
        <v>7.1904000000000003</v>
      </c>
      <c r="I133" s="64">
        <f>7.1906 * CHOOSE(CONTROL!$C$22, $C$13, 100%, $E$13)</f>
        <v>7.1905999999999999</v>
      </c>
      <c r="J133" s="64">
        <f>3.8779 * CHOOSE(CONTROL!$C$22, $C$13, 100%, $E$13)</f>
        <v>3.8778999999999999</v>
      </c>
      <c r="K133" s="64">
        <f>3.8781 * CHOOSE(CONTROL!$C$22, $C$13, 100%, $E$13)</f>
        <v>3.8780999999999999</v>
      </c>
      <c r="L133" s="4"/>
      <c r="M133" s="4"/>
      <c r="N133" s="4"/>
    </row>
    <row r="134" spans="1:14" ht="15">
      <c r="A134" s="13">
        <v>45717</v>
      </c>
      <c r="B134" s="63">
        <f>3.4105 * CHOOSE(CONTROL!$C$22, $C$13, 100%, $E$13)</f>
        <v>3.4104999999999999</v>
      </c>
      <c r="C134" s="63">
        <f>3.4105 * CHOOSE(CONTROL!$C$22, $C$13, 100%, $E$13)</f>
        <v>3.4104999999999999</v>
      </c>
      <c r="D134" s="63">
        <f>3.4221 * CHOOSE(CONTROL!$C$22, $C$13, 100%, $E$13)</f>
        <v>3.4220999999999999</v>
      </c>
      <c r="E134" s="64">
        <f>3.9098 * CHOOSE(CONTROL!$C$22, $C$13, 100%, $E$13)</f>
        <v>3.9098000000000002</v>
      </c>
      <c r="F134" s="64">
        <f>3.9098 * CHOOSE(CONTROL!$C$22, $C$13, 100%, $E$13)</f>
        <v>3.9098000000000002</v>
      </c>
      <c r="G134" s="64">
        <f>3.91 * CHOOSE(CONTROL!$C$22, $C$13, 100%, $E$13)</f>
        <v>3.91</v>
      </c>
      <c r="H134" s="64">
        <f>7.2054* CHOOSE(CONTROL!$C$22, $C$13, 100%, $E$13)</f>
        <v>7.2054</v>
      </c>
      <c r="I134" s="64">
        <f>7.2055 * CHOOSE(CONTROL!$C$22, $C$13, 100%, $E$13)</f>
        <v>7.2054999999999998</v>
      </c>
      <c r="J134" s="64">
        <f>3.9098 * CHOOSE(CONTROL!$C$22, $C$13, 100%, $E$13)</f>
        <v>3.9098000000000002</v>
      </c>
      <c r="K134" s="64">
        <f>3.91 * CHOOSE(CONTROL!$C$22, $C$13, 100%, $E$13)</f>
        <v>3.91</v>
      </c>
      <c r="L134" s="4"/>
      <c r="M134" s="4"/>
      <c r="N134" s="4"/>
    </row>
    <row r="135" spans="1:14" ht="15">
      <c r="A135" s="13">
        <v>45748</v>
      </c>
      <c r="B135" s="63">
        <f>3.4077 * CHOOSE(CONTROL!$C$22, $C$13, 100%, $E$13)</f>
        <v>3.4077000000000002</v>
      </c>
      <c r="C135" s="63">
        <f>3.4077 * CHOOSE(CONTROL!$C$22, $C$13, 100%, $E$13)</f>
        <v>3.4077000000000002</v>
      </c>
      <c r="D135" s="63">
        <f>3.4192 * CHOOSE(CONTROL!$C$22, $C$13, 100%, $E$13)</f>
        <v>3.4192</v>
      </c>
      <c r="E135" s="64">
        <f>3.9422 * CHOOSE(CONTROL!$C$22, $C$13, 100%, $E$13)</f>
        <v>3.9422000000000001</v>
      </c>
      <c r="F135" s="64">
        <f>3.9422 * CHOOSE(CONTROL!$C$22, $C$13, 100%, $E$13)</f>
        <v>3.9422000000000001</v>
      </c>
      <c r="G135" s="64">
        <f>3.9424 * CHOOSE(CONTROL!$C$22, $C$13, 100%, $E$13)</f>
        <v>3.9424000000000001</v>
      </c>
      <c r="H135" s="64">
        <f>7.2204* CHOOSE(CONTROL!$C$22, $C$13, 100%, $E$13)</f>
        <v>7.2203999999999997</v>
      </c>
      <c r="I135" s="64">
        <f>7.2205 * CHOOSE(CONTROL!$C$22, $C$13, 100%, $E$13)</f>
        <v>7.2205000000000004</v>
      </c>
      <c r="J135" s="64">
        <f>3.9422 * CHOOSE(CONTROL!$C$22, $C$13, 100%, $E$13)</f>
        <v>3.9422000000000001</v>
      </c>
      <c r="K135" s="64">
        <f>3.9424 * CHOOSE(CONTROL!$C$22, $C$13, 100%, $E$13)</f>
        <v>3.9424000000000001</v>
      </c>
      <c r="L135" s="4"/>
      <c r="M135" s="4"/>
      <c r="N135" s="4"/>
    </row>
    <row r="136" spans="1:14" ht="15">
      <c r="A136" s="13">
        <v>45778</v>
      </c>
      <c r="B136" s="63">
        <f>3.4077 * CHOOSE(CONTROL!$C$22, $C$13, 100%, $E$13)</f>
        <v>3.4077000000000002</v>
      </c>
      <c r="C136" s="63">
        <f>3.4077 * CHOOSE(CONTROL!$C$22, $C$13, 100%, $E$13)</f>
        <v>3.4077000000000002</v>
      </c>
      <c r="D136" s="63">
        <f>3.4308 * CHOOSE(CONTROL!$C$22, $C$13, 100%, $E$13)</f>
        <v>3.4308000000000001</v>
      </c>
      <c r="E136" s="64">
        <f>3.9559 * CHOOSE(CONTROL!$C$22, $C$13, 100%, $E$13)</f>
        <v>3.9559000000000002</v>
      </c>
      <c r="F136" s="64">
        <f>3.9559 * CHOOSE(CONTROL!$C$22, $C$13, 100%, $E$13)</f>
        <v>3.9559000000000002</v>
      </c>
      <c r="G136" s="64">
        <f>3.9574 * CHOOSE(CONTROL!$C$22, $C$13, 100%, $E$13)</f>
        <v>3.9573999999999998</v>
      </c>
      <c r="H136" s="64">
        <f>7.2354* CHOOSE(CONTROL!$C$22, $C$13, 100%, $E$13)</f>
        <v>7.2354000000000003</v>
      </c>
      <c r="I136" s="64">
        <f>7.2369 * CHOOSE(CONTROL!$C$22, $C$13, 100%, $E$13)</f>
        <v>7.2369000000000003</v>
      </c>
      <c r="J136" s="64">
        <f>3.9559 * CHOOSE(CONTROL!$C$22, $C$13, 100%, $E$13)</f>
        <v>3.9559000000000002</v>
      </c>
      <c r="K136" s="64">
        <f>3.9574 * CHOOSE(CONTROL!$C$22, $C$13, 100%, $E$13)</f>
        <v>3.9573999999999998</v>
      </c>
      <c r="L136" s="4"/>
      <c r="M136" s="4"/>
      <c r="N136" s="4"/>
    </row>
    <row r="137" spans="1:14" ht="15">
      <c r="A137" s="13">
        <v>45809</v>
      </c>
      <c r="B137" s="63">
        <f>3.4137 * CHOOSE(CONTROL!$C$22, $C$13, 100%, $E$13)</f>
        <v>3.4137</v>
      </c>
      <c r="C137" s="63">
        <f>3.4137 * CHOOSE(CONTROL!$C$22, $C$13, 100%, $E$13)</f>
        <v>3.4137</v>
      </c>
      <c r="D137" s="63">
        <f>3.4368 * CHOOSE(CONTROL!$C$22, $C$13, 100%, $E$13)</f>
        <v>3.4367999999999999</v>
      </c>
      <c r="E137" s="64">
        <f>3.9464 * CHOOSE(CONTROL!$C$22, $C$13, 100%, $E$13)</f>
        <v>3.9464000000000001</v>
      </c>
      <c r="F137" s="64">
        <f>3.9464 * CHOOSE(CONTROL!$C$22, $C$13, 100%, $E$13)</f>
        <v>3.9464000000000001</v>
      </c>
      <c r="G137" s="64">
        <f>3.9479 * CHOOSE(CONTROL!$C$22, $C$13, 100%, $E$13)</f>
        <v>3.9479000000000002</v>
      </c>
      <c r="H137" s="64">
        <f>7.2505* CHOOSE(CONTROL!$C$22, $C$13, 100%, $E$13)</f>
        <v>7.2504999999999997</v>
      </c>
      <c r="I137" s="64">
        <f>7.252 * CHOOSE(CONTROL!$C$22, $C$13, 100%, $E$13)</f>
        <v>7.2519999999999998</v>
      </c>
      <c r="J137" s="64">
        <f>3.9464 * CHOOSE(CONTROL!$C$22, $C$13, 100%, $E$13)</f>
        <v>3.9464000000000001</v>
      </c>
      <c r="K137" s="64">
        <f>3.9479 * CHOOSE(CONTROL!$C$22, $C$13, 100%, $E$13)</f>
        <v>3.9479000000000002</v>
      </c>
      <c r="L137" s="4"/>
      <c r="M137" s="4"/>
      <c r="N137" s="4"/>
    </row>
    <row r="138" spans="1:14" ht="15">
      <c r="A138" s="13">
        <v>45839</v>
      </c>
      <c r="B138" s="63">
        <f>3.4735 * CHOOSE(CONTROL!$C$22, $C$13, 100%, $E$13)</f>
        <v>3.4735</v>
      </c>
      <c r="C138" s="63">
        <f>3.4735 * CHOOSE(CONTROL!$C$22, $C$13, 100%, $E$13)</f>
        <v>3.4735</v>
      </c>
      <c r="D138" s="63">
        <f>3.4966 * CHOOSE(CONTROL!$C$22, $C$13, 100%, $E$13)</f>
        <v>3.4965999999999999</v>
      </c>
      <c r="E138" s="64">
        <f>4.0021 * CHOOSE(CONTROL!$C$22, $C$13, 100%, $E$13)</f>
        <v>4.0021000000000004</v>
      </c>
      <c r="F138" s="64">
        <f>4.0021 * CHOOSE(CONTROL!$C$22, $C$13, 100%, $E$13)</f>
        <v>4.0021000000000004</v>
      </c>
      <c r="G138" s="64">
        <f>4.0036 * CHOOSE(CONTROL!$C$22, $C$13, 100%, $E$13)</f>
        <v>4.0035999999999996</v>
      </c>
      <c r="H138" s="64">
        <f>7.2656* CHOOSE(CONTROL!$C$22, $C$13, 100%, $E$13)</f>
        <v>7.2656000000000001</v>
      </c>
      <c r="I138" s="64">
        <f>7.2671 * CHOOSE(CONTROL!$C$22, $C$13, 100%, $E$13)</f>
        <v>7.2671000000000001</v>
      </c>
      <c r="J138" s="64">
        <f>4.0021 * CHOOSE(CONTROL!$C$22, $C$13, 100%, $E$13)</f>
        <v>4.0021000000000004</v>
      </c>
      <c r="K138" s="64">
        <f>4.0036 * CHOOSE(CONTROL!$C$22, $C$13, 100%, $E$13)</f>
        <v>4.0035999999999996</v>
      </c>
      <c r="L138" s="4"/>
      <c r="M138" s="4"/>
      <c r="N138" s="4"/>
    </row>
    <row r="139" spans="1:14" ht="15">
      <c r="A139" s="13">
        <v>45870</v>
      </c>
      <c r="B139" s="63">
        <f>3.4802 * CHOOSE(CONTROL!$C$22, $C$13, 100%, $E$13)</f>
        <v>3.4802</v>
      </c>
      <c r="C139" s="63">
        <f>3.4802 * CHOOSE(CONTROL!$C$22, $C$13, 100%, $E$13)</f>
        <v>3.4802</v>
      </c>
      <c r="D139" s="63">
        <f>3.5033 * CHOOSE(CONTROL!$C$22, $C$13, 100%, $E$13)</f>
        <v>3.5032999999999999</v>
      </c>
      <c r="E139" s="64">
        <f>3.9656 * CHOOSE(CONTROL!$C$22, $C$13, 100%, $E$13)</f>
        <v>3.9655999999999998</v>
      </c>
      <c r="F139" s="64">
        <f>3.9656 * CHOOSE(CONTROL!$C$22, $C$13, 100%, $E$13)</f>
        <v>3.9655999999999998</v>
      </c>
      <c r="G139" s="64">
        <f>3.9671 * CHOOSE(CONTROL!$C$22, $C$13, 100%, $E$13)</f>
        <v>3.9670999999999998</v>
      </c>
      <c r="H139" s="64">
        <f>7.2807* CHOOSE(CONTROL!$C$22, $C$13, 100%, $E$13)</f>
        <v>7.2807000000000004</v>
      </c>
      <c r="I139" s="64">
        <f>7.2822 * CHOOSE(CONTROL!$C$22, $C$13, 100%, $E$13)</f>
        <v>7.2821999999999996</v>
      </c>
      <c r="J139" s="64">
        <f>3.9656 * CHOOSE(CONTROL!$C$22, $C$13, 100%, $E$13)</f>
        <v>3.9655999999999998</v>
      </c>
      <c r="K139" s="64">
        <f>3.9671 * CHOOSE(CONTROL!$C$22, $C$13, 100%, $E$13)</f>
        <v>3.9670999999999998</v>
      </c>
      <c r="L139" s="4"/>
      <c r="M139" s="4"/>
      <c r="N139" s="4"/>
    </row>
    <row r="140" spans="1:14" ht="15">
      <c r="A140" s="13">
        <v>45901</v>
      </c>
      <c r="B140" s="63">
        <f>3.4772 * CHOOSE(CONTROL!$C$22, $C$13, 100%, $E$13)</f>
        <v>3.4771999999999998</v>
      </c>
      <c r="C140" s="63">
        <f>3.4772 * CHOOSE(CONTROL!$C$22, $C$13, 100%, $E$13)</f>
        <v>3.4771999999999998</v>
      </c>
      <c r="D140" s="63">
        <f>3.5003 * CHOOSE(CONTROL!$C$22, $C$13, 100%, $E$13)</f>
        <v>3.5003000000000002</v>
      </c>
      <c r="E140" s="64">
        <f>3.959 * CHOOSE(CONTROL!$C$22, $C$13, 100%, $E$13)</f>
        <v>3.9590000000000001</v>
      </c>
      <c r="F140" s="64">
        <f>3.959 * CHOOSE(CONTROL!$C$22, $C$13, 100%, $E$13)</f>
        <v>3.9590000000000001</v>
      </c>
      <c r="G140" s="64">
        <f>3.9604 * CHOOSE(CONTROL!$C$22, $C$13, 100%, $E$13)</f>
        <v>3.9603999999999999</v>
      </c>
      <c r="H140" s="64">
        <f>7.2959* CHOOSE(CONTROL!$C$22, $C$13, 100%, $E$13)</f>
        <v>7.2958999999999996</v>
      </c>
      <c r="I140" s="64">
        <f>7.2974 * CHOOSE(CONTROL!$C$22, $C$13, 100%, $E$13)</f>
        <v>7.2973999999999997</v>
      </c>
      <c r="J140" s="64">
        <f>3.959 * CHOOSE(CONTROL!$C$22, $C$13, 100%, $E$13)</f>
        <v>3.9590000000000001</v>
      </c>
      <c r="K140" s="64">
        <f>3.9604 * CHOOSE(CONTROL!$C$22, $C$13, 100%, $E$13)</f>
        <v>3.9603999999999999</v>
      </c>
      <c r="L140" s="4"/>
      <c r="M140" s="4"/>
      <c r="N140" s="4"/>
    </row>
    <row r="141" spans="1:14" ht="15">
      <c r="A141" s="13">
        <v>45931</v>
      </c>
      <c r="B141" s="63">
        <f>3.4705 * CHOOSE(CONTROL!$C$22, $C$13, 100%, $E$13)</f>
        <v>3.4704999999999999</v>
      </c>
      <c r="C141" s="63">
        <f>3.4705 * CHOOSE(CONTROL!$C$22, $C$13, 100%, $E$13)</f>
        <v>3.4704999999999999</v>
      </c>
      <c r="D141" s="63">
        <f>3.482 * CHOOSE(CONTROL!$C$22, $C$13, 100%, $E$13)</f>
        <v>3.4820000000000002</v>
      </c>
      <c r="E141" s="64">
        <f>3.9638 * CHOOSE(CONTROL!$C$22, $C$13, 100%, $E$13)</f>
        <v>3.9638</v>
      </c>
      <c r="F141" s="64">
        <f>3.9638 * CHOOSE(CONTROL!$C$22, $C$13, 100%, $E$13)</f>
        <v>3.9638</v>
      </c>
      <c r="G141" s="64">
        <f>3.964 * CHOOSE(CONTROL!$C$22, $C$13, 100%, $E$13)</f>
        <v>3.964</v>
      </c>
      <c r="H141" s="64">
        <f>7.3111* CHOOSE(CONTROL!$C$22, $C$13, 100%, $E$13)</f>
        <v>7.3110999999999997</v>
      </c>
      <c r="I141" s="64">
        <f>7.3113 * CHOOSE(CONTROL!$C$22, $C$13, 100%, $E$13)</f>
        <v>7.3113000000000001</v>
      </c>
      <c r="J141" s="64">
        <f>3.9638 * CHOOSE(CONTROL!$C$22, $C$13, 100%, $E$13)</f>
        <v>3.9638</v>
      </c>
      <c r="K141" s="64">
        <f>3.964 * CHOOSE(CONTROL!$C$22, $C$13, 100%, $E$13)</f>
        <v>3.964</v>
      </c>
      <c r="L141" s="4"/>
      <c r="M141" s="4"/>
      <c r="N141" s="4"/>
    </row>
    <row r="142" spans="1:14" ht="15">
      <c r="A142" s="13">
        <v>45962</v>
      </c>
      <c r="B142" s="63">
        <f>3.4735 * CHOOSE(CONTROL!$C$22, $C$13, 100%, $E$13)</f>
        <v>3.4735</v>
      </c>
      <c r="C142" s="63">
        <f>3.4735 * CHOOSE(CONTROL!$C$22, $C$13, 100%, $E$13)</f>
        <v>3.4735</v>
      </c>
      <c r="D142" s="63">
        <f>3.4851 * CHOOSE(CONTROL!$C$22, $C$13, 100%, $E$13)</f>
        <v>3.4851000000000001</v>
      </c>
      <c r="E142" s="64">
        <f>3.9751 * CHOOSE(CONTROL!$C$22, $C$13, 100%, $E$13)</f>
        <v>3.9750999999999999</v>
      </c>
      <c r="F142" s="64">
        <f>3.9751 * CHOOSE(CONTROL!$C$22, $C$13, 100%, $E$13)</f>
        <v>3.9750999999999999</v>
      </c>
      <c r="G142" s="64">
        <f>3.9753 * CHOOSE(CONTROL!$C$22, $C$13, 100%, $E$13)</f>
        <v>3.9752999999999998</v>
      </c>
      <c r="H142" s="64">
        <f>7.3263* CHOOSE(CONTROL!$C$22, $C$13, 100%, $E$13)</f>
        <v>7.3262999999999998</v>
      </c>
      <c r="I142" s="64">
        <f>7.3265 * CHOOSE(CONTROL!$C$22, $C$13, 100%, $E$13)</f>
        <v>7.3265000000000002</v>
      </c>
      <c r="J142" s="64">
        <f>3.9751 * CHOOSE(CONTROL!$C$22, $C$13, 100%, $E$13)</f>
        <v>3.9750999999999999</v>
      </c>
      <c r="K142" s="64">
        <f>3.9753 * CHOOSE(CONTROL!$C$22, $C$13, 100%, $E$13)</f>
        <v>3.9752999999999998</v>
      </c>
    </row>
    <row r="143" spans="1:14" ht="15">
      <c r="A143" s="13">
        <v>45992</v>
      </c>
      <c r="B143" s="63">
        <f>3.4735 * CHOOSE(CONTROL!$C$22, $C$13, 100%, $E$13)</f>
        <v>3.4735</v>
      </c>
      <c r="C143" s="63">
        <f>3.4735 * CHOOSE(CONTROL!$C$22, $C$13, 100%, $E$13)</f>
        <v>3.4735</v>
      </c>
      <c r="D143" s="63">
        <f>3.4851 * CHOOSE(CONTROL!$C$22, $C$13, 100%, $E$13)</f>
        <v>3.4851000000000001</v>
      </c>
      <c r="E143" s="64">
        <f>3.9522 * CHOOSE(CONTROL!$C$22, $C$13, 100%, $E$13)</f>
        <v>3.9521999999999999</v>
      </c>
      <c r="F143" s="64">
        <f>3.9522 * CHOOSE(CONTROL!$C$22, $C$13, 100%, $E$13)</f>
        <v>3.9521999999999999</v>
      </c>
      <c r="G143" s="64">
        <f>3.9524 * CHOOSE(CONTROL!$C$22, $C$13, 100%, $E$13)</f>
        <v>3.9523999999999999</v>
      </c>
      <c r="H143" s="64">
        <f>7.3416* CHOOSE(CONTROL!$C$22, $C$13, 100%, $E$13)</f>
        <v>7.3415999999999997</v>
      </c>
      <c r="I143" s="64">
        <f>7.3418 * CHOOSE(CONTROL!$C$22, $C$13, 100%, $E$13)</f>
        <v>7.3418000000000001</v>
      </c>
      <c r="J143" s="64">
        <f>3.9522 * CHOOSE(CONTROL!$C$22, $C$13, 100%, $E$13)</f>
        <v>3.9521999999999999</v>
      </c>
      <c r="K143" s="64">
        <f>3.9524 * CHOOSE(CONTROL!$C$22, $C$13, 100%, $E$13)</f>
        <v>3.9523999999999999</v>
      </c>
    </row>
    <row r="144" spans="1:14" ht="15">
      <c r="A144" s="13">
        <v>46023</v>
      </c>
      <c r="B144" s="63">
        <f>3.4998 * CHOOSE(CONTROL!$C$22, $C$13, 100%, $E$13)</f>
        <v>3.4998</v>
      </c>
      <c r="C144" s="63">
        <f>3.4998 * CHOOSE(CONTROL!$C$22, $C$13, 100%, $E$13)</f>
        <v>3.4998</v>
      </c>
      <c r="D144" s="63">
        <f>3.5114 * CHOOSE(CONTROL!$C$22, $C$13, 100%, $E$13)</f>
        <v>3.5114000000000001</v>
      </c>
      <c r="E144" s="64">
        <f>3.9948 * CHOOSE(CONTROL!$C$22, $C$13, 100%, $E$13)</f>
        <v>3.9948000000000001</v>
      </c>
      <c r="F144" s="64">
        <f>3.9948 * CHOOSE(CONTROL!$C$22, $C$13, 100%, $E$13)</f>
        <v>3.9948000000000001</v>
      </c>
      <c r="G144" s="64">
        <f>3.995 * CHOOSE(CONTROL!$C$22, $C$13, 100%, $E$13)</f>
        <v>3.9950000000000001</v>
      </c>
      <c r="H144" s="64">
        <f>7.3569* CHOOSE(CONTROL!$C$22, $C$13, 100%, $E$13)</f>
        <v>7.3569000000000004</v>
      </c>
      <c r="I144" s="64">
        <f>7.3571 * CHOOSE(CONTROL!$C$22, $C$13, 100%, $E$13)</f>
        <v>7.3571</v>
      </c>
      <c r="J144" s="64">
        <f>3.9948 * CHOOSE(CONTROL!$C$22, $C$13, 100%, $E$13)</f>
        <v>3.9948000000000001</v>
      </c>
      <c r="K144" s="64">
        <f>3.995 * CHOOSE(CONTROL!$C$22, $C$13, 100%, $E$13)</f>
        <v>3.9950000000000001</v>
      </c>
    </row>
    <row r="145" spans="1:11" ht="15">
      <c r="A145" s="13">
        <v>46054</v>
      </c>
      <c r="B145" s="63">
        <f>3.4968 * CHOOSE(CONTROL!$C$22, $C$13, 100%, $E$13)</f>
        <v>3.4967999999999999</v>
      </c>
      <c r="C145" s="63">
        <f>3.4968 * CHOOSE(CONTROL!$C$22, $C$13, 100%, $E$13)</f>
        <v>3.4967999999999999</v>
      </c>
      <c r="D145" s="63">
        <f>3.5083 * CHOOSE(CONTROL!$C$22, $C$13, 100%, $E$13)</f>
        <v>3.5083000000000002</v>
      </c>
      <c r="E145" s="64">
        <f>3.9484 * CHOOSE(CONTROL!$C$22, $C$13, 100%, $E$13)</f>
        <v>3.9483999999999999</v>
      </c>
      <c r="F145" s="64">
        <f>3.9484 * CHOOSE(CONTROL!$C$22, $C$13, 100%, $E$13)</f>
        <v>3.9483999999999999</v>
      </c>
      <c r="G145" s="64">
        <f>3.9486 * CHOOSE(CONTROL!$C$22, $C$13, 100%, $E$13)</f>
        <v>3.9485999999999999</v>
      </c>
      <c r="H145" s="64">
        <f>7.3722* CHOOSE(CONTROL!$C$22, $C$13, 100%, $E$13)</f>
        <v>7.3722000000000003</v>
      </c>
      <c r="I145" s="64">
        <f>7.3724 * CHOOSE(CONTROL!$C$22, $C$13, 100%, $E$13)</f>
        <v>7.3723999999999998</v>
      </c>
      <c r="J145" s="64">
        <f>3.9484 * CHOOSE(CONTROL!$C$22, $C$13, 100%, $E$13)</f>
        <v>3.9483999999999999</v>
      </c>
      <c r="K145" s="64">
        <f>3.9486 * CHOOSE(CONTROL!$C$22, $C$13, 100%, $E$13)</f>
        <v>3.9485999999999999</v>
      </c>
    </row>
    <row r="146" spans="1:11" ht="15">
      <c r="A146" s="13">
        <v>46082</v>
      </c>
      <c r="B146" s="63">
        <f>3.4937 * CHOOSE(CONTROL!$C$22, $C$13, 100%, $E$13)</f>
        <v>3.4937</v>
      </c>
      <c r="C146" s="63">
        <f>3.4937 * CHOOSE(CONTROL!$C$22, $C$13, 100%, $E$13)</f>
        <v>3.4937</v>
      </c>
      <c r="D146" s="63">
        <f>3.5053 * CHOOSE(CONTROL!$C$22, $C$13, 100%, $E$13)</f>
        <v>3.5053000000000001</v>
      </c>
      <c r="E146" s="64">
        <f>3.9812 * CHOOSE(CONTROL!$C$22, $C$13, 100%, $E$13)</f>
        <v>3.9811999999999999</v>
      </c>
      <c r="F146" s="64">
        <f>3.9812 * CHOOSE(CONTROL!$C$22, $C$13, 100%, $E$13)</f>
        <v>3.9811999999999999</v>
      </c>
      <c r="G146" s="64">
        <f>3.9814 * CHOOSE(CONTROL!$C$22, $C$13, 100%, $E$13)</f>
        <v>3.9813999999999998</v>
      </c>
      <c r="H146" s="64">
        <f>7.3876* CHOOSE(CONTROL!$C$22, $C$13, 100%, $E$13)</f>
        <v>7.3875999999999999</v>
      </c>
      <c r="I146" s="64">
        <f>7.3877 * CHOOSE(CONTROL!$C$22, $C$13, 100%, $E$13)</f>
        <v>7.3876999999999997</v>
      </c>
      <c r="J146" s="64">
        <f>3.9812 * CHOOSE(CONTROL!$C$22, $C$13, 100%, $E$13)</f>
        <v>3.9811999999999999</v>
      </c>
      <c r="K146" s="64">
        <f>3.9814 * CHOOSE(CONTROL!$C$22, $C$13, 100%, $E$13)</f>
        <v>3.9813999999999998</v>
      </c>
    </row>
    <row r="147" spans="1:11" ht="15">
      <c r="A147" s="13">
        <v>46113</v>
      </c>
      <c r="B147" s="63">
        <f>3.491 * CHOOSE(CONTROL!$C$22, $C$13, 100%, $E$13)</f>
        <v>3.4910000000000001</v>
      </c>
      <c r="C147" s="63">
        <f>3.491 * CHOOSE(CONTROL!$C$22, $C$13, 100%, $E$13)</f>
        <v>3.4910000000000001</v>
      </c>
      <c r="D147" s="63">
        <f>3.5025 * CHOOSE(CONTROL!$C$22, $C$13, 100%, $E$13)</f>
        <v>3.5024999999999999</v>
      </c>
      <c r="E147" s="64">
        <f>4.0145 * CHOOSE(CONTROL!$C$22, $C$13, 100%, $E$13)</f>
        <v>4.0145</v>
      </c>
      <c r="F147" s="64">
        <f>4.0145 * CHOOSE(CONTROL!$C$22, $C$13, 100%, $E$13)</f>
        <v>4.0145</v>
      </c>
      <c r="G147" s="64">
        <f>4.0147 * CHOOSE(CONTROL!$C$22, $C$13, 100%, $E$13)</f>
        <v>4.0147000000000004</v>
      </c>
      <c r="H147" s="64">
        <f>7.403* CHOOSE(CONTROL!$C$22, $C$13, 100%, $E$13)</f>
        <v>7.4029999999999996</v>
      </c>
      <c r="I147" s="64">
        <f>7.4031 * CHOOSE(CONTROL!$C$22, $C$13, 100%, $E$13)</f>
        <v>7.4031000000000002</v>
      </c>
      <c r="J147" s="64">
        <f>4.0145 * CHOOSE(CONTROL!$C$22, $C$13, 100%, $E$13)</f>
        <v>4.0145</v>
      </c>
      <c r="K147" s="64">
        <f>4.0147 * CHOOSE(CONTROL!$C$22, $C$13, 100%, $E$13)</f>
        <v>4.0147000000000004</v>
      </c>
    </row>
    <row r="148" spans="1:11" ht="15">
      <c r="A148" s="13">
        <v>46143</v>
      </c>
      <c r="B148" s="63">
        <f>3.491 * CHOOSE(CONTROL!$C$22, $C$13, 100%, $E$13)</f>
        <v>3.4910000000000001</v>
      </c>
      <c r="C148" s="63">
        <f>3.491 * CHOOSE(CONTROL!$C$22, $C$13, 100%, $E$13)</f>
        <v>3.4910000000000001</v>
      </c>
      <c r="D148" s="63">
        <f>3.5141 * CHOOSE(CONTROL!$C$22, $C$13, 100%, $E$13)</f>
        <v>3.5141</v>
      </c>
      <c r="E148" s="64">
        <f>4.0285 * CHOOSE(CONTROL!$C$22, $C$13, 100%, $E$13)</f>
        <v>4.0285000000000002</v>
      </c>
      <c r="F148" s="64">
        <f>4.0285 * CHOOSE(CONTROL!$C$22, $C$13, 100%, $E$13)</f>
        <v>4.0285000000000002</v>
      </c>
      <c r="G148" s="64">
        <f>4.03 * CHOOSE(CONTROL!$C$22, $C$13, 100%, $E$13)</f>
        <v>4.03</v>
      </c>
      <c r="H148" s="64">
        <f>7.4184* CHOOSE(CONTROL!$C$22, $C$13, 100%, $E$13)</f>
        <v>7.4184000000000001</v>
      </c>
      <c r="I148" s="64">
        <f>7.4199 * CHOOSE(CONTROL!$C$22, $C$13, 100%, $E$13)</f>
        <v>7.4199000000000002</v>
      </c>
      <c r="J148" s="64">
        <f>4.0285 * CHOOSE(CONTROL!$C$22, $C$13, 100%, $E$13)</f>
        <v>4.0285000000000002</v>
      </c>
      <c r="K148" s="64">
        <f>4.03 * CHOOSE(CONTROL!$C$22, $C$13, 100%, $E$13)</f>
        <v>4.03</v>
      </c>
    </row>
    <row r="149" spans="1:11" ht="15">
      <c r="A149" s="13">
        <v>46174</v>
      </c>
      <c r="B149" s="63">
        <f>3.497 * CHOOSE(CONTROL!$C$22, $C$13, 100%, $E$13)</f>
        <v>3.4969999999999999</v>
      </c>
      <c r="C149" s="63">
        <f>3.497 * CHOOSE(CONTROL!$C$22, $C$13, 100%, $E$13)</f>
        <v>3.4969999999999999</v>
      </c>
      <c r="D149" s="63">
        <f>3.5201 * CHOOSE(CONTROL!$C$22, $C$13, 100%, $E$13)</f>
        <v>3.5200999999999998</v>
      </c>
      <c r="E149" s="64">
        <f>4.0187 * CHOOSE(CONTROL!$C$22, $C$13, 100%, $E$13)</f>
        <v>4.0186999999999999</v>
      </c>
      <c r="F149" s="64">
        <f>4.0187 * CHOOSE(CONTROL!$C$22, $C$13, 100%, $E$13)</f>
        <v>4.0186999999999999</v>
      </c>
      <c r="G149" s="64">
        <f>4.0202 * CHOOSE(CONTROL!$C$22, $C$13, 100%, $E$13)</f>
        <v>4.0202</v>
      </c>
      <c r="H149" s="64">
        <f>7.4338* CHOOSE(CONTROL!$C$22, $C$13, 100%, $E$13)</f>
        <v>7.4337999999999997</v>
      </c>
      <c r="I149" s="64">
        <f>7.4353 * CHOOSE(CONTROL!$C$22, $C$13, 100%, $E$13)</f>
        <v>7.4352999999999998</v>
      </c>
      <c r="J149" s="64">
        <f>4.0187 * CHOOSE(CONTROL!$C$22, $C$13, 100%, $E$13)</f>
        <v>4.0186999999999999</v>
      </c>
      <c r="K149" s="64">
        <f>4.0202 * CHOOSE(CONTROL!$C$22, $C$13, 100%, $E$13)</f>
        <v>4.0202</v>
      </c>
    </row>
    <row r="150" spans="1:11" ht="15">
      <c r="A150" s="13">
        <v>46204</v>
      </c>
      <c r="B150" s="63">
        <f>3.5437 * CHOOSE(CONTROL!$C$22, $C$13, 100%, $E$13)</f>
        <v>3.5436999999999999</v>
      </c>
      <c r="C150" s="63">
        <f>3.5437 * CHOOSE(CONTROL!$C$22, $C$13, 100%, $E$13)</f>
        <v>3.5436999999999999</v>
      </c>
      <c r="D150" s="63">
        <f>3.5668 * CHOOSE(CONTROL!$C$22, $C$13, 100%, $E$13)</f>
        <v>3.5668000000000002</v>
      </c>
      <c r="E150" s="64">
        <f>4.0789 * CHOOSE(CONTROL!$C$22, $C$13, 100%, $E$13)</f>
        <v>4.0789</v>
      </c>
      <c r="F150" s="64">
        <f>4.0789 * CHOOSE(CONTROL!$C$22, $C$13, 100%, $E$13)</f>
        <v>4.0789</v>
      </c>
      <c r="G150" s="64">
        <f>4.0804 * CHOOSE(CONTROL!$C$22, $C$13, 100%, $E$13)</f>
        <v>4.0804</v>
      </c>
      <c r="H150" s="64">
        <f>7.4493* CHOOSE(CONTROL!$C$22, $C$13, 100%, $E$13)</f>
        <v>7.4493</v>
      </c>
      <c r="I150" s="64">
        <f>7.4508 * CHOOSE(CONTROL!$C$22, $C$13, 100%, $E$13)</f>
        <v>7.4508000000000001</v>
      </c>
      <c r="J150" s="64">
        <f>4.0789 * CHOOSE(CONTROL!$C$22, $C$13, 100%, $E$13)</f>
        <v>4.0789</v>
      </c>
      <c r="K150" s="64">
        <f>4.0804 * CHOOSE(CONTROL!$C$22, $C$13, 100%, $E$13)</f>
        <v>4.0804</v>
      </c>
    </row>
    <row r="151" spans="1:11" ht="15">
      <c r="A151" s="13">
        <v>46235</v>
      </c>
      <c r="B151" s="63">
        <f>3.5504 * CHOOSE(CONTROL!$C$22, $C$13, 100%, $E$13)</f>
        <v>3.5503999999999998</v>
      </c>
      <c r="C151" s="63">
        <f>3.5504 * CHOOSE(CONTROL!$C$22, $C$13, 100%, $E$13)</f>
        <v>3.5503999999999998</v>
      </c>
      <c r="D151" s="63">
        <f>3.5735 * CHOOSE(CONTROL!$C$22, $C$13, 100%, $E$13)</f>
        <v>3.5735000000000001</v>
      </c>
      <c r="E151" s="64">
        <f>4.0414 * CHOOSE(CONTROL!$C$22, $C$13, 100%, $E$13)</f>
        <v>4.0414000000000003</v>
      </c>
      <c r="F151" s="64">
        <f>4.0414 * CHOOSE(CONTROL!$C$22, $C$13, 100%, $E$13)</f>
        <v>4.0414000000000003</v>
      </c>
      <c r="G151" s="64">
        <f>4.0429 * CHOOSE(CONTROL!$C$22, $C$13, 100%, $E$13)</f>
        <v>4.0429000000000004</v>
      </c>
      <c r="H151" s="64">
        <f>7.4648* CHOOSE(CONTROL!$C$22, $C$13, 100%, $E$13)</f>
        <v>7.4648000000000003</v>
      </c>
      <c r="I151" s="64">
        <f>7.4663 * CHOOSE(CONTROL!$C$22, $C$13, 100%, $E$13)</f>
        <v>7.4663000000000004</v>
      </c>
      <c r="J151" s="64">
        <f>4.0414 * CHOOSE(CONTROL!$C$22, $C$13, 100%, $E$13)</f>
        <v>4.0414000000000003</v>
      </c>
      <c r="K151" s="64">
        <f>4.0429 * CHOOSE(CONTROL!$C$22, $C$13, 100%, $E$13)</f>
        <v>4.0429000000000004</v>
      </c>
    </row>
    <row r="152" spans="1:11" ht="15">
      <c r="A152" s="13">
        <v>46266</v>
      </c>
      <c r="B152" s="63">
        <f>3.5473 * CHOOSE(CONTROL!$C$22, $C$13, 100%, $E$13)</f>
        <v>3.5472999999999999</v>
      </c>
      <c r="C152" s="63">
        <f>3.5473 * CHOOSE(CONTROL!$C$22, $C$13, 100%, $E$13)</f>
        <v>3.5472999999999999</v>
      </c>
      <c r="D152" s="63">
        <f>3.5704 * CHOOSE(CONTROL!$C$22, $C$13, 100%, $E$13)</f>
        <v>3.5703999999999998</v>
      </c>
      <c r="E152" s="64">
        <f>4.0346 * CHOOSE(CONTROL!$C$22, $C$13, 100%, $E$13)</f>
        <v>4.0346000000000002</v>
      </c>
      <c r="F152" s="64">
        <f>4.0346 * CHOOSE(CONTROL!$C$22, $C$13, 100%, $E$13)</f>
        <v>4.0346000000000002</v>
      </c>
      <c r="G152" s="64">
        <f>4.0361 * CHOOSE(CONTROL!$C$22, $C$13, 100%, $E$13)</f>
        <v>4.0361000000000002</v>
      </c>
      <c r="H152" s="64">
        <f>7.4804* CHOOSE(CONTROL!$C$22, $C$13, 100%, $E$13)</f>
        <v>7.4804000000000004</v>
      </c>
      <c r="I152" s="64">
        <f>7.4819 * CHOOSE(CONTROL!$C$22, $C$13, 100%, $E$13)</f>
        <v>7.4819000000000004</v>
      </c>
      <c r="J152" s="64">
        <f>4.0346 * CHOOSE(CONTROL!$C$22, $C$13, 100%, $E$13)</f>
        <v>4.0346000000000002</v>
      </c>
      <c r="K152" s="64">
        <f>4.0361 * CHOOSE(CONTROL!$C$22, $C$13, 100%, $E$13)</f>
        <v>4.0361000000000002</v>
      </c>
    </row>
    <row r="153" spans="1:11" ht="15">
      <c r="A153" s="13">
        <v>46296</v>
      </c>
      <c r="B153" s="63">
        <f>3.541 * CHOOSE(CONTROL!$C$22, $C$13, 100%, $E$13)</f>
        <v>3.5409999999999999</v>
      </c>
      <c r="C153" s="63">
        <f>3.541 * CHOOSE(CONTROL!$C$22, $C$13, 100%, $E$13)</f>
        <v>3.5409999999999999</v>
      </c>
      <c r="D153" s="63">
        <f>3.5525 * CHOOSE(CONTROL!$C$22, $C$13, 100%, $E$13)</f>
        <v>3.5525000000000002</v>
      </c>
      <c r="E153" s="64">
        <f>4.0399 * CHOOSE(CONTROL!$C$22, $C$13, 100%, $E$13)</f>
        <v>4.0399000000000003</v>
      </c>
      <c r="F153" s="64">
        <f>4.0399 * CHOOSE(CONTROL!$C$22, $C$13, 100%, $E$13)</f>
        <v>4.0399000000000003</v>
      </c>
      <c r="G153" s="64">
        <f>4.0401 * CHOOSE(CONTROL!$C$22, $C$13, 100%, $E$13)</f>
        <v>4.0400999999999998</v>
      </c>
      <c r="H153" s="64">
        <f>7.496* CHOOSE(CONTROL!$C$22, $C$13, 100%, $E$13)</f>
        <v>7.4960000000000004</v>
      </c>
      <c r="I153" s="64">
        <f>7.4962 * CHOOSE(CONTROL!$C$22, $C$13, 100%, $E$13)</f>
        <v>7.4962</v>
      </c>
      <c r="J153" s="64">
        <f>4.0399 * CHOOSE(CONTROL!$C$22, $C$13, 100%, $E$13)</f>
        <v>4.0399000000000003</v>
      </c>
      <c r="K153" s="64">
        <f>4.0401 * CHOOSE(CONTROL!$C$22, $C$13, 100%, $E$13)</f>
        <v>4.0400999999999998</v>
      </c>
    </row>
    <row r="154" spans="1:11" ht="15">
      <c r="A154" s="13">
        <v>46327</v>
      </c>
      <c r="B154" s="63">
        <f>3.544 * CHOOSE(CONTROL!$C$22, $C$13, 100%, $E$13)</f>
        <v>3.544</v>
      </c>
      <c r="C154" s="63">
        <f>3.544 * CHOOSE(CONTROL!$C$22, $C$13, 100%, $E$13)</f>
        <v>3.544</v>
      </c>
      <c r="D154" s="63">
        <f>3.5556 * CHOOSE(CONTROL!$C$22, $C$13, 100%, $E$13)</f>
        <v>3.5556000000000001</v>
      </c>
      <c r="E154" s="64">
        <f>4.0514 * CHOOSE(CONTROL!$C$22, $C$13, 100%, $E$13)</f>
        <v>4.0514000000000001</v>
      </c>
      <c r="F154" s="64">
        <f>4.0514 * CHOOSE(CONTROL!$C$22, $C$13, 100%, $E$13)</f>
        <v>4.0514000000000001</v>
      </c>
      <c r="G154" s="64">
        <f>4.0516 * CHOOSE(CONTROL!$C$22, $C$13, 100%, $E$13)</f>
        <v>4.0515999999999996</v>
      </c>
      <c r="H154" s="64">
        <f>7.5116* CHOOSE(CONTROL!$C$22, $C$13, 100%, $E$13)</f>
        <v>7.5115999999999996</v>
      </c>
      <c r="I154" s="64">
        <f>7.5118 * CHOOSE(CONTROL!$C$22, $C$13, 100%, $E$13)</f>
        <v>7.5118</v>
      </c>
      <c r="J154" s="64">
        <f>4.0514 * CHOOSE(CONTROL!$C$22, $C$13, 100%, $E$13)</f>
        <v>4.0514000000000001</v>
      </c>
      <c r="K154" s="64">
        <f>4.0516 * CHOOSE(CONTROL!$C$22, $C$13, 100%, $E$13)</f>
        <v>4.0515999999999996</v>
      </c>
    </row>
    <row r="155" spans="1:11" ht="15">
      <c r="A155" s="13">
        <v>46357</v>
      </c>
      <c r="B155" s="63">
        <f>3.544 * CHOOSE(CONTROL!$C$22, $C$13, 100%, $E$13)</f>
        <v>3.544</v>
      </c>
      <c r="C155" s="63">
        <f>3.544 * CHOOSE(CONTROL!$C$22, $C$13, 100%, $E$13)</f>
        <v>3.544</v>
      </c>
      <c r="D155" s="63">
        <f>3.5556 * CHOOSE(CONTROL!$C$22, $C$13, 100%, $E$13)</f>
        <v>3.5556000000000001</v>
      </c>
      <c r="E155" s="64">
        <f>4.028 * CHOOSE(CONTROL!$C$22, $C$13, 100%, $E$13)</f>
        <v>4.0279999999999996</v>
      </c>
      <c r="F155" s="64">
        <f>4.028 * CHOOSE(CONTROL!$C$22, $C$13, 100%, $E$13)</f>
        <v>4.0279999999999996</v>
      </c>
      <c r="G155" s="64">
        <f>4.0282 * CHOOSE(CONTROL!$C$22, $C$13, 100%, $E$13)</f>
        <v>4.0282</v>
      </c>
      <c r="H155" s="64">
        <f>7.5273* CHOOSE(CONTROL!$C$22, $C$13, 100%, $E$13)</f>
        <v>7.5273000000000003</v>
      </c>
      <c r="I155" s="64">
        <f>7.5274 * CHOOSE(CONTROL!$C$22, $C$13, 100%, $E$13)</f>
        <v>7.5274000000000001</v>
      </c>
      <c r="J155" s="64">
        <f>4.028 * CHOOSE(CONTROL!$C$22, $C$13, 100%, $E$13)</f>
        <v>4.0279999999999996</v>
      </c>
      <c r="K155" s="64">
        <f>4.0282 * CHOOSE(CONTROL!$C$22, $C$13, 100%, $E$13)</f>
        <v>4.0282</v>
      </c>
    </row>
    <row r="156" spans="1:11" ht="15">
      <c r="A156" s="13">
        <v>46388</v>
      </c>
      <c r="B156" s="63">
        <f>3.5723 * CHOOSE(CONTROL!$C$22, $C$13, 100%, $E$13)</f>
        <v>3.5722999999999998</v>
      </c>
      <c r="C156" s="63">
        <f>3.5723 * CHOOSE(CONTROL!$C$22, $C$13, 100%, $E$13)</f>
        <v>3.5722999999999998</v>
      </c>
      <c r="D156" s="63">
        <f>3.5839 * CHOOSE(CONTROL!$C$22, $C$13, 100%, $E$13)</f>
        <v>3.5838999999999999</v>
      </c>
      <c r="E156" s="64">
        <f>4.0707 * CHOOSE(CONTROL!$C$22, $C$13, 100%, $E$13)</f>
        <v>4.0707000000000004</v>
      </c>
      <c r="F156" s="64">
        <f>4.0707 * CHOOSE(CONTROL!$C$22, $C$13, 100%, $E$13)</f>
        <v>4.0707000000000004</v>
      </c>
      <c r="G156" s="64">
        <f>4.0708 * CHOOSE(CONTROL!$C$22, $C$13, 100%, $E$13)</f>
        <v>4.0708000000000002</v>
      </c>
      <c r="H156" s="64">
        <f>7.5429* CHOOSE(CONTROL!$C$22, $C$13, 100%, $E$13)</f>
        <v>7.5429000000000004</v>
      </c>
      <c r="I156" s="64">
        <f>7.5431 * CHOOSE(CONTROL!$C$22, $C$13, 100%, $E$13)</f>
        <v>7.5430999999999999</v>
      </c>
      <c r="J156" s="64">
        <f>4.0707 * CHOOSE(CONTROL!$C$22, $C$13, 100%, $E$13)</f>
        <v>4.0707000000000004</v>
      </c>
      <c r="K156" s="64">
        <f>4.0708 * CHOOSE(CONTROL!$C$22, $C$13, 100%, $E$13)</f>
        <v>4.0708000000000002</v>
      </c>
    </row>
    <row r="157" spans="1:11" ht="15">
      <c r="A157" s="13">
        <v>46419</v>
      </c>
      <c r="B157" s="63">
        <f>3.5693 * CHOOSE(CONTROL!$C$22, $C$13, 100%, $E$13)</f>
        <v>3.5693000000000001</v>
      </c>
      <c r="C157" s="63">
        <f>3.5693 * CHOOSE(CONTROL!$C$22, $C$13, 100%, $E$13)</f>
        <v>3.5693000000000001</v>
      </c>
      <c r="D157" s="63">
        <f>3.5808 * CHOOSE(CONTROL!$C$22, $C$13, 100%, $E$13)</f>
        <v>3.5808</v>
      </c>
      <c r="E157" s="64">
        <f>4.0231 * CHOOSE(CONTROL!$C$22, $C$13, 100%, $E$13)</f>
        <v>4.0231000000000003</v>
      </c>
      <c r="F157" s="64">
        <f>4.0231 * CHOOSE(CONTROL!$C$22, $C$13, 100%, $E$13)</f>
        <v>4.0231000000000003</v>
      </c>
      <c r="G157" s="64">
        <f>4.0233 * CHOOSE(CONTROL!$C$22, $C$13, 100%, $E$13)</f>
        <v>4.0232999999999999</v>
      </c>
      <c r="H157" s="64">
        <f>7.5586* CHOOSE(CONTROL!$C$22, $C$13, 100%, $E$13)</f>
        <v>7.5586000000000002</v>
      </c>
      <c r="I157" s="64">
        <f>7.5588 * CHOOSE(CONTROL!$C$22, $C$13, 100%, $E$13)</f>
        <v>7.5587999999999997</v>
      </c>
      <c r="J157" s="64">
        <f>4.0231 * CHOOSE(CONTROL!$C$22, $C$13, 100%, $E$13)</f>
        <v>4.0231000000000003</v>
      </c>
      <c r="K157" s="64">
        <f>4.0233 * CHOOSE(CONTROL!$C$22, $C$13, 100%, $E$13)</f>
        <v>4.0232999999999999</v>
      </c>
    </row>
    <row r="158" spans="1:11" ht="15">
      <c r="A158" s="13">
        <v>46447</v>
      </c>
      <c r="B158" s="63">
        <f>3.5662 * CHOOSE(CONTROL!$C$22, $C$13, 100%, $E$13)</f>
        <v>3.5661999999999998</v>
      </c>
      <c r="C158" s="63">
        <f>3.5662 * CHOOSE(CONTROL!$C$22, $C$13, 100%, $E$13)</f>
        <v>3.5661999999999998</v>
      </c>
      <c r="D158" s="63">
        <f>3.5778 * CHOOSE(CONTROL!$C$22, $C$13, 100%, $E$13)</f>
        <v>3.5777999999999999</v>
      </c>
      <c r="E158" s="64">
        <f>4.0568 * CHOOSE(CONTROL!$C$22, $C$13, 100%, $E$13)</f>
        <v>4.0568</v>
      </c>
      <c r="F158" s="64">
        <f>4.0568 * CHOOSE(CONTROL!$C$22, $C$13, 100%, $E$13)</f>
        <v>4.0568</v>
      </c>
      <c r="G158" s="64">
        <f>4.057 * CHOOSE(CONTROL!$C$22, $C$13, 100%, $E$13)</f>
        <v>4.0570000000000004</v>
      </c>
      <c r="H158" s="64">
        <f>7.5744* CHOOSE(CONTROL!$C$22, $C$13, 100%, $E$13)</f>
        <v>7.5743999999999998</v>
      </c>
      <c r="I158" s="64">
        <f>7.5746 * CHOOSE(CONTROL!$C$22, $C$13, 100%, $E$13)</f>
        <v>7.5746000000000002</v>
      </c>
      <c r="J158" s="64">
        <f>4.0568 * CHOOSE(CONTROL!$C$22, $C$13, 100%, $E$13)</f>
        <v>4.0568</v>
      </c>
      <c r="K158" s="64">
        <f>4.057 * CHOOSE(CONTROL!$C$22, $C$13, 100%, $E$13)</f>
        <v>4.0570000000000004</v>
      </c>
    </row>
    <row r="159" spans="1:11" ht="15">
      <c r="A159" s="13">
        <v>46478</v>
      </c>
      <c r="B159" s="63">
        <f>3.5635 * CHOOSE(CONTROL!$C$22, $C$13, 100%, $E$13)</f>
        <v>3.5634999999999999</v>
      </c>
      <c r="C159" s="63">
        <f>3.5635 * CHOOSE(CONTROL!$C$22, $C$13, 100%, $E$13)</f>
        <v>3.5634999999999999</v>
      </c>
      <c r="D159" s="63">
        <f>3.5751 * CHOOSE(CONTROL!$C$22, $C$13, 100%, $E$13)</f>
        <v>3.5750999999999999</v>
      </c>
      <c r="E159" s="64">
        <f>4.091 * CHOOSE(CONTROL!$C$22, $C$13, 100%, $E$13)</f>
        <v>4.0910000000000002</v>
      </c>
      <c r="F159" s="64">
        <f>4.091 * CHOOSE(CONTROL!$C$22, $C$13, 100%, $E$13)</f>
        <v>4.0910000000000002</v>
      </c>
      <c r="G159" s="64">
        <f>4.0912 * CHOOSE(CONTROL!$C$22, $C$13, 100%, $E$13)</f>
        <v>4.0911999999999997</v>
      </c>
      <c r="H159" s="64">
        <f>7.5902* CHOOSE(CONTROL!$C$22, $C$13, 100%, $E$13)</f>
        <v>7.5902000000000003</v>
      </c>
      <c r="I159" s="64">
        <f>7.5904 * CHOOSE(CONTROL!$C$22, $C$13, 100%, $E$13)</f>
        <v>7.5903999999999998</v>
      </c>
      <c r="J159" s="64">
        <f>4.091 * CHOOSE(CONTROL!$C$22, $C$13, 100%, $E$13)</f>
        <v>4.0910000000000002</v>
      </c>
      <c r="K159" s="64">
        <f>4.0912 * CHOOSE(CONTROL!$C$22, $C$13, 100%, $E$13)</f>
        <v>4.0911999999999997</v>
      </c>
    </row>
    <row r="160" spans="1:11" ht="15">
      <c r="A160" s="13">
        <v>46508</v>
      </c>
      <c r="B160" s="63">
        <f>3.5635 * CHOOSE(CONTROL!$C$22, $C$13, 100%, $E$13)</f>
        <v>3.5634999999999999</v>
      </c>
      <c r="C160" s="63">
        <f>3.5635 * CHOOSE(CONTROL!$C$22, $C$13, 100%, $E$13)</f>
        <v>3.5634999999999999</v>
      </c>
      <c r="D160" s="63">
        <f>3.5866 * CHOOSE(CONTROL!$C$22, $C$13, 100%, $E$13)</f>
        <v>3.5865999999999998</v>
      </c>
      <c r="E160" s="64">
        <f>4.1054 * CHOOSE(CONTROL!$C$22, $C$13, 100%, $E$13)</f>
        <v>4.1054000000000004</v>
      </c>
      <c r="F160" s="64">
        <f>4.1054 * CHOOSE(CONTROL!$C$22, $C$13, 100%, $E$13)</f>
        <v>4.1054000000000004</v>
      </c>
      <c r="G160" s="64">
        <f>4.1069 * CHOOSE(CONTROL!$C$22, $C$13, 100%, $E$13)</f>
        <v>4.1069000000000004</v>
      </c>
      <c r="H160" s="64">
        <f>7.606* CHOOSE(CONTROL!$C$22, $C$13, 100%, $E$13)</f>
        <v>7.6059999999999999</v>
      </c>
      <c r="I160" s="64">
        <f>7.6075 * CHOOSE(CONTROL!$C$22, $C$13, 100%, $E$13)</f>
        <v>7.6074999999999999</v>
      </c>
      <c r="J160" s="64">
        <f>4.1054 * CHOOSE(CONTROL!$C$22, $C$13, 100%, $E$13)</f>
        <v>4.1054000000000004</v>
      </c>
      <c r="K160" s="64">
        <f>4.1069 * CHOOSE(CONTROL!$C$22, $C$13, 100%, $E$13)</f>
        <v>4.1069000000000004</v>
      </c>
    </row>
    <row r="161" spans="1:11" ht="15">
      <c r="A161" s="13">
        <v>46539</v>
      </c>
      <c r="B161" s="63">
        <f>3.5696 * CHOOSE(CONTROL!$C$22, $C$13, 100%, $E$13)</f>
        <v>3.5695999999999999</v>
      </c>
      <c r="C161" s="63">
        <f>3.5696 * CHOOSE(CONTROL!$C$22, $C$13, 100%, $E$13)</f>
        <v>3.5695999999999999</v>
      </c>
      <c r="D161" s="63">
        <f>3.5927 * CHOOSE(CONTROL!$C$22, $C$13, 100%, $E$13)</f>
        <v>3.5926999999999998</v>
      </c>
      <c r="E161" s="64">
        <f>4.0953 * CHOOSE(CONTROL!$C$22, $C$13, 100%, $E$13)</f>
        <v>4.0952999999999999</v>
      </c>
      <c r="F161" s="64">
        <f>4.0953 * CHOOSE(CONTROL!$C$22, $C$13, 100%, $E$13)</f>
        <v>4.0952999999999999</v>
      </c>
      <c r="G161" s="64">
        <f>4.0967 * CHOOSE(CONTROL!$C$22, $C$13, 100%, $E$13)</f>
        <v>4.0967000000000002</v>
      </c>
      <c r="H161" s="64">
        <f>7.6218* CHOOSE(CONTROL!$C$22, $C$13, 100%, $E$13)</f>
        <v>7.6218000000000004</v>
      </c>
      <c r="I161" s="64">
        <f>7.6233 * CHOOSE(CONTROL!$C$22, $C$13, 100%, $E$13)</f>
        <v>7.6233000000000004</v>
      </c>
      <c r="J161" s="64">
        <f>4.0953 * CHOOSE(CONTROL!$C$22, $C$13, 100%, $E$13)</f>
        <v>4.0952999999999999</v>
      </c>
      <c r="K161" s="64">
        <f>4.0967 * CHOOSE(CONTROL!$C$22, $C$13, 100%, $E$13)</f>
        <v>4.0967000000000002</v>
      </c>
    </row>
    <row r="162" spans="1:11" ht="15">
      <c r="A162" s="13">
        <v>46569</v>
      </c>
      <c r="B162" s="63">
        <f>3.6201 * CHOOSE(CONTROL!$C$22, $C$13, 100%, $E$13)</f>
        <v>3.6200999999999999</v>
      </c>
      <c r="C162" s="63">
        <f>3.6201 * CHOOSE(CONTROL!$C$22, $C$13, 100%, $E$13)</f>
        <v>3.6200999999999999</v>
      </c>
      <c r="D162" s="63">
        <f>3.6432 * CHOOSE(CONTROL!$C$22, $C$13, 100%, $E$13)</f>
        <v>3.6432000000000002</v>
      </c>
      <c r="E162" s="64">
        <f>4.1543 * CHOOSE(CONTROL!$C$22, $C$13, 100%, $E$13)</f>
        <v>4.1543000000000001</v>
      </c>
      <c r="F162" s="64">
        <f>4.1543 * CHOOSE(CONTROL!$C$22, $C$13, 100%, $E$13)</f>
        <v>4.1543000000000001</v>
      </c>
      <c r="G162" s="64">
        <f>4.1558 * CHOOSE(CONTROL!$C$22, $C$13, 100%, $E$13)</f>
        <v>4.1558000000000002</v>
      </c>
      <c r="H162" s="64">
        <f>7.6377* CHOOSE(CONTROL!$C$22, $C$13, 100%, $E$13)</f>
        <v>7.6376999999999997</v>
      </c>
      <c r="I162" s="64">
        <f>7.6392 * CHOOSE(CONTROL!$C$22, $C$13, 100%, $E$13)</f>
        <v>7.6391999999999998</v>
      </c>
      <c r="J162" s="64">
        <f>4.1543 * CHOOSE(CONTROL!$C$22, $C$13, 100%, $E$13)</f>
        <v>4.1543000000000001</v>
      </c>
      <c r="K162" s="64">
        <f>4.1558 * CHOOSE(CONTROL!$C$22, $C$13, 100%, $E$13)</f>
        <v>4.1558000000000002</v>
      </c>
    </row>
    <row r="163" spans="1:11" ht="15">
      <c r="A163" s="13">
        <v>46600</v>
      </c>
      <c r="B163" s="63">
        <f>3.6268 * CHOOSE(CONTROL!$C$22, $C$13, 100%, $E$13)</f>
        <v>3.6267999999999998</v>
      </c>
      <c r="C163" s="63">
        <f>3.6268 * CHOOSE(CONTROL!$C$22, $C$13, 100%, $E$13)</f>
        <v>3.6267999999999998</v>
      </c>
      <c r="D163" s="63">
        <f>3.6499 * CHOOSE(CONTROL!$C$22, $C$13, 100%, $E$13)</f>
        <v>3.6499000000000001</v>
      </c>
      <c r="E163" s="64">
        <f>4.1157 * CHOOSE(CONTROL!$C$22, $C$13, 100%, $E$13)</f>
        <v>4.1157000000000004</v>
      </c>
      <c r="F163" s="64">
        <f>4.1157 * CHOOSE(CONTROL!$C$22, $C$13, 100%, $E$13)</f>
        <v>4.1157000000000004</v>
      </c>
      <c r="G163" s="64">
        <f>4.1172 * CHOOSE(CONTROL!$C$22, $C$13, 100%, $E$13)</f>
        <v>4.1172000000000004</v>
      </c>
      <c r="H163" s="64">
        <f>7.6536* CHOOSE(CONTROL!$C$22, $C$13, 100%, $E$13)</f>
        <v>7.6536</v>
      </c>
      <c r="I163" s="64">
        <f>7.6551 * CHOOSE(CONTROL!$C$22, $C$13, 100%, $E$13)</f>
        <v>7.6551</v>
      </c>
      <c r="J163" s="64">
        <f>4.1157 * CHOOSE(CONTROL!$C$22, $C$13, 100%, $E$13)</f>
        <v>4.1157000000000004</v>
      </c>
      <c r="K163" s="64">
        <f>4.1172 * CHOOSE(CONTROL!$C$22, $C$13, 100%, $E$13)</f>
        <v>4.1172000000000004</v>
      </c>
    </row>
    <row r="164" spans="1:11" ht="15">
      <c r="A164" s="13">
        <v>46631</v>
      </c>
      <c r="B164" s="63">
        <f>3.6237 * CHOOSE(CONTROL!$C$22, $C$13, 100%, $E$13)</f>
        <v>3.6236999999999999</v>
      </c>
      <c r="C164" s="63">
        <f>3.6237 * CHOOSE(CONTROL!$C$22, $C$13, 100%, $E$13)</f>
        <v>3.6236999999999999</v>
      </c>
      <c r="D164" s="63">
        <f>3.6468 * CHOOSE(CONTROL!$C$22, $C$13, 100%, $E$13)</f>
        <v>3.6467999999999998</v>
      </c>
      <c r="E164" s="64">
        <f>4.1088 * CHOOSE(CONTROL!$C$22, $C$13, 100%, $E$13)</f>
        <v>4.1087999999999996</v>
      </c>
      <c r="F164" s="64">
        <f>4.1088 * CHOOSE(CONTROL!$C$22, $C$13, 100%, $E$13)</f>
        <v>4.1087999999999996</v>
      </c>
      <c r="G164" s="64">
        <f>4.1103 * CHOOSE(CONTROL!$C$22, $C$13, 100%, $E$13)</f>
        <v>4.1102999999999996</v>
      </c>
      <c r="H164" s="64">
        <f>7.6696* CHOOSE(CONTROL!$C$22, $C$13, 100%, $E$13)</f>
        <v>7.6696</v>
      </c>
      <c r="I164" s="64">
        <f>7.6711 * CHOOSE(CONTROL!$C$22, $C$13, 100%, $E$13)</f>
        <v>7.6711</v>
      </c>
      <c r="J164" s="64">
        <f>4.1088 * CHOOSE(CONTROL!$C$22, $C$13, 100%, $E$13)</f>
        <v>4.1087999999999996</v>
      </c>
      <c r="K164" s="64">
        <f>4.1103 * CHOOSE(CONTROL!$C$22, $C$13, 100%, $E$13)</f>
        <v>4.1102999999999996</v>
      </c>
    </row>
    <row r="165" spans="1:11" ht="15">
      <c r="A165" s="13">
        <v>46661</v>
      </c>
      <c r="B165" s="63">
        <f>3.6177 * CHOOSE(CONTROL!$C$22, $C$13, 100%, $E$13)</f>
        <v>3.6177000000000001</v>
      </c>
      <c r="C165" s="63">
        <f>3.6177 * CHOOSE(CONTROL!$C$22, $C$13, 100%, $E$13)</f>
        <v>3.6177000000000001</v>
      </c>
      <c r="D165" s="63">
        <f>3.6292 * CHOOSE(CONTROL!$C$22, $C$13, 100%, $E$13)</f>
        <v>3.6292</v>
      </c>
      <c r="E165" s="64">
        <f>4.1146 * CHOOSE(CONTROL!$C$22, $C$13, 100%, $E$13)</f>
        <v>4.1146000000000003</v>
      </c>
      <c r="F165" s="64">
        <f>4.1146 * CHOOSE(CONTROL!$C$22, $C$13, 100%, $E$13)</f>
        <v>4.1146000000000003</v>
      </c>
      <c r="G165" s="64">
        <f>4.1148 * CHOOSE(CONTROL!$C$22, $C$13, 100%, $E$13)</f>
        <v>4.1147999999999998</v>
      </c>
      <c r="H165" s="64">
        <f>7.6855* CHOOSE(CONTROL!$C$22, $C$13, 100%, $E$13)</f>
        <v>7.6855000000000002</v>
      </c>
      <c r="I165" s="64">
        <f>7.6857 * CHOOSE(CONTROL!$C$22, $C$13, 100%, $E$13)</f>
        <v>7.6856999999999998</v>
      </c>
      <c r="J165" s="64">
        <f>4.1146 * CHOOSE(CONTROL!$C$22, $C$13, 100%, $E$13)</f>
        <v>4.1146000000000003</v>
      </c>
      <c r="K165" s="64">
        <f>4.1148 * CHOOSE(CONTROL!$C$22, $C$13, 100%, $E$13)</f>
        <v>4.1147999999999998</v>
      </c>
    </row>
    <row r="166" spans="1:11" ht="15">
      <c r="A166" s="13">
        <v>46692</v>
      </c>
      <c r="B166" s="63">
        <f>3.6207 * CHOOSE(CONTROL!$C$22, $C$13, 100%, $E$13)</f>
        <v>3.6206999999999998</v>
      </c>
      <c r="C166" s="63">
        <f>3.6207 * CHOOSE(CONTROL!$C$22, $C$13, 100%, $E$13)</f>
        <v>3.6206999999999998</v>
      </c>
      <c r="D166" s="63">
        <f>3.6323 * CHOOSE(CONTROL!$C$22, $C$13, 100%, $E$13)</f>
        <v>3.6322999999999999</v>
      </c>
      <c r="E166" s="64">
        <f>4.1263 * CHOOSE(CONTROL!$C$22, $C$13, 100%, $E$13)</f>
        <v>4.1262999999999996</v>
      </c>
      <c r="F166" s="64">
        <f>4.1263 * CHOOSE(CONTROL!$C$22, $C$13, 100%, $E$13)</f>
        <v>4.1262999999999996</v>
      </c>
      <c r="G166" s="64">
        <f>4.1265 * CHOOSE(CONTROL!$C$22, $C$13, 100%, $E$13)</f>
        <v>4.1265000000000001</v>
      </c>
      <c r="H166" s="64">
        <f>7.7016* CHOOSE(CONTROL!$C$22, $C$13, 100%, $E$13)</f>
        <v>7.7016</v>
      </c>
      <c r="I166" s="64">
        <f>7.7017 * CHOOSE(CONTROL!$C$22, $C$13, 100%, $E$13)</f>
        <v>7.7016999999999998</v>
      </c>
      <c r="J166" s="64">
        <f>4.1263 * CHOOSE(CONTROL!$C$22, $C$13, 100%, $E$13)</f>
        <v>4.1262999999999996</v>
      </c>
      <c r="K166" s="64">
        <f>4.1265 * CHOOSE(CONTROL!$C$22, $C$13, 100%, $E$13)</f>
        <v>4.1265000000000001</v>
      </c>
    </row>
    <row r="167" spans="1:11" ht="15">
      <c r="A167" s="13">
        <v>46722</v>
      </c>
      <c r="B167" s="63">
        <f>3.6207 * CHOOSE(CONTROL!$C$22, $C$13, 100%, $E$13)</f>
        <v>3.6206999999999998</v>
      </c>
      <c r="C167" s="63">
        <f>3.6207 * CHOOSE(CONTROL!$C$22, $C$13, 100%, $E$13)</f>
        <v>3.6206999999999998</v>
      </c>
      <c r="D167" s="63">
        <f>3.6323 * CHOOSE(CONTROL!$C$22, $C$13, 100%, $E$13)</f>
        <v>3.6322999999999999</v>
      </c>
      <c r="E167" s="64">
        <f>4.1023 * CHOOSE(CONTROL!$C$22, $C$13, 100%, $E$13)</f>
        <v>4.1022999999999996</v>
      </c>
      <c r="F167" s="64">
        <f>4.1023 * CHOOSE(CONTROL!$C$22, $C$13, 100%, $E$13)</f>
        <v>4.1022999999999996</v>
      </c>
      <c r="G167" s="64">
        <f>4.1024 * CHOOSE(CONTROL!$C$22, $C$13, 100%, $E$13)</f>
        <v>4.1024000000000003</v>
      </c>
      <c r="H167" s="64">
        <f>7.7176* CHOOSE(CONTROL!$C$22, $C$13, 100%, $E$13)</f>
        <v>7.7176</v>
      </c>
      <c r="I167" s="64">
        <f>7.7178 * CHOOSE(CONTROL!$C$22, $C$13, 100%, $E$13)</f>
        <v>7.7178000000000004</v>
      </c>
      <c r="J167" s="64">
        <f>4.1023 * CHOOSE(CONTROL!$C$22, $C$13, 100%, $E$13)</f>
        <v>4.1022999999999996</v>
      </c>
      <c r="K167" s="64">
        <f>4.1024 * CHOOSE(CONTROL!$C$22, $C$13, 100%, $E$13)</f>
        <v>4.1024000000000003</v>
      </c>
    </row>
    <row r="168" spans="1:11" ht="15">
      <c r="A168" s="13">
        <v>46753</v>
      </c>
      <c r="B168" s="63">
        <f>3.656 * CHOOSE(CONTROL!$C$22, $C$13, 100%, $E$13)</f>
        <v>3.6560000000000001</v>
      </c>
      <c r="C168" s="63">
        <f>3.656 * CHOOSE(CONTROL!$C$22, $C$13, 100%, $E$13)</f>
        <v>3.6560000000000001</v>
      </c>
      <c r="D168" s="63">
        <f>3.6675 * CHOOSE(CONTROL!$C$22, $C$13, 100%, $E$13)</f>
        <v>3.6675</v>
      </c>
      <c r="E168" s="64">
        <f>4.1535 * CHOOSE(CONTROL!$C$22, $C$13, 100%, $E$13)</f>
        <v>4.1535000000000002</v>
      </c>
      <c r="F168" s="64">
        <f>4.1535 * CHOOSE(CONTROL!$C$22, $C$13, 100%, $E$13)</f>
        <v>4.1535000000000002</v>
      </c>
      <c r="G168" s="64">
        <f>4.1537 * CHOOSE(CONTROL!$C$22, $C$13, 100%, $E$13)</f>
        <v>4.1536999999999997</v>
      </c>
      <c r="H168" s="64">
        <f>7.7337* CHOOSE(CONTROL!$C$22, $C$13, 100%, $E$13)</f>
        <v>7.7336999999999998</v>
      </c>
      <c r="I168" s="64">
        <f>7.7339 * CHOOSE(CONTROL!$C$22, $C$13, 100%, $E$13)</f>
        <v>7.7339000000000002</v>
      </c>
      <c r="J168" s="64">
        <f>4.1535 * CHOOSE(CONTROL!$C$22, $C$13, 100%, $E$13)</f>
        <v>4.1535000000000002</v>
      </c>
      <c r="K168" s="64">
        <f>4.1537 * CHOOSE(CONTROL!$C$22, $C$13, 100%, $E$13)</f>
        <v>4.1536999999999997</v>
      </c>
    </row>
    <row r="169" spans="1:11" ht="15">
      <c r="A169" s="13">
        <v>46784</v>
      </c>
      <c r="B169" s="63">
        <f>3.6529 * CHOOSE(CONTROL!$C$22, $C$13, 100%, $E$13)</f>
        <v>3.6528999999999998</v>
      </c>
      <c r="C169" s="63">
        <f>3.6529 * CHOOSE(CONTROL!$C$22, $C$13, 100%, $E$13)</f>
        <v>3.6528999999999998</v>
      </c>
      <c r="D169" s="63">
        <f>3.6645 * CHOOSE(CONTROL!$C$22, $C$13, 100%, $E$13)</f>
        <v>3.6644999999999999</v>
      </c>
      <c r="E169" s="64">
        <f>4.1048 * CHOOSE(CONTROL!$C$22, $C$13, 100%, $E$13)</f>
        <v>4.1048</v>
      </c>
      <c r="F169" s="64">
        <f>4.1048 * CHOOSE(CONTROL!$C$22, $C$13, 100%, $E$13)</f>
        <v>4.1048</v>
      </c>
      <c r="G169" s="64">
        <f>4.105 * CHOOSE(CONTROL!$C$22, $C$13, 100%, $E$13)</f>
        <v>4.1050000000000004</v>
      </c>
      <c r="H169" s="64">
        <f>7.7498* CHOOSE(CONTROL!$C$22, $C$13, 100%, $E$13)</f>
        <v>7.7497999999999996</v>
      </c>
      <c r="I169" s="64">
        <f>7.75 * CHOOSE(CONTROL!$C$22, $C$13, 100%, $E$13)</f>
        <v>7.75</v>
      </c>
      <c r="J169" s="64">
        <f>4.1048 * CHOOSE(CONTROL!$C$22, $C$13, 100%, $E$13)</f>
        <v>4.1048</v>
      </c>
      <c r="K169" s="64">
        <f>4.105 * CHOOSE(CONTROL!$C$22, $C$13, 100%, $E$13)</f>
        <v>4.1050000000000004</v>
      </c>
    </row>
    <row r="170" spans="1:11" ht="15">
      <c r="A170" s="13">
        <v>46813</v>
      </c>
      <c r="B170" s="63">
        <f>3.6499 * CHOOSE(CONTROL!$C$22, $C$13, 100%, $E$13)</f>
        <v>3.6499000000000001</v>
      </c>
      <c r="C170" s="63">
        <f>3.6499 * CHOOSE(CONTROL!$C$22, $C$13, 100%, $E$13)</f>
        <v>3.6499000000000001</v>
      </c>
      <c r="D170" s="63">
        <f>3.6614 * CHOOSE(CONTROL!$C$22, $C$13, 100%, $E$13)</f>
        <v>3.6614</v>
      </c>
      <c r="E170" s="64">
        <f>4.1394 * CHOOSE(CONTROL!$C$22, $C$13, 100%, $E$13)</f>
        <v>4.1394000000000002</v>
      </c>
      <c r="F170" s="64">
        <f>4.1394 * CHOOSE(CONTROL!$C$22, $C$13, 100%, $E$13)</f>
        <v>4.1394000000000002</v>
      </c>
      <c r="G170" s="64">
        <f>4.1396 * CHOOSE(CONTROL!$C$22, $C$13, 100%, $E$13)</f>
        <v>4.1395999999999997</v>
      </c>
      <c r="H170" s="64">
        <f>7.7659* CHOOSE(CONTROL!$C$22, $C$13, 100%, $E$13)</f>
        <v>7.7659000000000002</v>
      </c>
      <c r="I170" s="64">
        <f>7.7661 * CHOOSE(CONTROL!$C$22, $C$13, 100%, $E$13)</f>
        <v>7.7660999999999998</v>
      </c>
      <c r="J170" s="64">
        <f>4.1394 * CHOOSE(CONTROL!$C$22, $C$13, 100%, $E$13)</f>
        <v>4.1394000000000002</v>
      </c>
      <c r="K170" s="64">
        <f>4.1396 * CHOOSE(CONTROL!$C$22, $C$13, 100%, $E$13)</f>
        <v>4.1395999999999997</v>
      </c>
    </row>
    <row r="171" spans="1:11" ht="15">
      <c r="A171" s="13">
        <v>46844</v>
      </c>
      <c r="B171" s="63">
        <f>3.6473 * CHOOSE(CONTROL!$C$22, $C$13, 100%, $E$13)</f>
        <v>3.6473</v>
      </c>
      <c r="C171" s="63">
        <f>3.6473 * CHOOSE(CONTROL!$C$22, $C$13, 100%, $E$13)</f>
        <v>3.6473</v>
      </c>
      <c r="D171" s="63">
        <f>3.6588 * CHOOSE(CONTROL!$C$22, $C$13, 100%, $E$13)</f>
        <v>3.6587999999999998</v>
      </c>
      <c r="E171" s="64">
        <f>4.1746 * CHOOSE(CONTROL!$C$22, $C$13, 100%, $E$13)</f>
        <v>4.1745999999999999</v>
      </c>
      <c r="F171" s="64">
        <f>4.1746 * CHOOSE(CONTROL!$C$22, $C$13, 100%, $E$13)</f>
        <v>4.1745999999999999</v>
      </c>
      <c r="G171" s="64">
        <f>4.1748 * CHOOSE(CONTROL!$C$22, $C$13, 100%, $E$13)</f>
        <v>4.1748000000000003</v>
      </c>
      <c r="H171" s="64">
        <f>7.7821* CHOOSE(CONTROL!$C$22, $C$13, 100%, $E$13)</f>
        <v>7.7820999999999998</v>
      </c>
      <c r="I171" s="64">
        <f>7.7823 * CHOOSE(CONTROL!$C$22, $C$13, 100%, $E$13)</f>
        <v>7.7823000000000002</v>
      </c>
      <c r="J171" s="64">
        <f>4.1746 * CHOOSE(CONTROL!$C$22, $C$13, 100%, $E$13)</f>
        <v>4.1745999999999999</v>
      </c>
      <c r="K171" s="64">
        <f>4.1748 * CHOOSE(CONTROL!$C$22, $C$13, 100%, $E$13)</f>
        <v>4.1748000000000003</v>
      </c>
    </row>
    <row r="172" spans="1:11" ht="15">
      <c r="A172" s="13">
        <v>46874</v>
      </c>
      <c r="B172" s="63">
        <f>3.6473 * CHOOSE(CONTROL!$C$22, $C$13, 100%, $E$13)</f>
        <v>3.6473</v>
      </c>
      <c r="C172" s="63">
        <f>3.6473 * CHOOSE(CONTROL!$C$22, $C$13, 100%, $E$13)</f>
        <v>3.6473</v>
      </c>
      <c r="D172" s="63">
        <f>3.6704 * CHOOSE(CONTROL!$C$22, $C$13, 100%, $E$13)</f>
        <v>3.6703999999999999</v>
      </c>
      <c r="E172" s="64">
        <f>4.1894 * CHOOSE(CONTROL!$C$22, $C$13, 100%, $E$13)</f>
        <v>4.1894</v>
      </c>
      <c r="F172" s="64">
        <f>4.1894 * CHOOSE(CONTROL!$C$22, $C$13, 100%, $E$13)</f>
        <v>4.1894</v>
      </c>
      <c r="G172" s="64">
        <f>4.1909 * CHOOSE(CONTROL!$C$22, $C$13, 100%, $E$13)</f>
        <v>4.1909000000000001</v>
      </c>
      <c r="H172" s="64">
        <f>7.7983* CHOOSE(CONTROL!$C$22, $C$13, 100%, $E$13)</f>
        <v>7.7983000000000002</v>
      </c>
      <c r="I172" s="64">
        <f>7.7998 * CHOOSE(CONTROL!$C$22, $C$13, 100%, $E$13)</f>
        <v>7.7998000000000003</v>
      </c>
      <c r="J172" s="64">
        <f>4.1894 * CHOOSE(CONTROL!$C$22, $C$13, 100%, $E$13)</f>
        <v>4.1894</v>
      </c>
      <c r="K172" s="64">
        <f>4.1909 * CHOOSE(CONTROL!$C$22, $C$13, 100%, $E$13)</f>
        <v>4.1909000000000001</v>
      </c>
    </row>
    <row r="173" spans="1:11" ht="15">
      <c r="A173" s="13">
        <v>46905</v>
      </c>
      <c r="B173" s="63">
        <f>3.6534 * CHOOSE(CONTROL!$C$22, $C$13, 100%, $E$13)</f>
        <v>3.6534</v>
      </c>
      <c r="C173" s="63">
        <f>3.6534 * CHOOSE(CONTROL!$C$22, $C$13, 100%, $E$13)</f>
        <v>3.6534</v>
      </c>
      <c r="D173" s="63">
        <f>3.6765 * CHOOSE(CONTROL!$C$22, $C$13, 100%, $E$13)</f>
        <v>3.6764999999999999</v>
      </c>
      <c r="E173" s="64">
        <f>4.1788 * CHOOSE(CONTROL!$C$22, $C$13, 100%, $E$13)</f>
        <v>4.1787999999999998</v>
      </c>
      <c r="F173" s="64">
        <f>4.1788 * CHOOSE(CONTROL!$C$22, $C$13, 100%, $E$13)</f>
        <v>4.1787999999999998</v>
      </c>
      <c r="G173" s="64">
        <f>4.1803 * CHOOSE(CONTROL!$C$22, $C$13, 100%, $E$13)</f>
        <v>4.1802999999999999</v>
      </c>
      <c r="H173" s="64">
        <f>7.8146* CHOOSE(CONTROL!$C$22, $C$13, 100%, $E$13)</f>
        <v>7.8146000000000004</v>
      </c>
      <c r="I173" s="64">
        <f>7.8161 * CHOOSE(CONTROL!$C$22, $C$13, 100%, $E$13)</f>
        <v>7.8160999999999996</v>
      </c>
      <c r="J173" s="64">
        <f>4.1788 * CHOOSE(CONTROL!$C$22, $C$13, 100%, $E$13)</f>
        <v>4.1787999999999998</v>
      </c>
      <c r="K173" s="64">
        <f>4.1803 * CHOOSE(CONTROL!$C$22, $C$13, 100%, $E$13)</f>
        <v>4.1802999999999999</v>
      </c>
    </row>
    <row r="174" spans="1:11" ht="15">
      <c r="A174" s="13">
        <v>46935</v>
      </c>
      <c r="B174" s="63">
        <f>3.7202 * CHOOSE(CONTROL!$C$22, $C$13, 100%, $E$13)</f>
        <v>3.7202000000000002</v>
      </c>
      <c r="C174" s="63">
        <f>3.7202 * CHOOSE(CONTROL!$C$22, $C$13, 100%, $E$13)</f>
        <v>3.7202000000000002</v>
      </c>
      <c r="D174" s="63">
        <f>3.7433 * CHOOSE(CONTROL!$C$22, $C$13, 100%, $E$13)</f>
        <v>3.7433000000000001</v>
      </c>
      <c r="E174" s="64">
        <f>4.2571 * CHOOSE(CONTROL!$C$22, $C$13, 100%, $E$13)</f>
        <v>4.2571000000000003</v>
      </c>
      <c r="F174" s="64">
        <f>4.2571 * CHOOSE(CONTROL!$C$22, $C$13, 100%, $E$13)</f>
        <v>4.2571000000000003</v>
      </c>
      <c r="G174" s="64">
        <f>4.2586 * CHOOSE(CONTROL!$C$22, $C$13, 100%, $E$13)</f>
        <v>4.2586000000000004</v>
      </c>
      <c r="H174" s="64">
        <f>7.8309* CHOOSE(CONTROL!$C$22, $C$13, 100%, $E$13)</f>
        <v>7.8308999999999997</v>
      </c>
      <c r="I174" s="64">
        <f>7.8323 * CHOOSE(CONTROL!$C$22, $C$13, 100%, $E$13)</f>
        <v>7.8323</v>
      </c>
      <c r="J174" s="64">
        <f>4.2571 * CHOOSE(CONTROL!$C$22, $C$13, 100%, $E$13)</f>
        <v>4.2571000000000003</v>
      </c>
      <c r="K174" s="64">
        <f>4.2586 * CHOOSE(CONTROL!$C$22, $C$13, 100%, $E$13)</f>
        <v>4.2586000000000004</v>
      </c>
    </row>
    <row r="175" spans="1:11" ht="15">
      <c r="A175" s="13">
        <v>46966</v>
      </c>
      <c r="B175" s="63">
        <f>3.7269 * CHOOSE(CONTROL!$C$22, $C$13, 100%, $E$13)</f>
        <v>3.7269000000000001</v>
      </c>
      <c r="C175" s="63">
        <f>3.7269 * CHOOSE(CONTROL!$C$22, $C$13, 100%, $E$13)</f>
        <v>3.7269000000000001</v>
      </c>
      <c r="D175" s="63">
        <f>3.75 * CHOOSE(CONTROL!$C$22, $C$13, 100%, $E$13)</f>
        <v>3.75</v>
      </c>
      <c r="E175" s="64">
        <f>4.2174 * CHOOSE(CONTROL!$C$22, $C$13, 100%, $E$13)</f>
        <v>4.2173999999999996</v>
      </c>
      <c r="F175" s="64">
        <f>4.2174 * CHOOSE(CONTROL!$C$22, $C$13, 100%, $E$13)</f>
        <v>4.2173999999999996</v>
      </c>
      <c r="G175" s="64">
        <f>4.2188 * CHOOSE(CONTROL!$C$22, $C$13, 100%, $E$13)</f>
        <v>4.2187999999999999</v>
      </c>
      <c r="H175" s="64">
        <f>7.8472* CHOOSE(CONTROL!$C$22, $C$13, 100%, $E$13)</f>
        <v>7.8472</v>
      </c>
      <c r="I175" s="64">
        <f>7.8487 * CHOOSE(CONTROL!$C$22, $C$13, 100%, $E$13)</f>
        <v>7.8487</v>
      </c>
      <c r="J175" s="64">
        <f>4.2174 * CHOOSE(CONTROL!$C$22, $C$13, 100%, $E$13)</f>
        <v>4.2173999999999996</v>
      </c>
      <c r="K175" s="64">
        <f>4.2188 * CHOOSE(CONTROL!$C$22, $C$13, 100%, $E$13)</f>
        <v>4.2187999999999999</v>
      </c>
    </row>
    <row r="176" spans="1:11" ht="15">
      <c r="A176" s="13">
        <v>46997</v>
      </c>
      <c r="B176" s="63">
        <f>3.7239 * CHOOSE(CONTROL!$C$22, $C$13, 100%, $E$13)</f>
        <v>3.7239</v>
      </c>
      <c r="C176" s="63">
        <f>3.7239 * CHOOSE(CONTROL!$C$22, $C$13, 100%, $E$13)</f>
        <v>3.7239</v>
      </c>
      <c r="D176" s="63">
        <f>3.747 * CHOOSE(CONTROL!$C$22, $C$13, 100%, $E$13)</f>
        <v>3.7469999999999999</v>
      </c>
      <c r="E176" s="64">
        <f>4.2103 * CHOOSE(CONTROL!$C$22, $C$13, 100%, $E$13)</f>
        <v>4.2103000000000002</v>
      </c>
      <c r="F176" s="64">
        <f>4.2103 * CHOOSE(CONTROL!$C$22, $C$13, 100%, $E$13)</f>
        <v>4.2103000000000002</v>
      </c>
      <c r="G176" s="64">
        <f>4.2118 * CHOOSE(CONTROL!$C$22, $C$13, 100%, $E$13)</f>
        <v>4.2118000000000002</v>
      </c>
      <c r="H176" s="64">
        <f>7.8635* CHOOSE(CONTROL!$C$22, $C$13, 100%, $E$13)</f>
        <v>7.8635000000000002</v>
      </c>
      <c r="I176" s="64">
        <f>7.865 * CHOOSE(CONTROL!$C$22, $C$13, 100%, $E$13)</f>
        <v>7.8650000000000002</v>
      </c>
      <c r="J176" s="64">
        <f>4.2103 * CHOOSE(CONTROL!$C$22, $C$13, 100%, $E$13)</f>
        <v>4.2103000000000002</v>
      </c>
      <c r="K176" s="64">
        <f>4.2118 * CHOOSE(CONTROL!$C$22, $C$13, 100%, $E$13)</f>
        <v>4.2118000000000002</v>
      </c>
    </row>
    <row r="177" spans="1:11" ht="15">
      <c r="A177" s="13">
        <v>47027</v>
      </c>
      <c r="B177" s="63">
        <f>3.7182 * CHOOSE(CONTROL!$C$22, $C$13, 100%, $E$13)</f>
        <v>3.7181999999999999</v>
      </c>
      <c r="C177" s="63">
        <f>3.7182 * CHOOSE(CONTROL!$C$22, $C$13, 100%, $E$13)</f>
        <v>3.7181999999999999</v>
      </c>
      <c r="D177" s="63">
        <f>3.7297 * CHOOSE(CONTROL!$C$22, $C$13, 100%, $E$13)</f>
        <v>3.7296999999999998</v>
      </c>
      <c r="E177" s="64">
        <f>4.2166 * CHOOSE(CONTROL!$C$22, $C$13, 100%, $E$13)</f>
        <v>4.2165999999999997</v>
      </c>
      <c r="F177" s="64">
        <f>4.2166 * CHOOSE(CONTROL!$C$22, $C$13, 100%, $E$13)</f>
        <v>4.2165999999999997</v>
      </c>
      <c r="G177" s="64">
        <f>4.2168 * CHOOSE(CONTROL!$C$22, $C$13, 100%, $E$13)</f>
        <v>4.2168000000000001</v>
      </c>
      <c r="H177" s="64">
        <f>7.8799* CHOOSE(CONTROL!$C$22, $C$13, 100%, $E$13)</f>
        <v>7.8799000000000001</v>
      </c>
      <c r="I177" s="64">
        <f>7.8801 * CHOOSE(CONTROL!$C$22, $C$13, 100%, $E$13)</f>
        <v>7.8800999999999997</v>
      </c>
      <c r="J177" s="64">
        <f>4.2166 * CHOOSE(CONTROL!$C$22, $C$13, 100%, $E$13)</f>
        <v>4.2165999999999997</v>
      </c>
      <c r="K177" s="64">
        <f>4.2168 * CHOOSE(CONTROL!$C$22, $C$13, 100%, $E$13)</f>
        <v>4.2168000000000001</v>
      </c>
    </row>
    <row r="178" spans="1:11" ht="15">
      <c r="A178" s="13">
        <v>47058</v>
      </c>
      <c r="B178" s="63">
        <f>3.7212 * CHOOSE(CONTROL!$C$22, $C$13, 100%, $E$13)</f>
        <v>3.7212000000000001</v>
      </c>
      <c r="C178" s="63">
        <f>3.7212 * CHOOSE(CONTROL!$C$22, $C$13, 100%, $E$13)</f>
        <v>3.7212000000000001</v>
      </c>
      <c r="D178" s="63">
        <f>3.7328 * CHOOSE(CONTROL!$C$22, $C$13, 100%, $E$13)</f>
        <v>3.7328000000000001</v>
      </c>
      <c r="E178" s="64">
        <f>4.2286 * CHOOSE(CONTROL!$C$22, $C$13, 100%, $E$13)</f>
        <v>4.2286000000000001</v>
      </c>
      <c r="F178" s="64">
        <f>4.2286 * CHOOSE(CONTROL!$C$22, $C$13, 100%, $E$13)</f>
        <v>4.2286000000000001</v>
      </c>
      <c r="G178" s="64">
        <f>4.2288 * CHOOSE(CONTROL!$C$22, $C$13, 100%, $E$13)</f>
        <v>4.2287999999999997</v>
      </c>
      <c r="H178" s="64">
        <f>7.8963* CHOOSE(CONTROL!$C$22, $C$13, 100%, $E$13)</f>
        <v>7.8963000000000001</v>
      </c>
      <c r="I178" s="64">
        <f>7.8965 * CHOOSE(CONTROL!$C$22, $C$13, 100%, $E$13)</f>
        <v>7.8964999999999996</v>
      </c>
      <c r="J178" s="64">
        <f>4.2286 * CHOOSE(CONTROL!$C$22, $C$13, 100%, $E$13)</f>
        <v>4.2286000000000001</v>
      </c>
      <c r="K178" s="64">
        <f>4.2288 * CHOOSE(CONTROL!$C$22, $C$13, 100%, $E$13)</f>
        <v>4.2287999999999997</v>
      </c>
    </row>
    <row r="179" spans="1:11" ht="15">
      <c r="A179" s="13">
        <v>47088</v>
      </c>
      <c r="B179" s="63">
        <f>3.7212 * CHOOSE(CONTROL!$C$22, $C$13, 100%, $E$13)</f>
        <v>3.7212000000000001</v>
      </c>
      <c r="C179" s="63">
        <f>3.7212 * CHOOSE(CONTROL!$C$22, $C$13, 100%, $E$13)</f>
        <v>3.7212000000000001</v>
      </c>
      <c r="D179" s="63">
        <f>3.7328 * CHOOSE(CONTROL!$C$22, $C$13, 100%, $E$13)</f>
        <v>3.7328000000000001</v>
      </c>
      <c r="E179" s="64">
        <f>4.2039 * CHOOSE(CONTROL!$C$22, $C$13, 100%, $E$13)</f>
        <v>4.2039</v>
      </c>
      <c r="F179" s="64">
        <f>4.2039 * CHOOSE(CONTROL!$C$22, $C$13, 100%, $E$13)</f>
        <v>4.2039</v>
      </c>
      <c r="G179" s="64">
        <f>4.2041 * CHOOSE(CONTROL!$C$22, $C$13, 100%, $E$13)</f>
        <v>4.2041000000000004</v>
      </c>
      <c r="H179" s="64">
        <f>7.9128* CHOOSE(CONTROL!$C$22, $C$13, 100%, $E$13)</f>
        <v>7.9127999999999998</v>
      </c>
      <c r="I179" s="64">
        <f>7.9129 * CHOOSE(CONTROL!$C$22, $C$13, 100%, $E$13)</f>
        <v>7.9128999999999996</v>
      </c>
      <c r="J179" s="64">
        <f>4.2039 * CHOOSE(CONTROL!$C$22, $C$13, 100%, $E$13)</f>
        <v>4.2039</v>
      </c>
      <c r="K179" s="64">
        <f>4.2041 * CHOOSE(CONTROL!$C$22, $C$13, 100%, $E$13)</f>
        <v>4.2041000000000004</v>
      </c>
    </row>
    <row r="180" spans="1:11" ht="15">
      <c r="A180" s="13">
        <v>47119</v>
      </c>
      <c r="B180" s="63">
        <f>3.7543 * CHOOSE(CONTROL!$C$22, $C$13, 100%, $E$13)</f>
        <v>3.7543000000000002</v>
      </c>
      <c r="C180" s="63">
        <f>3.7543 * CHOOSE(CONTROL!$C$22, $C$13, 100%, $E$13)</f>
        <v>3.7543000000000002</v>
      </c>
      <c r="D180" s="63">
        <f>3.7659 * CHOOSE(CONTROL!$C$22, $C$13, 100%, $E$13)</f>
        <v>3.7658999999999998</v>
      </c>
      <c r="E180" s="64">
        <f>4.2617 * CHOOSE(CONTROL!$C$22, $C$13, 100%, $E$13)</f>
        <v>4.2617000000000003</v>
      </c>
      <c r="F180" s="64">
        <f>4.2617 * CHOOSE(CONTROL!$C$22, $C$13, 100%, $E$13)</f>
        <v>4.2617000000000003</v>
      </c>
      <c r="G180" s="64">
        <f>4.2619 * CHOOSE(CONTROL!$C$22, $C$13, 100%, $E$13)</f>
        <v>4.2618999999999998</v>
      </c>
      <c r="H180" s="64">
        <f>7.9293* CHOOSE(CONTROL!$C$22, $C$13, 100%, $E$13)</f>
        <v>7.9292999999999996</v>
      </c>
      <c r="I180" s="64">
        <f>7.9294 * CHOOSE(CONTROL!$C$22, $C$13, 100%, $E$13)</f>
        <v>7.9294000000000002</v>
      </c>
      <c r="J180" s="64">
        <f>4.2617 * CHOOSE(CONTROL!$C$22, $C$13, 100%, $E$13)</f>
        <v>4.2617000000000003</v>
      </c>
      <c r="K180" s="64">
        <f>4.2619 * CHOOSE(CONTROL!$C$22, $C$13, 100%, $E$13)</f>
        <v>4.2618999999999998</v>
      </c>
    </row>
    <row r="181" spans="1:11" ht="15">
      <c r="A181" s="13">
        <v>47150</v>
      </c>
      <c r="B181" s="63">
        <f>3.7513 * CHOOSE(CONTROL!$C$22, $C$13, 100%, $E$13)</f>
        <v>3.7513000000000001</v>
      </c>
      <c r="C181" s="63">
        <f>3.7513 * CHOOSE(CONTROL!$C$22, $C$13, 100%, $E$13)</f>
        <v>3.7513000000000001</v>
      </c>
      <c r="D181" s="63">
        <f>3.7628 * CHOOSE(CONTROL!$C$22, $C$13, 100%, $E$13)</f>
        <v>3.7627999999999999</v>
      </c>
      <c r="E181" s="64">
        <f>4.2118 * CHOOSE(CONTROL!$C$22, $C$13, 100%, $E$13)</f>
        <v>4.2118000000000002</v>
      </c>
      <c r="F181" s="64">
        <f>4.2118 * CHOOSE(CONTROL!$C$22, $C$13, 100%, $E$13)</f>
        <v>4.2118000000000002</v>
      </c>
      <c r="G181" s="64">
        <f>4.212 * CHOOSE(CONTROL!$C$22, $C$13, 100%, $E$13)</f>
        <v>4.2119999999999997</v>
      </c>
      <c r="H181" s="64">
        <f>7.9458* CHOOSE(CONTROL!$C$22, $C$13, 100%, $E$13)</f>
        <v>7.9458000000000002</v>
      </c>
      <c r="I181" s="64">
        <f>7.9459 * CHOOSE(CONTROL!$C$22, $C$13, 100%, $E$13)</f>
        <v>7.9459</v>
      </c>
      <c r="J181" s="64">
        <f>4.2118 * CHOOSE(CONTROL!$C$22, $C$13, 100%, $E$13)</f>
        <v>4.2118000000000002</v>
      </c>
      <c r="K181" s="64">
        <f>4.212 * CHOOSE(CONTROL!$C$22, $C$13, 100%, $E$13)</f>
        <v>4.2119999999999997</v>
      </c>
    </row>
    <row r="182" spans="1:11" ht="15">
      <c r="A182" s="13">
        <v>47178</v>
      </c>
      <c r="B182" s="63">
        <f>3.7482 * CHOOSE(CONTROL!$C$22, $C$13, 100%, $E$13)</f>
        <v>3.7482000000000002</v>
      </c>
      <c r="C182" s="63">
        <f>3.7482 * CHOOSE(CONTROL!$C$22, $C$13, 100%, $E$13)</f>
        <v>3.7482000000000002</v>
      </c>
      <c r="D182" s="63">
        <f>3.7598 * CHOOSE(CONTROL!$C$22, $C$13, 100%, $E$13)</f>
        <v>3.7597999999999998</v>
      </c>
      <c r="E182" s="64">
        <f>4.2474 * CHOOSE(CONTROL!$C$22, $C$13, 100%, $E$13)</f>
        <v>4.2473999999999998</v>
      </c>
      <c r="F182" s="64">
        <f>4.2474 * CHOOSE(CONTROL!$C$22, $C$13, 100%, $E$13)</f>
        <v>4.2473999999999998</v>
      </c>
      <c r="G182" s="64">
        <f>4.2476 * CHOOSE(CONTROL!$C$22, $C$13, 100%, $E$13)</f>
        <v>4.2476000000000003</v>
      </c>
      <c r="H182" s="64">
        <f>7.9623* CHOOSE(CONTROL!$C$22, $C$13, 100%, $E$13)</f>
        <v>7.9622999999999999</v>
      </c>
      <c r="I182" s="64">
        <f>7.9625 * CHOOSE(CONTROL!$C$22, $C$13, 100%, $E$13)</f>
        <v>7.9625000000000004</v>
      </c>
      <c r="J182" s="64">
        <f>4.2474 * CHOOSE(CONTROL!$C$22, $C$13, 100%, $E$13)</f>
        <v>4.2473999999999998</v>
      </c>
      <c r="K182" s="64">
        <f>4.2476 * CHOOSE(CONTROL!$C$22, $C$13, 100%, $E$13)</f>
        <v>4.2476000000000003</v>
      </c>
    </row>
    <row r="183" spans="1:11" ht="15">
      <c r="A183" s="13">
        <v>47209</v>
      </c>
      <c r="B183" s="63">
        <f>3.7457 * CHOOSE(CONTROL!$C$22, $C$13, 100%, $E$13)</f>
        <v>3.7456999999999998</v>
      </c>
      <c r="C183" s="63">
        <f>3.7457 * CHOOSE(CONTROL!$C$22, $C$13, 100%, $E$13)</f>
        <v>3.7456999999999998</v>
      </c>
      <c r="D183" s="63">
        <f>3.7573 * CHOOSE(CONTROL!$C$22, $C$13, 100%, $E$13)</f>
        <v>3.7572999999999999</v>
      </c>
      <c r="E183" s="64">
        <f>4.2836 * CHOOSE(CONTROL!$C$22, $C$13, 100%, $E$13)</f>
        <v>4.2835999999999999</v>
      </c>
      <c r="F183" s="64">
        <f>4.2836 * CHOOSE(CONTROL!$C$22, $C$13, 100%, $E$13)</f>
        <v>4.2835999999999999</v>
      </c>
      <c r="G183" s="64">
        <f>4.2838 * CHOOSE(CONTROL!$C$22, $C$13, 100%, $E$13)</f>
        <v>4.2838000000000003</v>
      </c>
      <c r="H183" s="64">
        <f>7.9789* CHOOSE(CONTROL!$C$22, $C$13, 100%, $E$13)</f>
        <v>7.9789000000000003</v>
      </c>
      <c r="I183" s="64">
        <f>7.9791 * CHOOSE(CONTROL!$C$22, $C$13, 100%, $E$13)</f>
        <v>7.9790999999999999</v>
      </c>
      <c r="J183" s="64">
        <f>4.2836 * CHOOSE(CONTROL!$C$22, $C$13, 100%, $E$13)</f>
        <v>4.2835999999999999</v>
      </c>
      <c r="K183" s="64">
        <f>4.2838 * CHOOSE(CONTROL!$C$22, $C$13, 100%, $E$13)</f>
        <v>4.2838000000000003</v>
      </c>
    </row>
    <row r="184" spans="1:11" ht="15">
      <c r="A184" s="13">
        <v>47239</v>
      </c>
      <c r="B184" s="63">
        <f>3.7457 * CHOOSE(CONTROL!$C$22, $C$13, 100%, $E$13)</f>
        <v>3.7456999999999998</v>
      </c>
      <c r="C184" s="63">
        <f>3.7457 * CHOOSE(CONTROL!$C$22, $C$13, 100%, $E$13)</f>
        <v>3.7456999999999998</v>
      </c>
      <c r="D184" s="63">
        <f>3.7688 * CHOOSE(CONTROL!$C$22, $C$13, 100%, $E$13)</f>
        <v>3.7688000000000001</v>
      </c>
      <c r="E184" s="64">
        <f>4.2988 * CHOOSE(CONTROL!$C$22, $C$13, 100%, $E$13)</f>
        <v>4.2988</v>
      </c>
      <c r="F184" s="64">
        <f>4.2988 * CHOOSE(CONTROL!$C$22, $C$13, 100%, $E$13)</f>
        <v>4.2988</v>
      </c>
      <c r="G184" s="64">
        <f>4.3003 * CHOOSE(CONTROL!$C$22, $C$13, 100%, $E$13)</f>
        <v>4.3003</v>
      </c>
      <c r="H184" s="64">
        <f>7.9955* CHOOSE(CONTROL!$C$22, $C$13, 100%, $E$13)</f>
        <v>7.9954999999999998</v>
      </c>
      <c r="I184" s="64">
        <f>7.997 * CHOOSE(CONTROL!$C$22, $C$13, 100%, $E$13)</f>
        <v>7.9969999999999999</v>
      </c>
      <c r="J184" s="64">
        <f>4.2988 * CHOOSE(CONTROL!$C$22, $C$13, 100%, $E$13)</f>
        <v>4.2988</v>
      </c>
      <c r="K184" s="64">
        <f>4.3003 * CHOOSE(CONTROL!$C$22, $C$13, 100%, $E$13)</f>
        <v>4.3003</v>
      </c>
    </row>
    <row r="185" spans="1:11" ht="15">
      <c r="A185" s="13">
        <v>47270</v>
      </c>
      <c r="B185" s="63">
        <f>3.7518 * CHOOSE(CONTROL!$C$22, $C$13, 100%, $E$13)</f>
        <v>3.7517999999999998</v>
      </c>
      <c r="C185" s="63">
        <f>3.7518 * CHOOSE(CONTROL!$C$22, $C$13, 100%, $E$13)</f>
        <v>3.7517999999999998</v>
      </c>
      <c r="D185" s="63">
        <f>3.7749 * CHOOSE(CONTROL!$C$22, $C$13, 100%, $E$13)</f>
        <v>3.7749000000000001</v>
      </c>
      <c r="E185" s="64">
        <f>4.2878 * CHOOSE(CONTROL!$C$22, $C$13, 100%, $E$13)</f>
        <v>4.2877999999999998</v>
      </c>
      <c r="F185" s="64">
        <f>4.2878 * CHOOSE(CONTROL!$C$22, $C$13, 100%, $E$13)</f>
        <v>4.2877999999999998</v>
      </c>
      <c r="G185" s="64">
        <f>4.2893 * CHOOSE(CONTROL!$C$22, $C$13, 100%, $E$13)</f>
        <v>4.2892999999999999</v>
      </c>
      <c r="H185" s="64">
        <f>8.0122* CHOOSE(CONTROL!$C$22, $C$13, 100%, $E$13)</f>
        <v>8.0122</v>
      </c>
      <c r="I185" s="64">
        <f>8.0137 * CHOOSE(CONTROL!$C$22, $C$13, 100%, $E$13)</f>
        <v>8.0137</v>
      </c>
      <c r="J185" s="64">
        <f>4.2878 * CHOOSE(CONTROL!$C$22, $C$13, 100%, $E$13)</f>
        <v>4.2877999999999998</v>
      </c>
      <c r="K185" s="64">
        <f>4.2893 * CHOOSE(CONTROL!$C$22, $C$13, 100%, $E$13)</f>
        <v>4.2892999999999999</v>
      </c>
    </row>
    <row r="186" spans="1:11" ht="15">
      <c r="A186" s="13">
        <v>47300</v>
      </c>
      <c r="B186" s="63">
        <f>3.8127 * CHOOSE(CONTROL!$C$22, $C$13, 100%, $E$13)</f>
        <v>3.8127</v>
      </c>
      <c r="C186" s="63">
        <f>3.8127 * CHOOSE(CONTROL!$C$22, $C$13, 100%, $E$13)</f>
        <v>3.8127</v>
      </c>
      <c r="D186" s="63">
        <f>3.8358 * CHOOSE(CONTROL!$C$22, $C$13, 100%, $E$13)</f>
        <v>3.8357999999999999</v>
      </c>
      <c r="E186" s="64">
        <f>4.3812 * CHOOSE(CONTROL!$C$22, $C$13, 100%, $E$13)</f>
        <v>4.3811999999999998</v>
      </c>
      <c r="F186" s="64">
        <f>4.3812 * CHOOSE(CONTROL!$C$22, $C$13, 100%, $E$13)</f>
        <v>4.3811999999999998</v>
      </c>
      <c r="G186" s="64">
        <f>4.3827 * CHOOSE(CONTROL!$C$22, $C$13, 100%, $E$13)</f>
        <v>4.3826999999999998</v>
      </c>
      <c r="H186" s="64">
        <f>8.0289* CHOOSE(CONTROL!$C$22, $C$13, 100%, $E$13)</f>
        <v>8.0289000000000001</v>
      </c>
      <c r="I186" s="64">
        <f>8.0304 * CHOOSE(CONTROL!$C$22, $C$13, 100%, $E$13)</f>
        <v>8.0304000000000002</v>
      </c>
      <c r="J186" s="64">
        <f>4.3812 * CHOOSE(CONTROL!$C$22, $C$13, 100%, $E$13)</f>
        <v>4.3811999999999998</v>
      </c>
      <c r="K186" s="64">
        <f>4.3827 * CHOOSE(CONTROL!$C$22, $C$13, 100%, $E$13)</f>
        <v>4.3826999999999998</v>
      </c>
    </row>
    <row r="187" spans="1:11" ht="15">
      <c r="A187" s="13">
        <v>47331</v>
      </c>
      <c r="B187" s="63">
        <f>3.8194 * CHOOSE(CONTROL!$C$22, $C$13, 100%, $E$13)</f>
        <v>3.8193999999999999</v>
      </c>
      <c r="C187" s="63">
        <f>3.8194 * CHOOSE(CONTROL!$C$22, $C$13, 100%, $E$13)</f>
        <v>3.8193999999999999</v>
      </c>
      <c r="D187" s="63">
        <f>3.8425 * CHOOSE(CONTROL!$C$22, $C$13, 100%, $E$13)</f>
        <v>3.8424999999999998</v>
      </c>
      <c r="E187" s="64">
        <f>4.3404 * CHOOSE(CONTROL!$C$22, $C$13, 100%, $E$13)</f>
        <v>4.3403999999999998</v>
      </c>
      <c r="F187" s="64">
        <f>4.3404 * CHOOSE(CONTROL!$C$22, $C$13, 100%, $E$13)</f>
        <v>4.3403999999999998</v>
      </c>
      <c r="G187" s="64">
        <f>4.3419 * CHOOSE(CONTROL!$C$22, $C$13, 100%, $E$13)</f>
        <v>4.3418999999999999</v>
      </c>
      <c r="H187" s="64">
        <f>8.0456* CHOOSE(CONTROL!$C$22, $C$13, 100%, $E$13)</f>
        <v>8.0456000000000003</v>
      </c>
      <c r="I187" s="64">
        <f>8.0471 * CHOOSE(CONTROL!$C$22, $C$13, 100%, $E$13)</f>
        <v>8.0471000000000004</v>
      </c>
      <c r="J187" s="64">
        <f>4.3404 * CHOOSE(CONTROL!$C$22, $C$13, 100%, $E$13)</f>
        <v>4.3403999999999998</v>
      </c>
      <c r="K187" s="64">
        <f>4.3419 * CHOOSE(CONTROL!$C$22, $C$13, 100%, $E$13)</f>
        <v>4.3418999999999999</v>
      </c>
    </row>
    <row r="188" spans="1:11" ht="15">
      <c r="A188" s="13">
        <v>47362</v>
      </c>
      <c r="B188" s="63">
        <f>3.8164 * CHOOSE(CONTROL!$C$22, $C$13, 100%, $E$13)</f>
        <v>3.8163999999999998</v>
      </c>
      <c r="C188" s="63">
        <f>3.8164 * CHOOSE(CONTROL!$C$22, $C$13, 100%, $E$13)</f>
        <v>3.8163999999999998</v>
      </c>
      <c r="D188" s="63">
        <f>3.8395 * CHOOSE(CONTROL!$C$22, $C$13, 100%, $E$13)</f>
        <v>3.8395000000000001</v>
      </c>
      <c r="E188" s="64">
        <f>4.3332 * CHOOSE(CONTROL!$C$22, $C$13, 100%, $E$13)</f>
        <v>4.3331999999999997</v>
      </c>
      <c r="F188" s="64">
        <f>4.3332 * CHOOSE(CONTROL!$C$22, $C$13, 100%, $E$13)</f>
        <v>4.3331999999999997</v>
      </c>
      <c r="G188" s="64">
        <f>4.3347 * CHOOSE(CONTROL!$C$22, $C$13, 100%, $E$13)</f>
        <v>4.3346999999999998</v>
      </c>
      <c r="H188" s="64">
        <f>8.0624* CHOOSE(CONTROL!$C$22, $C$13, 100%, $E$13)</f>
        <v>8.0624000000000002</v>
      </c>
      <c r="I188" s="64">
        <f>8.0639 * CHOOSE(CONTROL!$C$22, $C$13, 100%, $E$13)</f>
        <v>8.0639000000000003</v>
      </c>
      <c r="J188" s="64">
        <f>4.3332 * CHOOSE(CONTROL!$C$22, $C$13, 100%, $E$13)</f>
        <v>4.3331999999999997</v>
      </c>
      <c r="K188" s="64">
        <f>4.3347 * CHOOSE(CONTROL!$C$22, $C$13, 100%, $E$13)</f>
        <v>4.3346999999999998</v>
      </c>
    </row>
    <row r="189" spans="1:11" ht="15">
      <c r="A189" s="13">
        <v>47392</v>
      </c>
      <c r="B189" s="63">
        <f>3.811 * CHOOSE(CONTROL!$C$22, $C$13, 100%, $E$13)</f>
        <v>3.8109999999999999</v>
      </c>
      <c r="C189" s="63">
        <f>3.811 * CHOOSE(CONTROL!$C$22, $C$13, 100%, $E$13)</f>
        <v>3.8109999999999999</v>
      </c>
      <c r="D189" s="63">
        <f>3.8226 * CHOOSE(CONTROL!$C$22, $C$13, 100%, $E$13)</f>
        <v>3.8226</v>
      </c>
      <c r="E189" s="64">
        <f>4.34 * CHOOSE(CONTROL!$C$22, $C$13, 100%, $E$13)</f>
        <v>4.34</v>
      </c>
      <c r="F189" s="64">
        <f>4.34 * CHOOSE(CONTROL!$C$22, $C$13, 100%, $E$13)</f>
        <v>4.34</v>
      </c>
      <c r="G189" s="64">
        <f>4.3402 * CHOOSE(CONTROL!$C$22, $C$13, 100%, $E$13)</f>
        <v>4.3402000000000003</v>
      </c>
      <c r="H189" s="64">
        <f>8.0792* CHOOSE(CONTROL!$C$22, $C$13, 100%, $E$13)</f>
        <v>8.0792000000000002</v>
      </c>
      <c r="I189" s="64">
        <f>8.0793 * CHOOSE(CONTROL!$C$22, $C$13, 100%, $E$13)</f>
        <v>8.0792999999999999</v>
      </c>
      <c r="J189" s="64">
        <f>4.34 * CHOOSE(CONTROL!$C$22, $C$13, 100%, $E$13)</f>
        <v>4.34</v>
      </c>
      <c r="K189" s="64">
        <f>4.3402 * CHOOSE(CONTROL!$C$22, $C$13, 100%, $E$13)</f>
        <v>4.3402000000000003</v>
      </c>
    </row>
    <row r="190" spans="1:11" ht="15">
      <c r="A190" s="13">
        <v>47423</v>
      </c>
      <c r="B190" s="63">
        <f>3.8141 * CHOOSE(CONTROL!$C$22, $C$13, 100%, $E$13)</f>
        <v>3.8140999999999998</v>
      </c>
      <c r="C190" s="63">
        <f>3.8141 * CHOOSE(CONTROL!$C$22, $C$13, 100%, $E$13)</f>
        <v>3.8140999999999998</v>
      </c>
      <c r="D190" s="63">
        <f>3.8256 * CHOOSE(CONTROL!$C$22, $C$13, 100%, $E$13)</f>
        <v>3.8256000000000001</v>
      </c>
      <c r="E190" s="64">
        <f>4.3522 * CHOOSE(CONTROL!$C$22, $C$13, 100%, $E$13)</f>
        <v>4.3521999999999998</v>
      </c>
      <c r="F190" s="64">
        <f>4.3522 * CHOOSE(CONTROL!$C$22, $C$13, 100%, $E$13)</f>
        <v>4.3521999999999998</v>
      </c>
      <c r="G190" s="64">
        <f>4.3524 * CHOOSE(CONTROL!$C$22, $C$13, 100%, $E$13)</f>
        <v>4.3524000000000003</v>
      </c>
      <c r="H190" s="64">
        <f>8.096* CHOOSE(CONTROL!$C$22, $C$13, 100%, $E$13)</f>
        <v>8.0960000000000001</v>
      </c>
      <c r="I190" s="64">
        <f>8.0962 * CHOOSE(CONTROL!$C$22, $C$13, 100%, $E$13)</f>
        <v>8.0961999999999996</v>
      </c>
      <c r="J190" s="64">
        <f>4.3522 * CHOOSE(CONTROL!$C$22, $C$13, 100%, $E$13)</f>
        <v>4.3521999999999998</v>
      </c>
      <c r="K190" s="64">
        <f>4.3524 * CHOOSE(CONTROL!$C$22, $C$13, 100%, $E$13)</f>
        <v>4.3524000000000003</v>
      </c>
    </row>
    <row r="191" spans="1:11" ht="15">
      <c r="A191" s="13">
        <v>47453</v>
      </c>
      <c r="B191" s="63">
        <f>3.8141 * CHOOSE(CONTROL!$C$22, $C$13, 100%, $E$13)</f>
        <v>3.8140999999999998</v>
      </c>
      <c r="C191" s="63">
        <f>3.8141 * CHOOSE(CONTROL!$C$22, $C$13, 100%, $E$13)</f>
        <v>3.8140999999999998</v>
      </c>
      <c r="D191" s="63">
        <f>3.8256 * CHOOSE(CONTROL!$C$22, $C$13, 100%, $E$13)</f>
        <v>3.8256000000000001</v>
      </c>
      <c r="E191" s="64">
        <f>4.327 * CHOOSE(CONTROL!$C$22, $C$13, 100%, $E$13)</f>
        <v>4.327</v>
      </c>
      <c r="F191" s="64">
        <f>4.327 * CHOOSE(CONTROL!$C$22, $C$13, 100%, $E$13)</f>
        <v>4.327</v>
      </c>
      <c r="G191" s="64">
        <f>4.3271 * CHOOSE(CONTROL!$C$22, $C$13, 100%, $E$13)</f>
        <v>4.3270999999999997</v>
      </c>
      <c r="H191" s="64">
        <f>8.1129* CHOOSE(CONTROL!$C$22, $C$13, 100%, $E$13)</f>
        <v>8.1128999999999998</v>
      </c>
      <c r="I191" s="64">
        <f>8.113 * CHOOSE(CONTROL!$C$22, $C$13, 100%, $E$13)</f>
        <v>8.1129999999999995</v>
      </c>
      <c r="J191" s="64">
        <f>4.327 * CHOOSE(CONTROL!$C$22, $C$13, 100%, $E$13)</f>
        <v>4.327</v>
      </c>
      <c r="K191" s="64">
        <f>4.3271 * CHOOSE(CONTROL!$C$22, $C$13, 100%, $E$13)</f>
        <v>4.3270999999999997</v>
      </c>
    </row>
    <row r="192" spans="1:11" ht="15">
      <c r="A192" s="13">
        <v>47484</v>
      </c>
      <c r="B192" s="63">
        <f>3.85 * CHOOSE(CONTROL!$C$22, $C$13, 100%, $E$13)</f>
        <v>3.85</v>
      </c>
      <c r="C192" s="63">
        <f>3.85 * CHOOSE(CONTROL!$C$22, $C$13, 100%, $E$13)</f>
        <v>3.85</v>
      </c>
      <c r="D192" s="63">
        <f>3.8616 * CHOOSE(CONTROL!$C$22, $C$13, 100%, $E$13)</f>
        <v>3.8616000000000001</v>
      </c>
      <c r="E192" s="64">
        <f>4.3833 * CHOOSE(CONTROL!$C$22, $C$13, 100%, $E$13)</f>
        <v>4.3833000000000002</v>
      </c>
      <c r="F192" s="64">
        <f>4.3833 * CHOOSE(CONTROL!$C$22, $C$13, 100%, $E$13)</f>
        <v>4.3833000000000002</v>
      </c>
      <c r="G192" s="64">
        <f>4.3835 * CHOOSE(CONTROL!$C$22, $C$13, 100%, $E$13)</f>
        <v>4.3834999999999997</v>
      </c>
      <c r="H192" s="64">
        <f>8.1298* CHOOSE(CONTROL!$C$22, $C$13, 100%, $E$13)</f>
        <v>8.1297999999999995</v>
      </c>
      <c r="I192" s="64">
        <f>8.1299 * CHOOSE(CONTROL!$C$22, $C$13, 100%, $E$13)</f>
        <v>8.1298999999999992</v>
      </c>
      <c r="J192" s="64">
        <f>4.3833 * CHOOSE(CONTROL!$C$22, $C$13, 100%, $E$13)</f>
        <v>4.3833000000000002</v>
      </c>
      <c r="K192" s="64">
        <f>4.3835 * CHOOSE(CONTROL!$C$22, $C$13, 100%, $E$13)</f>
        <v>4.3834999999999997</v>
      </c>
    </row>
    <row r="193" spans="1:11" ht="15">
      <c r="A193" s="13">
        <v>47515</v>
      </c>
      <c r="B193" s="63">
        <f>3.847 * CHOOSE(CONTROL!$C$22, $C$13, 100%, $E$13)</f>
        <v>3.847</v>
      </c>
      <c r="C193" s="63">
        <f>3.847 * CHOOSE(CONTROL!$C$22, $C$13, 100%, $E$13)</f>
        <v>3.847</v>
      </c>
      <c r="D193" s="63">
        <f>3.8586 * CHOOSE(CONTROL!$C$22, $C$13, 100%, $E$13)</f>
        <v>3.8586</v>
      </c>
      <c r="E193" s="64">
        <f>4.3322 * CHOOSE(CONTROL!$C$22, $C$13, 100%, $E$13)</f>
        <v>4.3322000000000003</v>
      </c>
      <c r="F193" s="64">
        <f>4.3322 * CHOOSE(CONTROL!$C$22, $C$13, 100%, $E$13)</f>
        <v>4.3322000000000003</v>
      </c>
      <c r="G193" s="64">
        <f>4.3324 * CHOOSE(CONTROL!$C$22, $C$13, 100%, $E$13)</f>
        <v>4.3323999999999998</v>
      </c>
      <c r="H193" s="64">
        <f>8.1467* CHOOSE(CONTROL!$C$22, $C$13, 100%, $E$13)</f>
        <v>8.1466999999999992</v>
      </c>
      <c r="I193" s="64">
        <f>8.1469 * CHOOSE(CONTROL!$C$22, $C$13, 100%, $E$13)</f>
        <v>8.1469000000000005</v>
      </c>
      <c r="J193" s="64">
        <f>4.3322 * CHOOSE(CONTROL!$C$22, $C$13, 100%, $E$13)</f>
        <v>4.3322000000000003</v>
      </c>
      <c r="K193" s="64">
        <f>4.3324 * CHOOSE(CONTROL!$C$22, $C$13, 100%, $E$13)</f>
        <v>4.3323999999999998</v>
      </c>
    </row>
    <row r="194" spans="1:11" ht="15">
      <c r="A194" s="13">
        <v>47543</v>
      </c>
      <c r="B194" s="63">
        <f>3.844 * CHOOSE(CONTROL!$C$22, $C$13, 100%, $E$13)</f>
        <v>3.8439999999999999</v>
      </c>
      <c r="C194" s="63">
        <f>3.844 * CHOOSE(CONTROL!$C$22, $C$13, 100%, $E$13)</f>
        <v>3.8439999999999999</v>
      </c>
      <c r="D194" s="63">
        <f>3.8555 * CHOOSE(CONTROL!$C$22, $C$13, 100%, $E$13)</f>
        <v>3.8555000000000001</v>
      </c>
      <c r="E194" s="64">
        <f>4.3687 * CHOOSE(CONTROL!$C$22, $C$13, 100%, $E$13)</f>
        <v>4.3686999999999996</v>
      </c>
      <c r="F194" s="64">
        <f>4.3687 * CHOOSE(CONTROL!$C$22, $C$13, 100%, $E$13)</f>
        <v>4.3686999999999996</v>
      </c>
      <c r="G194" s="64">
        <f>4.3689 * CHOOSE(CONTROL!$C$22, $C$13, 100%, $E$13)</f>
        <v>4.3689</v>
      </c>
      <c r="H194" s="64">
        <f>8.1637* CHOOSE(CONTROL!$C$22, $C$13, 100%, $E$13)</f>
        <v>8.1637000000000004</v>
      </c>
      <c r="I194" s="64">
        <f>8.1639 * CHOOSE(CONTROL!$C$22, $C$13, 100%, $E$13)</f>
        <v>8.1638999999999999</v>
      </c>
      <c r="J194" s="64">
        <f>4.3687 * CHOOSE(CONTROL!$C$22, $C$13, 100%, $E$13)</f>
        <v>4.3686999999999996</v>
      </c>
      <c r="K194" s="64">
        <f>4.3689 * CHOOSE(CONTROL!$C$22, $C$13, 100%, $E$13)</f>
        <v>4.3689</v>
      </c>
    </row>
    <row r="195" spans="1:11" ht="15">
      <c r="A195" s="13">
        <v>47574</v>
      </c>
      <c r="B195" s="63">
        <f>3.8415 * CHOOSE(CONTROL!$C$22, $C$13, 100%, $E$13)</f>
        <v>3.8414999999999999</v>
      </c>
      <c r="C195" s="63">
        <f>3.8415 * CHOOSE(CONTROL!$C$22, $C$13, 100%, $E$13)</f>
        <v>3.8414999999999999</v>
      </c>
      <c r="D195" s="63">
        <f>3.8531 * CHOOSE(CONTROL!$C$22, $C$13, 100%, $E$13)</f>
        <v>3.8531</v>
      </c>
      <c r="E195" s="64">
        <f>4.406 * CHOOSE(CONTROL!$C$22, $C$13, 100%, $E$13)</f>
        <v>4.4059999999999997</v>
      </c>
      <c r="F195" s="64">
        <f>4.406 * CHOOSE(CONTROL!$C$22, $C$13, 100%, $E$13)</f>
        <v>4.4059999999999997</v>
      </c>
      <c r="G195" s="64">
        <f>4.4061 * CHOOSE(CONTROL!$C$22, $C$13, 100%, $E$13)</f>
        <v>4.4061000000000003</v>
      </c>
      <c r="H195" s="64">
        <f>8.1807* CHOOSE(CONTROL!$C$22, $C$13, 100%, $E$13)</f>
        <v>8.1806999999999999</v>
      </c>
      <c r="I195" s="64">
        <f>8.1809 * CHOOSE(CONTROL!$C$22, $C$13, 100%, $E$13)</f>
        <v>8.1808999999999994</v>
      </c>
      <c r="J195" s="64">
        <f>4.406 * CHOOSE(CONTROL!$C$22, $C$13, 100%, $E$13)</f>
        <v>4.4059999999999997</v>
      </c>
      <c r="K195" s="64">
        <f>4.4061 * CHOOSE(CONTROL!$C$22, $C$13, 100%, $E$13)</f>
        <v>4.4061000000000003</v>
      </c>
    </row>
    <row r="196" spans="1:11" ht="15">
      <c r="A196" s="13">
        <v>47604</v>
      </c>
      <c r="B196" s="63">
        <f>3.8415 * CHOOSE(CONTROL!$C$22, $C$13, 100%, $E$13)</f>
        <v>3.8414999999999999</v>
      </c>
      <c r="C196" s="63">
        <f>3.8415 * CHOOSE(CONTROL!$C$22, $C$13, 100%, $E$13)</f>
        <v>3.8414999999999999</v>
      </c>
      <c r="D196" s="63">
        <f>3.8646 * CHOOSE(CONTROL!$C$22, $C$13, 100%, $E$13)</f>
        <v>3.8645999999999998</v>
      </c>
      <c r="E196" s="64">
        <f>4.4215 * CHOOSE(CONTROL!$C$22, $C$13, 100%, $E$13)</f>
        <v>4.4215</v>
      </c>
      <c r="F196" s="64">
        <f>4.4215 * CHOOSE(CONTROL!$C$22, $C$13, 100%, $E$13)</f>
        <v>4.4215</v>
      </c>
      <c r="G196" s="64">
        <f>4.423 * CHOOSE(CONTROL!$C$22, $C$13, 100%, $E$13)</f>
        <v>4.423</v>
      </c>
      <c r="H196" s="64">
        <f>8.1977* CHOOSE(CONTROL!$C$22, $C$13, 100%, $E$13)</f>
        <v>8.1976999999999993</v>
      </c>
      <c r="I196" s="64">
        <f>8.1992 * CHOOSE(CONTROL!$C$22, $C$13, 100%, $E$13)</f>
        <v>8.1991999999999994</v>
      </c>
      <c r="J196" s="64">
        <f>4.4215 * CHOOSE(CONTROL!$C$22, $C$13, 100%, $E$13)</f>
        <v>4.4215</v>
      </c>
      <c r="K196" s="64">
        <f>4.423 * CHOOSE(CONTROL!$C$22, $C$13, 100%, $E$13)</f>
        <v>4.423</v>
      </c>
    </row>
    <row r="197" spans="1:11" ht="15">
      <c r="A197" s="13">
        <v>47635</v>
      </c>
      <c r="B197" s="63">
        <f>3.8476 * CHOOSE(CONTROL!$C$22, $C$13, 100%, $E$13)</f>
        <v>3.8475999999999999</v>
      </c>
      <c r="C197" s="63">
        <f>3.8476 * CHOOSE(CONTROL!$C$22, $C$13, 100%, $E$13)</f>
        <v>3.8475999999999999</v>
      </c>
      <c r="D197" s="63">
        <f>3.8707 * CHOOSE(CONTROL!$C$22, $C$13, 100%, $E$13)</f>
        <v>3.8706999999999998</v>
      </c>
      <c r="E197" s="64">
        <f>4.4102 * CHOOSE(CONTROL!$C$22, $C$13, 100%, $E$13)</f>
        <v>4.4101999999999997</v>
      </c>
      <c r="F197" s="64">
        <f>4.4102 * CHOOSE(CONTROL!$C$22, $C$13, 100%, $E$13)</f>
        <v>4.4101999999999997</v>
      </c>
      <c r="G197" s="64">
        <f>4.4117 * CHOOSE(CONTROL!$C$22, $C$13, 100%, $E$13)</f>
        <v>4.4116999999999997</v>
      </c>
      <c r="H197" s="64">
        <f>8.2148* CHOOSE(CONTROL!$C$22, $C$13, 100%, $E$13)</f>
        <v>8.2148000000000003</v>
      </c>
      <c r="I197" s="64">
        <f>8.2163 * CHOOSE(CONTROL!$C$22, $C$13, 100%, $E$13)</f>
        <v>8.2163000000000004</v>
      </c>
      <c r="J197" s="64">
        <f>4.4102 * CHOOSE(CONTROL!$C$22, $C$13, 100%, $E$13)</f>
        <v>4.4101999999999997</v>
      </c>
      <c r="K197" s="64">
        <f>4.4117 * CHOOSE(CONTROL!$C$22, $C$13, 100%, $E$13)</f>
        <v>4.4116999999999997</v>
      </c>
    </row>
    <row r="198" spans="1:11" ht="15">
      <c r="A198" s="13">
        <v>47665</v>
      </c>
      <c r="B198" s="63">
        <f>3.915 * CHOOSE(CONTROL!$C$22, $C$13, 100%, $E$13)</f>
        <v>3.915</v>
      </c>
      <c r="C198" s="63">
        <f>3.915 * CHOOSE(CONTROL!$C$22, $C$13, 100%, $E$13)</f>
        <v>3.915</v>
      </c>
      <c r="D198" s="63">
        <f>3.9381 * CHOOSE(CONTROL!$C$22, $C$13, 100%, $E$13)</f>
        <v>3.9380999999999999</v>
      </c>
      <c r="E198" s="64">
        <f>4.4986 * CHOOSE(CONTROL!$C$22, $C$13, 100%, $E$13)</f>
        <v>4.4985999999999997</v>
      </c>
      <c r="F198" s="64">
        <f>4.4986 * CHOOSE(CONTROL!$C$22, $C$13, 100%, $E$13)</f>
        <v>4.4985999999999997</v>
      </c>
      <c r="G198" s="64">
        <f>4.5001 * CHOOSE(CONTROL!$C$22, $C$13, 100%, $E$13)</f>
        <v>4.5000999999999998</v>
      </c>
      <c r="H198" s="64">
        <f>8.2319* CHOOSE(CONTROL!$C$22, $C$13, 100%, $E$13)</f>
        <v>8.2318999999999996</v>
      </c>
      <c r="I198" s="64">
        <f>8.2334 * CHOOSE(CONTROL!$C$22, $C$13, 100%, $E$13)</f>
        <v>8.2333999999999996</v>
      </c>
      <c r="J198" s="64">
        <f>4.4986 * CHOOSE(CONTROL!$C$22, $C$13, 100%, $E$13)</f>
        <v>4.4985999999999997</v>
      </c>
      <c r="K198" s="64">
        <f>4.5001 * CHOOSE(CONTROL!$C$22, $C$13, 100%, $E$13)</f>
        <v>4.5000999999999998</v>
      </c>
    </row>
    <row r="199" spans="1:11" ht="15">
      <c r="A199" s="13">
        <v>47696</v>
      </c>
      <c r="B199" s="63">
        <f>3.9217 * CHOOSE(CONTROL!$C$22, $C$13, 100%, $E$13)</f>
        <v>3.9217</v>
      </c>
      <c r="C199" s="63">
        <f>3.9217 * CHOOSE(CONTROL!$C$22, $C$13, 100%, $E$13)</f>
        <v>3.9217</v>
      </c>
      <c r="D199" s="63">
        <f>3.9448 * CHOOSE(CONTROL!$C$22, $C$13, 100%, $E$13)</f>
        <v>3.9447999999999999</v>
      </c>
      <c r="E199" s="64">
        <f>4.4566 * CHOOSE(CONTROL!$C$22, $C$13, 100%, $E$13)</f>
        <v>4.4565999999999999</v>
      </c>
      <c r="F199" s="64">
        <f>4.4566 * CHOOSE(CONTROL!$C$22, $C$13, 100%, $E$13)</f>
        <v>4.4565999999999999</v>
      </c>
      <c r="G199" s="64">
        <f>4.4581 * CHOOSE(CONTROL!$C$22, $C$13, 100%, $E$13)</f>
        <v>4.4581</v>
      </c>
      <c r="H199" s="64">
        <f>8.2491* CHOOSE(CONTROL!$C$22, $C$13, 100%, $E$13)</f>
        <v>8.2491000000000003</v>
      </c>
      <c r="I199" s="64">
        <f>8.2506 * CHOOSE(CONTROL!$C$22, $C$13, 100%, $E$13)</f>
        <v>8.2506000000000004</v>
      </c>
      <c r="J199" s="64">
        <f>4.4566 * CHOOSE(CONTROL!$C$22, $C$13, 100%, $E$13)</f>
        <v>4.4565999999999999</v>
      </c>
      <c r="K199" s="64">
        <f>4.4581 * CHOOSE(CONTROL!$C$22, $C$13, 100%, $E$13)</f>
        <v>4.4581</v>
      </c>
    </row>
    <row r="200" spans="1:11" ht="15">
      <c r="A200" s="13">
        <v>47727</v>
      </c>
      <c r="B200" s="63">
        <f>3.9187 * CHOOSE(CONTROL!$C$22, $C$13, 100%, $E$13)</f>
        <v>3.9186999999999999</v>
      </c>
      <c r="C200" s="63">
        <f>3.9187 * CHOOSE(CONTROL!$C$22, $C$13, 100%, $E$13)</f>
        <v>3.9186999999999999</v>
      </c>
      <c r="D200" s="63">
        <f>3.9418 * CHOOSE(CONTROL!$C$22, $C$13, 100%, $E$13)</f>
        <v>3.9418000000000002</v>
      </c>
      <c r="E200" s="64">
        <f>4.4493 * CHOOSE(CONTROL!$C$22, $C$13, 100%, $E$13)</f>
        <v>4.4493</v>
      </c>
      <c r="F200" s="64">
        <f>4.4493 * CHOOSE(CONTROL!$C$22, $C$13, 100%, $E$13)</f>
        <v>4.4493</v>
      </c>
      <c r="G200" s="64">
        <f>4.4508 * CHOOSE(CONTROL!$C$22, $C$13, 100%, $E$13)</f>
        <v>4.4508000000000001</v>
      </c>
      <c r="H200" s="64">
        <f>8.2663* CHOOSE(CONTROL!$C$22, $C$13, 100%, $E$13)</f>
        <v>8.2662999999999993</v>
      </c>
      <c r="I200" s="64">
        <f>8.2677 * CHOOSE(CONTROL!$C$22, $C$13, 100%, $E$13)</f>
        <v>8.2676999999999996</v>
      </c>
      <c r="J200" s="64">
        <f>4.4493 * CHOOSE(CONTROL!$C$22, $C$13, 100%, $E$13)</f>
        <v>4.4493</v>
      </c>
      <c r="K200" s="64">
        <f>4.4508 * CHOOSE(CONTROL!$C$22, $C$13, 100%, $E$13)</f>
        <v>4.4508000000000001</v>
      </c>
    </row>
    <row r="201" spans="1:11" ht="15">
      <c r="A201" s="13">
        <v>47757</v>
      </c>
      <c r="B201" s="63">
        <f>3.9137 * CHOOSE(CONTROL!$C$22, $C$13, 100%, $E$13)</f>
        <v>3.9137</v>
      </c>
      <c r="C201" s="63">
        <f>3.9137 * CHOOSE(CONTROL!$C$22, $C$13, 100%, $E$13)</f>
        <v>3.9137</v>
      </c>
      <c r="D201" s="63">
        <f>3.9253 * CHOOSE(CONTROL!$C$22, $C$13, 100%, $E$13)</f>
        <v>3.9253</v>
      </c>
      <c r="E201" s="64">
        <f>4.4566 * CHOOSE(CONTROL!$C$22, $C$13, 100%, $E$13)</f>
        <v>4.4565999999999999</v>
      </c>
      <c r="F201" s="64">
        <f>4.4566 * CHOOSE(CONTROL!$C$22, $C$13, 100%, $E$13)</f>
        <v>4.4565999999999999</v>
      </c>
      <c r="G201" s="64">
        <f>4.4568 * CHOOSE(CONTROL!$C$22, $C$13, 100%, $E$13)</f>
        <v>4.4568000000000003</v>
      </c>
      <c r="H201" s="64">
        <f>8.2835* CHOOSE(CONTROL!$C$22, $C$13, 100%, $E$13)</f>
        <v>8.2835000000000001</v>
      </c>
      <c r="I201" s="64">
        <f>8.2837 * CHOOSE(CONTROL!$C$22, $C$13, 100%, $E$13)</f>
        <v>8.2836999999999996</v>
      </c>
      <c r="J201" s="64">
        <f>4.4566 * CHOOSE(CONTROL!$C$22, $C$13, 100%, $E$13)</f>
        <v>4.4565999999999999</v>
      </c>
      <c r="K201" s="64">
        <f>4.4568 * CHOOSE(CONTROL!$C$22, $C$13, 100%, $E$13)</f>
        <v>4.4568000000000003</v>
      </c>
    </row>
    <row r="202" spans="1:11" ht="15">
      <c r="A202" s="13">
        <v>47788</v>
      </c>
      <c r="B202" s="63">
        <f>3.9168 * CHOOSE(CONTROL!$C$22, $C$13, 100%, $E$13)</f>
        <v>3.9167999999999998</v>
      </c>
      <c r="C202" s="63">
        <f>3.9168 * CHOOSE(CONTROL!$C$22, $C$13, 100%, $E$13)</f>
        <v>3.9167999999999998</v>
      </c>
      <c r="D202" s="63">
        <f>3.9283 * CHOOSE(CONTROL!$C$22, $C$13, 100%, $E$13)</f>
        <v>3.9283000000000001</v>
      </c>
      <c r="E202" s="64">
        <f>4.4691 * CHOOSE(CONTROL!$C$22, $C$13, 100%, $E$13)</f>
        <v>4.4691000000000001</v>
      </c>
      <c r="F202" s="64">
        <f>4.4691 * CHOOSE(CONTROL!$C$22, $C$13, 100%, $E$13)</f>
        <v>4.4691000000000001</v>
      </c>
      <c r="G202" s="64">
        <f>4.4693 * CHOOSE(CONTROL!$C$22, $C$13, 100%, $E$13)</f>
        <v>4.4692999999999996</v>
      </c>
      <c r="H202" s="64">
        <f>8.3007* CHOOSE(CONTROL!$C$22, $C$13, 100%, $E$13)</f>
        <v>8.3007000000000009</v>
      </c>
      <c r="I202" s="64">
        <f>8.3009 * CHOOSE(CONTROL!$C$22, $C$13, 100%, $E$13)</f>
        <v>8.3009000000000004</v>
      </c>
      <c r="J202" s="64">
        <f>4.4691 * CHOOSE(CONTROL!$C$22, $C$13, 100%, $E$13)</f>
        <v>4.4691000000000001</v>
      </c>
      <c r="K202" s="64">
        <f>4.4693 * CHOOSE(CONTROL!$C$22, $C$13, 100%, $E$13)</f>
        <v>4.4692999999999996</v>
      </c>
    </row>
    <row r="203" spans="1:11" ht="15">
      <c r="A203" s="13">
        <v>47818</v>
      </c>
      <c r="B203" s="63">
        <f>3.9168 * CHOOSE(CONTROL!$C$22, $C$13, 100%, $E$13)</f>
        <v>3.9167999999999998</v>
      </c>
      <c r="C203" s="63">
        <f>3.9168 * CHOOSE(CONTROL!$C$22, $C$13, 100%, $E$13)</f>
        <v>3.9167999999999998</v>
      </c>
      <c r="D203" s="63">
        <f>3.9283 * CHOOSE(CONTROL!$C$22, $C$13, 100%, $E$13)</f>
        <v>3.9283000000000001</v>
      </c>
      <c r="E203" s="64">
        <f>4.4432 * CHOOSE(CONTROL!$C$22, $C$13, 100%, $E$13)</f>
        <v>4.4432</v>
      </c>
      <c r="F203" s="64">
        <f>4.4432 * CHOOSE(CONTROL!$C$22, $C$13, 100%, $E$13)</f>
        <v>4.4432</v>
      </c>
      <c r="G203" s="64">
        <f>4.4434 * CHOOSE(CONTROL!$C$22, $C$13, 100%, $E$13)</f>
        <v>4.4433999999999996</v>
      </c>
      <c r="H203" s="64">
        <f>8.318* CHOOSE(CONTROL!$C$22, $C$13, 100%, $E$13)</f>
        <v>8.3179999999999996</v>
      </c>
      <c r="I203" s="64">
        <f>8.3182 * CHOOSE(CONTROL!$C$22, $C$13, 100%, $E$13)</f>
        <v>8.3181999999999992</v>
      </c>
      <c r="J203" s="64">
        <f>4.4432 * CHOOSE(CONTROL!$C$22, $C$13, 100%, $E$13)</f>
        <v>4.4432</v>
      </c>
      <c r="K203" s="64">
        <f>4.4434 * CHOOSE(CONTROL!$C$22, $C$13, 100%, $E$13)</f>
        <v>4.4433999999999996</v>
      </c>
    </row>
    <row r="204" spans="1:11" ht="15">
      <c r="A204" s="13">
        <v>47849</v>
      </c>
      <c r="B204" s="63">
        <f>3.9538 * CHOOSE(CONTROL!$C$22, $C$13, 100%, $E$13)</f>
        <v>3.9538000000000002</v>
      </c>
      <c r="C204" s="63">
        <f>3.9538 * CHOOSE(CONTROL!$C$22, $C$13, 100%, $E$13)</f>
        <v>3.9538000000000002</v>
      </c>
      <c r="D204" s="63">
        <f>3.9653 * CHOOSE(CONTROL!$C$22, $C$13, 100%, $E$13)</f>
        <v>3.9653</v>
      </c>
      <c r="E204" s="64">
        <f>4.5104 * CHOOSE(CONTROL!$C$22, $C$13, 100%, $E$13)</f>
        <v>4.5103999999999997</v>
      </c>
      <c r="F204" s="64">
        <f>4.5104 * CHOOSE(CONTROL!$C$22, $C$13, 100%, $E$13)</f>
        <v>4.5103999999999997</v>
      </c>
      <c r="G204" s="64">
        <f>4.5106 * CHOOSE(CONTROL!$C$22, $C$13, 100%, $E$13)</f>
        <v>4.5106000000000002</v>
      </c>
      <c r="H204" s="64">
        <f>8.3354* CHOOSE(CONTROL!$C$22, $C$13, 100%, $E$13)</f>
        <v>8.3353999999999999</v>
      </c>
      <c r="I204" s="64">
        <f>8.3355 * CHOOSE(CONTROL!$C$22, $C$13, 100%, $E$13)</f>
        <v>8.3354999999999997</v>
      </c>
      <c r="J204" s="64">
        <f>4.5104 * CHOOSE(CONTROL!$C$22, $C$13, 100%, $E$13)</f>
        <v>4.5103999999999997</v>
      </c>
      <c r="K204" s="64">
        <f>4.5106 * CHOOSE(CONTROL!$C$22, $C$13, 100%, $E$13)</f>
        <v>4.5106000000000002</v>
      </c>
    </row>
    <row r="205" spans="1:11" ht="15">
      <c r="A205" s="13">
        <v>47880</v>
      </c>
      <c r="B205" s="63">
        <f>3.9507 * CHOOSE(CONTROL!$C$22, $C$13, 100%, $E$13)</f>
        <v>3.9506999999999999</v>
      </c>
      <c r="C205" s="63">
        <f>3.9507 * CHOOSE(CONTROL!$C$22, $C$13, 100%, $E$13)</f>
        <v>3.9506999999999999</v>
      </c>
      <c r="D205" s="63">
        <f>3.9623 * CHOOSE(CONTROL!$C$22, $C$13, 100%, $E$13)</f>
        <v>3.9622999999999999</v>
      </c>
      <c r="E205" s="64">
        <f>4.4581 * CHOOSE(CONTROL!$C$22, $C$13, 100%, $E$13)</f>
        <v>4.4581</v>
      </c>
      <c r="F205" s="64">
        <f>4.4581 * CHOOSE(CONTROL!$C$22, $C$13, 100%, $E$13)</f>
        <v>4.4581</v>
      </c>
      <c r="G205" s="64">
        <f>4.4582 * CHOOSE(CONTROL!$C$22, $C$13, 100%, $E$13)</f>
        <v>4.4581999999999997</v>
      </c>
      <c r="H205" s="64">
        <f>8.3527* CHOOSE(CONTROL!$C$22, $C$13, 100%, $E$13)</f>
        <v>8.3527000000000005</v>
      </c>
      <c r="I205" s="64">
        <f>8.3529 * CHOOSE(CONTROL!$C$22, $C$13, 100%, $E$13)</f>
        <v>8.3529</v>
      </c>
      <c r="J205" s="64">
        <f>4.4581 * CHOOSE(CONTROL!$C$22, $C$13, 100%, $E$13)</f>
        <v>4.4581</v>
      </c>
      <c r="K205" s="64">
        <f>4.4582 * CHOOSE(CONTROL!$C$22, $C$13, 100%, $E$13)</f>
        <v>4.4581999999999997</v>
      </c>
    </row>
    <row r="206" spans="1:11" ht="15">
      <c r="A206" s="13">
        <v>47908</v>
      </c>
      <c r="B206" s="63">
        <f>3.9477 * CHOOSE(CONTROL!$C$22, $C$13, 100%, $E$13)</f>
        <v>3.9477000000000002</v>
      </c>
      <c r="C206" s="63">
        <f>3.9477 * CHOOSE(CONTROL!$C$22, $C$13, 100%, $E$13)</f>
        <v>3.9477000000000002</v>
      </c>
      <c r="D206" s="63">
        <f>3.9593 * CHOOSE(CONTROL!$C$22, $C$13, 100%, $E$13)</f>
        <v>3.9592999999999998</v>
      </c>
      <c r="E206" s="64">
        <f>4.4956 * CHOOSE(CONTROL!$C$22, $C$13, 100%, $E$13)</f>
        <v>4.4955999999999996</v>
      </c>
      <c r="F206" s="64">
        <f>4.4956 * CHOOSE(CONTROL!$C$22, $C$13, 100%, $E$13)</f>
        <v>4.4955999999999996</v>
      </c>
      <c r="G206" s="64">
        <f>4.4957 * CHOOSE(CONTROL!$C$22, $C$13, 100%, $E$13)</f>
        <v>4.4957000000000003</v>
      </c>
      <c r="H206" s="64">
        <f>8.3701* CHOOSE(CONTROL!$C$22, $C$13, 100%, $E$13)</f>
        <v>8.3701000000000008</v>
      </c>
      <c r="I206" s="64">
        <f>8.3703 * CHOOSE(CONTROL!$C$22, $C$13, 100%, $E$13)</f>
        <v>8.3703000000000003</v>
      </c>
      <c r="J206" s="64">
        <f>4.4956 * CHOOSE(CONTROL!$C$22, $C$13, 100%, $E$13)</f>
        <v>4.4955999999999996</v>
      </c>
      <c r="K206" s="64">
        <f>4.4957 * CHOOSE(CONTROL!$C$22, $C$13, 100%, $E$13)</f>
        <v>4.4957000000000003</v>
      </c>
    </row>
    <row r="207" spans="1:11" ht="15">
      <c r="A207" s="13">
        <v>47939</v>
      </c>
      <c r="B207" s="63">
        <f>3.9454 * CHOOSE(CONTROL!$C$22, $C$13, 100%, $E$13)</f>
        <v>3.9453999999999998</v>
      </c>
      <c r="C207" s="63">
        <f>3.9454 * CHOOSE(CONTROL!$C$22, $C$13, 100%, $E$13)</f>
        <v>3.9453999999999998</v>
      </c>
      <c r="D207" s="63">
        <f>3.9569 * CHOOSE(CONTROL!$C$22, $C$13, 100%, $E$13)</f>
        <v>3.9569000000000001</v>
      </c>
      <c r="E207" s="64">
        <f>4.5339 * CHOOSE(CONTROL!$C$22, $C$13, 100%, $E$13)</f>
        <v>4.5339</v>
      </c>
      <c r="F207" s="64">
        <f>4.5339 * CHOOSE(CONTROL!$C$22, $C$13, 100%, $E$13)</f>
        <v>4.5339</v>
      </c>
      <c r="G207" s="64">
        <f>4.5341 * CHOOSE(CONTROL!$C$22, $C$13, 100%, $E$13)</f>
        <v>4.5340999999999996</v>
      </c>
      <c r="H207" s="64">
        <f>8.3876* CHOOSE(CONTROL!$C$22, $C$13, 100%, $E$13)</f>
        <v>8.3876000000000008</v>
      </c>
      <c r="I207" s="64">
        <f>8.3877 * CHOOSE(CONTROL!$C$22, $C$13, 100%, $E$13)</f>
        <v>8.3877000000000006</v>
      </c>
      <c r="J207" s="64">
        <f>4.5339 * CHOOSE(CONTROL!$C$22, $C$13, 100%, $E$13)</f>
        <v>4.5339</v>
      </c>
      <c r="K207" s="64">
        <f>4.5341 * CHOOSE(CONTROL!$C$22, $C$13, 100%, $E$13)</f>
        <v>4.5340999999999996</v>
      </c>
    </row>
    <row r="208" spans="1:11" ht="15">
      <c r="A208" s="13">
        <v>47969</v>
      </c>
      <c r="B208" s="63">
        <f>3.9454 * CHOOSE(CONTROL!$C$22, $C$13, 100%, $E$13)</f>
        <v>3.9453999999999998</v>
      </c>
      <c r="C208" s="63">
        <f>3.9454 * CHOOSE(CONTROL!$C$22, $C$13, 100%, $E$13)</f>
        <v>3.9453999999999998</v>
      </c>
      <c r="D208" s="63">
        <f>3.9685 * CHOOSE(CONTROL!$C$22, $C$13, 100%, $E$13)</f>
        <v>3.9685000000000001</v>
      </c>
      <c r="E208" s="64">
        <f>4.5498 * CHOOSE(CONTROL!$C$22, $C$13, 100%, $E$13)</f>
        <v>4.5498000000000003</v>
      </c>
      <c r="F208" s="64">
        <f>4.5498 * CHOOSE(CONTROL!$C$22, $C$13, 100%, $E$13)</f>
        <v>4.5498000000000003</v>
      </c>
      <c r="G208" s="64">
        <f>4.5513 * CHOOSE(CONTROL!$C$22, $C$13, 100%, $E$13)</f>
        <v>4.5513000000000003</v>
      </c>
      <c r="H208" s="64">
        <f>8.405* CHOOSE(CONTROL!$C$22, $C$13, 100%, $E$13)</f>
        <v>8.4049999999999994</v>
      </c>
      <c r="I208" s="64">
        <f>8.4065 * CHOOSE(CONTROL!$C$22, $C$13, 100%, $E$13)</f>
        <v>8.4064999999999994</v>
      </c>
      <c r="J208" s="64">
        <f>4.5498 * CHOOSE(CONTROL!$C$22, $C$13, 100%, $E$13)</f>
        <v>4.5498000000000003</v>
      </c>
      <c r="K208" s="64">
        <f>4.5513 * CHOOSE(CONTROL!$C$22, $C$13, 100%, $E$13)</f>
        <v>4.5513000000000003</v>
      </c>
    </row>
    <row r="209" spans="1:11" ht="15">
      <c r="A209" s="13">
        <v>48000</v>
      </c>
      <c r="B209" s="63">
        <f>3.9515 * CHOOSE(CONTROL!$C$22, $C$13, 100%, $E$13)</f>
        <v>3.9514999999999998</v>
      </c>
      <c r="C209" s="63">
        <f>3.9515 * CHOOSE(CONTROL!$C$22, $C$13, 100%, $E$13)</f>
        <v>3.9514999999999998</v>
      </c>
      <c r="D209" s="63">
        <f>3.9746 * CHOOSE(CONTROL!$C$22, $C$13, 100%, $E$13)</f>
        <v>3.9746000000000001</v>
      </c>
      <c r="E209" s="64">
        <f>4.5381 * CHOOSE(CONTROL!$C$22, $C$13, 100%, $E$13)</f>
        <v>4.5381</v>
      </c>
      <c r="F209" s="64">
        <f>4.5381 * CHOOSE(CONTROL!$C$22, $C$13, 100%, $E$13)</f>
        <v>4.5381</v>
      </c>
      <c r="G209" s="64">
        <f>4.5396 * CHOOSE(CONTROL!$C$22, $C$13, 100%, $E$13)</f>
        <v>4.5396000000000001</v>
      </c>
      <c r="H209" s="64">
        <f>8.4226* CHOOSE(CONTROL!$C$22, $C$13, 100%, $E$13)</f>
        <v>8.4225999999999992</v>
      </c>
      <c r="I209" s="64">
        <f>8.424 * CHOOSE(CONTROL!$C$22, $C$13, 100%, $E$13)</f>
        <v>8.4239999999999995</v>
      </c>
      <c r="J209" s="64">
        <f>4.5381 * CHOOSE(CONTROL!$C$22, $C$13, 100%, $E$13)</f>
        <v>4.5381</v>
      </c>
      <c r="K209" s="64">
        <f>4.5396 * CHOOSE(CONTROL!$C$22, $C$13, 100%, $E$13)</f>
        <v>4.5396000000000001</v>
      </c>
    </row>
    <row r="210" spans="1:11" ht="15">
      <c r="A210" s="13">
        <v>48030</v>
      </c>
      <c r="B210" s="63">
        <f>4.021 * CHOOSE(CONTROL!$C$22, $C$13, 100%, $E$13)</f>
        <v>4.0209999999999999</v>
      </c>
      <c r="C210" s="63">
        <f>4.021 * CHOOSE(CONTROL!$C$22, $C$13, 100%, $E$13)</f>
        <v>4.0209999999999999</v>
      </c>
      <c r="D210" s="63">
        <f>4.0441 * CHOOSE(CONTROL!$C$22, $C$13, 100%, $E$13)</f>
        <v>4.0441000000000003</v>
      </c>
      <c r="E210" s="64">
        <f>4.6515 * CHOOSE(CONTROL!$C$22, $C$13, 100%, $E$13)</f>
        <v>4.6515000000000004</v>
      </c>
      <c r="F210" s="64">
        <f>4.6515 * CHOOSE(CONTROL!$C$22, $C$13, 100%, $E$13)</f>
        <v>4.6515000000000004</v>
      </c>
      <c r="G210" s="64">
        <f>4.653 * CHOOSE(CONTROL!$C$22, $C$13, 100%, $E$13)</f>
        <v>4.6529999999999996</v>
      </c>
      <c r="H210" s="64">
        <f>8.4401* CHOOSE(CONTROL!$C$22, $C$13, 100%, $E$13)</f>
        <v>8.4400999999999993</v>
      </c>
      <c r="I210" s="64">
        <f>8.4416 * CHOOSE(CONTROL!$C$22, $C$13, 100%, $E$13)</f>
        <v>8.4415999999999993</v>
      </c>
      <c r="J210" s="64">
        <f>4.6515 * CHOOSE(CONTROL!$C$22, $C$13, 100%, $E$13)</f>
        <v>4.6515000000000004</v>
      </c>
      <c r="K210" s="64">
        <f>4.653 * CHOOSE(CONTROL!$C$22, $C$13, 100%, $E$13)</f>
        <v>4.6529999999999996</v>
      </c>
    </row>
    <row r="211" spans="1:11" ht="15">
      <c r="A211" s="13">
        <v>48061</v>
      </c>
      <c r="B211" s="63">
        <f>4.0277 * CHOOSE(CONTROL!$C$22, $C$13, 100%, $E$13)</f>
        <v>4.0277000000000003</v>
      </c>
      <c r="C211" s="63">
        <f>4.0277 * CHOOSE(CONTROL!$C$22, $C$13, 100%, $E$13)</f>
        <v>4.0277000000000003</v>
      </c>
      <c r="D211" s="63">
        <f>4.0508 * CHOOSE(CONTROL!$C$22, $C$13, 100%, $E$13)</f>
        <v>4.0507999999999997</v>
      </c>
      <c r="E211" s="64">
        <f>4.6083 * CHOOSE(CONTROL!$C$22, $C$13, 100%, $E$13)</f>
        <v>4.6082999999999998</v>
      </c>
      <c r="F211" s="64">
        <f>4.6083 * CHOOSE(CONTROL!$C$22, $C$13, 100%, $E$13)</f>
        <v>4.6082999999999998</v>
      </c>
      <c r="G211" s="64">
        <f>4.6097 * CHOOSE(CONTROL!$C$22, $C$13, 100%, $E$13)</f>
        <v>4.6097000000000001</v>
      </c>
      <c r="H211" s="64">
        <f>8.4577* CHOOSE(CONTROL!$C$22, $C$13, 100%, $E$13)</f>
        <v>8.4577000000000009</v>
      </c>
      <c r="I211" s="64">
        <f>8.4592 * CHOOSE(CONTROL!$C$22, $C$13, 100%, $E$13)</f>
        <v>8.4591999999999992</v>
      </c>
      <c r="J211" s="64">
        <f>4.6083 * CHOOSE(CONTROL!$C$22, $C$13, 100%, $E$13)</f>
        <v>4.6082999999999998</v>
      </c>
      <c r="K211" s="64">
        <f>4.6097 * CHOOSE(CONTROL!$C$22, $C$13, 100%, $E$13)</f>
        <v>4.6097000000000001</v>
      </c>
    </row>
    <row r="212" spans="1:11" ht="15">
      <c r="A212" s="13">
        <v>48092</v>
      </c>
      <c r="B212" s="63">
        <f>4.0246 * CHOOSE(CONTROL!$C$22, $C$13, 100%, $E$13)</f>
        <v>4.0246000000000004</v>
      </c>
      <c r="C212" s="63">
        <f>4.0246 * CHOOSE(CONTROL!$C$22, $C$13, 100%, $E$13)</f>
        <v>4.0246000000000004</v>
      </c>
      <c r="D212" s="63">
        <f>4.0477 * CHOOSE(CONTROL!$C$22, $C$13, 100%, $E$13)</f>
        <v>4.0476999999999999</v>
      </c>
      <c r="E212" s="64">
        <f>4.6008 * CHOOSE(CONTROL!$C$22, $C$13, 100%, $E$13)</f>
        <v>4.6007999999999996</v>
      </c>
      <c r="F212" s="64">
        <f>4.6008 * CHOOSE(CONTROL!$C$22, $C$13, 100%, $E$13)</f>
        <v>4.6007999999999996</v>
      </c>
      <c r="G212" s="64">
        <f>4.6023 * CHOOSE(CONTROL!$C$22, $C$13, 100%, $E$13)</f>
        <v>4.6022999999999996</v>
      </c>
      <c r="H212" s="64">
        <f>8.4753* CHOOSE(CONTROL!$C$22, $C$13, 100%, $E$13)</f>
        <v>8.4753000000000007</v>
      </c>
      <c r="I212" s="64">
        <f>8.4768 * CHOOSE(CONTROL!$C$22, $C$13, 100%, $E$13)</f>
        <v>8.4768000000000008</v>
      </c>
      <c r="J212" s="64">
        <f>4.6008 * CHOOSE(CONTROL!$C$22, $C$13, 100%, $E$13)</f>
        <v>4.6007999999999996</v>
      </c>
      <c r="K212" s="64">
        <f>4.6023 * CHOOSE(CONTROL!$C$22, $C$13, 100%, $E$13)</f>
        <v>4.6022999999999996</v>
      </c>
    </row>
    <row r="213" spans="1:11" ht="15">
      <c r="A213" s="13">
        <v>48122</v>
      </c>
      <c r="B213" s="63">
        <f>4.02 * CHOOSE(CONTROL!$C$22, $C$13, 100%, $E$13)</f>
        <v>4.0199999999999996</v>
      </c>
      <c r="C213" s="63">
        <f>4.02 * CHOOSE(CONTROL!$C$22, $C$13, 100%, $E$13)</f>
        <v>4.0199999999999996</v>
      </c>
      <c r="D213" s="63">
        <f>4.0316 * CHOOSE(CONTROL!$C$22, $C$13, 100%, $E$13)</f>
        <v>4.0316000000000001</v>
      </c>
      <c r="E213" s="64">
        <f>4.6087 * CHOOSE(CONTROL!$C$22, $C$13, 100%, $E$13)</f>
        <v>4.6086999999999998</v>
      </c>
      <c r="F213" s="64">
        <f>4.6087 * CHOOSE(CONTROL!$C$22, $C$13, 100%, $E$13)</f>
        <v>4.6086999999999998</v>
      </c>
      <c r="G213" s="64">
        <f>4.6089 * CHOOSE(CONTROL!$C$22, $C$13, 100%, $E$13)</f>
        <v>4.6089000000000002</v>
      </c>
      <c r="H213" s="64">
        <f>8.493* CHOOSE(CONTROL!$C$22, $C$13, 100%, $E$13)</f>
        <v>8.4930000000000003</v>
      </c>
      <c r="I213" s="64">
        <f>8.4931 * CHOOSE(CONTROL!$C$22, $C$13, 100%, $E$13)</f>
        <v>8.4931000000000001</v>
      </c>
      <c r="J213" s="64">
        <f>4.6087 * CHOOSE(CONTROL!$C$22, $C$13, 100%, $E$13)</f>
        <v>4.6086999999999998</v>
      </c>
      <c r="K213" s="64">
        <f>4.6089 * CHOOSE(CONTROL!$C$22, $C$13, 100%, $E$13)</f>
        <v>4.6089000000000002</v>
      </c>
    </row>
    <row r="214" spans="1:11" ht="15">
      <c r="A214" s="13">
        <v>48153</v>
      </c>
      <c r="B214" s="63">
        <f>4.0231 * CHOOSE(CONTROL!$C$22, $C$13, 100%, $E$13)</f>
        <v>4.0231000000000003</v>
      </c>
      <c r="C214" s="63">
        <f>4.0231 * CHOOSE(CONTROL!$C$22, $C$13, 100%, $E$13)</f>
        <v>4.0231000000000003</v>
      </c>
      <c r="D214" s="63">
        <f>4.0346 * CHOOSE(CONTROL!$C$22, $C$13, 100%, $E$13)</f>
        <v>4.0346000000000002</v>
      </c>
      <c r="E214" s="64">
        <f>4.6214 * CHOOSE(CONTROL!$C$22, $C$13, 100%, $E$13)</f>
        <v>4.6214000000000004</v>
      </c>
      <c r="F214" s="64">
        <f>4.6214 * CHOOSE(CONTROL!$C$22, $C$13, 100%, $E$13)</f>
        <v>4.6214000000000004</v>
      </c>
      <c r="G214" s="64">
        <f>4.6216 * CHOOSE(CONTROL!$C$22, $C$13, 100%, $E$13)</f>
        <v>4.6215999999999999</v>
      </c>
      <c r="H214" s="64">
        <f>8.5107* CHOOSE(CONTROL!$C$22, $C$13, 100%, $E$13)</f>
        <v>8.5106999999999999</v>
      </c>
      <c r="I214" s="64">
        <f>8.5108 * CHOOSE(CONTROL!$C$22, $C$13, 100%, $E$13)</f>
        <v>8.5107999999999997</v>
      </c>
      <c r="J214" s="64">
        <f>4.6214 * CHOOSE(CONTROL!$C$22, $C$13, 100%, $E$13)</f>
        <v>4.6214000000000004</v>
      </c>
      <c r="K214" s="64">
        <f>4.6216 * CHOOSE(CONTROL!$C$22, $C$13, 100%, $E$13)</f>
        <v>4.6215999999999999</v>
      </c>
    </row>
    <row r="215" spans="1:11" ht="15">
      <c r="A215" s="13">
        <v>48183</v>
      </c>
      <c r="B215" s="63">
        <f>4.0231 * CHOOSE(CONTROL!$C$22, $C$13, 100%, $E$13)</f>
        <v>4.0231000000000003</v>
      </c>
      <c r="C215" s="63">
        <f>4.0231 * CHOOSE(CONTROL!$C$22, $C$13, 100%, $E$13)</f>
        <v>4.0231000000000003</v>
      </c>
      <c r="D215" s="63">
        <f>4.0346 * CHOOSE(CONTROL!$C$22, $C$13, 100%, $E$13)</f>
        <v>4.0346000000000002</v>
      </c>
      <c r="E215" s="64">
        <f>4.5948 * CHOOSE(CONTROL!$C$22, $C$13, 100%, $E$13)</f>
        <v>4.5948000000000002</v>
      </c>
      <c r="F215" s="64">
        <f>4.5948 * CHOOSE(CONTROL!$C$22, $C$13, 100%, $E$13)</f>
        <v>4.5948000000000002</v>
      </c>
      <c r="G215" s="64">
        <f>4.595 * CHOOSE(CONTROL!$C$22, $C$13, 100%, $E$13)</f>
        <v>4.5949999999999998</v>
      </c>
      <c r="H215" s="64">
        <f>8.5284* CHOOSE(CONTROL!$C$22, $C$13, 100%, $E$13)</f>
        <v>8.5283999999999995</v>
      </c>
      <c r="I215" s="64">
        <f>8.5286 * CHOOSE(CONTROL!$C$22, $C$13, 100%, $E$13)</f>
        <v>8.5286000000000008</v>
      </c>
      <c r="J215" s="64">
        <f>4.5948 * CHOOSE(CONTROL!$C$22, $C$13, 100%, $E$13)</f>
        <v>4.5948000000000002</v>
      </c>
      <c r="K215" s="64">
        <f>4.595 * CHOOSE(CONTROL!$C$22, $C$13, 100%, $E$13)</f>
        <v>4.5949999999999998</v>
      </c>
    </row>
    <row r="216" spans="1:11" ht="15">
      <c r="A216" s="13">
        <v>48214</v>
      </c>
      <c r="B216" s="63">
        <f>4.0668 * CHOOSE(CONTROL!$C$22, $C$13, 100%, $E$13)</f>
        <v>4.0667999999999997</v>
      </c>
      <c r="C216" s="63">
        <f>4.0668 * CHOOSE(CONTROL!$C$22, $C$13, 100%, $E$13)</f>
        <v>4.0667999999999997</v>
      </c>
      <c r="D216" s="63">
        <f>4.0783 * CHOOSE(CONTROL!$C$22, $C$13, 100%, $E$13)</f>
        <v>4.0782999999999996</v>
      </c>
      <c r="E216" s="64">
        <f>4.6594 * CHOOSE(CONTROL!$C$22, $C$13, 100%, $E$13)</f>
        <v>4.6593999999999998</v>
      </c>
      <c r="F216" s="64">
        <f>4.6594 * CHOOSE(CONTROL!$C$22, $C$13, 100%, $E$13)</f>
        <v>4.6593999999999998</v>
      </c>
      <c r="G216" s="64">
        <f>4.6595 * CHOOSE(CONTROL!$C$22, $C$13, 100%, $E$13)</f>
        <v>4.6595000000000004</v>
      </c>
      <c r="H216" s="64">
        <f>8.5462* CHOOSE(CONTROL!$C$22, $C$13, 100%, $E$13)</f>
        <v>8.5462000000000007</v>
      </c>
      <c r="I216" s="64">
        <f>8.5463 * CHOOSE(CONTROL!$C$22, $C$13, 100%, $E$13)</f>
        <v>8.5463000000000005</v>
      </c>
      <c r="J216" s="64">
        <f>4.6594 * CHOOSE(CONTROL!$C$22, $C$13, 100%, $E$13)</f>
        <v>4.6593999999999998</v>
      </c>
      <c r="K216" s="64">
        <f>4.6595 * CHOOSE(CONTROL!$C$22, $C$13, 100%, $E$13)</f>
        <v>4.6595000000000004</v>
      </c>
    </row>
    <row r="217" spans="1:11" ht="15">
      <c r="A217" s="13">
        <v>48245</v>
      </c>
      <c r="B217" s="63">
        <f>4.0637 * CHOOSE(CONTROL!$C$22, $C$13, 100%, $E$13)</f>
        <v>4.0636999999999999</v>
      </c>
      <c r="C217" s="63">
        <f>4.0637 * CHOOSE(CONTROL!$C$22, $C$13, 100%, $E$13)</f>
        <v>4.0636999999999999</v>
      </c>
      <c r="D217" s="63">
        <f>4.0753 * CHOOSE(CONTROL!$C$22, $C$13, 100%, $E$13)</f>
        <v>4.0753000000000004</v>
      </c>
      <c r="E217" s="64">
        <f>4.6056 * CHOOSE(CONTROL!$C$22, $C$13, 100%, $E$13)</f>
        <v>4.6055999999999999</v>
      </c>
      <c r="F217" s="64">
        <f>4.6056 * CHOOSE(CONTROL!$C$22, $C$13, 100%, $E$13)</f>
        <v>4.6055999999999999</v>
      </c>
      <c r="G217" s="64">
        <f>4.6058 * CHOOSE(CONTROL!$C$22, $C$13, 100%, $E$13)</f>
        <v>4.6058000000000003</v>
      </c>
      <c r="H217" s="64">
        <f>8.564* CHOOSE(CONTROL!$C$22, $C$13, 100%, $E$13)</f>
        <v>8.5640000000000001</v>
      </c>
      <c r="I217" s="64">
        <f>8.5641 * CHOOSE(CONTROL!$C$22, $C$13, 100%, $E$13)</f>
        <v>8.5640999999999998</v>
      </c>
      <c r="J217" s="64">
        <f>4.6056 * CHOOSE(CONTROL!$C$22, $C$13, 100%, $E$13)</f>
        <v>4.6055999999999999</v>
      </c>
      <c r="K217" s="64">
        <f>4.6058 * CHOOSE(CONTROL!$C$22, $C$13, 100%, $E$13)</f>
        <v>4.6058000000000003</v>
      </c>
    </row>
    <row r="218" spans="1:11" ht="15">
      <c r="A218" s="13">
        <v>48274</v>
      </c>
      <c r="B218" s="63">
        <f>4.0607 * CHOOSE(CONTROL!$C$22, $C$13, 100%, $E$13)</f>
        <v>4.0606999999999998</v>
      </c>
      <c r="C218" s="63">
        <f>4.0607 * CHOOSE(CONTROL!$C$22, $C$13, 100%, $E$13)</f>
        <v>4.0606999999999998</v>
      </c>
      <c r="D218" s="63">
        <f>4.0723 * CHOOSE(CONTROL!$C$22, $C$13, 100%, $E$13)</f>
        <v>4.0723000000000003</v>
      </c>
      <c r="E218" s="64">
        <f>4.6442 * CHOOSE(CONTROL!$C$22, $C$13, 100%, $E$13)</f>
        <v>4.6441999999999997</v>
      </c>
      <c r="F218" s="64">
        <f>4.6442 * CHOOSE(CONTROL!$C$22, $C$13, 100%, $E$13)</f>
        <v>4.6441999999999997</v>
      </c>
      <c r="G218" s="64">
        <f>4.6444 * CHOOSE(CONTROL!$C$22, $C$13, 100%, $E$13)</f>
        <v>4.6444000000000001</v>
      </c>
      <c r="H218" s="64">
        <f>8.5818* CHOOSE(CONTROL!$C$22, $C$13, 100%, $E$13)</f>
        <v>8.5817999999999994</v>
      </c>
      <c r="I218" s="64">
        <f>8.582 * CHOOSE(CONTROL!$C$22, $C$13, 100%, $E$13)</f>
        <v>8.5820000000000007</v>
      </c>
      <c r="J218" s="64">
        <f>4.6442 * CHOOSE(CONTROL!$C$22, $C$13, 100%, $E$13)</f>
        <v>4.6441999999999997</v>
      </c>
      <c r="K218" s="64">
        <f>4.6444 * CHOOSE(CONTROL!$C$22, $C$13, 100%, $E$13)</f>
        <v>4.6444000000000001</v>
      </c>
    </row>
    <row r="219" spans="1:11" ht="15">
      <c r="A219" s="13">
        <v>48305</v>
      </c>
      <c r="B219" s="63">
        <f>4.0585 * CHOOSE(CONTROL!$C$22, $C$13, 100%, $E$13)</f>
        <v>4.0585000000000004</v>
      </c>
      <c r="C219" s="63">
        <f>4.0585 * CHOOSE(CONTROL!$C$22, $C$13, 100%, $E$13)</f>
        <v>4.0585000000000004</v>
      </c>
      <c r="D219" s="63">
        <f>4.07 * CHOOSE(CONTROL!$C$22, $C$13, 100%, $E$13)</f>
        <v>4.07</v>
      </c>
      <c r="E219" s="64">
        <f>4.6837 * CHOOSE(CONTROL!$C$22, $C$13, 100%, $E$13)</f>
        <v>4.6837</v>
      </c>
      <c r="F219" s="64">
        <f>4.6837 * CHOOSE(CONTROL!$C$22, $C$13, 100%, $E$13)</f>
        <v>4.6837</v>
      </c>
      <c r="G219" s="64">
        <f>4.6838 * CHOOSE(CONTROL!$C$22, $C$13, 100%, $E$13)</f>
        <v>4.6837999999999997</v>
      </c>
      <c r="H219" s="64">
        <f>8.5997* CHOOSE(CONTROL!$C$22, $C$13, 100%, $E$13)</f>
        <v>8.5997000000000003</v>
      </c>
      <c r="I219" s="64">
        <f>8.5999 * CHOOSE(CONTROL!$C$22, $C$13, 100%, $E$13)</f>
        <v>8.5998999999999999</v>
      </c>
      <c r="J219" s="64">
        <f>4.6837 * CHOOSE(CONTROL!$C$22, $C$13, 100%, $E$13)</f>
        <v>4.6837</v>
      </c>
      <c r="K219" s="64">
        <f>4.6838 * CHOOSE(CONTROL!$C$22, $C$13, 100%, $E$13)</f>
        <v>4.6837999999999997</v>
      </c>
    </row>
    <row r="220" spans="1:11" ht="15">
      <c r="A220" s="13">
        <v>48335</v>
      </c>
      <c r="B220" s="63">
        <f>4.0585 * CHOOSE(CONTROL!$C$22, $C$13, 100%, $E$13)</f>
        <v>4.0585000000000004</v>
      </c>
      <c r="C220" s="63">
        <f>4.0585 * CHOOSE(CONTROL!$C$22, $C$13, 100%, $E$13)</f>
        <v>4.0585000000000004</v>
      </c>
      <c r="D220" s="63">
        <f>4.0816 * CHOOSE(CONTROL!$C$22, $C$13, 100%, $E$13)</f>
        <v>4.0815999999999999</v>
      </c>
      <c r="E220" s="64">
        <f>4.7 * CHOOSE(CONTROL!$C$22, $C$13, 100%, $E$13)</f>
        <v>4.7</v>
      </c>
      <c r="F220" s="64">
        <f>4.7 * CHOOSE(CONTROL!$C$22, $C$13, 100%, $E$13)</f>
        <v>4.7</v>
      </c>
      <c r="G220" s="64">
        <f>4.7015 * CHOOSE(CONTROL!$C$22, $C$13, 100%, $E$13)</f>
        <v>4.7015000000000002</v>
      </c>
      <c r="H220" s="64">
        <f>8.6176* CHOOSE(CONTROL!$C$22, $C$13, 100%, $E$13)</f>
        <v>8.6175999999999995</v>
      </c>
      <c r="I220" s="64">
        <f>8.6191 * CHOOSE(CONTROL!$C$22, $C$13, 100%, $E$13)</f>
        <v>8.6190999999999995</v>
      </c>
      <c r="J220" s="64">
        <f>4.7 * CHOOSE(CONTROL!$C$22, $C$13, 100%, $E$13)</f>
        <v>4.7</v>
      </c>
      <c r="K220" s="64">
        <f>4.7015 * CHOOSE(CONTROL!$C$22, $C$13, 100%, $E$13)</f>
        <v>4.7015000000000002</v>
      </c>
    </row>
    <row r="221" spans="1:11" ht="15">
      <c r="A221" s="13">
        <v>48366</v>
      </c>
      <c r="B221" s="63">
        <f>4.0646 * CHOOSE(CONTROL!$C$22, $C$13, 100%, $E$13)</f>
        <v>4.0646000000000004</v>
      </c>
      <c r="C221" s="63">
        <f>4.0646 * CHOOSE(CONTROL!$C$22, $C$13, 100%, $E$13)</f>
        <v>4.0646000000000004</v>
      </c>
      <c r="D221" s="63">
        <f>4.0877 * CHOOSE(CONTROL!$C$22, $C$13, 100%, $E$13)</f>
        <v>4.0876999999999999</v>
      </c>
      <c r="E221" s="64">
        <f>4.6879 * CHOOSE(CONTROL!$C$22, $C$13, 100%, $E$13)</f>
        <v>4.6879</v>
      </c>
      <c r="F221" s="64">
        <f>4.6879 * CHOOSE(CONTROL!$C$22, $C$13, 100%, $E$13)</f>
        <v>4.6879</v>
      </c>
      <c r="G221" s="64">
        <f>4.6894 * CHOOSE(CONTROL!$C$22, $C$13, 100%, $E$13)</f>
        <v>4.6894</v>
      </c>
      <c r="H221" s="64">
        <f>8.6355* CHOOSE(CONTROL!$C$22, $C$13, 100%, $E$13)</f>
        <v>8.6355000000000004</v>
      </c>
      <c r="I221" s="64">
        <f>8.637 * CHOOSE(CONTROL!$C$22, $C$13, 100%, $E$13)</f>
        <v>8.6370000000000005</v>
      </c>
      <c r="J221" s="64">
        <f>4.6879 * CHOOSE(CONTROL!$C$22, $C$13, 100%, $E$13)</f>
        <v>4.6879</v>
      </c>
      <c r="K221" s="64">
        <f>4.6894 * CHOOSE(CONTROL!$C$22, $C$13, 100%, $E$13)</f>
        <v>4.6894</v>
      </c>
    </row>
    <row r="222" spans="1:11" ht="15">
      <c r="A222" s="13">
        <v>48396</v>
      </c>
      <c r="B222" s="63">
        <f>4.1497 * CHOOSE(CONTROL!$C$22, $C$13, 100%, $E$13)</f>
        <v>4.1497000000000002</v>
      </c>
      <c r="C222" s="63">
        <f>4.1497 * CHOOSE(CONTROL!$C$22, $C$13, 100%, $E$13)</f>
        <v>4.1497000000000002</v>
      </c>
      <c r="D222" s="63">
        <f>4.1728 * CHOOSE(CONTROL!$C$22, $C$13, 100%, $E$13)</f>
        <v>4.1727999999999996</v>
      </c>
      <c r="E222" s="64">
        <f>4.7922 * CHOOSE(CONTROL!$C$22, $C$13, 100%, $E$13)</f>
        <v>4.7922000000000002</v>
      </c>
      <c r="F222" s="64">
        <f>4.7922 * CHOOSE(CONTROL!$C$22, $C$13, 100%, $E$13)</f>
        <v>4.7922000000000002</v>
      </c>
      <c r="G222" s="64">
        <f>4.7937 * CHOOSE(CONTROL!$C$22, $C$13, 100%, $E$13)</f>
        <v>4.7937000000000003</v>
      </c>
      <c r="H222" s="64">
        <f>8.6535* CHOOSE(CONTROL!$C$22, $C$13, 100%, $E$13)</f>
        <v>8.6534999999999993</v>
      </c>
      <c r="I222" s="64">
        <f>8.655 * CHOOSE(CONTROL!$C$22, $C$13, 100%, $E$13)</f>
        <v>8.6549999999999994</v>
      </c>
      <c r="J222" s="64">
        <f>4.7922 * CHOOSE(CONTROL!$C$22, $C$13, 100%, $E$13)</f>
        <v>4.7922000000000002</v>
      </c>
      <c r="K222" s="64">
        <f>4.7937 * CHOOSE(CONTROL!$C$22, $C$13, 100%, $E$13)</f>
        <v>4.7937000000000003</v>
      </c>
    </row>
    <row r="223" spans="1:11" ht="15">
      <c r="A223" s="13">
        <v>48427</v>
      </c>
      <c r="B223" s="63">
        <f>4.1564 * CHOOSE(CONTROL!$C$22, $C$13, 100%, $E$13)</f>
        <v>4.1563999999999997</v>
      </c>
      <c r="C223" s="63">
        <f>4.1564 * CHOOSE(CONTROL!$C$22, $C$13, 100%, $E$13)</f>
        <v>4.1563999999999997</v>
      </c>
      <c r="D223" s="63">
        <f>4.1795 * CHOOSE(CONTROL!$C$22, $C$13, 100%, $E$13)</f>
        <v>4.1795</v>
      </c>
      <c r="E223" s="64">
        <f>4.7477 * CHOOSE(CONTROL!$C$22, $C$13, 100%, $E$13)</f>
        <v>4.7477</v>
      </c>
      <c r="F223" s="64">
        <f>4.7477 * CHOOSE(CONTROL!$C$22, $C$13, 100%, $E$13)</f>
        <v>4.7477</v>
      </c>
      <c r="G223" s="64">
        <f>4.7492 * CHOOSE(CONTROL!$C$22, $C$13, 100%, $E$13)</f>
        <v>4.7492000000000001</v>
      </c>
      <c r="H223" s="64">
        <f>8.6716* CHOOSE(CONTROL!$C$22, $C$13, 100%, $E$13)</f>
        <v>8.6715999999999998</v>
      </c>
      <c r="I223" s="64">
        <f>8.6731 * CHOOSE(CONTROL!$C$22, $C$13, 100%, $E$13)</f>
        <v>8.6730999999999998</v>
      </c>
      <c r="J223" s="64">
        <f>4.7477 * CHOOSE(CONTROL!$C$22, $C$13, 100%, $E$13)</f>
        <v>4.7477</v>
      </c>
      <c r="K223" s="64">
        <f>4.7492 * CHOOSE(CONTROL!$C$22, $C$13, 100%, $E$13)</f>
        <v>4.7492000000000001</v>
      </c>
    </row>
    <row r="224" spans="1:11" ht="15">
      <c r="A224" s="13">
        <v>48458</v>
      </c>
      <c r="B224" s="63">
        <f>4.1533 * CHOOSE(CONTROL!$C$22, $C$13, 100%, $E$13)</f>
        <v>4.1532999999999998</v>
      </c>
      <c r="C224" s="63">
        <f>4.1533 * CHOOSE(CONTROL!$C$22, $C$13, 100%, $E$13)</f>
        <v>4.1532999999999998</v>
      </c>
      <c r="D224" s="63">
        <f>4.1764 * CHOOSE(CONTROL!$C$22, $C$13, 100%, $E$13)</f>
        <v>4.1764000000000001</v>
      </c>
      <c r="E224" s="64">
        <f>4.7401 * CHOOSE(CONTROL!$C$22, $C$13, 100%, $E$13)</f>
        <v>4.7401</v>
      </c>
      <c r="F224" s="64">
        <f>4.7401 * CHOOSE(CONTROL!$C$22, $C$13, 100%, $E$13)</f>
        <v>4.7401</v>
      </c>
      <c r="G224" s="64">
        <f>4.7416 * CHOOSE(CONTROL!$C$22, $C$13, 100%, $E$13)</f>
        <v>4.7416</v>
      </c>
      <c r="H224" s="64">
        <f>8.6896* CHOOSE(CONTROL!$C$22, $C$13, 100%, $E$13)</f>
        <v>8.6896000000000004</v>
      </c>
      <c r="I224" s="64">
        <f>8.6911 * CHOOSE(CONTROL!$C$22, $C$13, 100%, $E$13)</f>
        <v>8.6911000000000005</v>
      </c>
      <c r="J224" s="64">
        <f>4.7401 * CHOOSE(CONTROL!$C$22, $C$13, 100%, $E$13)</f>
        <v>4.7401</v>
      </c>
      <c r="K224" s="64">
        <f>4.7416 * CHOOSE(CONTROL!$C$22, $C$13, 100%, $E$13)</f>
        <v>4.7416</v>
      </c>
    </row>
    <row r="225" spans="1:11" ht="15">
      <c r="A225" s="13">
        <v>48488</v>
      </c>
      <c r="B225" s="63">
        <f>4.1491 * CHOOSE(CONTROL!$C$22, $C$13, 100%, $E$13)</f>
        <v>4.1490999999999998</v>
      </c>
      <c r="C225" s="63">
        <f>4.1491 * CHOOSE(CONTROL!$C$22, $C$13, 100%, $E$13)</f>
        <v>4.1490999999999998</v>
      </c>
      <c r="D225" s="63">
        <f>4.1607 * CHOOSE(CONTROL!$C$22, $C$13, 100%, $E$13)</f>
        <v>4.1607000000000003</v>
      </c>
      <c r="E225" s="64">
        <f>4.7485 * CHOOSE(CONTROL!$C$22, $C$13, 100%, $E$13)</f>
        <v>4.7484999999999999</v>
      </c>
      <c r="F225" s="64">
        <f>4.7485 * CHOOSE(CONTROL!$C$22, $C$13, 100%, $E$13)</f>
        <v>4.7484999999999999</v>
      </c>
      <c r="G225" s="64">
        <f>4.7487 * CHOOSE(CONTROL!$C$22, $C$13, 100%, $E$13)</f>
        <v>4.7487000000000004</v>
      </c>
      <c r="H225" s="64">
        <f>8.7077* CHOOSE(CONTROL!$C$22, $C$13, 100%, $E$13)</f>
        <v>8.7077000000000009</v>
      </c>
      <c r="I225" s="64">
        <f>8.7079 * CHOOSE(CONTROL!$C$22, $C$13, 100%, $E$13)</f>
        <v>8.7079000000000004</v>
      </c>
      <c r="J225" s="64">
        <f>4.7485 * CHOOSE(CONTROL!$C$22, $C$13, 100%, $E$13)</f>
        <v>4.7484999999999999</v>
      </c>
      <c r="K225" s="64">
        <f>4.7487 * CHOOSE(CONTROL!$C$22, $C$13, 100%, $E$13)</f>
        <v>4.7487000000000004</v>
      </c>
    </row>
    <row r="226" spans="1:11" ht="15">
      <c r="A226" s="13">
        <v>48519</v>
      </c>
      <c r="B226" s="63">
        <f>4.1522 * CHOOSE(CONTROL!$C$22, $C$13, 100%, $E$13)</f>
        <v>4.1521999999999997</v>
      </c>
      <c r="C226" s="63">
        <f>4.1522 * CHOOSE(CONTROL!$C$22, $C$13, 100%, $E$13)</f>
        <v>4.1521999999999997</v>
      </c>
      <c r="D226" s="63">
        <f>4.1637 * CHOOSE(CONTROL!$C$22, $C$13, 100%, $E$13)</f>
        <v>4.1637000000000004</v>
      </c>
      <c r="E226" s="64">
        <f>4.7616 * CHOOSE(CONTROL!$C$22, $C$13, 100%, $E$13)</f>
        <v>4.7615999999999996</v>
      </c>
      <c r="F226" s="64">
        <f>4.7616 * CHOOSE(CONTROL!$C$22, $C$13, 100%, $E$13)</f>
        <v>4.7615999999999996</v>
      </c>
      <c r="G226" s="64">
        <f>4.7617 * CHOOSE(CONTROL!$C$22, $C$13, 100%, $E$13)</f>
        <v>4.7617000000000003</v>
      </c>
      <c r="H226" s="64">
        <f>8.7259* CHOOSE(CONTROL!$C$22, $C$13, 100%, $E$13)</f>
        <v>8.7258999999999993</v>
      </c>
      <c r="I226" s="64">
        <f>8.7261 * CHOOSE(CONTROL!$C$22, $C$13, 100%, $E$13)</f>
        <v>8.7261000000000006</v>
      </c>
      <c r="J226" s="64">
        <f>4.7616 * CHOOSE(CONTROL!$C$22, $C$13, 100%, $E$13)</f>
        <v>4.7615999999999996</v>
      </c>
      <c r="K226" s="64">
        <f>4.7617 * CHOOSE(CONTROL!$C$22, $C$13, 100%, $E$13)</f>
        <v>4.7617000000000003</v>
      </c>
    </row>
    <row r="227" spans="1:11" ht="15">
      <c r="A227" s="13">
        <v>48549</v>
      </c>
      <c r="B227" s="63">
        <f>4.1522 * CHOOSE(CONTROL!$C$22, $C$13, 100%, $E$13)</f>
        <v>4.1521999999999997</v>
      </c>
      <c r="C227" s="63">
        <f>4.1522 * CHOOSE(CONTROL!$C$22, $C$13, 100%, $E$13)</f>
        <v>4.1521999999999997</v>
      </c>
      <c r="D227" s="63">
        <f>4.1637 * CHOOSE(CONTROL!$C$22, $C$13, 100%, $E$13)</f>
        <v>4.1637000000000004</v>
      </c>
      <c r="E227" s="64">
        <f>4.7343 * CHOOSE(CONTROL!$C$22, $C$13, 100%, $E$13)</f>
        <v>4.7343000000000002</v>
      </c>
      <c r="F227" s="64">
        <f>4.7343 * CHOOSE(CONTROL!$C$22, $C$13, 100%, $E$13)</f>
        <v>4.7343000000000002</v>
      </c>
      <c r="G227" s="64">
        <f>4.7344 * CHOOSE(CONTROL!$C$22, $C$13, 100%, $E$13)</f>
        <v>4.7343999999999999</v>
      </c>
      <c r="H227" s="64">
        <f>8.7441* CHOOSE(CONTROL!$C$22, $C$13, 100%, $E$13)</f>
        <v>8.7440999999999995</v>
      </c>
      <c r="I227" s="64">
        <f>8.7442 * CHOOSE(CONTROL!$C$22, $C$13, 100%, $E$13)</f>
        <v>8.7441999999999993</v>
      </c>
      <c r="J227" s="64">
        <f>4.7343 * CHOOSE(CONTROL!$C$22, $C$13, 100%, $E$13)</f>
        <v>4.7343000000000002</v>
      </c>
      <c r="K227" s="64">
        <f>4.7344 * CHOOSE(CONTROL!$C$22, $C$13, 100%, $E$13)</f>
        <v>4.7343999999999999</v>
      </c>
    </row>
    <row r="228" spans="1:11" ht="15">
      <c r="A228" s="13">
        <v>48580</v>
      </c>
      <c r="B228" s="63">
        <f>4.1941 * CHOOSE(CONTROL!$C$22, $C$13, 100%, $E$13)</f>
        <v>4.1940999999999997</v>
      </c>
      <c r="C228" s="63">
        <f>4.1941 * CHOOSE(CONTROL!$C$22, $C$13, 100%, $E$13)</f>
        <v>4.1940999999999997</v>
      </c>
      <c r="D228" s="63">
        <f>4.2056 * CHOOSE(CONTROL!$C$22, $C$13, 100%, $E$13)</f>
        <v>4.2055999999999996</v>
      </c>
      <c r="E228" s="64">
        <f>4.8032 * CHOOSE(CONTROL!$C$22, $C$13, 100%, $E$13)</f>
        <v>4.8032000000000004</v>
      </c>
      <c r="F228" s="64">
        <f>4.8032 * CHOOSE(CONTROL!$C$22, $C$13, 100%, $E$13)</f>
        <v>4.8032000000000004</v>
      </c>
      <c r="G228" s="64">
        <f>4.8033 * CHOOSE(CONTROL!$C$22, $C$13, 100%, $E$13)</f>
        <v>4.8033000000000001</v>
      </c>
      <c r="H228" s="64">
        <f>8.7623* CHOOSE(CONTROL!$C$22, $C$13, 100%, $E$13)</f>
        <v>8.7622999999999998</v>
      </c>
      <c r="I228" s="64">
        <f>8.7624 * CHOOSE(CONTROL!$C$22, $C$13, 100%, $E$13)</f>
        <v>8.7623999999999995</v>
      </c>
      <c r="J228" s="64">
        <f>4.8032 * CHOOSE(CONTROL!$C$22, $C$13, 100%, $E$13)</f>
        <v>4.8032000000000004</v>
      </c>
      <c r="K228" s="64">
        <f>4.8033 * CHOOSE(CONTROL!$C$22, $C$13, 100%, $E$13)</f>
        <v>4.8033000000000001</v>
      </c>
    </row>
    <row r="229" spans="1:11" ht="15">
      <c r="A229" s="13">
        <v>48611</v>
      </c>
      <c r="B229" s="63">
        <f>4.191 * CHOOSE(CONTROL!$C$22, $C$13, 100%, $E$13)</f>
        <v>4.1909999999999998</v>
      </c>
      <c r="C229" s="63">
        <f>4.191 * CHOOSE(CONTROL!$C$22, $C$13, 100%, $E$13)</f>
        <v>4.1909999999999998</v>
      </c>
      <c r="D229" s="63">
        <f>4.2026 * CHOOSE(CONTROL!$C$22, $C$13, 100%, $E$13)</f>
        <v>4.2026000000000003</v>
      </c>
      <c r="E229" s="64">
        <f>4.7481 * CHOOSE(CONTROL!$C$22, $C$13, 100%, $E$13)</f>
        <v>4.7481</v>
      </c>
      <c r="F229" s="64">
        <f>4.7481 * CHOOSE(CONTROL!$C$22, $C$13, 100%, $E$13)</f>
        <v>4.7481</v>
      </c>
      <c r="G229" s="64">
        <f>4.7483 * CHOOSE(CONTROL!$C$22, $C$13, 100%, $E$13)</f>
        <v>4.7483000000000004</v>
      </c>
      <c r="H229" s="64">
        <f>8.7805* CHOOSE(CONTROL!$C$22, $C$13, 100%, $E$13)</f>
        <v>8.7805</v>
      </c>
      <c r="I229" s="64">
        <f>8.7807 * CHOOSE(CONTROL!$C$22, $C$13, 100%, $E$13)</f>
        <v>8.7806999999999995</v>
      </c>
      <c r="J229" s="64">
        <f>4.7481 * CHOOSE(CONTROL!$C$22, $C$13, 100%, $E$13)</f>
        <v>4.7481</v>
      </c>
      <c r="K229" s="64">
        <f>4.7483 * CHOOSE(CONTROL!$C$22, $C$13, 100%, $E$13)</f>
        <v>4.7483000000000004</v>
      </c>
    </row>
    <row r="230" spans="1:11" ht="15">
      <c r="A230" s="13">
        <v>48639</v>
      </c>
      <c r="B230" s="63">
        <f>4.188 * CHOOSE(CONTROL!$C$22, $C$13, 100%, $E$13)</f>
        <v>4.1879999999999997</v>
      </c>
      <c r="C230" s="63">
        <f>4.188 * CHOOSE(CONTROL!$C$22, $C$13, 100%, $E$13)</f>
        <v>4.1879999999999997</v>
      </c>
      <c r="D230" s="63">
        <f>4.1995 * CHOOSE(CONTROL!$C$22, $C$13, 100%, $E$13)</f>
        <v>4.1994999999999996</v>
      </c>
      <c r="E230" s="64">
        <f>4.7877 * CHOOSE(CONTROL!$C$22, $C$13, 100%, $E$13)</f>
        <v>4.7877000000000001</v>
      </c>
      <c r="F230" s="64">
        <f>4.7877 * CHOOSE(CONTROL!$C$22, $C$13, 100%, $E$13)</f>
        <v>4.7877000000000001</v>
      </c>
      <c r="G230" s="64">
        <f>4.7879 * CHOOSE(CONTROL!$C$22, $C$13, 100%, $E$13)</f>
        <v>4.7878999999999996</v>
      </c>
      <c r="H230" s="64">
        <f>8.7988* CHOOSE(CONTROL!$C$22, $C$13, 100%, $E$13)</f>
        <v>8.7988</v>
      </c>
      <c r="I230" s="64">
        <f>8.799 * CHOOSE(CONTROL!$C$22, $C$13, 100%, $E$13)</f>
        <v>8.7989999999999995</v>
      </c>
      <c r="J230" s="64">
        <f>4.7877 * CHOOSE(CONTROL!$C$22, $C$13, 100%, $E$13)</f>
        <v>4.7877000000000001</v>
      </c>
      <c r="K230" s="64">
        <f>4.7879 * CHOOSE(CONTROL!$C$22, $C$13, 100%, $E$13)</f>
        <v>4.7878999999999996</v>
      </c>
    </row>
    <row r="231" spans="1:11" ht="15">
      <c r="A231" s="13">
        <v>48670</v>
      </c>
      <c r="B231" s="63">
        <f>4.1858 * CHOOSE(CONTROL!$C$22, $C$13, 100%, $E$13)</f>
        <v>4.1858000000000004</v>
      </c>
      <c r="C231" s="63">
        <f>4.1858 * CHOOSE(CONTROL!$C$22, $C$13, 100%, $E$13)</f>
        <v>4.1858000000000004</v>
      </c>
      <c r="D231" s="63">
        <f>4.1974 * CHOOSE(CONTROL!$C$22, $C$13, 100%, $E$13)</f>
        <v>4.1974</v>
      </c>
      <c r="E231" s="64">
        <f>4.8283 * CHOOSE(CONTROL!$C$22, $C$13, 100%, $E$13)</f>
        <v>4.8282999999999996</v>
      </c>
      <c r="F231" s="64">
        <f>4.8283 * CHOOSE(CONTROL!$C$22, $C$13, 100%, $E$13)</f>
        <v>4.8282999999999996</v>
      </c>
      <c r="G231" s="64">
        <f>4.8285 * CHOOSE(CONTROL!$C$22, $C$13, 100%, $E$13)</f>
        <v>4.8285</v>
      </c>
      <c r="H231" s="64">
        <f>8.8171* CHOOSE(CONTROL!$C$22, $C$13, 100%, $E$13)</f>
        <v>8.8170999999999999</v>
      </c>
      <c r="I231" s="64">
        <f>8.8173 * CHOOSE(CONTROL!$C$22, $C$13, 100%, $E$13)</f>
        <v>8.8172999999999995</v>
      </c>
      <c r="J231" s="64">
        <f>4.8283 * CHOOSE(CONTROL!$C$22, $C$13, 100%, $E$13)</f>
        <v>4.8282999999999996</v>
      </c>
      <c r="K231" s="64">
        <f>4.8285 * CHOOSE(CONTROL!$C$22, $C$13, 100%, $E$13)</f>
        <v>4.8285</v>
      </c>
    </row>
    <row r="232" spans="1:11" ht="15">
      <c r="A232" s="13">
        <v>48700</v>
      </c>
      <c r="B232" s="63">
        <f>4.1858 * CHOOSE(CONTROL!$C$22, $C$13, 100%, $E$13)</f>
        <v>4.1858000000000004</v>
      </c>
      <c r="C232" s="63">
        <f>4.1858 * CHOOSE(CONTROL!$C$22, $C$13, 100%, $E$13)</f>
        <v>4.1858000000000004</v>
      </c>
      <c r="D232" s="63">
        <f>4.209 * CHOOSE(CONTROL!$C$22, $C$13, 100%, $E$13)</f>
        <v>4.2089999999999996</v>
      </c>
      <c r="E232" s="64">
        <f>4.8452 * CHOOSE(CONTROL!$C$22, $C$13, 100%, $E$13)</f>
        <v>4.8452000000000002</v>
      </c>
      <c r="F232" s="64">
        <f>4.8452 * CHOOSE(CONTROL!$C$22, $C$13, 100%, $E$13)</f>
        <v>4.8452000000000002</v>
      </c>
      <c r="G232" s="64">
        <f>4.8466 * CHOOSE(CONTROL!$C$22, $C$13, 100%, $E$13)</f>
        <v>4.8465999999999996</v>
      </c>
      <c r="H232" s="64">
        <f>8.8355* CHOOSE(CONTROL!$C$22, $C$13, 100%, $E$13)</f>
        <v>8.8354999999999997</v>
      </c>
      <c r="I232" s="64">
        <f>8.837 * CHOOSE(CONTROL!$C$22, $C$13, 100%, $E$13)</f>
        <v>8.8369999999999997</v>
      </c>
      <c r="J232" s="64">
        <f>4.8452 * CHOOSE(CONTROL!$C$22, $C$13, 100%, $E$13)</f>
        <v>4.8452000000000002</v>
      </c>
      <c r="K232" s="64">
        <f>4.8466 * CHOOSE(CONTROL!$C$22, $C$13, 100%, $E$13)</f>
        <v>4.8465999999999996</v>
      </c>
    </row>
    <row r="233" spans="1:11" ht="15">
      <c r="A233" s="13">
        <v>48731</v>
      </c>
      <c r="B233" s="63">
        <f>4.1919 * CHOOSE(CONTROL!$C$22, $C$13, 100%, $E$13)</f>
        <v>4.1919000000000004</v>
      </c>
      <c r="C233" s="63">
        <f>4.1919 * CHOOSE(CONTROL!$C$22, $C$13, 100%, $E$13)</f>
        <v>4.1919000000000004</v>
      </c>
      <c r="D233" s="63">
        <f>4.215 * CHOOSE(CONTROL!$C$22, $C$13, 100%, $E$13)</f>
        <v>4.2149999999999999</v>
      </c>
      <c r="E233" s="64">
        <f>4.8326 * CHOOSE(CONTROL!$C$22, $C$13, 100%, $E$13)</f>
        <v>4.8326000000000002</v>
      </c>
      <c r="F233" s="64">
        <f>4.8326 * CHOOSE(CONTROL!$C$22, $C$13, 100%, $E$13)</f>
        <v>4.8326000000000002</v>
      </c>
      <c r="G233" s="64">
        <f>4.8341 * CHOOSE(CONTROL!$C$22, $C$13, 100%, $E$13)</f>
        <v>4.8341000000000003</v>
      </c>
      <c r="H233" s="64">
        <f>8.8539* CHOOSE(CONTROL!$C$22, $C$13, 100%, $E$13)</f>
        <v>8.8538999999999994</v>
      </c>
      <c r="I233" s="64">
        <f>8.8554 * CHOOSE(CONTROL!$C$22, $C$13, 100%, $E$13)</f>
        <v>8.8553999999999995</v>
      </c>
      <c r="J233" s="64">
        <f>4.8326 * CHOOSE(CONTROL!$C$22, $C$13, 100%, $E$13)</f>
        <v>4.8326000000000002</v>
      </c>
      <c r="K233" s="64">
        <f>4.8341 * CHOOSE(CONTROL!$C$22, $C$13, 100%, $E$13)</f>
        <v>4.8341000000000003</v>
      </c>
    </row>
    <row r="234" spans="1:11" ht="15">
      <c r="A234" s="13">
        <v>48761</v>
      </c>
      <c r="B234" s="63">
        <f>4.2719 * CHOOSE(CONTROL!$C$22, $C$13, 100%, $E$13)</f>
        <v>4.2718999999999996</v>
      </c>
      <c r="C234" s="63">
        <f>4.2719 * CHOOSE(CONTROL!$C$22, $C$13, 100%, $E$13)</f>
        <v>4.2718999999999996</v>
      </c>
      <c r="D234" s="63">
        <f>4.295 * CHOOSE(CONTROL!$C$22, $C$13, 100%, $E$13)</f>
        <v>4.2949999999999999</v>
      </c>
      <c r="E234" s="64">
        <f>4.9466 * CHOOSE(CONTROL!$C$22, $C$13, 100%, $E$13)</f>
        <v>4.9466000000000001</v>
      </c>
      <c r="F234" s="64">
        <f>4.9466 * CHOOSE(CONTROL!$C$22, $C$13, 100%, $E$13)</f>
        <v>4.9466000000000001</v>
      </c>
      <c r="G234" s="64">
        <f>4.9481 * CHOOSE(CONTROL!$C$22, $C$13, 100%, $E$13)</f>
        <v>4.9481000000000002</v>
      </c>
      <c r="H234" s="64">
        <f>8.8724* CHOOSE(CONTROL!$C$22, $C$13, 100%, $E$13)</f>
        <v>8.8724000000000007</v>
      </c>
      <c r="I234" s="64">
        <f>8.8739 * CHOOSE(CONTROL!$C$22, $C$13, 100%, $E$13)</f>
        <v>8.8739000000000008</v>
      </c>
      <c r="J234" s="64">
        <f>4.9466 * CHOOSE(CONTROL!$C$22, $C$13, 100%, $E$13)</f>
        <v>4.9466000000000001</v>
      </c>
      <c r="K234" s="64">
        <f>4.9481 * CHOOSE(CONTROL!$C$22, $C$13, 100%, $E$13)</f>
        <v>4.9481000000000002</v>
      </c>
    </row>
    <row r="235" spans="1:11" ht="15">
      <c r="A235" s="13">
        <v>48792</v>
      </c>
      <c r="B235" s="63">
        <f>4.2786 * CHOOSE(CONTROL!$C$22, $C$13, 100%, $E$13)</f>
        <v>4.2786</v>
      </c>
      <c r="C235" s="63">
        <f>4.2786 * CHOOSE(CONTROL!$C$22, $C$13, 100%, $E$13)</f>
        <v>4.2786</v>
      </c>
      <c r="D235" s="63">
        <f>4.3017 * CHOOSE(CONTROL!$C$22, $C$13, 100%, $E$13)</f>
        <v>4.3017000000000003</v>
      </c>
      <c r="E235" s="64">
        <f>4.9008 * CHOOSE(CONTROL!$C$22, $C$13, 100%, $E$13)</f>
        <v>4.9008000000000003</v>
      </c>
      <c r="F235" s="64">
        <f>4.9008 * CHOOSE(CONTROL!$C$22, $C$13, 100%, $E$13)</f>
        <v>4.9008000000000003</v>
      </c>
      <c r="G235" s="64">
        <f>4.9023 * CHOOSE(CONTROL!$C$22, $C$13, 100%, $E$13)</f>
        <v>4.9023000000000003</v>
      </c>
      <c r="H235" s="64">
        <f>8.8909* CHOOSE(CONTROL!$C$22, $C$13, 100%, $E$13)</f>
        <v>8.8909000000000002</v>
      </c>
      <c r="I235" s="64">
        <f>8.8923 * CHOOSE(CONTROL!$C$22, $C$13, 100%, $E$13)</f>
        <v>8.8923000000000005</v>
      </c>
      <c r="J235" s="64">
        <f>4.9008 * CHOOSE(CONTROL!$C$22, $C$13, 100%, $E$13)</f>
        <v>4.9008000000000003</v>
      </c>
      <c r="K235" s="64">
        <f>4.9023 * CHOOSE(CONTROL!$C$22, $C$13, 100%, $E$13)</f>
        <v>4.9023000000000003</v>
      </c>
    </row>
    <row r="236" spans="1:11" ht="15">
      <c r="A236" s="13">
        <v>48823</v>
      </c>
      <c r="B236" s="63">
        <f>4.2756 * CHOOSE(CONTROL!$C$22, $C$13, 100%, $E$13)</f>
        <v>4.2755999999999998</v>
      </c>
      <c r="C236" s="63">
        <f>4.2756 * CHOOSE(CONTROL!$C$22, $C$13, 100%, $E$13)</f>
        <v>4.2755999999999998</v>
      </c>
      <c r="D236" s="63">
        <f>4.2987 * CHOOSE(CONTROL!$C$22, $C$13, 100%, $E$13)</f>
        <v>4.2987000000000002</v>
      </c>
      <c r="E236" s="64">
        <f>4.8931 * CHOOSE(CONTROL!$C$22, $C$13, 100%, $E$13)</f>
        <v>4.8930999999999996</v>
      </c>
      <c r="F236" s="64">
        <f>4.8931 * CHOOSE(CONTROL!$C$22, $C$13, 100%, $E$13)</f>
        <v>4.8930999999999996</v>
      </c>
      <c r="G236" s="64">
        <f>4.8946 * CHOOSE(CONTROL!$C$22, $C$13, 100%, $E$13)</f>
        <v>4.8945999999999996</v>
      </c>
      <c r="H236" s="64">
        <f>8.9094* CHOOSE(CONTROL!$C$22, $C$13, 100%, $E$13)</f>
        <v>8.9093999999999998</v>
      </c>
      <c r="I236" s="64">
        <f>8.9109 * CHOOSE(CONTROL!$C$22, $C$13, 100%, $E$13)</f>
        <v>8.9108999999999998</v>
      </c>
      <c r="J236" s="64">
        <f>4.8931 * CHOOSE(CONTROL!$C$22, $C$13, 100%, $E$13)</f>
        <v>4.8930999999999996</v>
      </c>
      <c r="K236" s="64">
        <f>4.8946 * CHOOSE(CONTROL!$C$22, $C$13, 100%, $E$13)</f>
        <v>4.8945999999999996</v>
      </c>
    </row>
    <row r="237" spans="1:11" ht="15">
      <c r="A237" s="13">
        <v>48853</v>
      </c>
      <c r="B237" s="63">
        <f>4.2718 * CHOOSE(CONTROL!$C$22, $C$13, 100%, $E$13)</f>
        <v>4.2717999999999998</v>
      </c>
      <c r="C237" s="63">
        <f>4.2718 * CHOOSE(CONTROL!$C$22, $C$13, 100%, $E$13)</f>
        <v>4.2717999999999998</v>
      </c>
      <c r="D237" s="63">
        <f>4.2833 * CHOOSE(CONTROL!$C$22, $C$13, 100%, $E$13)</f>
        <v>4.2832999999999997</v>
      </c>
      <c r="E237" s="64">
        <f>4.9021 * CHOOSE(CONTROL!$C$22, $C$13, 100%, $E$13)</f>
        <v>4.9020999999999999</v>
      </c>
      <c r="F237" s="64">
        <f>4.9021 * CHOOSE(CONTROL!$C$22, $C$13, 100%, $E$13)</f>
        <v>4.9020999999999999</v>
      </c>
      <c r="G237" s="64">
        <f>4.9023 * CHOOSE(CONTROL!$C$22, $C$13, 100%, $E$13)</f>
        <v>4.9023000000000003</v>
      </c>
      <c r="H237" s="64">
        <f>8.9279* CHOOSE(CONTROL!$C$22, $C$13, 100%, $E$13)</f>
        <v>8.9278999999999993</v>
      </c>
      <c r="I237" s="64">
        <f>8.9281 * CHOOSE(CONTROL!$C$22, $C$13, 100%, $E$13)</f>
        <v>8.9281000000000006</v>
      </c>
      <c r="J237" s="64">
        <f>4.9021 * CHOOSE(CONTROL!$C$22, $C$13, 100%, $E$13)</f>
        <v>4.9020999999999999</v>
      </c>
      <c r="K237" s="64">
        <f>4.9023 * CHOOSE(CONTROL!$C$22, $C$13, 100%, $E$13)</f>
        <v>4.9023000000000003</v>
      </c>
    </row>
    <row r="238" spans="1:11" ht="15">
      <c r="A238" s="13">
        <v>48884</v>
      </c>
      <c r="B238" s="63">
        <f>4.2748 * CHOOSE(CONTROL!$C$22, $C$13, 100%, $E$13)</f>
        <v>4.2747999999999999</v>
      </c>
      <c r="C238" s="63">
        <f>4.2748 * CHOOSE(CONTROL!$C$22, $C$13, 100%, $E$13)</f>
        <v>4.2747999999999999</v>
      </c>
      <c r="D238" s="63">
        <f>4.2864 * CHOOSE(CONTROL!$C$22, $C$13, 100%, $E$13)</f>
        <v>4.2864000000000004</v>
      </c>
      <c r="E238" s="64">
        <f>4.9154 * CHOOSE(CONTROL!$C$22, $C$13, 100%, $E$13)</f>
        <v>4.9154</v>
      </c>
      <c r="F238" s="64">
        <f>4.9154 * CHOOSE(CONTROL!$C$22, $C$13, 100%, $E$13)</f>
        <v>4.9154</v>
      </c>
      <c r="G238" s="64">
        <f>4.9156 * CHOOSE(CONTROL!$C$22, $C$13, 100%, $E$13)</f>
        <v>4.9156000000000004</v>
      </c>
      <c r="H238" s="64">
        <f>8.9465* CHOOSE(CONTROL!$C$22, $C$13, 100%, $E$13)</f>
        <v>8.9465000000000003</v>
      </c>
      <c r="I238" s="64">
        <f>8.9467 * CHOOSE(CONTROL!$C$22, $C$13, 100%, $E$13)</f>
        <v>8.9466999999999999</v>
      </c>
      <c r="J238" s="64">
        <f>4.9154 * CHOOSE(CONTROL!$C$22, $C$13, 100%, $E$13)</f>
        <v>4.9154</v>
      </c>
      <c r="K238" s="64">
        <f>4.9156 * CHOOSE(CONTROL!$C$22, $C$13, 100%, $E$13)</f>
        <v>4.9156000000000004</v>
      </c>
    </row>
    <row r="239" spans="1:11" ht="15">
      <c r="A239" s="13">
        <v>48914</v>
      </c>
      <c r="B239" s="63">
        <f>4.2748 * CHOOSE(CONTROL!$C$22, $C$13, 100%, $E$13)</f>
        <v>4.2747999999999999</v>
      </c>
      <c r="C239" s="63">
        <f>4.2748 * CHOOSE(CONTROL!$C$22, $C$13, 100%, $E$13)</f>
        <v>4.2747999999999999</v>
      </c>
      <c r="D239" s="63">
        <f>4.2864 * CHOOSE(CONTROL!$C$22, $C$13, 100%, $E$13)</f>
        <v>4.2864000000000004</v>
      </c>
      <c r="E239" s="64">
        <f>4.8874 * CHOOSE(CONTROL!$C$22, $C$13, 100%, $E$13)</f>
        <v>4.8874000000000004</v>
      </c>
      <c r="F239" s="64">
        <f>4.8874 * CHOOSE(CONTROL!$C$22, $C$13, 100%, $E$13)</f>
        <v>4.8874000000000004</v>
      </c>
      <c r="G239" s="64">
        <f>4.8876 * CHOOSE(CONTROL!$C$22, $C$13, 100%, $E$13)</f>
        <v>4.8875999999999999</v>
      </c>
      <c r="H239" s="64">
        <f>8.9652* CHOOSE(CONTROL!$C$22, $C$13, 100%, $E$13)</f>
        <v>8.9651999999999994</v>
      </c>
      <c r="I239" s="64">
        <f>8.9654 * CHOOSE(CONTROL!$C$22, $C$13, 100%, $E$13)</f>
        <v>8.9654000000000007</v>
      </c>
      <c r="J239" s="64">
        <f>4.8874 * CHOOSE(CONTROL!$C$22, $C$13, 100%, $E$13)</f>
        <v>4.8874000000000004</v>
      </c>
      <c r="K239" s="64">
        <f>4.8876 * CHOOSE(CONTROL!$C$22, $C$13, 100%, $E$13)</f>
        <v>4.8875999999999999</v>
      </c>
    </row>
    <row r="240" spans="1:11" ht="15">
      <c r="A240" s="13">
        <v>48945</v>
      </c>
      <c r="B240" s="63">
        <f>4.32 * CHOOSE(CONTROL!$C$22, $C$13, 100%, $E$13)</f>
        <v>4.32</v>
      </c>
      <c r="C240" s="63">
        <f>4.32 * CHOOSE(CONTROL!$C$22, $C$13, 100%, $E$13)</f>
        <v>4.32</v>
      </c>
      <c r="D240" s="63">
        <f>4.3315 * CHOOSE(CONTROL!$C$22, $C$13, 100%, $E$13)</f>
        <v>4.3315000000000001</v>
      </c>
      <c r="E240" s="64">
        <f>4.957 * CHOOSE(CONTROL!$C$22, $C$13, 100%, $E$13)</f>
        <v>4.9569999999999999</v>
      </c>
      <c r="F240" s="64">
        <f>4.957 * CHOOSE(CONTROL!$C$22, $C$13, 100%, $E$13)</f>
        <v>4.9569999999999999</v>
      </c>
      <c r="G240" s="64">
        <f>4.9572 * CHOOSE(CONTROL!$C$22, $C$13, 100%, $E$13)</f>
        <v>4.9572000000000003</v>
      </c>
      <c r="H240" s="64">
        <f>8.9839* CHOOSE(CONTROL!$C$22, $C$13, 100%, $E$13)</f>
        <v>8.9839000000000002</v>
      </c>
      <c r="I240" s="64">
        <f>8.984 * CHOOSE(CONTROL!$C$22, $C$13, 100%, $E$13)</f>
        <v>8.984</v>
      </c>
      <c r="J240" s="64">
        <f>4.957 * CHOOSE(CONTROL!$C$22, $C$13, 100%, $E$13)</f>
        <v>4.9569999999999999</v>
      </c>
      <c r="K240" s="64">
        <f>4.9572 * CHOOSE(CONTROL!$C$22, $C$13, 100%, $E$13)</f>
        <v>4.9572000000000003</v>
      </c>
    </row>
    <row r="241" spans="1:11" ht="15">
      <c r="A241" s="13">
        <v>48976</v>
      </c>
      <c r="B241" s="63">
        <f>4.3169 * CHOOSE(CONTROL!$C$22, $C$13, 100%, $E$13)</f>
        <v>4.3169000000000004</v>
      </c>
      <c r="C241" s="63">
        <f>4.3169 * CHOOSE(CONTROL!$C$22, $C$13, 100%, $E$13)</f>
        <v>4.3169000000000004</v>
      </c>
      <c r="D241" s="63">
        <f>4.3285 * CHOOSE(CONTROL!$C$22, $C$13, 100%, $E$13)</f>
        <v>4.3285</v>
      </c>
      <c r="E241" s="64">
        <f>4.9005 * CHOOSE(CONTROL!$C$22, $C$13, 100%, $E$13)</f>
        <v>4.9005000000000001</v>
      </c>
      <c r="F241" s="64">
        <f>4.9005 * CHOOSE(CONTROL!$C$22, $C$13, 100%, $E$13)</f>
        <v>4.9005000000000001</v>
      </c>
      <c r="G241" s="64">
        <f>4.9007 * CHOOSE(CONTROL!$C$22, $C$13, 100%, $E$13)</f>
        <v>4.9006999999999996</v>
      </c>
      <c r="H241" s="64">
        <f>9.0026* CHOOSE(CONTROL!$C$22, $C$13, 100%, $E$13)</f>
        <v>9.0025999999999993</v>
      </c>
      <c r="I241" s="64">
        <f>9.0027 * CHOOSE(CONTROL!$C$22, $C$13, 100%, $E$13)</f>
        <v>9.0027000000000008</v>
      </c>
      <c r="J241" s="64">
        <f>4.9005 * CHOOSE(CONTROL!$C$22, $C$13, 100%, $E$13)</f>
        <v>4.9005000000000001</v>
      </c>
      <c r="K241" s="64">
        <f>4.9007 * CHOOSE(CONTROL!$C$22, $C$13, 100%, $E$13)</f>
        <v>4.9006999999999996</v>
      </c>
    </row>
    <row r="242" spans="1:11" ht="15">
      <c r="A242" s="13">
        <v>49004</v>
      </c>
      <c r="B242" s="63">
        <f>4.3139 * CHOOSE(CONTROL!$C$22, $C$13, 100%, $E$13)</f>
        <v>4.3139000000000003</v>
      </c>
      <c r="C242" s="63">
        <f>4.3139 * CHOOSE(CONTROL!$C$22, $C$13, 100%, $E$13)</f>
        <v>4.3139000000000003</v>
      </c>
      <c r="D242" s="63">
        <f>4.3254 * CHOOSE(CONTROL!$C$22, $C$13, 100%, $E$13)</f>
        <v>4.3254000000000001</v>
      </c>
      <c r="E242" s="64">
        <f>4.9413 * CHOOSE(CONTROL!$C$22, $C$13, 100%, $E$13)</f>
        <v>4.9413</v>
      </c>
      <c r="F242" s="64">
        <f>4.9413 * CHOOSE(CONTROL!$C$22, $C$13, 100%, $E$13)</f>
        <v>4.9413</v>
      </c>
      <c r="G242" s="64">
        <f>4.9414 * CHOOSE(CONTROL!$C$22, $C$13, 100%, $E$13)</f>
        <v>4.9413999999999998</v>
      </c>
      <c r="H242" s="64">
        <f>9.0213* CHOOSE(CONTROL!$C$22, $C$13, 100%, $E$13)</f>
        <v>9.0213000000000001</v>
      </c>
      <c r="I242" s="64">
        <f>9.0215 * CHOOSE(CONTROL!$C$22, $C$13, 100%, $E$13)</f>
        <v>9.0214999999999996</v>
      </c>
      <c r="J242" s="64">
        <f>4.9413 * CHOOSE(CONTROL!$C$22, $C$13, 100%, $E$13)</f>
        <v>4.9413</v>
      </c>
      <c r="K242" s="64">
        <f>4.9414 * CHOOSE(CONTROL!$C$22, $C$13, 100%, $E$13)</f>
        <v>4.9413999999999998</v>
      </c>
    </row>
    <row r="243" spans="1:11" ht="15">
      <c r="A243" s="13">
        <v>49035</v>
      </c>
      <c r="B243" s="63">
        <f>4.3119 * CHOOSE(CONTROL!$C$22, $C$13, 100%, $E$13)</f>
        <v>4.3118999999999996</v>
      </c>
      <c r="C243" s="63">
        <f>4.3119 * CHOOSE(CONTROL!$C$22, $C$13, 100%, $E$13)</f>
        <v>4.3118999999999996</v>
      </c>
      <c r="D243" s="63">
        <f>4.3234 * CHOOSE(CONTROL!$C$22, $C$13, 100%, $E$13)</f>
        <v>4.3234000000000004</v>
      </c>
      <c r="E243" s="64">
        <f>4.9831 * CHOOSE(CONTROL!$C$22, $C$13, 100%, $E$13)</f>
        <v>4.9831000000000003</v>
      </c>
      <c r="F243" s="64">
        <f>4.9831 * CHOOSE(CONTROL!$C$22, $C$13, 100%, $E$13)</f>
        <v>4.9831000000000003</v>
      </c>
      <c r="G243" s="64">
        <f>4.9833 * CHOOSE(CONTROL!$C$22, $C$13, 100%, $E$13)</f>
        <v>4.9832999999999998</v>
      </c>
      <c r="H243" s="64">
        <f>9.0401* CHOOSE(CONTROL!$C$22, $C$13, 100%, $E$13)</f>
        <v>9.0401000000000007</v>
      </c>
      <c r="I243" s="64">
        <f>9.0403 * CHOOSE(CONTROL!$C$22, $C$13, 100%, $E$13)</f>
        <v>9.0403000000000002</v>
      </c>
      <c r="J243" s="64">
        <f>4.9831 * CHOOSE(CONTROL!$C$22, $C$13, 100%, $E$13)</f>
        <v>4.9831000000000003</v>
      </c>
      <c r="K243" s="64">
        <f>4.9833 * CHOOSE(CONTROL!$C$22, $C$13, 100%, $E$13)</f>
        <v>4.9832999999999998</v>
      </c>
    </row>
    <row r="244" spans="1:11" ht="15">
      <c r="A244" s="13">
        <v>49065</v>
      </c>
      <c r="B244" s="63">
        <f>4.3119 * CHOOSE(CONTROL!$C$22, $C$13, 100%, $E$13)</f>
        <v>4.3118999999999996</v>
      </c>
      <c r="C244" s="63">
        <f>4.3119 * CHOOSE(CONTROL!$C$22, $C$13, 100%, $E$13)</f>
        <v>4.3118999999999996</v>
      </c>
      <c r="D244" s="63">
        <f>4.335 * CHOOSE(CONTROL!$C$22, $C$13, 100%, $E$13)</f>
        <v>4.335</v>
      </c>
      <c r="E244" s="64">
        <f>5.0004 * CHOOSE(CONTROL!$C$22, $C$13, 100%, $E$13)</f>
        <v>5.0004</v>
      </c>
      <c r="F244" s="64">
        <f>5.0004 * CHOOSE(CONTROL!$C$22, $C$13, 100%, $E$13)</f>
        <v>5.0004</v>
      </c>
      <c r="G244" s="64">
        <f>5.0018 * CHOOSE(CONTROL!$C$22, $C$13, 100%, $E$13)</f>
        <v>5.0018000000000002</v>
      </c>
      <c r="H244" s="64">
        <f>9.059* CHOOSE(CONTROL!$C$22, $C$13, 100%, $E$13)</f>
        <v>9.0589999999999993</v>
      </c>
      <c r="I244" s="64">
        <f>9.0604 * CHOOSE(CONTROL!$C$22, $C$13, 100%, $E$13)</f>
        <v>9.0603999999999996</v>
      </c>
      <c r="J244" s="64">
        <f>5.0004 * CHOOSE(CONTROL!$C$22, $C$13, 100%, $E$13)</f>
        <v>5.0004</v>
      </c>
      <c r="K244" s="64">
        <f>5.0018 * CHOOSE(CONTROL!$C$22, $C$13, 100%, $E$13)</f>
        <v>5.0018000000000002</v>
      </c>
    </row>
    <row r="245" spans="1:11" ht="15">
      <c r="A245" s="13">
        <v>49096</v>
      </c>
      <c r="B245" s="63">
        <f>4.3179 * CHOOSE(CONTROL!$C$22, $C$13, 100%, $E$13)</f>
        <v>4.3178999999999998</v>
      </c>
      <c r="C245" s="63">
        <f>4.3179 * CHOOSE(CONTROL!$C$22, $C$13, 100%, $E$13)</f>
        <v>4.3178999999999998</v>
      </c>
      <c r="D245" s="63">
        <f>4.3411 * CHOOSE(CONTROL!$C$22, $C$13, 100%, $E$13)</f>
        <v>4.3411</v>
      </c>
      <c r="E245" s="64">
        <f>4.9873 * CHOOSE(CONTROL!$C$22, $C$13, 100%, $E$13)</f>
        <v>4.9873000000000003</v>
      </c>
      <c r="F245" s="64">
        <f>4.9873 * CHOOSE(CONTROL!$C$22, $C$13, 100%, $E$13)</f>
        <v>4.9873000000000003</v>
      </c>
      <c r="G245" s="64">
        <f>4.9888 * CHOOSE(CONTROL!$C$22, $C$13, 100%, $E$13)</f>
        <v>4.9888000000000003</v>
      </c>
      <c r="H245" s="64">
        <f>9.0778* CHOOSE(CONTROL!$C$22, $C$13, 100%, $E$13)</f>
        <v>9.0777999999999999</v>
      </c>
      <c r="I245" s="64">
        <f>9.0793 * CHOOSE(CONTROL!$C$22, $C$13, 100%, $E$13)</f>
        <v>9.0792999999999999</v>
      </c>
      <c r="J245" s="64">
        <f>4.9873 * CHOOSE(CONTROL!$C$22, $C$13, 100%, $E$13)</f>
        <v>4.9873000000000003</v>
      </c>
      <c r="K245" s="64">
        <f>4.9888 * CHOOSE(CONTROL!$C$22, $C$13, 100%, $E$13)</f>
        <v>4.9888000000000003</v>
      </c>
    </row>
    <row r="246" spans="1:11" ht="15">
      <c r="A246" s="13">
        <v>49126</v>
      </c>
      <c r="B246" s="63">
        <f>4.4051 * CHOOSE(CONTROL!$C$22, $C$13, 100%, $E$13)</f>
        <v>4.4051</v>
      </c>
      <c r="C246" s="63">
        <f>4.4051 * CHOOSE(CONTROL!$C$22, $C$13, 100%, $E$13)</f>
        <v>4.4051</v>
      </c>
      <c r="D246" s="63">
        <f>4.4282 * CHOOSE(CONTROL!$C$22, $C$13, 100%, $E$13)</f>
        <v>4.4282000000000004</v>
      </c>
      <c r="E246" s="64">
        <f>5.1009 * CHOOSE(CONTROL!$C$22, $C$13, 100%, $E$13)</f>
        <v>5.1009000000000002</v>
      </c>
      <c r="F246" s="64">
        <f>5.1009 * CHOOSE(CONTROL!$C$22, $C$13, 100%, $E$13)</f>
        <v>5.1009000000000002</v>
      </c>
      <c r="G246" s="64">
        <f>5.1024 * CHOOSE(CONTROL!$C$22, $C$13, 100%, $E$13)</f>
        <v>5.1024000000000003</v>
      </c>
      <c r="H246" s="64">
        <f>9.0967* CHOOSE(CONTROL!$C$22, $C$13, 100%, $E$13)</f>
        <v>9.0967000000000002</v>
      </c>
      <c r="I246" s="64">
        <f>9.0982 * CHOOSE(CONTROL!$C$22, $C$13, 100%, $E$13)</f>
        <v>9.0982000000000003</v>
      </c>
      <c r="J246" s="64">
        <f>5.1009 * CHOOSE(CONTROL!$C$22, $C$13, 100%, $E$13)</f>
        <v>5.1009000000000002</v>
      </c>
      <c r="K246" s="64">
        <f>5.1024 * CHOOSE(CONTROL!$C$22, $C$13, 100%, $E$13)</f>
        <v>5.1024000000000003</v>
      </c>
    </row>
    <row r="247" spans="1:11" ht="15">
      <c r="A247" s="13">
        <v>49157</v>
      </c>
      <c r="B247" s="63">
        <f>4.4118 * CHOOSE(CONTROL!$C$22, $C$13, 100%, $E$13)</f>
        <v>4.4118000000000004</v>
      </c>
      <c r="C247" s="63">
        <f>4.4118 * CHOOSE(CONTROL!$C$22, $C$13, 100%, $E$13)</f>
        <v>4.4118000000000004</v>
      </c>
      <c r="D247" s="63">
        <f>4.4349 * CHOOSE(CONTROL!$C$22, $C$13, 100%, $E$13)</f>
        <v>4.4348999999999998</v>
      </c>
      <c r="E247" s="64">
        <f>5.0538 * CHOOSE(CONTROL!$C$22, $C$13, 100%, $E$13)</f>
        <v>5.0537999999999998</v>
      </c>
      <c r="F247" s="64">
        <f>5.0538 * CHOOSE(CONTROL!$C$22, $C$13, 100%, $E$13)</f>
        <v>5.0537999999999998</v>
      </c>
      <c r="G247" s="64">
        <f>5.0553 * CHOOSE(CONTROL!$C$22, $C$13, 100%, $E$13)</f>
        <v>5.0552999999999999</v>
      </c>
      <c r="H247" s="64">
        <f>9.1157* CHOOSE(CONTROL!$C$22, $C$13, 100%, $E$13)</f>
        <v>9.1157000000000004</v>
      </c>
      <c r="I247" s="64">
        <f>9.1172 * CHOOSE(CONTROL!$C$22, $C$13, 100%, $E$13)</f>
        <v>9.1172000000000004</v>
      </c>
      <c r="J247" s="64">
        <f>5.0538 * CHOOSE(CONTROL!$C$22, $C$13, 100%, $E$13)</f>
        <v>5.0537999999999998</v>
      </c>
      <c r="K247" s="64">
        <f>5.0553 * CHOOSE(CONTROL!$C$22, $C$13, 100%, $E$13)</f>
        <v>5.0552999999999999</v>
      </c>
    </row>
    <row r="248" spans="1:11" ht="15">
      <c r="A248" s="13">
        <v>49188</v>
      </c>
      <c r="B248" s="63">
        <f>4.4088 * CHOOSE(CONTROL!$C$22, $C$13, 100%, $E$13)</f>
        <v>4.4088000000000003</v>
      </c>
      <c r="C248" s="63">
        <f>4.4088 * CHOOSE(CONTROL!$C$22, $C$13, 100%, $E$13)</f>
        <v>4.4088000000000003</v>
      </c>
      <c r="D248" s="63">
        <f>4.4319 * CHOOSE(CONTROL!$C$22, $C$13, 100%, $E$13)</f>
        <v>4.4318999999999997</v>
      </c>
      <c r="E248" s="64">
        <f>5.0459 * CHOOSE(CONTROL!$C$22, $C$13, 100%, $E$13)</f>
        <v>5.0458999999999996</v>
      </c>
      <c r="F248" s="64">
        <f>5.0459 * CHOOSE(CONTROL!$C$22, $C$13, 100%, $E$13)</f>
        <v>5.0458999999999996</v>
      </c>
      <c r="G248" s="64">
        <f>5.0474 * CHOOSE(CONTROL!$C$22, $C$13, 100%, $E$13)</f>
        <v>5.0473999999999997</v>
      </c>
      <c r="H248" s="64">
        <f>9.1347* CHOOSE(CONTROL!$C$22, $C$13, 100%, $E$13)</f>
        <v>9.1347000000000005</v>
      </c>
      <c r="I248" s="64">
        <f>9.1362 * CHOOSE(CONTROL!$C$22, $C$13, 100%, $E$13)</f>
        <v>9.1362000000000005</v>
      </c>
      <c r="J248" s="64">
        <f>5.0459 * CHOOSE(CONTROL!$C$22, $C$13, 100%, $E$13)</f>
        <v>5.0458999999999996</v>
      </c>
      <c r="K248" s="64">
        <f>5.0474 * CHOOSE(CONTROL!$C$22, $C$13, 100%, $E$13)</f>
        <v>5.0473999999999997</v>
      </c>
    </row>
    <row r="249" spans="1:11" ht="15">
      <c r="A249" s="13">
        <v>49218</v>
      </c>
      <c r="B249" s="63">
        <f>4.4054 * CHOOSE(CONTROL!$C$22, $C$13, 100%, $E$13)</f>
        <v>4.4054000000000002</v>
      </c>
      <c r="C249" s="63">
        <f>4.4054 * CHOOSE(CONTROL!$C$22, $C$13, 100%, $E$13)</f>
        <v>4.4054000000000002</v>
      </c>
      <c r="D249" s="63">
        <f>4.4169 * CHOOSE(CONTROL!$C$22, $C$13, 100%, $E$13)</f>
        <v>4.4169</v>
      </c>
      <c r="E249" s="64">
        <f>5.0555 * CHOOSE(CONTROL!$C$22, $C$13, 100%, $E$13)</f>
        <v>5.0555000000000003</v>
      </c>
      <c r="F249" s="64">
        <f>5.0555 * CHOOSE(CONTROL!$C$22, $C$13, 100%, $E$13)</f>
        <v>5.0555000000000003</v>
      </c>
      <c r="G249" s="64">
        <f>5.0557 * CHOOSE(CONTROL!$C$22, $C$13, 100%, $E$13)</f>
        <v>5.0556999999999999</v>
      </c>
      <c r="H249" s="64">
        <f>9.1537* CHOOSE(CONTROL!$C$22, $C$13, 100%, $E$13)</f>
        <v>9.1537000000000006</v>
      </c>
      <c r="I249" s="64">
        <f>9.1539 * CHOOSE(CONTROL!$C$22, $C$13, 100%, $E$13)</f>
        <v>9.1539000000000001</v>
      </c>
      <c r="J249" s="64">
        <f>5.0555 * CHOOSE(CONTROL!$C$22, $C$13, 100%, $E$13)</f>
        <v>5.0555000000000003</v>
      </c>
      <c r="K249" s="64">
        <f>5.0557 * CHOOSE(CONTROL!$C$22, $C$13, 100%, $E$13)</f>
        <v>5.0556999999999999</v>
      </c>
    </row>
    <row r="250" spans="1:11" ht="15">
      <c r="A250" s="13">
        <v>49249</v>
      </c>
      <c r="B250" s="63">
        <f>4.4084 * CHOOSE(CONTROL!$C$22, $C$13, 100%, $E$13)</f>
        <v>4.4084000000000003</v>
      </c>
      <c r="C250" s="63">
        <f>4.4084 * CHOOSE(CONTROL!$C$22, $C$13, 100%, $E$13)</f>
        <v>4.4084000000000003</v>
      </c>
      <c r="D250" s="63">
        <f>4.42 * CHOOSE(CONTROL!$C$22, $C$13, 100%, $E$13)</f>
        <v>4.42</v>
      </c>
      <c r="E250" s="64">
        <f>5.0691 * CHOOSE(CONTROL!$C$22, $C$13, 100%, $E$13)</f>
        <v>5.0690999999999997</v>
      </c>
      <c r="F250" s="64">
        <f>5.0691 * CHOOSE(CONTROL!$C$22, $C$13, 100%, $E$13)</f>
        <v>5.0690999999999997</v>
      </c>
      <c r="G250" s="64">
        <f>5.0693 * CHOOSE(CONTROL!$C$22, $C$13, 100%, $E$13)</f>
        <v>5.0693000000000001</v>
      </c>
      <c r="H250" s="64">
        <f>9.1728* CHOOSE(CONTROL!$C$22, $C$13, 100%, $E$13)</f>
        <v>9.1728000000000005</v>
      </c>
      <c r="I250" s="64">
        <f>9.173 * CHOOSE(CONTROL!$C$22, $C$13, 100%, $E$13)</f>
        <v>9.173</v>
      </c>
      <c r="J250" s="64">
        <f>5.0691 * CHOOSE(CONTROL!$C$22, $C$13, 100%, $E$13)</f>
        <v>5.0690999999999997</v>
      </c>
      <c r="K250" s="64">
        <f>5.0693 * CHOOSE(CONTROL!$C$22, $C$13, 100%, $E$13)</f>
        <v>5.0693000000000001</v>
      </c>
    </row>
    <row r="251" spans="1:11" ht="15">
      <c r="A251" s="13">
        <v>49279</v>
      </c>
      <c r="B251" s="63">
        <f>4.4084 * CHOOSE(CONTROL!$C$22, $C$13, 100%, $E$13)</f>
        <v>4.4084000000000003</v>
      </c>
      <c r="C251" s="63">
        <f>4.4084 * CHOOSE(CONTROL!$C$22, $C$13, 100%, $E$13)</f>
        <v>4.4084000000000003</v>
      </c>
      <c r="D251" s="63">
        <f>4.42 * CHOOSE(CONTROL!$C$22, $C$13, 100%, $E$13)</f>
        <v>4.42</v>
      </c>
      <c r="E251" s="64">
        <f>5.0404 * CHOOSE(CONTROL!$C$22, $C$13, 100%, $E$13)</f>
        <v>5.0404</v>
      </c>
      <c r="F251" s="64">
        <f>5.0404 * CHOOSE(CONTROL!$C$22, $C$13, 100%, $E$13)</f>
        <v>5.0404</v>
      </c>
      <c r="G251" s="64">
        <f>5.0405 * CHOOSE(CONTROL!$C$22, $C$13, 100%, $E$13)</f>
        <v>5.0404999999999998</v>
      </c>
      <c r="H251" s="64">
        <f>9.1919* CHOOSE(CONTROL!$C$22, $C$13, 100%, $E$13)</f>
        <v>9.1919000000000004</v>
      </c>
      <c r="I251" s="64">
        <f>9.1921 * CHOOSE(CONTROL!$C$22, $C$13, 100%, $E$13)</f>
        <v>9.1920999999999999</v>
      </c>
      <c r="J251" s="64">
        <f>5.0404 * CHOOSE(CONTROL!$C$22, $C$13, 100%, $E$13)</f>
        <v>5.0404</v>
      </c>
      <c r="K251" s="64">
        <f>5.0405 * CHOOSE(CONTROL!$C$22, $C$13, 100%, $E$13)</f>
        <v>5.0404999999999998</v>
      </c>
    </row>
    <row r="252" spans="1:11" ht="15">
      <c r="A252" s="13">
        <v>49310</v>
      </c>
      <c r="B252" s="63">
        <f>4.4493 * CHOOSE(CONTROL!$C$22, $C$13, 100%, $E$13)</f>
        <v>4.4493</v>
      </c>
      <c r="C252" s="63">
        <f>4.4493 * CHOOSE(CONTROL!$C$22, $C$13, 100%, $E$13)</f>
        <v>4.4493</v>
      </c>
      <c r="D252" s="63">
        <f>4.4609 * CHOOSE(CONTROL!$C$22, $C$13, 100%, $E$13)</f>
        <v>4.4608999999999996</v>
      </c>
      <c r="E252" s="64">
        <f>5.1042 * CHOOSE(CONTROL!$C$22, $C$13, 100%, $E$13)</f>
        <v>5.1041999999999996</v>
      </c>
      <c r="F252" s="64">
        <f>5.1042 * CHOOSE(CONTROL!$C$22, $C$13, 100%, $E$13)</f>
        <v>5.1041999999999996</v>
      </c>
      <c r="G252" s="64">
        <f>5.1043 * CHOOSE(CONTROL!$C$22, $C$13, 100%, $E$13)</f>
        <v>5.1043000000000003</v>
      </c>
      <c r="H252" s="64">
        <f>9.211* CHOOSE(CONTROL!$C$22, $C$13, 100%, $E$13)</f>
        <v>9.2110000000000003</v>
      </c>
      <c r="I252" s="64">
        <f>9.2112 * CHOOSE(CONTROL!$C$22, $C$13, 100%, $E$13)</f>
        <v>9.2111999999999998</v>
      </c>
      <c r="J252" s="64">
        <f>5.1042 * CHOOSE(CONTROL!$C$22, $C$13, 100%, $E$13)</f>
        <v>5.1041999999999996</v>
      </c>
      <c r="K252" s="64">
        <f>5.1043 * CHOOSE(CONTROL!$C$22, $C$13, 100%, $E$13)</f>
        <v>5.1043000000000003</v>
      </c>
    </row>
    <row r="253" spans="1:11" ht="15">
      <c r="A253" s="13">
        <v>49341</v>
      </c>
      <c r="B253" s="63">
        <f>4.4463 * CHOOSE(CONTROL!$C$22, $C$13, 100%, $E$13)</f>
        <v>4.4462999999999999</v>
      </c>
      <c r="C253" s="63">
        <f>4.4463 * CHOOSE(CONTROL!$C$22, $C$13, 100%, $E$13)</f>
        <v>4.4462999999999999</v>
      </c>
      <c r="D253" s="63">
        <f>4.4578 * CHOOSE(CONTROL!$C$22, $C$13, 100%, $E$13)</f>
        <v>4.4577999999999998</v>
      </c>
      <c r="E253" s="64">
        <f>5.0462 * CHOOSE(CONTROL!$C$22, $C$13, 100%, $E$13)</f>
        <v>5.0461999999999998</v>
      </c>
      <c r="F253" s="64">
        <f>5.0462 * CHOOSE(CONTROL!$C$22, $C$13, 100%, $E$13)</f>
        <v>5.0461999999999998</v>
      </c>
      <c r="G253" s="64">
        <f>5.0464 * CHOOSE(CONTROL!$C$22, $C$13, 100%, $E$13)</f>
        <v>5.0464000000000002</v>
      </c>
      <c r="H253" s="64">
        <f>9.2302* CHOOSE(CONTROL!$C$22, $C$13, 100%, $E$13)</f>
        <v>9.2302</v>
      </c>
      <c r="I253" s="64">
        <f>9.2304 * CHOOSE(CONTROL!$C$22, $C$13, 100%, $E$13)</f>
        <v>9.2303999999999995</v>
      </c>
      <c r="J253" s="64">
        <f>5.0462 * CHOOSE(CONTROL!$C$22, $C$13, 100%, $E$13)</f>
        <v>5.0461999999999998</v>
      </c>
      <c r="K253" s="64">
        <f>5.0464 * CHOOSE(CONTROL!$C$22, $C$13, 100%, $E$13)</f>
        <v>5.0464000000000002</v>
      </c>
    </row>
    <row r="254" spans="1:11" ht="15">
      <c r="A254" s="13">
        <v>49369</v>
      </c>
      <c r="B254" s="63">
        <f>4.4432 * CHOOSE(CONTROL!$C$22, $C$13, 100%, $E$13)</f>
        <v>4.4432</v>
      </c>
      <c r="C254" s="63">
        <f>4.4432 * CHOOSE(CONTROL!$C$22, $C$13, 100%, $E$13)</f>
        <v>4.4432</v>
      </c>
      <c r="D254" s="63">
        <f>4.4548 * CHOOSE(CONTROL!$C$22, $C$13, 100%, $E$13)</f>
        <v>4.4547999999999996</v>
      </c>
      <c r="E254" s="64">
        <f>5.0881 * CHOOSE(CONTROL!$C$22, $C$13, 100%, $E$13)</f>
        <v>5.0880999999999998</v>
      </c>
      <c r="F254" s="64">
        <f>5.0881 * CHOOSE(CONTROL!$C$22, $C$13, 100%, $E$13)</f>
        <v>5.0880999999999998</v>
      </c>
      <c r="G254" s="64">
        <f>5.0883 * CHOOSE(CONTROL!$C$22, $C$13, 100%, $E$13)</f>
        <v>5.0883000000000003</v>
      </c>
      <c r="H254" s="64">
        <f>9.2495* CHOOSE(CONTROL!$C$22, $C$13, 100%, $E$13)</f>
        <v>9.2494999999999994</v>
      </c>
      <c r="I254" s="64">
        <f>9.2496 * CHOOSE(CONTROL!$C$22, $C$13, 100%, $E$13)</f>
        <v>9.2495999999999992</v>
      </c>
      <c r="J254" s="64">
        <f>5.0881 * CHOOSE(CONTROL!$C$22, $C$13, 100%, $E$13)</f>
        <v>5.0880999999999998</v>
      </c>
      <c r="K254" s="64">
        <f>5.0883 * CHOOSE(CONTROL!$C$22, $C$13, 100%, $E$13)</f>
        <v>5.0883000000000003</v>
      </c>
    </row>
    <row r="255" spans="1:11" ht="15">
      <c r="A255" s="13">
        <v>49400</v>
      </c>
      <c r="B255" s="63">
        <f>4.4413 * CHOOSE(CONTROL!$C$22, $C$13, 100%, $E$13)</f>
        <v>4.4413</v>
      </c>
      <c r="C255" s="63">
        <f>4.4413 * CHOOSE(CONTROL!$C$22, $C$13, 100%, $E$13)</f>
        <v>4.4413</v>
      </c>
      <c r="D255" s="63">
        <f>4.4529 * CHOOSE(CONTROL!$C$22, $C$13, 100%, $E$13)</f>
        <v>4.4528999999999996</v>
      </c>
      <c r="E255" s="64">
        <f>5.1311 * CHOOSE(CONTROL!$C$22, $C$13, 100%, $E$13)</f>
        <v>5.1311</v>
      </c>
      <c r="F255" s="64">
        <f>5.1311 * CHOOSE(CONTROL!$C$22, $C$13, 100%, $E$13)</f>
        <v>5.1311</v>
      </c>
      <c r="G255" s="64">
        <f>5.1313 * CHOOSE(CONTROL!$C$22, $C$13, 100%, $E$13)</f>
        <v>5.1313000000000004</v>
      </c>
      <c r="H255" s="64">
        <f>9.2687* CHOOSE(CONTROL!$C$22, $C$13, 100%, $E$13)</f>
        <v>9.2687000000000008</v>
      </c>
      <c r="I255" s="64">
        <f>9.2689 * CHOOSE(CONTROL!$C$22, $C$13, 100%, $E$13)</f>
        <v>9.2689000000000004</v>
      </c>
      <c r="J255" s="64">
        <f>5.1311 * CHOOSE(CONTROL!$C$22, $C$13, 100%, $E$13)</f>
        <v>5.1311</v>
      </c>
      <c r="K255" s="64">
        <f>5.1313 * CHOOSE(CONTROL!$C$22, $C$13, 100%, $E$13)</f>
        <v>5.1313000000000004</v>
      </c>
    </row>
    <row r="256" spans="1:11" ht="15">
      <c r="A256" s="13">
        <v>49430</v>
      </c>
      <c r="B256" s="63">
        <f>4.4413 * CHOOSE(CONTROL!$C$22, $C$13, 100%, $E$13)</f>
        <v>4.4413</v>
      </c>
      <c r="C256" s="63">
        <f>4.4413 * CHOOSE(CONTROL!$C$22, $C$13, 100%, $E$13)</f>
        <v>4.4413</v>
      </c>
      <c r="D256" s="63">
        <f>4.4644 * CHOOSE(CONTROL!$C$22, $C$13, 100%, $E$13)</f>
        <v>4.4644000000000004</v>
      </c>
      <c r="E256" s="64">
        <f>5.1489 * CHOOSE(CONTROL!$C$22, $C$13, 100%, $E$13)</f>
        <v>5.1489000000000003</v>
      </c>
      <c r="F256" s="64">
        <f>5.1489 * CHOOSE(CONTROL!$C$22, $C$13, 100%, $E$13)</f>
        <v>5.1489000000000003</v>
      </c>
      <c r="G256" s="64">
        <f>5.1504 * CHOOSE(CONTROL!$C$22, $C$13, 100%, $E$13)</f>
        <v>5.1504000000000003</v>
      </c>
      <c r="H256" s="64">
        <f>9.288* CHOOSE(CONTROL!$C$22, $C$13, 100%, $E$13)</f>
        <v>9.2880000000000003</v>
      </c>
      <c r="I256" s="64">
        <f>9.2895 * CHOOSE(CONTROL!$C$22, $C$13, 100%, $E$13)</f>
        <v>9.2895000000000003</v>
      </c>
      <c r="J256" s="64">
        <f>5.1489 * CHOOSE(CONTROL!$C$22, $C$13, 100%, $E$13)</f>
        <v>5.1489000000000003</v>
      </c>
      <c r="K256" s="64">
        <f>5.1504 * CHOOSE(CONTROL!$C$22, $C$13, 100%, $E$13)</f>
        <v>5.1504000000000003</v>
      </c>
    </row>
    <row r="257" spans="1:11" ht="15">
      <c r="A257" s="13">
        <v>49461</v>
      </c>
      <c r="B257" s="63">
        <f>4.4474 * CHOOSE(CONTROL!$C$22, $C$13, 100%, $E$13)</f>
        <v>4.4474</v>
      </c>
      <c r="C257" s="63">
        <f>4.4474 * CHOOSE(CONTROL!$C$22, $C$13, 100%, $E$13)</f>
        <v>4.4474</v>
      </c>
      <c r="D257" s="63">
        <f>4.4705 * CHOOSE(CONTROL!$C$22, $C$13, 100%, $E$13)</f>
        <v>4.4705000000000004</v>
      </c>
      <c r="E257" s="64">
        <f>5.1354 * CHOOSE(CONTROL!$C$22, $C$13, 100%, $E$13)</f>
        <v>5.1353999999999997</v>
      </c>
      <c r="F257" s="64">
        <f>5.1354 * CHOOSE(CONTROL!$C$22, $C$13, 100%, $E$13)</f>
        <v>5.1353999999999997</v>
      </c>
      <c r="G257" s="64">
        <f>5.1369 * CHOOSE(CONTROL!$C$22, $C$13, 100%, $E$13)</f>
        <v>5.1368999999999998</v>
      </c>
      <c r="H257" s="64">
        <f>9.3074* CHOOSE(CONTROL!$C$22, $C$13, 100%, $E$13)</f>
        <v>9.3073999999999995</v>
      </c>
      <c r="I257" s="64">
        <f>9.3089 * CHOOSE(CONTROL!$C$22, $C$13, 100%, $E$13)</f>
        <v>9.3088999999999995</v>
      </c>
      <c r="J257" s="64">
        <f>5.1354 * CHOOSE(CONTROL!$C$22, $C$13, 100%, $E$13)</f>
        <v>5.1353999999999997</v>
      </c>
      <c r="K257" s="64">
        <f>5.1369 * CHOOSE(CONTROL!$C$22, $C$13, 100%, $E$13)</f>
        <v>5.1368999999999998</v>
      </c>
    </row>
    <row r="258" spans="1:11" ht="15">
      <c r="A258" s="13">
        <v>49491</v>
      </c>
      <c r="B258" s="63">
        <f>4.5237 * CHOOSE(CONTROL!$C$22, $C$13, 100%, $E$13)</f>
        <v>4.5236999999999998</v>
      </c>
      <c r="C258" s="63">
        <f>4.5237 * CHOOSE(CONTROL!$C$22, $C$13, 100%, $E$13)</f>
        <v>4.5236999999999998</v>
      </c>
      <c r="D258" s="63">
        <f>4.5468 * CHOOSE(CONTROL!$C$22, $C$13, 100%, $E$13)</f>
        <v>4.5468000000000002</v>
      </c>
      <c r="E258" s="64">
        <f>5.2334 * CHOOSE(CONTROL!$C$22, $C$13, 100%, $E$13)</f>
        <v>5.2333999999999996</v>
      </c>
      <c r="F258" s="64">
        <f>5.2334 * CHOOSE(CONTROL!$C$22, $C$13, 100%, $E$13)</f>
        <v>5.2333999999999996</v>
      </c>
      <c r="G258" s="64">
        <f>5.2349 * CHOOSE(CONTROL!$C$22, $C$13, 100%, $E$13)</f>
        <v>5.2348999999999997</v>
      </c>
      <c r="H258" s="64">
        <f>9.3268* CHOOSE(CONTROL!$C$22, $C$13, 100%, $E$13)</f>
        <v>9.3268000000000004</v>
      </c>
      <c r="I258" s="64">
        <f>9.3283 * CHOOSE(CONTROL!$C$22, $C$13, 100%, $E$13)</f>
        <v>9.3283000000000005</v>
      </c>
      <c r="J258" s="64">
        <f>5.2334 * CHOOSE(CONTROL!$C$22, $C$13, 100%, $E$13)</f>
        <v>5.2333999999999996</v>
      </c>
      <c r="K258" s="64">
        <f>5.2349 * CHOOSE(CONTROL!$C$22, $C$13, 100%, $E$13)</f>
        <v>5.2348999999999997</v>
      </c>
    </row>
    <row r="259" spans="1:11" ht="15">
      <c r="A259" s="13">
        <v>49522</v>
      </c>
      <c r="B259" s="63">
        <f>4.5304 * CHOOSE(CONTROL!$C$22, $C$13, 100%, $E$13)</f>
        <v>4.5304000000000002</v>
      </c>
      <c r="C259" s="63">
        <f>4.5304 * CHOOSE(CONTROL!$C$22, $C$13, 100%, $E$13)</f>
        <v>4.5304000000000002</v>
      </c>
      <c r="D259" s="63">
        <f>4.5535 * CHOOSE(CONTROL!$C$22, $C$13, 100%, $E$13)</f>
        <v>4.5534999999999997</v>
      </c>
      <c r="E259" s="64">
        <f>5.1849 * CHOOSE(CONTROL!$C$22, $C$13, 100%, $E$13)</f>
        <v>5.1848999999999998</v>
      </c>
      <c r="F259" s="64">
        <f>5.1849 * CHOOSE(CONTROL!$C$22, $C$13, 100%, $E$13)</f>
        <v>5.1848999999999998</v>
      </c>
      <c r="G259" s="64">
        <f>5.1864 * CHOOSE(CONTROL!$C$22, $C$13, 100%, $E$13)</f>
        <v>5.1863999999999999</v>
      </c>
      <c r="H259" s="64">
        <f>9.3462* CHOOSE(CONTROL!$C$22, $C$13, 100%, $E$13)</f>
        <v>9.3461999999999996</v>
      </c>
      <c r="I259" s="64">
        <f>9.3477 * CHOOSE(CONTROL!$C$22, $C$13, 100%, $E$13)</f>
        <v>9.3476999999999997</v>
      </c>
      <c r="J259" s="64">
        <f>5.1849 * CHOOSE(CONTROL!$C$22, $C$13, 100%, $E$13)</f>
        <v>5.1848999999999998</v>
      </c>
      <c r="K259" s="64">
        <f>5.1864 * CHOOSE(CONTROL!$C$22, $C$13, 100%, $E$13)</f>
        <v>5.1863999999999999</v>
      </c>
    </row>
    <row r="260" spans="1:11" ht="15">
      <c r="A260" s="13">
        <v>49553</v>
      </c>
      <c r="B260" s="63">
        <f>4.5274 * CHOOSE(CONTROL!$C$22, $C$13, 100%, $E$13)</f>
        <v>4.5274000000000001</v>
      </c>
      <c r="C260" s="63">
        <f>4.5274 * CHOOSE(CONTROL!$C$22, $C$13, 100%, $E$13)</f>
        <v>4.5274000000000001</v>
      </c>
      <c r="D260" s="63">
        <f>4.5505 * CHOOSE(CONTROL!$C$22, $C$13, 100%, $E$13)</f>
        <v>4.5505000000000004</v>
      </c>
      <c r="E260" s="64">
        <f>5.1768 * CHOOSE(CONTROL!$C$22, $C$13, 100%, $E$13)</f>
        <v>5.1768000000000001</v>
      </c>
      <c r="F260" s="64">
        <f>5.1768 * CHOOSE(CONTROL!$C$22, $C$13, 100%, $E$13)</f>
        <v>5.1768000000000001</v>
      </c>
      <c r="G260" s="64">
        <f>5.1783 * CHOOSE(CONTROL!$C$22, $C$13, 100%, $E$13)</f>
        <v>5.1783000000000001</v>
      </c>
      <c r="H260" s="64">
        <f>9.3657* CHOOSE(CONTROL!$C$22, $C$13, 100%, $E$13)</f>
        <v>9.3657000000000004</v>
      </c>
      <c r="I260" s="64">
        <f>9.3672 * CHOOSE(CONTROL!$C$22, $C$13, 100%, $E$13)</f>
        <v>9.3672000000000004</v>
      </c>
      <c r="J260" s="64">
        <f>5.1768 * CHOOSE(CONTROL!$C$22, $C$13, 100%, $E$13)</f>
        <v>5.1768000000000001</v>
      </c>
      <c r="K260" s="64">
        <f>5.1783 * CHOOSE(CONTROL!$C$22, $C$13, 100%, $E$13)</f>
        <v>5.1783000000000001</v>
      </c>
    </row>
    <row r="261" spans="1:11" ht="15">
      <c r="A261" s="13">
        <v>49583</v>
      </c>
      <c r="B261" s="63">
        <f>4.5244 * CHOOSE(CONTROL!$C$22, $C$13, 100%, $E$13)</f>
        <v>4.5244</v>
      </c>
      <c r="C261" s="63">
        <f>4.5244 * CHOOSE(CONTROL!$C$22, $C$13, 100%, $E$13)</f>
        <v>4.5244</v>
      </c>
      <c r="D261" s="63">
        <f>4.536 * CHOOSE(CONTROL!$C$22, $C$13, 100%, $E$13)</f>
        <v>4.5359999999999996</v>
      </c>
      <c r="E261" s="64">
        <f>5.1871 * CHOOSE(CONTROL!$C$22, $C$13, 100%, $E$13)</f>
        <v>5.1871</v>
      </c>
      <c r="F261" s="64">
        <f>5.1871 * CHOOSE(CONTROL!$C$22, $C$13, 100%, $E$13)</f>
        <v>5.1871</v>
      </c>
      <c r="G261" s="64">
        <f>5.1872 * CHOOSE(CONTROL!$C$22, $C$13, 100%, $E$13)</f>
        <v>5.1871999999999998</v>
      </c>
      <c r="H261" s="64">
        <f>9.3852* CHOOSE(CONTROL!$C$22, $C$13, 100%, $E$13)</f>
        <v>9.3851999999999993</v>
      </c>
      <c r="I261" s="64">
        <f>9.3854 * CHOOSE(CONTROL!$C$22, $C$13, 100%, $E$13)</f>
        <v>9.3854000000000006</v>
      </c>
      <c r="J261" s="64">
        <f>5.1871 * CHOOSE(CONTROL!$C$22, $C$13, 100%, $E$13)</f>
        <v>5.1871</v>
      </c>
      <c r="K261" s="64">
        <f>5.1872 * CHOOSE(CONTROL!$C$22, $C$13, 100%, $E$13)</f>
        <v>5.1871999999999998</v>
      </c>
    </row>
    <row r="262" spans="1:11" ht="15">
      <c r="A262" s="13">
        <v>49614</v>
      </c>
      <c r="B262" s="63">
        <f>4.5275 * CHOOSE(CONTROL!$C$22, $C$13, 100%, $E$13)</f>
        <v>4.5274999999999999</v>
      </c>
      <c r="C262" s="63">
        <f>4.5275 * CHOOSE(CONTROL!$C$22, $C$13, 100%, $E$13)</f>
        <v>4.5274999999999999</v>
      </c>
      <c r="D262" s="63">
        <f>4.539 * CHOOSE(CONTROL!$C$22, $C$13, 100%, $E$13)</f>
        <v>4.5389999999999997</v>
      </c>
      <c r="E262" s="64">
        <f>5.201 * CHOOSE(CONTROL!$C$22, $C$13, 100%, $E$13)</f>
        <v>5.2009999999999996</v>
      </c>
      <c r="F262" s="64">
        <f>5.201 * CHOOSE(CONTROL!$C$22, $C$13, 100%, $E$13)</f>
        <v>5.2009999999999996</v>
      </c>
      <c r="G262" s="64">
        <f>5.2012 * CHOOSE(CONTROL!$C$22, $C$13, 100%, $E$13)</f>
        <v>5.2012</v>
      </c>
      <c r="H262" s="64">
        <f>9.4047* CHOOSE(CONTROL!$C$22, $C$13, 100%, $E$13)</f>
        <v>9.4047000000000001</v>
      </c>
      <c r="I262" s="64">
        <f>9.4049 * CHOOSE(CONTROL!$C$22, $C$13, 100%, $E$13)</f>
        <v>9.4048999999999996</v>
      </c>
      <c r="J262" s="64">
        <f>5.201 * CHOOSE(CONTROL!$C$22, $C$13, 100%, $E$13)</f>
        <v>5.2009999999999996</v>
      </c>
      <c r="K262" s="64">
        <f>5.2012 * CHOOSE(CONTROL!$C$22, $C$13, 100%, $E$13)</f>
        <v>5.2012</v>
      </c>
    </row>
    <row r="263" spans="1:11" ht="15">
      <c r="A263" s="13">
        <v>49644</v>
      </c>
      <c r="B263" s="63">
        <f>4.5275 * CHOOSE(CONTROL!$C$22, $C$13, 100%, $E$13)</f>
        <v>4.5274999999999999</v>
      </c>
      <c r="C263" s="63">
        <f>4.5275 * CHOOSE(CONTROL!$C$22, $C$13, 100%, $E$13)</f>
        <v>4.5274999999999999</v>
      </c>
      <c r="D263" s="63">
        <f>4.539 * CHOOSE(CONTROL!$C$22, $C$13, 100%, $E$13)</f>
        <v>4.5389999999999997</v>
      </c>
      <c r="E263" s="64">
        <f>5.1715 * CHOOSE(CONTROL!$C$22, $C$13, 100%, $E$13)</f>
        <v>5.1715</v>
      </c>
      <c r="F263" s="64">
        <f>5.1715 * CHOOSE(CONTROL!$C$22, $C$13, 100%, $E$13)</f>
        <v>5.1715</v>
      </c>
      <c r="G263" s="64">
        <f>5.1716 * CHOOSE(CONTROL!$C$22, $C$13, 100%, $E$13)</f>
        <v>5.1715999999999998</v>
      </c>
      <c r="H263" s="64">
        <f>9.4243* CHOOSE(CONTROL!$C$22, $C$13, 100%, $E$13)</f>
        <v>9.4243000000000006</v>
      </c>
      <c r="I263" s="64">
        <f>9.4245 * CHOOSE(CONTROL!$C$22, $C$13, 100%, $E$13)</f>
        <v>9.4245000000000001</v>
      </c>
      <c r="J263" s="64">
        <f>5.1715 * CHOOSE(CONTROL!$C$22, $C$13, 100%, $E$13)</f>
        <v>5.1715</v>
      </c>
      <c r="K263" s="64">
        <f>5.1716 * CHOOSE(CONTROL!$C$22, $C$13, 100%, $E$13)</f>
        <v>5.1715999999999998</v>
      </c>
    </row>
    <row r="264" spans="1:11" ht="15">
      <c r="A264" s="13">
        <v>49675</v>
      </c>
      <c r="B264" s="63">
        <f>4.5704 * CHOOSE(CONTROL!$C$22, $C$13, 100%, $E$13)</f>
        <v>4.5704000000000002</v>
      </c>
      <c r="C264" s="63">
        <f>4.5704 * CHOOSE(CONTROL!$C$22, $C$13, 100%, $E$13)</f>
        <v>4.5704000000000002</v>
      </c>
      <c r="D264" s="63">
        <f>4.5819 * CHOOSE(CONTROL!$C$22, $C$13, 100%, $E$13)</f>
        <v>4.5819000000000001</v>
      </c>
      <c r="E264" s="64">
        <f>5.2414 * CHOOSE(CONTROL!$C$22, $C$13, 100%, $E$13)</f>
        <v>5.2413999999999996</v>
      </c>
      <c r="F264" s="64">
        <f>5.2414 * CHOOSE(CONTROL!$C$22, $C$13, 100%, $E$13)</f>
        <v>5.2413999999999996</v>
      </c>
      <c r="G264" s="64">
        <f>5.2415 * CHOOSE(CONTROL!$C$22, $C$13, 100%, $E$13)</f>
        <v>5.2415000000000003</v>
      </c>
      <c r="H264" s="64">
        <f>9.444* CHOOSE(CONTROL!$C$22, $C$13, 100%, $E$13)</f>
        <v>9.4440000000000008</v>
      </c>
      <c r="I264" s="64">
        <f>9.4442 * CHOOSE(CONTROL!$C$22, $C$13, 100%, $E$13)</f>
        <v>9.4442000000000004</v>
      </c>
      <c r="J264" s="64">
        <f>5.2414 * CHOOSE(CONTROL!$C$22, $C$13, 100%, $E$13)</f>
        <v>5.2413999999999996</v>
      </c>
      <c r="K264" s="64">
        <f>5.2415 * CHOOSE(CONTROL!$C$22, $C$13, 100%, $E$13)</f>
        <v>5.2415000000000003</v>
      </c>
    </row>
    <row r="265" spans="1:11" ht="15">
      <c r="A265" s="13">
        <v>49706</v>
      </c>
      <c r="B265" s="63">
        <f>4.5673 * CHOOSE(CONTROL!$C$22, $C$13, 100%, $E$13)</f>
        <v>4.5673000000000004</v>
      </c>
      <c r="C265" s="63">
        <f>4.5673 * CHOOSE(CONTROL!$C$22, $C$13, 100%, $E$13)</f>
        <v>4.5673000000000004</v>
      </c>
      <c r="D265" s="63">
        <f>4.5789 * CHOOSE(CONTROL!$C$22, $C$13, 100%, $E$13)</f>
        <v>4.5789</v>
      </c>
      <c r="E265" s="64">
        <f>5.1819 * CHOOSE(CONTROL!$C$22, $C$13, 100%, $E$13)</f>
        <v>5.1818999999999997</v>
      </c>
      <c r="F265" s="64">
        <f>5.1819 * CHOOSE(CONTROL!$C$22, $C$13, 100%, $E$13)</f>
        <v>5.1818999999999997</v>
      </c>
      <c r="G265" s="64">
        <f>5.182 * CHOOSE(CONTROL!$C$22, $C$13, 100%, $E$13)</f>
        <v>5.1820000000000004</v>
      </c>
      <c r="H265" s="64">
        <f>9.4636* CHOOSE(CONTROL!$C$22, $C$13, 100%, $E$13)</f>
        <v>9.4635999999999996</v>
      </c>
      <c r="I265" s="64">
        <f>9.4638 * CHOOSE(CONTROL!$C$22, $C$13, 100%, $E$13)</f>
        <v>9.4638000000000009</v>
      </c>
      <c r="J265" s="64">
        <f>5.1819 * CHOOSE(CONTROL!$C$22, $C$13, 100%, $E$13)</f>
        <v>5.1818999999999997</v>
      </c>
      <c r="K265" s="64">
        <f>5.182 * CHOOSE(CONTROL!$C$22, $C$13, 100%, $E$13)</f>
        <v>5.1820000000000004</v>
      </c>
    </row>
    <row r="266" spans="1:11" ht="15">
      <c r="A266" s="13">
        <v>49735</v>
      </c>
      <c r="B266" s="63">
        <f>4.5643 * CHOOSE(CONTROL!$C$22, $C$13, 100%, $E$13)</f>
        <v>4.5643000000000002</v>
      </c>
      <c r="C266" s="63">
        <f>4.5643 * CHOOSE(CONTROL!$C$22, $C$13, 100%, $E$13)</f>
        <v>4.5643000000000002</v>
      </c>
      <c r="D266" s="63">
        <f>4.5759 * CHOOSE(CONTROL!$C$22, $C$13, 100%, $E$13)</f>
        <v>4.5758999999999999</v>
      </c>
      <c r="E266" s="64">
        <f>5.225 * CHOOSE(CONTROL!$C$22, $C$13, 100%, $E$13)</f>
        <v>5.2249999999999996</v>
      </c>
      <c r="F266" s="64">
        <f>5.225 * CHOOSE(CONTROL!$C$22, $C$13, 100%, $E$13)</f>
        <v>5.2249999999999996</v>
      </c>
      <c r="G266" s="64">
        <f>5.2251 * CHOOSE(CONTROL!$C$22, $C$13, 100%, $E$13)</f>
        <v>5.2251000000000003</v>
      </c>
      <c r="H266" s="64">
        <f>9.4834* CHOOSE(CONTROL!$C$22, $C$13, 100%, $E$13)</f>
        <v>9.4833999999999996</v>
      </c>
      <c r="I266" s="64">
        <f>9.4835 * CHOOSE(CONTROL!$C$22, $C$13, 100%, $E$13)</f>
        <v>9.4834999999999994</v>
      </c>
      <c r="J266" s="64">
        <f>5.225 * CHOOSE(CONTROL!$C$22, $C$13, 100%, $E$13)</f>
        <v>5.2249999999999996</v>
      </c>
      <c r="K266" s="64">
        <f>5.2251 * CHOOSE(CONTROL!$C$22, $C$13, 100%, $E$13)</f>
        <v>5.2251000000000003</v>
      </c>
    </row>
    <row r="267" spans="1:11" ht="15">
      <c r="A267" s="13">
        <v>49766</v>
      </c>
      <c r="B267" s="63">
        <f>4.5625 * CHOOSE(CONTROL!$C$22, $C$13, 100%, $E$13)</f>
        <v>4.5625</v>
      </c>
      <c r="C267" s="63">
        <f>4.5625 * CHOOSE(CONTROL!$C$22, $C$13, 100%, $E$13)</f>
        <v>4.5625</v>
      </c>
      <c r="D267" s="63">
        <f>4.574 * CHOOSE(CONTROL!$C$22, $C$13, 100%, $E$13)</f>
        <v>4.5739999999999998</v>
      </c>
      <c r="E267" s="64">
        <f>5.2693 * CHOOSE(CONTROL!$C$22, $C$13, 100%, $E$13)</f>
        <v>5.2693000000000003</v>
      </c>
      <c r="F267" s="64">
        <f>5.2693 * CHOOSE(CONTROL!$C$22, $C$13, 100%, $E$13)</f>
        <v>5.2693000000000003</v>
      </c>
      <c r="G267" s="64">
        <f>5.2695 * CHOOSE(CONTROL!$C$22, $C$13, 100%, $E$13)</f>
        <v>5.2694999999999999</v>
      </c>
      <c r="H267" s="64">
        <f>9.5031* CHOOSE(CONTROL!$C$22, $C$13, 100%, $E$13)</f>
        <v>9.5030999999999999</v>
      </c>
      <c r="I267" s="64">
        <f>9.5033 * CHOOSE(CONTROL!$C$22, $C$13, 100%, $E$13)</f>
        <v>9.5032999999999994</v>
      </c>
      <c r="J267" s="64">
        <f>5.2693 * CHOOSE(CONTROL!$C$22, $C$13, 100%, $E$13)</f>
        <v>5.2693000000000003</v>
      </c>
      <c r="K267" s="64">
        <f>5.2695 * CHOOSE(CONTROL!$C$22, $C$13, 100%, $E$13)</f>
        <v>5.2694999999999999</v>
      </c>
    </row>
    <row r="268" spans="1:11" ht="15">
      <c r="A268" s="13">
        <v>49796</v>
      </c>
      <c r="B268" s="63">
        <f>4.5625 * CHOOSE(CONTROL!$C$22, $C$13, 100%, $E$13)</f>
        <v>4.5625</v>
      </c>
      <c r="C268" s="63">
        <f>4.5625 * CHOOSE(CONTROL!$C$22, $C$13, 100%, $E$13)</f>
        <v>4.5625</v>
      </c>
      <c r="D268" s="63">
        <f>4.5856 * CHOOSE(CONTROL!$C$22, $C$13, 100%, $E$13)</f>
        <v>4.5856000000000003</v>
      </c>
      <c r="E268" s="64">
        <f>5.2875 * CHOOSE(CONTROL!$C$22, $C$13, 100%, $E$13)</f>
        <v>5.2874999999999996</v>
      </c>
      <c r="F268" s="64">
        <f>5.2875 * CHOOSE(CONTROL!$C$22, $C$13, 100%, $E$13)</f>
        <v>5.2874999999999996</v>
      </c>
      <c r="G268" s="64">
        <f>5.289 * CHOOSE(CONTROL!$C$22, $C$13, 100%, $E$13)</f>
        <v>5.2889999999999997</v>
      </c>
      <c r="H268" s="64">
        <f>9.5229* CHOOSE(CONTROL!$C$22, $C$13, 100%, $E$13)</f>
        <v>9.5228999999999999</v>
      </c>
      <c r="I268" s="64">
        <f>9.5244 * CHOOSE(CONTROL!$C$22, $C$13, 100%, $E$13)</f>
        <v>9.5244</v>
      </c>
      <c r="J268" s="64">
        <f>5.2875 * CHOOSE(CONTROL!$C$22, $C$13, 100%, $E$13)</f>
        <v>5.2874999999999996</v>
      </c>
      <c r="K268" s="64">
        <f>5.289 * CHOOSE(CONTROL!$C$22, $C$13, 100%, $E$13)</f>
        <v>5.2889999999999997</v>
      </c>
    </row>
    <row r="269" spans="1:11" ht="15">
      <c r="A269" s="13">
        <v>49827</v>
      </c>
      <c r="B269" s="63">
        <f>4.5686 * CHOOSE(CONTROL!$C$22, $C$13, 100%, $E$13)</f>
        <v>4.5686</v>
      </c>
      <c r="C269" s="63">
        <f>4.5686 * CHOOSE(CONTROL!$C$22, $C$13, 100%, $E$13)</f>
        <v>4.5686</v>
      </c>
      <c r="D269" s="63">
        <f>4.5917 * CHOOSE(CONTROL!$C$22, $C$13, 100%, $E$13)</f>
        <v>4.5917000000000003</v>
      </c>
      <c r="E269" s="64">
        <f>5.2735 * CHOOSE(CONTROL!$C$22, $C$13, 100%, $E$13)</f>
        <v>5.2735000000000003</v>
      </c>
      <c r="F269" s="64">
        <f>5.2735 * CHOOSE(CONTROL!$C$22, $C$13, 100%, $E$13)</f>
        <v>5.2735000000000003</v>
      </c>
      <c r="G269" s="64">
        <f>5.275 * CHOOSE(CONTROL!$C$22, $C$13, 100%, $E$13)</f>
        <v>5.2750000000000004</v>
      </c>
      <c r="H269" s="64">
        <f>9.5428* CHOOSE(CONTROL!$C$22, $C$13, 100%, $E$13)</f>
        <v>9.5427999999999997</v>
      </c>
      <c r="I269" s="64">
        <f>9.5442 * CHOOSE(CONTROL!$C$22, $C$13, 100%, $E$13)</f>
        <v>9.5442</v>
      </c>
      <c r="J269" s="64">
        <f>5.2735 * CHOOSE(CONTROL!$C$22, $C$13, 100%, $E$13)</f>
        <v>5.2735000000000003</v>
      </c>
      <c r="K269" s="64">
        <f>5.275 * CHOOSE(CONTROL!$C$22, $C$13, 100%, $E$13)</f>
        <v>5.2750000000000004</v>
      </c>
    </row>
    <row r="270" spans="1:11" ht="15">
      <c r="A270" s="13">
        <v>49857</v>
      </c>
      <c r="B270" s="63">
        <f>4.6492 * CHOOSE(CONTROL!$C$22, $C$13, 100%, $E$13)</f>
        <v>4.6492000000000004</v>
      </c>
      <c r="C270" s="63">
        <f>4.6492 * CHOOSE(CONTROL!$C$22, $C$13, 100%, $E$13)</f>
        <v>4.6492000000000004</v>
      </c>
      <c r="D270" s="63">
        <f>4.6723 * CHOOSE(CONTROL!$C$22, $C$13, 100%, $E$13)</f>
        <v>4.6722999999999999</v>
      </c>
      <c r="E270" s="64">
        <f>5.3842 * CHOOSE(CONTROL!$C$22, $C$13, 100%, $E$13)</f>
        <v>5.3841999999999999</v>
      </c>
      <c r="F270" s="64">
        <f>5.3842 * CHOOSE(CONTROL!$C$22, $C$13, 100%, $E$13)</f>
        <v>5.3841999999999999</v>
      </c>
      <c r="G270" s="64">
        <f>5.3857 * CHOOSE(CONTROL!$C$22, $C$13, 100%, $E$13)</f>
        <v>5.3856999999999999</v>
      </c>
      <c r="H270" s="64">
        <f>9.5626* CHOOSE(CONTROL!$C$22, $C$13, 100%, $E$13)</f>
        <v>9.5625999999999998</v>
      </c>
      <c r="I270" s="64">
        <f>9.5641 * CHOOSE(CONTROL!$C$22, $C$13, 100%, $E$13)</f>
        <v>9.5640999999999998</v>
      </c>
      <c r="J270" s="64">
        <f>5.3842 * CHOOSE(CONTROL!$C$22, $C$13, 100%, $E$13)</f>
        <v>5.3841999999999999</v>
      </c>
      <c r="K270" s="64">
        <f>5.3857 * CHOOSE(CONTROL!$C$22, $C$13, 100%, $E$13)</f>
        <v>5.3856999999999999</v>
      </c>
    </row>
    <row r="271" spans="1:11" ht="15">
      <c r="A271" s="13">
        <v>49888</v>
      </c>
      <c r="B271" s="63">
        <f>4.6559 * CHOOSE(CONTROL!$C$22, $C$13, 100%, $E$13)</f>
        <v>4.6558999999999999</v>
      </c>
      <c r="C271" s="63">
        <f>4.6559 * CHOOSE(CONTROL!$C$22, $C$13, 100%, $E$13)</f>
        <v>4.6558999999999999</v>
      </c>
      <c r="D271" s="63">
        <f>4.679 * CHOOSE(CONTROL!$C$22, $C$13, 100%, $E$13)</f>
        <v>4.6790000000000003</v>
      </c>
      <c r="E271" s="64">
        <f>5.3342 * CHOOSE(CONTROL!$C$22, $C$13, 100%, $E$13)</f>
        <v>5.3342000000000001</v>
      </c>
      <c r="F271" s="64">
        <f>5.3342 * CHOOSE(CONTROL!$C$22, $C$13, 100%, $E$13)</f>
        <v>5.3342000000000001</v>
      </c>
      <c r="G271" s="64">
        <f>5.3357 * CHOOSE(CONTROL!$C$22, $C$13, 100%, $E$13)</f>
        <v>5.3357000000000001</v>
      </c>
      <c r="H271" s="64">
        <f>9.5826* CHOOSE(CONTROL!$C$22, $C$13, 100%, $E$13)</f>
        <v>9.5825999999999993</v>
      </c>
      <c r="I271" s="64">
        <f>9.5841 * CHOOSE(CONTROL!$C$22, $C$13, 100%, $E$13)</f>
        <v>9.5840999999999994</v>
      </c>
      <c r="J271" s="64">
        <f>5.3342 * CHOOSE(CONTROL!$C$22, $C$13, 100%, $E$13)</f>
        <v>5.3342000000000001</v>
      </c>
      <c r="K271" s="64">
        <f>5.3357 * CHOOSE(CONTROL!$C$22, $C$13, 100%, $E$13)</f>
        <v>5.3357000000000001</v>
      </c>
    </row>
    <row r="272" spans="1:11" ht="15">
      <c r="A272" s="13">
        <v>49919</v>
      </c>
      <c r="B272" s="63">
        <f>4.6528 * CHOOSE(CONTROL!$C$22, $C$13, 100%, $E$13)</f>
        <v>4.6528</v>
      </c>
      <c r="C272" s="63">
        <f>4.6528 * CHOOSE(CONTROL!$C$22, $C$13, 100%, $E$13)</f>
        <v>4.6528</v>
      </c>
      <c r="D272" s="63">
        <f>4.6759 * CHOOSE(CONTROL!$C$22, $C$13, 100%, $E$13)</f>
        <v>4.6759000000000004</v>
      </c>
      <c r="E272" s="64">
        <f>5.326 * CHOOSE(CONTROL!$C$22, $C$13, 100%, $E$13)</f>
        <v>5.3259999999999996</v>
      </c>
      <c r="F272" s="64">
        <f>5.326 * CHOOSE(CONTROL!$C$22, $C$13, 100%, $E$13)</f>
        <v>5.3259999999999996</v>
      </c>
      <c r="G272" s="64">
        <f>5.3275 * CHOOSE(CONTROL!$C$22, $C$13, 100%, $E$13)</f>
        <v>5.3274999999999997</v>
      </c>
      <c r="H272" s="64">
        <f>9.6025* CHOOSE(CONTROL!$C$22, $C$13, 100%, $E$13)</f>
        <v>9.6024999999999991</v>
      </c>
      <c r="I272" s="64">
        <f>9.604 * CHOOSE(CONTROL!$C$22, $C$13, 100%, $E$13)</f>
        <v>9.6039999999999992</v>
      </c>
      <c r="J272" s="64">
        <f>5.326 * CHOOSE(CONTROL!$C$22, $C$13, 100%, $E$13)</f>
        <v>5.3259999999999996</v>
      </c>
      <c r="K272" s="64">
        <f>5.3275 * CHOOSE(CONTROL!$C$22, $C$13, 100%, $E$13)</f>
        <v>5.3274999999999997</v>
      </c>
    </row>
    <row r="273" spans="1:11" ht="15">
      <c r="A273" s="13">
        <v>49949</v>
      </c>
      <c r="B273" s="63">
        <f>4.6503 * CHOOSE(CONTROL!$C$22, $C$13, 100%, $E$13)</f>
        <v>4.6502999999999997</v>
      </c>
      <c r="C273" s="63">
        <f>4.6503 * CHOOSE(CONTROL!$C$22, $C$13, 100%, $E$13)</f>
        <v>4.6502999999999997</v>
      </c>
      <c r="D273" s="63">
        <f>4.6618 * CHOOSE(CONTROL!$C$22, $C$13, 100%, $E$13)</f>
        <v>4.6618000000000004</v>
      </c>
      <c r="E273" s="64">
        <f>5.3369 * CHOOSE(CONTROL!$C$22, $C$13, 100%, $E$13)</f>
        <v>5.3369</v>
      </c>
      <c r="F273" s="64">
        <f>5.3369 * CHOOSE(CONTROL!$C$22, $C$13, 100%, $E$13)</f>
        <v>5.3369</v>
      </c>
      <c r="G273" s="64">
        <f>5.3371 * CHOOSE(CONTROL!$C$22, $C$13, 100%, $E$13)</f>
        <v>5.3371000000000004</v>
      </c>
      <c r="H273" s="64">
        <f>9.6225* CHOOSE(CONTROL!$C$22, $C$13, 100%, $E$13)</f>
        <v>9.6225000000000005</v>
      </c>
      <c r="I273" s="64">
        <f>9.6227 * CHOOSE(CONTROL!$C$22, $C$13, 100%, $E$13)</f>
        <v>9.6227</v>
      </c>
      <c r="J273" s="64">
        <f>5.3369 * CHOOSE(CONTROL!$C$22, $C$13, 100%, $E$13)</f>
        <v>5.3369</v>
      </c>
      <c r="K273" s="64">
        <f>5.3371 * CHOOSE(CONTROL!$C$22, $C$13, 100%, $E$13)</f>
        <v>5.3371000000000004</v>
      </c>
    </row>
    <row r="274" spans="1:11" ht="15">
      <c r="A274" s="13">
        <v>49980</v>
      </c>
      <c r="B274" s="63">
        <f>4.6533 * CHOOSE(CONTROL!$C$22, $C$13, 100%, $E$13)</f>
        <v>4.6532999999999998</v>
      </c>
      <c r="C274" s="63">
        <f>4.6533 * CHOOSE(CONTROL!$C$22, $C$13, 100%, $E$13)</f>
        <v>4.6532999999999998</v>
      </c>
      <c r="D274" s="63">
        <f>4.6649 * CHOOSE(CONTROL!$C$22, $C$13, 100%, $E$13)</f>
        <v>4.6649000000000003</v>
      </c>
      <c r="E274" s="64">
        <f>5.3512 * CHOOSE(CONTROL!$C$22, $C$13, 100%, $E$13)</f>
        <v>5.3512000000000004</v>
      </c>
      <c r="F274" s="64">
        <f>5.3512 * CHOOSE(CONTROL!$C$22, $C$13, 100%, $E$13)</f>
        <v>5.3512000000000004</v>
      </c>
      <c r="G274" s="64">
        <f>5.3513 * CHOOSE(CONTROL!$C$22, $C$13, 100%, $E$13)</f>
        <v>5.3513000000000002</v>
      </c>
      <c r="H274" s="64">
        <f>9.6426* CHOOSE(CONTROL!$C$22, $C$13, 100%, $E$13)</f>
        <v>9.6425999999999998</v>
      </c>
      <c r="I274" s="64">
        <f>9.6428 * CHOOSE(CONTROL!$C$22, $C$13, 100%, $E$13)</f>
        <v>9.6427999999999994</v>
      </c>
      <c r="J274" s="64">
        <f>5.3512 * CHOOSE(CONTROL!$C$22, $C$13, 100%, $E$13)</f>
        <v>5.3512000000000004</v>
      </c>
      <c r="K274" s="64">
        <f>5.3513 * CHOOSE(CONTROL!$C$22, $C$13, 100%, $E$13)</f>
        <v>5.3513000000000002</v>
      </c>
    </row>
    <row r="275" spans="1:11" ht="15">
      <c r="A275" s="13">
        <v>50010</v>
      </c>
      <c r="B275" s="63">
        <f>4.6533 * CHOOSE(CONTROL!$C$22, $C$13, 100%, $E$13)</f>
        <v>4.6532999999999998</v>
      </c>
      <c r="C275" s="63">
        <f>4.6533 * CHOOSE(CONTROL!$C$22, $C$13, 100%, $E$13)</f>
        <v>4.6532999999999998</v>
      </c>
      <c r="D275" s="63">
        <f>4.6649 * CHOOSE(CONTROL!$C$22, $C$13, 100%, $E$13)</f>
        <v>4.6649000000000003</v>
      </c>
      <c r="E275" s="64">
        <f>5.3208 * CHOOSE(CONTROL!$C$22, $C$13, 100%, $E$13)</f>
        <v>5.3208000000000002</v>
      </c>
      <c r="F275" s="64">
        <f>5.3208 * CHOOSE(CONTROL!$C$22, $C$13, 100%, $E$13)</f>
        <v>5.3208000000000002</v>
      </c>
      <c r="G275" s="64">
        <f>5.321 * CHOOSE(CONTROL!$C$22, $C$13, 100%, $E$13)</f>
        <v>5.3209999999999997</v>
      </c>
      <c r="H275" s="64">
        <f>9.6627* CHOOSE(CONTROL!$C$22, $C$13, 100%, $E$13)</f>
        <v>9.6626999999999992</v>
      </c>
      <c r="I275" s="64">
        <f>9.6628 * CHOOSE(CONTROL!$C$22, $C$13, 100%, $E$13)</f>
        <v>9.6628000000000007</v>
      </c>
      <c r="J275" s="64">
        <f>5.3208 * CHOOSE(CONTROL!$C$22, $C$13, 100%, $E$13)</f>
        <v>5.3208000000000002</v>
      </c>
      <c r="K275" s="64">
        <f>5.321 * CHOOSE(CONTROL!$C$22, $C$13, 100%, $E$13)</f>
        <v>5.3209999999999997</v>
      </c>
    </row>
    <row r="276" spans="1:11" ht="15">
      <c r="A276" s="13">
        <v>50041</v>
      </c>
      <c r="B276" s="63">
        <f>4.6966 * CHOOSE(CONTROL!$C$22, $C$13, 100%, $E$13)</f>
        <v>4.6966000000000001</v>
      </c>
      <c r="C276" s="63">
        <f>4.6966 * CHOOSE(CONTROL!$C$22, $C$13, 100%, $E$13)</f>
        <v>4.6966000000000001</v>
      </c>
      <c r="D276" s="63">
        <f>4.7082 * CHOOSE(CONTROL!$C$22, $C$13, 100%, $E$13)</f>
        <v>4.7081999999999997</v>
      </c>
      <c r="E276" s="64">
        <f>5.3901 * CHOOSE(CONTROL!$C$22, $C$13, 100%, $E$13)</f>
        <v>5.3901000000000003</v>
      </c>
      <c r="F276" s="64">
        <f>5.3901 * CHOOSE(CONTROL!$C$22, $C$13, 100%, $E$13)</f>
        <v>5.3901000000000003</v>
      </c>
      <c r="G276" s="64">
        <f>5.3903 * CHOOSE(CONTROL!$C$22, $C$13, 100%, $E$13)</f>
        <v>5.3902999999999999</v>
      </c>
      <c r="H276" s="64">
        <f>9.6828* CHOOSE(CONTROL!$C$22, $C$13, 100%, $E$13)</f>
        <v>9.6828000000000003</v>
      </c>
      <c r="I276" s="64">
        <f>9.683 * CHOOSE(CONTROL!$C$22, $C$13, 100%, $E$13)</f>
        <v>9.6829999999999998</v>
      </c>
      <c r="J276" s="64">
        <f>5.3901 * CHOOSE(CONTROL!$C$22, $C$13, 100%, $E$13)</f>
        <v>5.3901000000000003</v>
      </c>
      <c r="K276" s="64">
        <f>5.3903 * CHOOSE(CONTROL!$C$22, $C$13, 100%, $E$13)</f>
        <v>5.3902999999999999</v>
      </c>
    </row>
    <row r="277" spans="1:11" ht="15">
      <c r="A277" s="13">
        <v>50072</v>
      </c>
      <c r="B277" s="63">
        <f>4.6936 * CHOOSE(CONTROL!$C$22, $C$13, 100%, $E$13)</f>
        <v>4.6936</v>
      </c>
      <c r="C277" s="63">
        <f>4.6936 * CHOOSE(CONTROL!$C$22, $C$13, 100%, $E$13)</f>
        <v>4.6936</v>
      </c>
      <c r="D277" s="63">
        <f>4.7051 * CHOOSE(CONTROL!$C$22, $C$13, 100%, $E$13)</f>
        <v>4.7050999999999998</v>
      </c>
      <c r="E277" s="64">
        <f>5.3291 * CHOOSE(CONTROL!$C$22, $C$13, 100%, $E$13)</f>
        <v>5.3291000000000004</v>
      </c>
      <c r="F277" s="64">
        <f>5.3291 * CHOOSE(CONTROL!$C$22, $C$13, 100%, $E$13)</f>
        <v>5.3291000000000004</v>
      </c>
      <c r="G277" s="64">
        <f>5.3293 * CHOOSE(CONTROL!$C$22, $C$13, 100%, $E$13)</f>
        <v>5.3292999999999999</v>
      </c>
      <c r="H277" s="64">
        <f>9.703* CHOOSE(CONTROL!$C$22, $C$13, 100%, $E$13)</f>
        <v>9.7029999999999994</v>
      </c>
      <c r="I277" s="64">
        <f>9.7031 * CHOOSE(CONTROL!$C$22, $C$13, 100%, $E$13)</f>
        <v>9.7030999999999992</v>
      </c>
      <c r="J277" s="64">
        <f>5.3291 * CHOOSE(CONTROL!$C$22, $C$13, 100%, $E$13)</f>
        <v>5.3291000000000004</v>
      </c>
      <c r="K277" s="64">
        <f>5.3293 * CHOOSE(CONTROL!$C$22, $C$13, 100%, $E$13)</f>
        <v>5.3292999999999999</v>
      </c>
    </row>
    <row r="278" spans="1:11" ht="15">
      <c r="A278" s="13">
        <v>50100</v>
      </c>
      <c r="B278" s="63">
        <f>4.6905 * CHOOSE(CONTROL!$C$22, $C$13, 100%, $E$13)</f>
        <v>4.6905000000000001</v>
      </c>
      <c r="C278" s="63">
        <f>4.6905 * CHOOSE(CONTROL!$C$22, $C$13, 100%, $E$13)</f>
        <v>4.6905000000000001</v>
      </c>
      <c r="D278" s="63">
        <f>4.7021 * CHOOSE(CONTROL!$C$22, $C$13, 100%, $E$13)</f>
        <v>4.7020999999999997</v>
      </c>
      <c r="E278" s="64">
        <f>5.3734 * CHOOSE(CONTROL!$C$22, $C$13, 100%, $E$13)</f>
        <v>5.3734000000000002</v>
      </c>
      <c r="F278" s="64">
        <f>5.3734 * CHOOSE(CONTROL!$C$22, $C$13, 100%, $E$13)</f>
        <v>5.3734000000000002</v>
      </c>
      <c r="G278" s="64">
        <f>5.3736 * CHOOSE(CONTROL!$C$22, $C$13, 100%, $E$13)</f>
        <v>5.3735999999999997</v>
      </c>
      <c r="H278" s="64">
        <f>9.7232* CHOOSE(CONTROL!$C$22, $C$13, 100%, $E$13)</f>
        <v>9.7232000000000003</v>
      </c>
      <c r="I278" s="64">
        <f>9.7234 * CHOOSE(CONTROL!$C$22, $C$13, 100%, $E$13)</f>
        <v>9.7233999999999998</v>
      </c>
      <c r="J278" s="64">
        <f>5.3734 * CHOOSE(CONTROL!$C$22, $C$13, 100%, $E$13)</f>
        <v>5.3734000000000002</v>
      </c>
      <c r="K278" s="64">
        <f>5.3736 * CHOOSE(CONTROL!$C$22, $C$13, 100%, $E$13)</f>
        <v>5.3735999999999997</v>
      </c>
    </row>
    <row r="279" spans="1:11" ht="15">
      <c r="A279" s="13">
        <v>50131</v>
      </c>
      <c r="B279" s="63">
        <f>4.6888 * CHOOSE(CONTROL!$C$22, $C$13, 100%, $E$13)</f>
        <v>4.6887999999999996</v>
      </c>
      <c r="C279" s="63">
        <f>4.6888 * CHOOSE(CONTROL!$C$22, $C$13, 100%, $E$13)</f>
        <v>4.6887999999999996</v>
      </c>
      <c r="D279" s="63">
        <f>4.7004 * CHOOSE(CONTROL!$C$22, $C$13, 100%, $E$13)</f>
        <v>4.7004000000000001</v>
      </c>
      <c r="E279" s="64">
        <f>5.4191 * CHOOSE(CONTROL!$C$22, $C$13, 100%, $E$13)</f>
        <v>5.4191000000000003</v>
      </c>
      <c r="F279" s="64">
        <f>5.4191 * CHOOSE(CONTROL!$C$22, $C$13, 100%, $E$13)</f>
        <v>5.4191000000000003</v>
      </c>
      <c r="G279" s="64">
        <f>5.4192 * CHOOSE(CONTROL!$C$22, $C$13, 100%, $E$13)</f>
        <v>5.4192</v>
      </c>
      <c r="H279" s="64">
        <f>9.7434* CHOOSE(CONTROL!$C$22, $C$13, 100%, $E$13)</f>
        <v>9.7433999999999994</v>
      </c>
      <c r="I279" s="64">
        <f>9.7436 * CHOOSE(CONTROL!$C$22, $C$13, 100%, $E$13)</f>
        <v>9.7436000000000007</v>
      </c>
      <c r="J279" s="64">
        <f>5.4191 * CHOOSE(CONTROL!$C$22, $C$13, 100%, $E$13)</f>
        <v>5.4191000000000003</v>
      </c>
      <c r="K279" s="64">
        <f>5.4192 * CHOOSE(CONTROL!$C$22, $C$13, 100%, $E$13)</f>
        <v>5.4192</v>
      </c>
    </row>
    <row r="280" spans="1:11" ht="15">
      <c r="A280" s="13">
        <v>50161</v>
      </c>
      <c r="B280" s="63">
        <f>4.6888 * CHOOSE(CONTROL!$C$22, $C$13, 100%, $E$13)</f>
        <v>4.6887999999999996</v>
      </c>
      <c r="C280" s="63">
        <f>4.6888 * CHOOSE(CONTROL!$C$22, $C$13, 100%, $E$13)</f>
        <v>4.6887999999999996</v>
      </c>
      <c r="D280" s="63">
        <f>4.7119 * CHOOSE(CONTROL!$C$22, $C$13, 100%, $E$13)</f>
        <v>4.7119</v>
      </c>
      <c r="E280" s="64">
        <f>5.4378 * CHOOSE(CONTROL!$C$22, $C$13, 100%, $E$13)</f>
        <v>5.4378000000000002</v>
      </c>
      <c r="F280" s="64">
        <f>5.4378 * CHOOSE(CONTROL!$C$22, $C$13, 100%, $E$13)</f>
        <v>5.4378000000000002</v>
      </c>
      <c r="G280" s="64">
        <f>5.4393 * CHOOSE(CONTROL!$C$22, $C$13, 100%, $E$13)</f>
        <v>5.4393000000000002</v>
      </c>
      <c r="H280" s="64">
        <f>9.7637* CHOOSE(CONTROL!$C$22, $C$13, 100%, $E$13)</f>
        <v>9.7637</v>
      </c>
      <c r="I280" s="64">
        <f>9.7652 * CHOOSE(CONTROL!$C$22, $C$13, 100%, $E$13)</f>
        <v>9.7652000000000001</v>
      </c>
      <c r="J280" s="64">
        <f>5.4378 * CHOOSE(CONTROL!$C$22, $C$13, 100%, $E$13)</f>
        <v>5.4378000000000002</v>
      </c>
      <c r="K280" s="64">
        <f>5.4393 * CHOOSE(CONTROL!$C$22, $C$13, 100%, $E$13)</f>
        <v>5.4393000000000002</v>
      </c>
    </row>
    <row r="281" spans="1:11" ht="15">
      <c r="A281" s="13">
        <v>50192</v>
      </c>
      <c r="B281" s="63">
        <f>4.6949 * CHOOSE(CONTROL!$C$22, $C$13, 100%, $E$13)</f>
        <v>4.6948999999999996</v>
      </c>
      <c r="C281" s="63">
        <f>4.6949 * CHOOSE(CONTROL!$C$22, $C$13, 100%, $E$13)</f>
        <v>4.6948999999999996</v>
      </c>
      <c r="D281" s="63">
        <f>4.718 * CHOOSE(CONTROL!$C$22, $C$13, 100%, $E$13)</f>
        <v>4.718</v>
      </c>
      <c r="E281" s="64">
        <f>5.4233 * CHOOSE(CONTROL!$C$22, $C$13, 100%, $E$13)</f>
        <v>5.4233000000000002</v>
      </c>
      <c r="F281" s="64">
        <f>5.4233 * CHOOSE(CONTROL!$C$22, $C$13, 100%, $E$13)</f>
        <v>5.4233000000000002</v>
      </c>
      <c r="G281" s="64">
        <f>5.4248 * CHOOSE(CONTROL!$C$22, $C$13, 100%, $E$13)</f>
        <v>5.4248000000000003</v>
      </c>
      <c r="H281" s="64">
        <f>9.7841* CHOOSE(CONTROL!$C$22, $C$13, 100%, $E$13)</f>
        <v>9.7841000000000005</v>
      </c>
      <c r="I281" s="64">
        <f>9.7856 * CHOOSE(CONTROL!$C$22, $C$13, 100%, $E$13)</f>
        <v>9.7856000000000005</v>
      </c>
      <c r="J281" s="64">
        <f>5.4233 * CHOOSE(CONTROL!$C$22, $C$13, 100%, $E$13)</f>
        <v>5.4233000000000002</v>
      </c>
      <c r="K281" s="64">
        <f>5.4248 * CHOOSE(CONTROL!$C$22, $C$13, 100%, $E$13)</f>
        <v>5.4248000000000003</v>
      </c>
    </row>
    <row r="282" spans="1:11" ht="15">
      <c r="A282" s="13">
        <v>50222</v>
      </c>
      <c r="B282" s="63">
        <f>4.7758 * CHOOSE(CONTROL!$C$22, $C$13, 100%, $E$13)</f>
        <v>4.7758000000000003</v>
      </c>
      <c r="C282" s="63">
        <f>4.7758 * CHOOSE(CONTROL!$C$22, $C$13, 100%, $E$13)</f>
        <v>4.7758000000000003</v>
      </c>
      <c r="D282" s="63">
        <f>4.7989 * CHOOSE(CONTROL!$C$22, $C$13, 100%, $E$13)</f>
        <v>4.7988999999999997</v>
      </c>
      <c r="E282" s="64">
        <f>5.5312 * CHOOSE(CONTROL!$C$22, $C$13, 100%, $E$13)</f>
        <v>5.5312000000000001</v>
      </c>
      <c r="F282" s="64">
        <f>5.5312 * CHOOSE(CONTROL!$C$22, $C$13, 100%, $E$13)</f>
        <v>5.5312000000000001</v>
      </c>
      <c r="G282" s="64">
        <f>5.5327 * CHOOSE(CONTROL!$C$22, $C$13, 100%, $E$13)</f>
        <v>5.5327000000000002</v>
      </c>
      <c r="H282" s="64">
        <f>9.8045* CHOOSE(CONTROL!$C$22, $C$13, 100%, $E$13)</f>
        <v>9.8045000000000009</v>
      </c>
      <c r="I282" s="64">
        <f>9.806 * CHOOSE(CONTROL!$C$22, $C$13, 100%, $E$13)</f>
        <v>9.8059999999999992</v>
      </c>
      <c r="J282" s="64">
        <f>5.5312 * CHOOSE(CONTROL!$C$22, $C$13, 100%, $E$13)</f>
        <v>5.5312000000000001</v>
      </c>
      <c r="K282" s="64">
        <f>5.5327 * CHOOSE(CONTROL!$C$22, $C$13, 100%, $E$13)</f>
        <v>5.5327000000000002</v>
      </c>
    </row>
    <row r="283" spans="1:11" ht="15">
      <c r="A283" s="13">
        <v>50253</v>
      </c>
      <c r="B283" s="63">
        <f>4.7825 * CHOOSE(CONTROL!$C$22, $C$13, 100%, $E$13)</f>
        <v>4.7824999999999998</v>
      </c>
      <c r="C283" s="63">
        <f>4.7825 * CHOOSE(CONTROL!$C$22, $C$13, 100%, $E$13)</f>
        <v>4.7824999999999998</v>
      </c>
      <c r="D283" s="63">
        <f>4.8056 * CHOOSE(CONTROL!$C$22, $C$13, 100%, $E$13)</f>
        <v>4.8056000000000001</v>
      </c>
      <c r="E283" s="64">
        <f>5.4797 * CHOOSE(CONTROL!$C$22, $C$13, 100%, $E$13)</f>
        <v>5.4797000000000002</v>
      </c>
      <c r="F283" s="64">
        <f>5.4797 * CHOOSE(CONTROL!$C$22, $C$13, 100%, $E$13)</f>
        <v>5.4797000000000002</v>
      </c>
      <c r="G283" s="64">
        <f>5.4812 * CHOOSE(CONTROL!$C$22, $C$13, 100%, $E$13)</f>
        <v>5.4812000000000003</v>
      </c>
      <c r="H283" s="64">
        <f>9.8249* CHOOSE(CONTROL!$C$22, $C$13, 100%, $E$13)</f>
        <v>9.8248999999999995</v>
      </c>
      <c r="I283" s="64">
        <f>9.8264 * CHOOSE(CONTROL!$C$22, $C$13, 100%, $E$13)</f>
        <v>9.8263999999999996</v>
      </c>
      <c r="J283" s="64">
        <f>5.4797 * CHOOSE(CONTROL!$C$22, $C$13, 100%, $E$13)</f>
        <v>5.4797000000000002</v>
      </c>
      <c r="K283" s="64">
        <f>5.4812 * CHOOSE(CONTROL!$C$22, $C$13, 100%, $E$13)</f>
        <v>5.4812000000000003</v>
      </c>
    </row>
    <row r="284" spans="1:11" ht="15">
      <c r="A284" s="13">
        <v>50284</v>
      </c>
      <c r="B284" s="63">
        <f>4.7794 * CHOOSE(CONTROL!$C$22, $C$13, 100%, $E$13)</f>
        <v>4.7793999999999999</v>
      </c>
      <c r="C284" s="63">
        <f>4.7794 * CHOOSE(CONTROL!$C$22, $C$13, 100%, $E$13)</f>
        <v>4.7793999999999999</v>
      </c>
      <c r="D284" s="63">
        <f>4.8025 * CHOOSE(CONTROL!$C$22, $C$13, 100%, $E$13)</f>
        <v>4.8025000000000002</v>
      </c>
      <c r="E284" s="64">
        <f>5.4714 * CHOOSE(CONTROL!$C$22, $C$13, 100%, $E$13)</f>
        <v>5.4714</v>
      </c>
      <c r="F284" s="64">
        <f>5.4714 * CHOOSE(CONTROL!$C$22, $C$13, 100%, $E$13)</f>
        <v>5.4714</v>
      </c>
      <c r="G284" s="64">
        <f>5.4729 * CHOOSE(CONTROL!$C$22, $C$13, 100%, $E$13)</f>
        <v>5.4729000000000001</v>
      </c>
      <c r="H284" s="64">
        <f>9.8454* CHOOSE(CONTROL!$C$22, $C$13, 100%, $E$13)</f>
        <v>9.8453999999999997</v>
      </c>
      <c r="I284" s="64">
        <f>9.8468 * CHOOSE(CONTROL!$C$22, $C$13, 100%, $E$13)</f>
        <v>9.8468</v>
      </c>
      <c r="J284" s="64">
        <f>5.4714 * CHOOSE(CONTROL!$C$22, $C$13, 100%, $E$13)</f>
        <v>5.4714</v>
      </c>
      <c r="K284" s="64">
        <f>5.4729 * CHOOSE(CONTROL!$C$22, $C$13, 100%, $E$13)</f>
        <v>5.4729000000000001</v>
      </c>
    </row>
    <row r="285" spans="1:11" ht="15">
      <c r="A285" s="13">
        <v>50314</v>
      </c>
      <c r="B285" s="63">
        <f>4.7773 * CHOOSE(CONTROL!$C$22, $C$13, 100%, $E$13)</f>
        <v>4.7773000000000003</v>
      </c>
      <c r="C285" s="63">
        <f>4.7773 * CHOOSE(CONTROL!$C$22, $C$13, 100%, $E$13)</f>
        <v>4.7773000000000003</v>
      </c>
      <c r="D285" s="63">
        <f>4.7889 * CHOOSE(CONTROL!$C$22, $C$13, 100%, $E$13)</f>
        <v>4.7888999999999999</v>
      </c>
      <c r="E285" s="64">
        <f>5.4829 * CHOOSE(CONTROL!$C$22, $C$13, 100%, $E$13)</f>
        <v>5.4828999999999999</v>
      </c>
      <c r="F285" s="64">
        <f>5.4829 * CHOOSE(CONTROL!$C$22, $C$13, 100%, $E$13)</f>
        <v>5.4828999999999999</v>
      </c>
      <c r="G285" s="64">
        <f>5.4831 * CHOOSE(CONTROL!$C$22, $C$13, 100%, $E$13)</f>
        <v>5.4831000000000003</v>
      </c>
      <c r="H285" s="64">
        <f>9.8659* CHOOSE(CONTROL!$C$22, $C$13, 100%, $E$13)</f>
        <v>9.8658999999999999</v>
      </c>
      <c r="I285" s="64">
        <f>9.866 * CHOOSE(CONTROL!$C$22, $C$13, 100%, $E$13)</f>
        <v>9.8659999999999997</v>
      </c>
      <c r="J285" s="64">
        <f>5.4829 * CHOOSE(CONTROL!$C$22, $C$13, 100%, $E$13)</f>
        <v>5.4828999999999999</v>
      </c>
      <c r="K285" s="64">
        <f>5.4831 * CHOOSE(CONTROL!$C$22, $C$13, 100%, $E$13)</f>
        <v>5.4831000000000003</v>
      </c>
    </row>
    <row r="286" spans="1:11" ht="15">
      <c r="A286" s="13">
        <v>50345</v>
      </c>
      <c r="B286" s="63">
        <f>4.7804 * CHOOSE(CONTROL!$C$22, $C$13, 100%, $E$13)</f>
        <v>4.7804000000000002</v>
      </c>
      <c r="C286" s="63">
        <f>4.7804 * CHOOSE(CONTROL!$C$22, $C$13, 100%, $E$13)</f>
        <v>4.7804000000000002</v>
      </c>
      <c r="D286" s="63">
        <f>4.7919 * CHOOSE(CONTROL!$C$22, $C$13, 100%, $E$13)</f>
        <v>4.7919</v>
      </c>
      <c r="E286" s="64">
        <f>5.4975 * CHOOSE(CONTROL!$C$22, $C$13, 100%, $E$13)</f>
        <v>5.4974999999999996</v>
      </c>
      <c r="F286" s="64">
        <f>5.4975 * CHOOSE(CONTROL!$C$22, $C$13, 100%, $E$13)</f>
        <v>5.4974999999999996</v>
      </c>
      <c r="G286" s="64">
        <f>5.4977 * CHOOSE(CONTROL!$C$22, $C$13, 100%, $E$13)</f>
        <v>5.4977</v>
      </c>
      <c r="H286" s="64">
        <f>9.8864* CHOOSE(CONTROL!$C$22, $C$13, 100%, $E$13)</f>
        <v>9.8864000000000001</v>
      </c>
      <c r="I286" s="64">
        <f>9.8866 * CHOOSE(CONTROL!$C$22, $C$13, 100%, $E$13)</f>
        <v>9.8865999999999996</v>
      </c>
      <c r="J286" s="64">
        <f>5.4975 * CHOOSE(CONTROL!$C$22, $C$13, 100%, $E$13)</f>
        <v>5.4974999999999996</v>
      </c>
      <c r="K286" s="64">
        <f>5.4977 * CHOOSE(CONTROL!$C$22, $C$13, 100%, $E$13)</f>
        <v>5.4977</v>
      </c>
    </row>
    <row r="287" spans="1:11" ht="15">
      <c r="A287" s="13">
        <v>50375</v>
      </c>
      <c r="B287" s="63">
        <f>4.7804 * CHOOSE(CONTROL!$C$22, $C$13, 100%, $E$13)</f>
        <v>4.7804000000000002</v>
      </c>
      <c r="C287" s="63">
        <f>4.7804 * CHOOSE(CONTROL!$C$22, $C$13, 100%, $E$13)</f>
        <v>4.7804000000000002</v>
      </c>
      <c r="D287" s="63">
        <f>4.7919 * CHOOSE(CONTROL!$C$22, $C$13, 100%, $E$13)</f>
        <v>4.7919</v>
      </c>
      <c r="E287" s="64">
        <f>5.4663 * CHOOSE(CONTROL!$C$22, $C$13, 100%, $E$13)</f>
        <v>5.4663000000000004</v>
      </c>
      <c r="F287" s="64">
        <f>5.4663 * CHOOSE(CONTROL!$C$22, $C$13, 100%, $E$13)</f>
        <v>5.4663000000000004</v>
      </c>
      <c r="G287" s="64">
        <f>5.4665 * CHOOSE(CONTROL!$C$22, $C$13, 100%, $E$13)</f>
        <v>5.4664999999999999</v>
      </c>
      <c r="H287" s="64">
        <f>9.907* CHOOSE(CONTROL!$C$22, $C$13, 100%, $E$13)</f>
        <v>9.907</v>
      </c>
      <c r="I287" s="64">
        <f>9.9072 * CHOOSE(CONTROL!$C$22, $C$13, 100%, $E$13)</f>
        <v>9.9071999999999996</v>
      </c>
      <c r="J287" s="64">
        <f>5.4663 * CHOOSE(CONTROL!$C$22, $C$13, 100%, $E$13)</f>
        <v>5.4663000000000004</v>
      </c>
      <c r="K287" s="64">
        <f>5.4665 * CHOOSE(CONTROL!$C$22, $C$13, 100%, $E$13)</f>
        <v>5.4664999999999999</v>
      </c>
    </row>
    <row r="288" spans="1:11" ht="15">
      <c r="A288" s="13">
        <v>50406</v>
      </c>
      <c r="B288" s="63">
        <f>4.8249 * CHOOSE(CONTROL!$C$22, $C$13, 100%, $E$13)</f>
        <v>4.8249000000000004</v>
      </c>
      <c r="C288" s="63">
        <f>4.8249 * CHOOSE(CONTROL!$C$22, $C$13, 100%, $E$13)</f>
        <v>4.8249000000000004</v>
      </c>
      <c r="D288" s="63">
        <f>4.8364 * CHOOSE(CONTROL!$C$22, $C$13, 100%, $E$13)</f>
        <v>4.8364000000000003</v>
      </c>
      <c r="E288" s="64">
        <f>5.5383 * CHOOSE(CONTROL!$C$22, $C$13, 100%, $E$13)</f>
        <v>5.5382999999999996</v>
      </c>
      <c r="F288" s="64">
        <f>5.5383 * CHOOSE(CONTROL!$C$22, $C$13, 100%, $E$13)</f>
        <v>5.5382999999999996</v>
      </c>
      <c r="G288" s="64">
        <f>5.5385 * CHOOSE(CONTROL!$C$22, $C$13, 100%, $E$13)</f>
        <v>5.5385</v>
      </c>
      <c r="H288" s="64">
        <f>9.9277* CHOOSE(CONTROL!$C$22, $C$13, 100%, $E$13)</f>
        <v>9.9276999999999997</v>
      </c>
      <c r="I288" s="64">
        <f>9.9278 * CHOOSE(CONTROL!$C$22, $C$13, 100%, $E$13)</f>
        <v>9.9277999999999995</v>
      </c>
      <c r="J288" s="64">
        <f>5.5383 * CHOOSE(CONTROL!$C$22, $C$13, 100%, $E$13)</f>
        <v>5.5382999999999996</v>
      </c>
      <c r="K288" s="64">
        <f>5.5385 * CHOOSE(CONTROL!$C$22, $C$13, 100%, $E$13)</f>
        <v>5.5385</v>
      </c>
    </row>
    <row r="289" spans="1:11" ht="15">
      <c r="A289" s="13">
        <v>50437</v>
      </c>
      <c r="B289" s="63">
        <f>4.8219 * CHOOSE(CONTROL!$C$22, $C$13, 100%, $E$13)</f>
        <v>4.8219000000000003</v>
      </c>
      <c r="C289" s="63">
        <f>4.8219 * CHOOSE(CONTROL!$C$22, $C$13, 100%, $E$13)</f>
        <v>4.8219000000000003</v>
      </c>
      <c r="D289" s="63">
        <f>4.8334 * CHOOSE(CONTROL!$C$22, $C$13, 100%, $E$13)</f>
        <v>4.8334000000000001</v>
      </c>
      <c r="E289" s="64">
        <f>5.4757 * CHOOSE(CONTROL!$C$22, $C$13, 100%, $E$13)</f>
        <v>5.4756999999999998</v>
      </c>
      <c r="F289" s="64">
        <f>5.4757 * CHOOSE(CONTROL!$C$22, $C$13, 100%, $E$13)</f>
        <v>5.4756999999999998</v>
      </c>
      <c r="G289" s="64">
        <f>5.4759 * CHOOSE(CONTROL!$C$22, $C$13, 100%, $E$13)</f>
        <v>5.4759000000000002</v>
      </c>
      <c r="H289" s="64">
        <f>9.9483* CHOOSE(CONTROL!$C$22, $C$13, 100%, $E$13)</f>
        <v>9.9482999999999997</v>
      </c>
      <c r="I289" s="64">
        <f>9.9485 * CHOOSE(CONTROL!$C$22, $C$13, 100%, $E$13)</f>
        <v>9.9484999999999992</v>
      </c>
      <c r="J289" s="64">
        <f>5.4757 * CHOOSE(CONTROL!$C$22, $C$13, 100%, $E$13)</f>
        <v>5.4756999999999998</v>
      </c>
      <c r="K289" s="64">
        <f>5.4759 * CHOOSE(CONTROL!$C$22, $C$13, 100%, $E$13)</f>
        <v>5.4759000000000002</v>
      </c>
    </row>
    <row r="290" spans="1:11" ht="15">
      <c r="A290" s="13">
        <v>50465</v>
      </c>
      <c r="B290" s="63">
        <f>4.8188 * CHOOSE(CONTROL!$C$22, $C$13, 100%, $E$13)</f>
        <v>4.8188000000000004</v>
      </c>
      <c r="C290" s="63">
        <f>4.8188 * CHOOSE(CONTROL!$C$22, $C$13, 100%, $E$13)</f>
        <v>4.8188000000000004</v>
      </c>
      <c r="D290" s="63">
        <f>4.8304 * CHOOSE(CONTROL!$C$22, $C$13, 100%, $E$13)</f>
        <v>4.8304</v>
      </c>
      <c r="E290" s="64">
        <f>5.5212 * CHOOSE(CONTROL!$C$22, $C$13, 100%, $E$13)</f>
        <v>5.5212000000000003</v>
      </c>
      <c r="F290" s="64">
        <f>5.5212 * CHOOSE(CONTROL!$C$22, $C$13, 100%, $E$13)</f>
        <v>5.5212000000000003</v>
      </c>
      <c r="G290" s="64">
        <f>5.5214 * CHOOSE(CONTROL!$C$22, $C$13, 100%, $E$13)</f>
        <v>5.5213999999999999</v>
      </c>
      <c r="H290" s="64">
        <f>9.9691* CHOOSE(CONTROL!$C$22, $C$13, 100%, $E$13)</f>
        <v>9.9690999999999992</v>
      </c>
      <c r="I290" s="64">
        <f>9.9692 * CHOOSE(CONTROL!$C$22, $C$13, 100%, $E$13)</f>
        <v>9.9692000000000007</v>
      </c>
      <c r="J290" s="64">
        <f>5.5212 * CHOOSE(CONTROL!$C$22, $C$13, 100%, $E$13)</f>
        <v>5.5212000000000003</v>
      </c>
      <c r="K290" s="64">
        <f>5.5214 * CHOOSE(CONTROL!$C$22, $C$13, 100%, $E$13)</f>
        <v>5.5213999999999999</v>
      </c>
    </row>
    <row r="291" spans="1:11" ht="15">
      <c r="A291" s="13">
        <v>50496</v>
      </c>
      <c r="B291" s="63">
        <f>4.8172 * CHOOSE(CONTROL!$C$22, $C$13, 100%, $E$13)</f>
        <v>4.8171999999999997</v>
      </c>
      <c r="C291" s="63">
        <f>4.8172 * CHOOSE(CONTROL!$C$22, $C$13, 100%, $E$13)</f>
        <v>4.8171999999999997</v>
      </c>
      <c r="D291" s="63">
        <f>4.8288 * CHOOSE(CONTROL!$C$22, $C$13, 100%, $E$13)</f>
        <v>4.8288000000000002</v>
      </c>
      <c r="E291" s="64">
        <f>5.5682 * CHOOSE(CONTROL!$C$22, $C$13, 100%, $E$13)</f>
        <v>5.5682</v>
      </c>
      <c r="F291" s="64">
        <f>5.5682 * CHOOSE(CONTROL!$C$22, $C$13, 100%, $E$13)</f>
        <v>5.5682</v>
      </c>
      <c r="G291" s="64">
        <f>5.5684 * CHOOSE(CONTROL!$C$22, $C$13, 100%, $E$13)</f>
        <v>5.5683999999999996</v>
      </c>
      <c r="H291" s="64">
        <f>9.9898* CHOOSE(CONTROL!$C$22, $C$13, 100%, $E$13)</f>
        <v>9.9898000000000007</v>
      </c>
      <c r="I291" s="64">
        <f>9.99 * CHOOSE(CONTROL!$C$22, $C$13, 100%, $E$13)</f>
        <v>9.99</v>
      </c>
      <c r="J291" s="64">
        <f>5.5682 * CHOOSE(CONTROL!$C$22, $C$13, 100%, $E$13)</f>
        <v>5.5682</v>
      </c>
      <c r="K291" s="64">
        <f>5.5684 * CHOOSE(CONTROL!$C$22, $C$13, 100%, $E$13)</f>
        <v>5.5683999999999996</v>
      </c>
    </row>
    <row r="292" spans="1:11" ht="15">
      <c r="A292" s="13">
        <v>50526</v>
      </c>
      <c r="B292" s="63">
        <f>4.8172 * CHOOSE(CONTROL!$C$22, $C$13, 100%, $E$13)</f>
        <v>4.8171999999999997</v>
      </c>
      <c r="C292" s="63">
        <f>4.8172 * CHOOSE(CONTROL!$C$22, $C$13, 100%, $E$13)</f>
        <v>4.8171999999999997</v>
      </c>
      <c r="D292" s="63">
        <f>4.8403 * CHOOSE(CONTROL!$C$22, $C$13, 100%, $E$13)</f>
        <v>4.8403</v>
      </c>
      <c r="E292" s="64">
        <f>5.5874 * CHOOSE(CONTROL!$C$22, $C$13, 100%, $E$13)</f>
        <v>5.5873999999999997</v>
      </c>
      <c r="F292" s="64">
        <f>5.5874 * CHOOSE(CONTROL!$C$22, $C$13, 100%, $E$13)</f>
        <v>5.5873999999999997</v>
      </c>
      <c r="G292" s="64">
        <f>5.5889 * CHOOSE(CONTROL!$C$22, $C$13, 100%, $E$13)</f>
        <v>5.5888999999999998</v>
      </c>
      <c r="H292" s="64">
        <f>10.0107* CHOOSE(CONTROL!$C$22, $C$13, 100%, $E$13)</f>
        <v>10.0107</v>
      </c>
      <c r="I292" s="64">
        <f>10.0121 * CHOOSE(CONTROL!$C$22, $C$13, 100%, $E$13)</f>
        <v>10.0121</v>
      </c>
      <c r="J292" s="64">
        <f>5.5874 * CHOOSE(CONTROL!$C$22, $C$13, 100%, $E$13)</f>
        <v>5.5873999999999997</v>
      </c>
      <c r="K292" s="64">
        <f>5.5889 * CHOOSE(CONTROL!$C$22, $C$13, 100%, $E$13)</f>
        <v>5.5888999999999998</v>
      </c>
    </row>
    <row r="293" spans="1:11" ht="15">
      <c r="A293" s="13">
        <v>50557</v>
      </c>
      <c r="B293" s="63">
        <f>4.8233 * CHOOSE(CONTROL!$C$22, $C$13, 100%, $E$13)</f>
        <v>4.8232999999999997</v>
      </c>
      <c r="C293" s="63">
        <f>4.8233 * CHOOSE(CONTROL!$C$22, $C$13, 100%, $E$13)</f>
        <v>4.8232999999999997</v>
      </c>
      <c r="D293" s="63">
        <f>4.8464 * CHOOSE(CONTROL!$C$22, $C$13, 100%, $E$13)</f>
        <v>4.8464</v>
      </c>
      <c r="E293" s="64">
        <f>5.5724 * CHOOSE(CONTROL!$C$22, $C$13, 100%, $E$13)</f>
        <v>5.5724</v>
      </c>
      <c r="F293" s="64">
        <f>5.5724 * CHOOSE(CONTROL!$C$22, $C$13, 100%, $E$13)</f>
        <v>5.5724</v>
      </c>
      <c r="G293" s="64">
        <f>5.5739 * CHOOSE(CONTROL!$C$22, $C$13, 100%, $E$13)</f>
        <v>5.5739000000000001</v>
      </c>
      <c r="H293" s="64">
        <f>10.0315* CHOOSE(CONTROL!$C$22, $C$13, 100%, $E$13)</f>
        <v>10.031499999999999</v>
      </c>
      <c r="I293" s="64">
        <f>10.033 * CHOOSE(CONTROL!$C$22, $C$13, 100%, $E$13)</f>
        <v>10.032999999999999</v>
      </c>
      <c r="J293" s="64">
        <f>5.5724 * CHOOSE(CONTROL!$C$22, $C$13, 100%, $E$13)</f>
        <v>5.5724</v>
      </c>
      <c r="K293" s="64">
        <f>5.5739 * CHOOSE(CONTROL!$C$22, $C$13, 100%, $E$13)</f>
        <v>5.5739000000000001</v>
      </c>
    </row>
    <row r="294" spans="1:11" ht="15">
      <c r="A294" s="13">
        <v>50587</v>
      </c>
      <c r="B294" s="63">
        <f>4.9066 * CHOOSE(CONTROL!$C$22, $C$13, 100%, $E$13)</f>
        <v>4.9066000000000001</v>
      </c>
      <c r="C294" s="63">
        <f>4.9066 * CHOOSE(CONTROL!$C$22, $C$13, 100%, $E$13)</f>
        <v>4.9066000000000001</v>
      </c>
      <c r="D294" s="63">
        <f>4.9297 * CHOOSE(CONTROL!$C$22, $C$13, 100%, $E$13)</f>
        <v>4.9297000000000004</v>
      </c>
      <c r="E294" s="64">
        <f>5.6862 * CHOOSE(CONTROL!$C$22, $C$13, 100%, $E$13)</f>
        <v>5.6862000000000004</v>
      </c>
      <c r="F294" s="64">
        <f>5.6862 * CHOOSE(CONTROL!$C$22, $C$13, 100%, $E$13)</f>
        <v>5.6862000000000004</v>
      </c>
      <c r="G294" s="64">
        <f>5.6876 * CHOOSE(CONTROL!$C$22, $C$13, 100%, $E$13)</f>
        <v>5.6875999999999998</v>
      </c>
      <c r="H294" s="64">
        <f>10.0524* CHOOSE(CONTROL!$C$22, $C$13, 100%, $E$13)</f>
        <v>10.0524</v>
      </c>
      <c r="I294" s="64">
        <f>10.0539 * CHOOSE(CONTROL!$C$22, $C$13, 100%, $E$13)</f>
        <v>10.053900000000001</v>
      </c>
      <c r="J294" s="64">
        <f>5.6862 * CHOOSE(CONTROL!$C$22, $C$13, 100%, $E$13)</f>
        <v>5.6862000000000004</v>
      </c>
      <c r="K294" s="64">
        <f>5.6876 * CHOOSE(CONTROL!$C$22, $C$13, 100%, $E$13)</f>
        <v>5.6875999999999998</v>
      </c>
    </row>
    <row r="295" spans="1:11" ht="15">
      <c r="A295" s="13">
        <v>50618</v>
      </c>
      <c r="B295" s="63">
        <f>4.9133 * CHOOSE(CONTROL!$C$22, $C$13, 100%, $E$13)</f>
        <v>4.9132999999999996</v>
      </c>
      <c r="C295" s="63">
        <f>4.9133 * CHOOSE(CONTROL!$C$22, $C$13, 100%, $E$13)</f>
        <v>4.9132999999999996</v>
      </c>
      <c r="D295" s="63">
        <f>4.9364 * CHOOSE(CONTROL!$C$22, $C$13, 100%, $E$13)</f>
        <v>4.9363999999999999</v>
      </c>
      <c r="E295" s="64">
        <f>5.6332 * CHOOSE(CONTROL!$C$22, $C$13, 100%, $E$13)</f>
        <v>5.6332000000000004</v>
      </c>
      <c r="F295" s="64">
        <f>5.6332 * CHOOSE(CONTROL!$C$22, $C$13, 100%, $E$13)</f>
        <v>5.6332000000000004</v>
      </c>
      <c r="G295" s="64">
        <f>5.6347 * CHOOSE(CONTROL!$C$22, $C$13, 100%, $E$13)</f>
        <v>5.6346999999999996</v>
      </c>
      <c r="H295" s="64">
        <f>10.0733* CHOOSE(CONTROL!$C$22, $C$13, 100%, $E$13)</f>
        <v>10.0733</v>
      </c>
      <c r="I295" s="64">
        <f>10.0748 * CHOOSE(CONTROL!$C$22, $C$13, 100%, $E$13)</f>
        <v>10.0748</v>
      </c>
      <c r="J295" s="64">
        <f>5.6332 * CHOOSE(CONTROL!$C$22, $C$13, 100%, $E$13)</f>
        <v>5.6332000000000004</v>
      </c>
      <c r="K295" s="64">
        <f>5.6347 * CHOOSE(CONTROL!$C$22, $C$13, 100%, $E$13)</f>
        <v>5.6346999999999996</v>
      </c>
    </row>
    <row r="296" spans="1:11" ht="15">
      <c r="A296" s="13">
        <v>50649</v>
      </c>
      <c r="B296" s="63">
        <f>4.9102 * CHOOSE(CONTROL!$C$22, $C$13, 100%, $E$13)</f>
        <v>4.9101999999999997</v>
      </c>
      <c r="C296" s="63">
        <f>4.9102 * CHOOSE(CONTROL!$C$22, $C$13, 100%, $E$13)</f>
        <v>4.9101999999999997</v>
      </c>
      <c r="D296" s="63">
        <f>4.9333 * CHOOSE(CONTROL!$C$22, $C$13, 100%, $E$13)</f>
        <v>4.9333</v>
      </c>
      <c r="E296" s="64">
        <f>5.6247 * CHOOSE(CONTROL!$C$22, $C$13, 100%, $E$13)</f>
        <v>5.6246999999999998</v>
      </c>
      <c r="F296" s="64">
        <f>5.6247 * CHOOSE(CONTROL!$C$22, $C$13, 100%, $E$13)</f>
        <v>5.6246999999999998</v>
      </c>
      <c r="G296" s="64">
        <f>5.6262 * CHOOSE(CONTROL!$C$22, $C$13, 100%, $E$13)</f>
        <v>5.6261999999999999</v>
      </c>
      <c r="H296" s="64">
        <f>10.0943* CHOOSE(CONTROL!$C$22, $C$13, 100%, $E$13)</f>
        <v>10.0943</v>
      </c>
      <c r="I296" s="64">
        <f>10.0958 * CHOOSE(CONTROL!$C$22, $C$13, 100%, $E$13)</f>
        <v>10.095800000000001</v>
      </c>
      <c r="J296" s="64">
        <f>5.6247 * CHOOSE(CONTROL!$C$22, $C$13, 100%, $E$13)</f>
        <v>5.6246999999999998</v>
      </c>
      <c r="K296" s="64">
        <f>5.6262 * CHOOSE(CONTROL!$C$22, $C$13, 100%, $E$13)</f>
        <v>5.6261999999999999</v>
      </c>
    </row>
    <row r="297" spans="1:11" ht="15">
      <c r="A297" s="13">
        <v>50679</v>
      </c>
      <c r="B297" s="63">
        <f>4.9086 * CHOOSE(CONTROL!$C$22, $C$13, 100%, $E$13)</f>
        <v>4.9085999999999999</v>
      </c>
      <c r="C297" s="63">
        <f>4.9086 * CHOOSE(CONTROL!$C$22, $C$13, 100%, $E$13)</f>
        <v>4.9085999999999999</v>
      </c>
      <c r="D297" s="63">
        <f>4.9201 * CHOOSE(CONTROL!$C$22, $C$13, 100%, $E$13)</f>
        <v>4.9200999999999997</v>
      </c>
      <c r="E297" s="64">
        <f>5.6369 * CHOOSE(CONTROL!$C$22, $C$13, 100%, $E$13)</f>
        <v>5.6368999999999998</v>
      </c>
      <c r="F297" s="64">
        <f>5.6369 * CHOOSE(CONTROL!$C$22, $C$13, 100%, $E$13)</f>
        <v>5.6368999999999998</v>
      </c>
      <c r="G297" s="64">
        <f>5.6371 * CHOOSE(CONTROL!$C$22, $C$13, 100%, $E$13)</f>
        <v>5.6371000000000002</v>
      </c>
      <c r="H297" s="64">
        <f>10.1154* CHOOSE(CONTROL!$C$22, $C$13, 100%, $E$13)</f>
        <v>10.115399999999999</v>
      </c>
      <c r="I297" s="64">
        <f>10.1155 * CHOOSE(CONTROL!$C$22, $C$13, 100%, $E$13)</f>
        <v>10.115500000000001</v>
      </c>
      <c r="J297" s="64">
        <f>5.6369 * CHOOSE(CONTROL!$C$22, $C$13, 100%, $E$13)</f>
        <v>5.6368999999999998</v>
      </c>
      <c r="K297" s="64">
        <f>5.6371 * CHOOSE(CONTROL!$C$22, $C$13, 100%, $E$13)</f>
        <v>5.6371000000000002</v>
      </c>
    </row>
    <row r="298" spans="1:11" ht="15">
      <c r="A298" s="13">
        <v>50710</v>
      </c>
      <c r="B298" s="63">
        <f>4.9116 * CHOOSE(CONTROL!$C$22, $C$13, 100%, $E$13)</f>
        <v>4.9116</v>
      </c>
      <c r="C298" s="63">
        <f>4.9116 * CHOOSE(CONTROL!$C$22, $C$13, 100%, $E$13)</f>
        <v>4.9116</v>
      </c>
      <c r="D298" s="63">
        <f>4.9232 * CHOOSE(CONTROL!$C$22, $C$13, 100%, $E$13)</f>
        <v>4.9231999999999996</v>
      </c>
      <c r="E298" s="64">
        <f>5.6518 * CHOOSE(CONTROL!$C$22, $C$13, 100%, $E$13)</f>
        <v>5.6517999999999997</v>
      </c>
      <c r="F298" s="64">
        <f>5.6518 * CHOOSE(CONTROL!$C$22, $C$13, 100%, $E$13)</f>
        <v>5.6517999999999997</v>
      </c>
      <c r="G298" s="64">
        <f>5.652 * CHOOSE(CONTROL!$C$22, $C$13, 100%, $E$13)</f>
        <v>5.6520000000000001</v>
      </c>
      <c r="H298" s="64">
        <f>10.1364* CHOOSE(CONTROL!$C$22, $C$13, 100%, $E$13)</f>
        <v>10.1364</v>
      </c>
      <c r="I298" s="64">
        <f>10.1366 * CHOOSE(CONTROL!$C$22, $C$13, 100%, $E$13)</f>
        <v>10.1366</v>
      </c>
      <c r="J298" s="64">
        <f>5.6518 * CHOOSE(CONTROL!$C$22, $C$13, 100%, $E$13)</f>
        <v>5.6517999999999997</v>
      </c>
      <c r="K298" s="64">
        <f>5.652 * CHOOSE(CONTROL!$C$22, $C$13, 100%, $E$13)</f>
        <v>5.6520000000000001</v>
      </c>
    </row>
    <row r="299" spans="1:11" ht="15">
      <c r="A299" s="13">
        <v>50740</v>
      </c>
      <c r="B299" s="63">
        <f>4.9116 * CHOOSE(CONTROL!$C$22, $C$13, 100%, $E$13)</f>
        <v>4.9116</v>
      </c>
      <c r="C299" s="63">
        <f>4.9116 * CHOOSE(CONTROL!$C$22, $C$13, 100%, $E$13)</f>
        <v>4.9116</v>
      </c>
      <c r="D299" s="63">
        <f>4.9232 * CHOOSE(CONTROL!$C$22, $C$13, 100%, $E$13)</f>
        <v>4.9231999999999996</v>
      </c>
      <c r="E299" s="64">
        <f>5.6369 * CHOOSE(CONTROL!$C$22, $C$13, 100%, $E$13)</f>
        <v>5.6368999999999998</v>
      </c>
      <c r="F299" s="64">
        <f>5.6369 * CHOOSE(CONTROL!$C$22, $C$13, 100%, $E$13)</f>
        <v>5.6368999999999998</v>
      </c>
      <c r="G299" s="64">
        <f>5.6371 * CHOOSE(CONTROL!$C$22, $C$13, 100%, $E$13)</f>
        <v>5.6371000000000002</v>
      </c>
      <c r="H299" s="64">
        <f>10.1576* CHOOSE(CONTROL!$C$22, $C$13, 100%, $E$13)</f>
        <v>10.1576</v>
      </c>
      <c r="I299" s="64">
        <f>10.1577 * CHOOSE(CONTROL!$C$22, $C$13, 100%, $E$13)</f>
        <v>10.1577</v>
      </c>
      <c r="J299" s="64">
        <f>5.6369 * CHOOSE(CONTROL!$C$22, $C$13, 100%, $E$13)</f>
        <v>5.6368999999999998</v>
      </c>
      <c r="K299" s="64">
        <f>5.6371 * CHOOSE(CONTROL!$C$22, $C$13, 100%, $E$13)</f>
        <v>5.6371000000000002</v>
      </c>
    </row>
    <row r="300" spans="1:11" ht="15">
      <c r="A300" s="13">
        <v>50771</v>
      </c>
      <c r="B300" s="63">
        <f>4.9579 * CHOOSE(CONTROL!$C$22, $C$13, 100%, $E$13)</f>
        <v>4.9579000000000004</v>
      </c>
      <c r="C300" s="63">
        <f>4.9579 * CHOOSE(CONTROL!$C$22, $C$13, 100%, $E$13)</f>
        <v>4.9579000000000004</v>
      </c>
      <c r="D300" s="63">
        <f>4.9695 * CHOOSE(CONTROL!$C$22, $C$13, 100%, $E$13)</f>
        <v>4.9695</v>
      </c>
      <c r="E300" s="64">
        <f>5.6938 * CHOOSE(CONTROL!$C$22, $C$13, 100%, $E$13)</f>
        <v>5.6938000000000004</v>
      </c>
      <c r="F300" s="64">
        <f>5.6938 * CHOOSE(CONTROL!$C$22, $C$13, 100%, $E$13)</f>
        <v>5.6938000000000004</v>
      </c>
      <c r="G300" s="64">
        <f>5.6939 * CHOOSE(CONTROL!$C$22, $C$13, 100%, $E$13)</f>
        <v>5.6939000000000002</v>
      </c>
      <c r="H300" s="64">
        <f>10.1787* CHOOSE(CONTROL!$C$22, $C$13, 100%, $E$13)</f>
        <v>10.178699999999999</v>
      </c>
      <c r="I300" s="64">
        <f>10.1789 * CHOOSE(CONTROL!$C$22, $C$13, 100%, $E$13)</f>
        <v>10.178900000000001</v>
      </c>
      <c r="J300" s="64">
        <f>5.6938 * CHOOSE(CONTROL!$C$22, $C$13, 100%, $E$13)</f>
        <v>5.6938000000000004</v>
      </c>
      <c r="K300" s="64">
        <f>5.6939 * CHOOSE(CONTROL!$C$22, $C$13, 100%, $E$13)</f>
        <v>5.6939000000000002</v>
      </c>
    </row>
    <row r="301" spans="1:11" ht="15">
      <c r="A301" s="13">
        <v>50802</v>
      </c>
      <c r="B301" s="63">
        <f>4.9549 * CHOOSE(CONTROL!$C$22, $C$13, 100%, $E$13)</f>
        <v>4.9549000000000003</v>
      </c>
      <c r="C301" s="63">
        <f>4.9549 * CHOOSE(CONTROL!$C$22, $C$13, 100%, $E$13)</f>
        <v>4.9549000000000003</v>
      </c>
      <c r="D301" s="63">
        <f>4.9664 * CHOOSE(CONTROL!$C$22, $C$13, 100%, $E$13)</f>
        <v>4.9664000000000001</v>
      </c>
      <c r="E301" s="64">
        <f>5.6295 * CHOOSE(CONTROL!$C$22, $C$13, 100%, $E$13)</f>
        <v>5.6295000000000002</v>
      </c>
      <c r="F301" s="64">
        <f>5.6295 * CHOOSE(CONTROL!$C$22, $C$13, 100%, $E$13)</f>
        <v>5.6295000000000002</v>
      </c>
      <c r="G301" s="64">
        <f>5.6297 * CHOOSE(CONTROL!$C$22, $C$13, 100%, $E$13)</f>
        <v>5.6296999999999997</v>
      </c>
      <c r="H301" s="64">
        <f>10.1999* CHOOSE(CONTROL!$C$22, $C$13, 100%, $E$13)</f>
        <v>10.1999</v>
      </c>
      <c r="I301" s="64">
        <f>10.2001 * CHOOSE(CONTROL!$C$22, $C$13, 100%, $E$13)</f>
        <v>10.200100000000001</v>
      </c>
      <c r="J301" s="64">
        <f>5.6295 * CHOOSE(CONTROL!$C$22, $C$13, 100%, $E$13)</f>
        <v>5.6295000000000002</v>
      </c>
      <c r="K301" s="64">
        <f>5.6297 * CHOOSE(CONTROL!$C$22, $C$13, 100%, $E$13)</f>
        <v>5.6296999999999997</v>
      </c>
    </row>
    <row r="302" spans="1:11" ht="15">
      <c r="A302" s="13">
        <v>50830</v>
      </c>
      <c r="B302" s="63">
        <f>4.9518 * CHOOSE(CONTROL!$C$22, $C$13, 100%, $E$13)</f>
        <v>4.9518000000000004</v>
      </c>
      <c r="C302" s="63">
        <f>4.9518 * CHOOSE(CONTROL!$C$22, $C$13, 100%, $E$13)</f>
        <v>4.9518000000000004</v>
      </c>
      <c r="D302" s="63">
        <f>4.9634 * CHOOSE(CONTROL!$C$22, $C$13, 100%, $E$13)</f>
        <v>4.9634</v>
      </c>
      <c r="E302" s="64">
        <f>5.6764 * CHOOSE(CONTROL!$C$22, $C$13, 100%, $E$13)</f>
        <v>5.6764000000000001</v>
      </c>
      <c r="F302" s="64">
        <f>5.6764 * CHOOSE(CONTROL!$C$22, $C$13, 100%, $E$13)</f>
        <v>5.6764000000000001</v>
      </c>
      <c r="G302" s="64">
        <f>5.6766 * CHOOSE(CONTROL!$C$22, $C$13, 100%, $E$13)</f>
        <v>5.6765999999999996</v>
      </c>
      <c r="H302" s="64">
        <f>10.2212* CHOOSE(CONTROL!$C$22, $C$13, 100%, $E$13)</f>
        <v>10.2212</v>
      </c>
      <c r="I302" s="64">
        <f>10.2213 * CHOOSE(CONTROL!$C$22, $C$13, 100%, $E$13)</f>
        <v>10.221299999999999</v>
      </c>
      <c r="J302" s="64">
        <f>5.6764 * CHOOSE(CONTROL!$C$22, $C$13, 100%, $E$13)</f>
        <v>5.6764000000000001</v>
      </c>
      <c r="K302" s="64">
        <f>5.6766 * CHOOSE(CONTROL!$C$22, $C$13, 100%, $E$13)</f>
        <v>5.6765999999999996</v>
      </c>
    </row>
    <row r="303" spans="1:11" ht="15">
      <c r="A303" s="13">
        <v>50861</v>
      </c>
      <c r="B303" s="63">
        <f>4.9504 * CHOOSE(CONTROL!$C$22, $C$13, 100%, $E$13)</f>
        <v>4.9504000000000001</v>
      </c>
      <c r="C303" s="63">
        <f>4.9504 * CHOOSE(CONTROL!$C$22, $C$13, 100%, $E$13)</f>
        <v>4.9504000000000001</v>
      </c>
      <c r="D303" s="63">
        <f>4.9619 * CHOOSE(CONTROL!$C$22, $C$13, 100%, $E$13)</f>
        <v>4.9619</v>
      </c>
      <c r="E303" s="64">
        <f>5.7247 * CHOOSE(CONTROL!$C$22, $C$13, 100%, $E$13)</f>
        <v>5.7247000000000003</v>
      </c>
      <c r="F303" s="64">
        <f>5.7247 * CHOOSE(CONTROL!$C$22, $C$13, 100%, $E$13)</f>
        <v>5.7247000000000003</v>
      </c>
      <c r="G303" s="64">
        <f>5.7249 * CHOOSE(CONTROL!$C$22, $C$13, 100%, $E$13)</f>
        <v>5.7248999999999999</v>
      </c>
      <c r="H303" s="64">
        <f>10.2425* CHOOSE(CONTROL!$C$22, $C$13, 100%, $E$13)</f>
        <v>10.2425</v>
      </c>
      <c r="I303" s="64">
        <f>10.2426 * CHOOSE(CONTROL!$C$22, $C$13, 100%, $E$13)</f>
        <v>10.242599999999999</v>
      </c>
      <c r="J303" s="64">
        <f>5.7247 * CHOOSE(CONTROL!$C$22, $C$13, 100%, $E$13)</f>
        <v>5.7247000000000003</v>
      </c>
      <c r="K303" s="64">
        <f>5.7249 * CHOOSE(CONTROL!$C$22, $C$13, 100%, $E$13)</f>
        <v>5.7248999999999999</v>
      </c>
    </row>
    <row r="304" spans="1:11" ht="15">
      <c r="A304" s="13">
        <v>50891</v>
      </c>
      <c r="B304" s="63">
        <f>4.9504 * CHOOSE(CONTROL!$C$22, $C$13, 100%, $E$13)</f>
        <v>4.9504000000000001</v>
      </c>
      <c r="C304" s="63">
        <f>4.9504 * CHOOSE(CONTROL!$C$22, $C$13, 100%, $E$13)</f>
        <v>4.9504000000000001</v>
      </c>
      <c r="D304" s="63">
        <f>4.9735 * CHOOSE(CONTROL!$C$22, $C$13, 100%, $E$13)</f>
        <v>4.9734999999999996</v>
      </c>
      <c r="E304" s="64">
        <f>5.7445 * CHOOSE(CONTROL!$C$22, $C$13, 100%, $E$13)</f>
        <v>5.7445000000000004</v>
      </c>
      <c r="F304" s="64">
        <f>5.7445 * CHOOSE(CONTROL!$C$22, $C$13, 100%, $E$13)</f>
        <v>5.7445000000000004</v>
      </c>
      <c r="G304" s="64">
        <f>5.746 * CHOOSE(CONTROL!$C$22, $C$13, 100%, $E$13)</f>
        <v>5.7460000000000004</v>
      </c>
      <c r="H304" s="64">
        <f>10.2638* CHOOSE(CONTROL!$C$22, $C$13, 100%, $E$13)</f>
        <v>10.2638</v>
      </c>
      <c r="I304" s="64">
        <f>10.2653 * CHOOSE(CONTROL!$C$22, $C$13, 100%, $E$13)</f>
        <v>10.2653</v>
      </c>
      <c r="J304" s="64">
        <f>5.7445 * CHOOSE(CONTROL!$C$22, $C$13, 100%, $E$13)</f>
        <v>5.7445000000000004</v>
      </c>
      <c r="K304" s="64">
        <f>5.746 * CHOOSE(CONTROL!$C$22, $C$13, 100%, $E$13)</f>
        <v>5.7460000000000004</v>
      </c>
    </row>
    <row r="305" spans="1:11" ht="15">
      <c r="A305" s="13">
        <v>50922</v>
      </c>
      <c r="B305" s="63">
        <f>4.9565 * CHOOSE(CONTROL!$C$22, $C$13, 100%, $E$13)</f>
        <v>4.9565000000000001</v>
      </c>
      <c r="C305" s="63">
        <f>4.9565 * CHOOSE(CONTROL!$C$22, $C$13, 100%, $E$13)</f>
        <v>4.9565000000000001</v>
      </c>
      <c r="D305" s="63">
        <f>4.9796 * CHOOSE(CONTROL!$C$22, $C$13, 100%, $E$13)</f>
        <v>4.9795999999999996</v>
      </c>
      <c r="E305" s="64">
        <f>5.729 * CHOOSE(CONTROL!$C$22, $C$13, 100%, $E$13)</f>
        <v>5.7290000000000001</v>
      </c>
      <c r="F305" s="64">
        <f>5.729 * CHOOSE(CONTROL!$C$22, $C$13, 100%, $E$13)</f>
        <v>5.7290000000000001</v>
      </c>
      <c r="G305" s="64">
        <f>5.7305 * CHOOSE(CONTROL!$C$22, $C$13, 100%, $E$13)</f>
        <v>5.7305000000000001</v>
      </c>
      <c r="H305" s="64">
        <f>10.2852* CHOOSE(CONTROL!$C$22, $C$13, 100%, $E$13)</f>
        <v>10.2852</v>
      </c>
      <c r="I305" s="64">
        <f>10.2867 * CHOOSE(CONTROL!$C$22, $C$13, 100%, $E$13)</f>
        <v>10.2867</v>
      </c>
      <c r="J305" s="64">
        <f>5.729 * CHOOSE(CONTROL!$C$22, $C$13, 100%, $E$13)</f>
        <v>5.7290000000000001</v>
      </c>
      <c r="K305" s="64">
        <f>5.7305 * CHOOSE(CONTROL!$C$22, $C$13, 100%, $E$13)</f>
        <v>5.7305000000000001</v>
      </c>
    </row>
    <row r="306" spans="1:11" ht="15">
      <c r="A306" s="13">
        <v>50952</v>
      </c>
      <c r="B306" s="63">
        <f>5.043 * CHOOSE(CONTROL!$C$22, $C$13, 100%, $E$13)</f>
        <v>5.0430000000000001</v>
      </c>
      <c r="C306" s="63">
        <f>5.043 * CHOOSE(CONTROL!$C$22, $C$13, 100%, $E$13)</f>
        <v>5.0430000000000001</v>
      </c>
      <c r="D306" s="63">
        <f>5.0661 * CHOOSE(CONTROL!$C$22, $C$13, 100%, $E$13)</f>
        <v>5.0660999999999996</v>
      </c>
      <c r="E306" s="64">
        <f>5.8439 * CHOOSE(CONTROL!$C$22, $C$13, 100%, $E$13)</f>
        <v>5.8438999999999997</v>
      </c>
      <c r="F306" s="64">
        <f>5.8439 * CHOOSE(CONTROL!$C$22, $C$13, 100%, $E$13)</f>
        <v>5.8438999999999997</v>
      </c>
      <c r="G306" s="64">
        <f>5.8454 * CHOOSE(CONTROL!$C$22, $C$13, 100%, $E$13)</f>
        <v>5.8453999999999997</v>
      </c>
      <c r="H306" s="64">
        <f>10.3066* CHOOSE(CONTROL!$C$22, $C$13, 100%, $E$13)</f>
        <v>10.3066</v>
      </c>
      <c r="I306" s="64">
        <f>10.3081 * CHOOSE(CONTROL!$C$22, $C$13, 100%, $E$13)</f>
        <v>10.3081</v>
      </c>
      <c r="J306" s="64">
        <f>5.8439 * CHOOSE(CONTROL!$C$22, $C$13, 100%, $E$13)</f>
        <v>5.8438999999999997</v>
      </c>
      <c r="K306" s="64">
        <f>5.8454 * CHOOSE(CONTROL!$C$22, $C$13, 100%, $E$13)</f>
        <v>5.8453999999999997</v>
      </c>
    </row>
    <row r="307" spans="1:11" ht="15">
      <c r="A307" s="13">
        <v>50983</v>
      </c>
      <c r="B307" s="63">
        <f>5.0497 * CHOOSE(CONTROL!$C$22, $C$13, 100%, $E$13)</f>
        <v>5.0496999999999996</v>
      </c>
      <c r="C307" s="63">
        <f>5.0497 * CHOOSE(CONTROL!$C$22, $C$13, 100%, $E$13)</f>
        <v>5.0496999999999996</v>
      </c>
      <c r="D307" s="63">
        <f>5.0728 * CHOOSE(CONTROL!$C$22, $C$13, 100%, $E$13)</f>
        <v>5.0728</v>
      </c>
      <c r="E307" s="64">
        <f>5.7894 * CHOOSE(CONTROL!$C$22, $C$13, 100%, $E$13)</f>
        <v>5.7893999999999997</v>
      </c>
      <c r="F307" s="64">
        <f>5.7894 * CHOOSE(CONTROL!$C$22, $C$13, 100%, $E$13)</f>
        <v>5.7893999999999997</v>
      </c>
      <c r="G307" s="64">
        <f>5.7909 * CHOOSE(CONTROL!$C$22, $C$13, 100%, $E$13)</f>
        <v>5.7908999999999997</v>
      </c>
      <c r="H307" s="64">
        <f>10.3281* CHOOSE(CONTROL!$C$22, $C$13, 100%, $E$13)</f>
        <v>10.328099999999999</v>
      </c>
      <c r="I307" s="64">
        <f>10.3296 * CHOOSE(CONTROL!$C$22, $C$13, 100%, $E$13)</f>
        <v>10.329599999999999</v>
      </c>
      <c r="J307" s="64">
        <f>5.7894 * CHOOSE(CONTROL!$C$22, $C$13, 100%, $E$13)</f>
        <v>5.7893999999999997</v>
      </c>
      <c r="K307" s="64">
        <f>5.7909 * CHOOSE(CONTROL!$C$22, $C$13, 100%, $E$13)</f>
        <v>5.7908999999999997</v>
      </c>
    </row>
    <row r="308" spans="1:11" ht="15">
      <c r="A308" s="13">
        <v>51014</v>
      </c>
      <c r="B308" s="63">
        <f>5.0467 * CHOOSE(CONTROL!$C$22, $C$13, 100%, $E$13)</f>
        <v>5.0467000000000004</v>
      </c>
      <c r="C308" s="63">
        <f>5.0467 * CHOOSE(CONTROL!$C$22, $C$13, 100%, $E$13)</f>
        <v>5.0467000000000004</v>
      </c>
      <c r="D308" s="63">
        <f>5.0698 * CHOOSE(CONTROL!$C$22, $C$13, 100%, $E$13)</f>
        <v>5.0697999999999999</v>
      </c>
      <c r="E308" s="64">
        <f>5.7807 * CHOOSE(CONTROL!$C$22, $C$13, 100%, $E$13)</f>
        <v>5.7807000000000004</v>
      </c>
      <c r="F308" s="64">
        <f>5.7807 * CHOOSE(CONTROL!$C$22, $C$13, 100%, $E$13)</f>
        <v>5.7807000000000004</v>
      </c>
      <c r="G308" s="64">
        <f>5.7822 * CHOOSE(CONTROL!$C$22, $C$13, 100%, $E$13)</f>
        <v>5.7821999999999996</v>
      </c>
      <c r="H308" s="64">
        <f>10.3496* CHOOSE(CONTROL!$C$22, $C$13, 100%, $E$13)</f>
        <v>10.349600000000001</v>
      </c>
      <c r="I308" s="64">
        <f>10.3511 * CHOOSE(CONTROL!$C$22, $C$13, 100%, $E$13)</f>
        <v>10.351100000000001</v>
      </c>
      <c r="J308" s="64">
        <f>5.7807 * CHOOSE(CONTROL!$C$22, $C$13, 100%, $E$13)</f>
        <v>5.7807000000000004</v>
      </c>
      <c r="K308" s="64">
        <f>5.7822 * CHOOSE(CONTROL!$C$22, $C$13, 100%, $E$13)</f>
        <v>5.7821999999999996</v>
      </c>
    </row>
    <row r="309" spans="1:11" ht="15">
      <c r="A309" s="13">
        <v>51044</v>
      </c>
      <c r="B309" s="63">
        <f>5.0455 * CHOOSE(CONTROL!$C$22, $C$13, 100%, $E$13)</f>
        <v>5.0454999999999997</v>
      </c>
      <c r="C309" s="63">
        <f>5.0455 * CHOOSE(CONTROL!$C$22, $C$13, 100%, $E$13)</f>
        <v>5.0454999999999997</v>
      </c>
      <c r="D309" s="63">
        <f>5.057 * CHOOSE(CONTROL!$C$22, $C$13, 100%, $E$13)</f>
        <v>5.0570000000000004</v>
      </c>
      <c r="E309" s="64">
        <f>5.7936 * CHOOSE(CONTROL!$C$22, $C$13, 100%, $E$13)</f>
        <v>5.7935999999999996</v>
      </c>
      <c r="F309" s="64">
        <f>5.7936 * CHOOSE(CONTROL!$C$22, $C$13, 100%, $E$13)</f>
        <v>5.7935999999999996</v>
      </c>
      <c r="G309" s="64">
        <f>5.7938 * CHOOSE(CONTROL!$C$22, $C$13, 100%, $E$13)</f>
        <v>5.7938000000000001</v>
      </c>
      <c r="H309" s="64">
        <f>10.3712* CHOOSE(CONTROL!$C$22, $C$13, 100%, $E$13)</f>
        <v>10.3712</v>
      </c>
      <c r="I309" s="64">
        <f>10.3713 * CHOOSE(CONTROL!$C$22, $C$13, 100%, $E$13)</f>
        <v>10.3713</v>
      </c>
      <c r="J309" s="64">
        <f>5.7936 * CHOOSE(CONTROL!$C$22, $C$13, 100%, $E$13)</f>
        <v>5.7935999999999996</v>
      </c>
      <c r="K309" s="64">
        <f>5.7938 * CHOOSE(CONTROL!$C$22, $C$13, 100%, $E$13)</f>
        <v>5.7938000000000001</v>
      </c>
    </row>
    <row r="310" spans="1:11" ht="15">
      <c r="A310" s="13">
        <v>51075</v>
      </c>
      <c r="B310" s="63">
        <f>5.0485 * CHOOSE(CONTROL!$C$22, $C$13, 100%, $E$13)</f>
        <v>5.0484999999999998</v>
      </c>
      <c r="C310" s="63">
        <f>5.0485 * CHOOSE(CONTROL!$C$22, $C$13, 100%, $E$13)</f>
        <v>5.0484999999999998</v>
      </c>
      <c r="D310" s="63">
        <f>5.0601 * CHOOSE(CONTROL!$C$22, $C$13, 100%, $E$13)</f>
        <v>5.0601000000000003</v>
      </c>
      <c r="E310" s="64">
        <f>5.8089 * CHOOSE(CONTROL!$C$22, $C$13, 100%, $E$13)</f>
        <v>5.8089000000000004</v>
      </c>
      <c r="F310" s="64">
        <f>5.8089 * CHOOSE(CONTROL!$C$22, $C$13, 100%, $E$13)</f>
        <v>5.8089000000000004</v>
      </c>
      <c r="G310" s="64">
        <f>5.809 * CHOOSE(CONTROL!$C$22, $C$13, 100%, $E$13)</f>
        <v>5.8090000000000002</v>
      </c>
      <c r="H310" s="64">
        <f>10.3928* CHOOSE(CONTROL!$C$22, $C$13, 100%, $E$13)</f>
        <v>10.392799999999999</v>
      </c>
      <c r="I310" s="64">
        <f>10.3929 * CHOOSE(CONTROL!$C$22, $C$13, 100%, $E$13)</f>
        <v>10.392899999999999</v>
      </c>
      <c r="J310" s="64">
        <f>5.8089 * CHOOSE(CONTROL!$C$22, $C$13, 100%, $E$13)</f>
        <v>5.8089000000000004</v>
      </c>
      <c r="K310" s="64">
        <f>5.809 * CHOOSE(CONTROL!$C$22, $C$13, 100%, $E$13)</f>
        <v>5.8090000000000002</v>
      </c>
    </row>
    <row r="311" spans="1:11" ht="15">
      <c r="A311" s="13">
        <v>51105</v>
      </c>
      <c r="B311" s="63">
        <f>5.0485 * CHOOSE(CONTROL!$C$22, $C$13, 100%, $E$13)</f>
        <v>5.0484999999999998</v>
      </c>
      <c r="C311" s="63">
        <f>5.0485 * CHOOSE(CONTROL!$C$22, $C$13, 100%, $E$13)</f>
        <v>5.0484999999999998</v>
      </c>
      <c r="D311" s="63">
        <f>5.0601 * CHOOSE(CONTROL!$C$22, $C$13, 100%, $E$13)</f>
        <v>5.0601000000000003</v>
      </c>
      <c r="E311" s="64">
        <f>5.776 * CHOOSE(CONTROL!$C$22, $C$13, 100%, $E$13)</f>
        <v>5.7759999999999998</v>
      </c>
      <c r="F311" s="64">
        <f>5.776 * CHOOSE(CONTROL!$C$22, $C$13, 100%, $E$13)</f>
        <v>5.7759999999999998</v>
      </c>
      <c r="G311" s="64">
        <f>5.7762 * CHOOSE(CONTROL!$C$22, $C$13, 100%, $E$13)</f>
        <v>5.7762000000000002</v>
      </c>
      <c r="H311" s="64">
        <f>10.4144* CHOOSE(CONTROL!$C$22, $C$13, 100%, $E$13)</f>
        <v>10.414400000000001</v>
      </c>
      <c r="I311" s="64">
        <f>10.4146 * CHOOSE(CONTROL!$C$22, $C$13, 100%, $E$13)</f>
        <v>10.4146</v>
      </c>
      <c r="J311" s="64">
        <f>5.776 * CHOOSE(CONTROL!$C$22, $C$13, 100%, $E$13)</f>
        <v>5.7759999999999998</v>
      </c>
      <c r="K311" s="64">
        <f>5.7762 * CHOOSE(CONTROL!$C$22, $C$13, 100%, $E$13)</f>
        <v>5.7762000000000002</v>
      </c>
    </row>
    <row r="312" spans="1:11" ht="15">
      <c r="A312" s="13">
        <v>51136</v>
      </c>
      <c r="B312" s="63">
        <f>5.0944 * CHOOSE(CONTROL!$C$22, $C$13, 100%, $E$13)</f>
        <v>5.0944000000000003</v>
      </c>
      <c r="C312" s="63">
        <f>5.0944 * CHOOSE(CONTROL!$C$22, $C$13, 100%, $E$13)</f>
        <v>5.0944000000000003</v>
      </c>
      <c r="D312" s="63">
        <f>5.1059 * CHOOSE(CONTROL!$C$22, $C$13, 100%, $E$13)</f>
        <v>5.1059000000000001</v>
      </c>
      <c r="E312" s="64">
        <f>5.8526 * CHOOSE(CONTROL!$C$22, $C$13, 100%, $E$13)</f>
        <v>5.8525999999999998</v>
      </c>
      <c r="F312" s="64">
        <f>5.8526 * CHOOSE(CONTROL!$C$22, $C$13, 100%, $E$13)</f>
        <v>5.8525999999999998</v>
      </c>
      <c r="G312" s="64">
        <f>5.8528 * CHOOSE(CONTROL!$C$22, $C$13, 100%, $E$13)</f>
        <v>5.8528000000000002</v>
      </c>
      <c r="H312" s="64">
        <f>10.4361* CHOOSE(CONTROL!$C$22, $C$13, 100%, $E$13)</f>
        <v>10.4361</v>
      </c>
      <c r="I312" s="64">
        <f>10.4363 * CHOOSE(CONTROL!$C$22, $C$13, 100%, $E$13)</f>
        <v>10.436299999999999</v>
      </c>
      <c r="J312" s="64">
        <f>5.8526 * CHOOSE(CONTROL!$C$22, $C$13, 100%, $E$13)</f>
        <v>5.8525999999999998</v>
      </c>
      <c r="K312" s="64">
        <f>5.8528 * CHOOSE(CONTROL!$C$22, $C$13, 100%, $E$13)</f>
        <v>5.8528000000000002</v>
      </c>
    </row>
    <row r="313" spans="1:11" ht="15">
      <c r="A313" s="13">
        <v>51167</v>
      </c>
      <c r="B313" s="63">
        <f>5.0913 * CHOOSE(CONTROL!$C$22, $C$13, 100%, $E$13)</f>
        <v>5.0913000000000004</v>
      </c>
      <c r="C313" s="63">
        <f>5.0913 * CHOOSE(CONTROL!$C$22, $C$13, 100%, $E$13)</f>
        <v>5.0913000000000004</v>
      </c>
      <c r="D313" s="63">
        <f>5.1029 * CHOOSE(CONTROL!$C$22, $C$13, 100%, $E$13)</f>
        <v>5.1029</v>
      </c>
      <c r="E313" s="64">
        <f>5.7866 * CHOOSE(CONTROL!$C$22, $C$13, 100%, $E$13)</f>
        <v>5.7866</v>
      </c>
      <c r="F313" s="64">
        <f>5.7866 * CHOOSE(CONTROL!$C$22, $C$13, 100%, $E$13)</f>
        <v>5.7866</v>
      </c>
      <c r="G313" s="64">
        <f>5.7868 * CHOOSE(CONTROL!$C$22, $C$13, 100%, $E$13)</f>
        <v>5.7868000000000004</v>
      </c>
      <c r="H313" s="64">
        <f>10.4579* CHOOSE(CONTROL!$C$22, $C$13, 100%, $E$13)</f>
        <v>10.4579</v>
      </c>
      <c r="I313" s="64">
        <f>10.458 * CHOOSE(CONTROL!$C$22, $C$13, 100%, $E$13)</f>
        <v>10.458</v>
      </c>
      <c r="J313" s="64">
        <f>5.7866 * CHOOSE(CONTROL!$C$22, $C$13, 100%, $E$13)</f>
        <v>5.7866</v>
      </c>
      <c r="K313" s="64">
        <f>5.7868 * CHOOSE(CONTROL!$C$22, $C$13, 100%, $E$13)</f>
        <v>5.7868000000000004</v>
      </c>
    </row>
    <row r="314" spans="1:11" ht="15">
      <c r="A314" s="13">
        <v>51196</v>
      </c>
      <c r="B314" s="63">
        <f>5.0883 * CHOOSE(CONTROL!$C$22, $C$13, 100%, $E$13)</f>
        <v>5.0883000000000003</v>
      </c>
      <c r="C314" s="63">
        <f>5.0883 * CHOOSE(CONTROL!$C$22, $C$13, 100%, $E$13)</f>
        <v>5.0883000000000003</v>
      </c>
      <c r="D314" s="63">
        <f>5.0998 * CHOOSE(CONTROL!$C$22, $C$13, 100%, $E$13)</f>
        <v>5.0998000000000001</v>
      </c>
      <c r="E314" s="64">
        <f>5.8349 * CHOOSE(CONTROL!$C$22, $C$13, 100%, $E$13)</f>
        <v>5.8349000000000002</v>
      </c>
      <c r="F314" s="64">
        <f>5.8349 * CHOOSE(CONTROL!$C$22, $C$13, 100%, $E$13)</f>
        <v>5.8349000000000002</v>
      </c>
      <c r="G314" s="64">
        <f>5.835 * CHOOSE(CONTROL!$C$22, $C$13, 100%, $E$13)</f>
        <v>5.835</v>
      </c>
      <c r="H314" s="64">
        <f>10.4796* CHOOSE(CONTROL!$C$22, $C$13, 100%, $E$13)</f>
        <v>10.4796</v>
      </c>
      <c r="I314" s="64">
        <f>10.4798 * CHOOSE(CONTROL!$C$22, $C$13, 100%, $E$13)</f>
        <v>10.479799999999999</v>
      </c>
      <c r="J314" s="64">
        <f>5.8349 * CHOOSE(CONTROL!$C$22, $C$13, 100%, $E$13)</f>
        <v>5.8349000000000002</v>
      </c>
      <c r="K314" s="64">
        <f>5.835 * CHOOSE(CONTROL!$C$22, $C$13, 100%, $E$13)</f>
        <v>5.835</v>
      </c>
    </row>
    <row r="315" spans="1:11" ht="15">
      <c r="A315" s="13">
        <v>51227</v>
      </c>
      <c r="B315" s="63">
        <f>5.0869 * CHOOSE(CONTROL!$C$22, $C$13, 100%, $E$13)</f>
        <v>5.0869</v>
      </c>
      <c r="C315" s="63">
        <f>5.0869 * CHOOSE(CONTROL!$C$22, $C$13, 100%, $E$13)</f>
        <v>5.0869</v>
      </c>
      <c r="D315" s="63">
        <f>5.0985 * CHOOSE(CONTROL!$C$22, $C$13, 100%, $E$13)</f>
        <v>5.0984999999999996</v>
      </c>
      <c r="E315" s="64">
        <f>5.8847 * CHOOSE(CONTROL!$C$22, $C$13, 100%, $E$13)</f>
        <v>5.8846999999999996</v>
      </c>
      <c r="F315" s="64">
        <f>5.8847 * CHOOSE(CONTROL!$C$22, $C$13, 100%, $E$13)</f>
        <v>5.8846999999999996</v>
      </c>
      <c r="G315" s="64">
        <f>5.8849 * CHOOSE(CONTROL!$C$22, $C$13, 100%, $E$13)</f>
        <v>5.8849</v>
      </c>
      <c r="H315" s="64">
        <f>10.5015* CHOOSE(CONTROL!$C$22, $C$13, 100%, $E$13)</f>
        <v>10.5015</v>
      </c>
      <c r="I315" s="64">
        <f>10.5017 * CHOOSE(CONTROL!$C$22, $C$13, 100%, $E$13)</f>
        <v>10.5017</v>
      </c>
      <c r="J315" s="64">
        <f>5.8847 * CHOOSE(CONTROL!$C$22, $C$13, 100%, $E$13)</f>
        <v>5.8846999999999996</v>
      </c>
      <c r="K315" s="64">
        <f>5.8849 * CHOOSE(CONTROL!$C$22, $C$13, 100%, $E$13)</f>
        <v>5.8849</v>
      </c>
    </row>
    <row r="316" spans="1:11" ht="15">
      <c r="A316" s="13">
        <v>51257</v>
      </c>
      <c r="B316" s="63">
        <f>5.0869 * CHOOSE(CONTROL!$C$22, $C$13, 100%, $E$13)</f>
        <v>5.0869</v>
      </c>
      <c r="C316" s="63">
        <f>5.0869 * CHOOSE(CONTROL!$C$22, $C$13, 100%, $E$13)</f>
        <v>5.0869</v>
      </c>
      <c r="D316" s="63">
        <f>5.11 * CHOOSE(CONTROL!$C$22, $C$13, 100%, $E$13)</f>
        <v>5.1100000000000003</v>
      </c>
      <c r="E316" s="64">
        <f>5.905 * CHOOSE(CONTROL!$C$22, $C$13, 100%, $E$13)</f>
        <v>5.9050000000000002</v>
      </c>
      <c r="F316" s="64">
        <f>5.905 * CHOOSE(CONTROL!$C$22, $C$13, 100%, $E$13)</f>
        <v>5.9050000000000002</v>
      </c>
      <c r="G316" s="64">
        <f>5.9065 * CHOOSE(CONTROL!$C$22, $C$13, 100%, $E$13)</f>
        <v>5.9065000000000003</v>
      </c>
      <c r="H316" s="64">
        <f>10.5234* CHOOSE(CONTROL!$C$22, $C$13, 100%, $E$13)</f>
        <v>10.523400000000001</v>
      </c>
      <c r="I316" s="64">
        <f>10.5248 * CHOOSE(CONTROL!$C$22, $C$13, 100%, $E$13)</f>
        <v>10.524800000000001</v>
      </c>
      <c r="J316" s="64">
        <f>5.905 * CHOOSE(CONTROL!$C$22, $C$13, 100%, $E$13)</f>
        <v>5.9050000000000002</v>
      </c>
      <c r="K316" s="64">
        <f>5.9065 * CHOOSE(CONTROL!$C$22, $C$13, 100%, $E$13)</f>
        <v>5.9065000000000003</v>
      </c>
    </row>
    <row r="317" spans="1:11" ht="15">
      <c r="A317" s="13">
        <v>51288</v>
      </c>
      <c r="B317" s="63">
        <f>5.093 * CHOOSE(CONTROL!$C$22, $C$13, 100%, $E$13)</f>
        <v>5.093</v>
      </c>
      <c r="C317" s="63">
        <f>5.093 * CHOOSE(CONTROL!$C$22, $C$13, 100%, $E$13)</f>
        <v>5.093</v>
      </c>
      <c r="D317" s="63">
        <f>5.1161 * CHOOSE(CONTROL!$C$22, $C$13, 100%, $E$13)</f>
        <v>5.1161000000000003</v>
      </c>
      <c r="E317" s="64">
        <f>5.889 * CHOOSE(CONTROL!$C$22, $C$13, 100%, $E$13)</f>
        <v>5.8890000000000002</v>
      </c>
      <c r="F317" s="64">
        <f>5.889 * CHOOSE(CONTROL!$C$22, $C$13, 100%, $E$13)</f>
        <v>5.8890000000000002</v>
      </c>
      <c r="G317" s="64">
        <f>5.8904 * CHOOSE(CONTROL!$C$22, $C$13, 100%, $E$13)</f>
        <v>5.8903999999999996</v>
      </c>
      <c r="H317" s="64">
        <f>10.5453* CHOOSE(CONTROL!$C$22, $C$13, 100%, $E$13)</f>
        <v>10.545299999999999</v>
      </c>
      <c r="I317" s="64">
        <f>10.5468 * CHOOSE(CONTROL!$C$22, $C$13, 100%, $E$13)</f>
        <v>10.546799999999999</v>
      </c>
      <c r="J317" s="64">
        <f>5.889 * CHOOSE(CONTROL!$C$22, $C$13, 100%, $E$13)</f>
        <v>5.8890000000000002</v>
      </c>
      <c r="K317" s="64">
        <f>5.8904 * CHOOSE(CONTROL!$C$22, $C$13, 100%, $E$13)</f>
        <v>5.8903999999999996</v>
      </c>
    </row>
    <row r="318" spans="1:11" ht="15">
      <c r="A318" s="13">
        <v>51318</v>
      </c>
      <c r="B318" s="63">
        <f>5.1785 * CHOOSE(CONTROL!$C$22, $C$13, 100%, $E$13)</f>
        <v>5.1784999999999997</v>
      </c>
      <c r="C318" s="63">
        <f>5.1785 * CHOOSE(CONTROL!$C$22, $C$13, 100%, $E$13)</f>
        <v>5.1784999999999997</v>
      </c>
      <c r="D318" s="63">
        <f>5.2016 * CHOOSE(CONTROL!$C$22, $C$13, 100%, $E$13)</f>
        <v>5.2016</v>
      </c>
      <c r="E318" s="64">
        <f>6.0078 * CHOOSE(CONTROL!$C$22, $C$13, 100%, $E$13)</f>
        <v>6.0077999999999996</v>
      </c>
      <c r="F318" s="64">
        <f>6.0078 * CHOOSE(CONTROL!$C$22, $C$13, 100%, $E$13)</f>
        <v>6.0077999999999996</v>
      </c>
      <c r="G318" s="64">
        <f>6.0093 * CHOOSE(CONTROL!$C$22, $C$13, 100%, $E$13)</f>
        <v>6.0092999999999996</v>
      </c>
      <c r="H318" s="64">
        <f>10.5673* CHOOSE(CONTROL!$C$22, $C$13, 100%, $E$13)</f>
        <v>10.567299999999999</v>
      </c>
      <c r="I318" s="64">
        <f>10.5687 * CHOOSE(CONTROL!$C$22, $C$13, 100%, $E$13)</f>
        <v>10.5687</v>
      </c>
      <c r="J318" s="64">
        <f>6.0078 * CHOOSE(CONTROL!$C$22, $C$13, 100%, $E$13)</f>
        <v>6.0077999999999996</v>
      </c>
      <c r="K318" s="64">
        <f>6.0093 * CHOOSE(CONTROL!$C$22, $C$13, 100%, $E$13)</f>
        <v>6.0092999999999996</v>
      </c>
    </row>
    <row r="319" spans="1:11" ht="15">
      <c r="A319" s="13">
        <v>51349</v>
      </c>
      <c r="B319" s="63">
        <f>5.1852 * CHOOSE(CONTROL!$C$22, $C$13, 100%, $E$13)</f>
        <v>5.1852</v>
      </c>
      <c r="C319" s="63">
        <f>5.1852 * CHOOSE(CONTROL!$C$22, $C$13, 100%, $E$13)</f>
        <v>5.1852</v>
      </c>
      <c r="D319" s="63">
        <f>5.2083 * CHOOSE(CONTROL!$C$22, $C$13, 100%, $E$13)</f>
        <v>5.2083000000000004</v>
      </c>
      <c r="E319" s="64">
        <f>5.9516 * CHOOSE(CONTROL!$C$22, $C$13, 100%, $E$13)</f>
        <v>5.9516</v>
      </c>
      <c r="F319" s="64">
        <f>5.9516 * CHOOSE(CONTROL!$C$22, $C$13, 100%, $E$13)</f>
        <v>5.9516</v>
      </c>
      <c r="G319" s="64">
        <f>5.9531 * CHOOSE(CONTROL!$C$22, $C$13, 100%, $E$13)</f>
        <v>5.9531000000000001</v>
      </c>
      <c r="H319" s="64">
        <f>10.5893* CHOOSE(CONTROL!$C$22, $C$13, 100%, $E$13)</f>
        <v>10.5893</v>
      </c>
      <c r="I319" s="64">
        <f>10.5908 * CHOOSE(CONTROL!$C$22, $C$13, 100%, $E$13)</f>
        <v>10.5908</v>
      </c>
      <c r="J319" s="64">
        <f>5.9516 * CHOOSE(CONTROL!$C$22, $C$13, 100%, $E$13)</f>
        <v>5.9516</v>
      </c>
      <c r="K319" s="64">
        <f>5.9531 * CHOOSE(CONTROL!$C$22, $C$13, 100%, $E$13)</f>
        <v>5.9531000000000001</v>
      </c>
    </row>
    <row r="320" spans="1:11" ht="15">
      <c r="A320" s="13">
        <v>51380</v>
      </c>
      <c r="B320" s="63">
        <f>5.1822 * CHOOSE(CONTROL!$C$22, $C$13, 100%, $E$13)</f>
        <v>5.1821999999999999</v>
      </c>
      <c r="C320" s="63">
        <f>5.1822 * CHOOSE(CONTROL!$C$22, $C$13, 100%, $E$13)</f>
        <v>5.1821999999999999</v>
      </c>
      <c r="D320" s="63">
        <f>5.2053 * CHOOSE(CONTROL!$C$22, $C$13, 100%, $E$13)</f>
        <v>5.2053000000000003</v>
      </c>
      <c r="E320" s="64">
        <f>5.9427 * CHOOSE(CONTROL!$C$22, $C$13, 100%, $E$13)</f>
        <v>5.9427000000000003</v>
      </c>
      <c r="F320" s="64">
        <f>5.9427 * CHOOSE(CONTROL!$C$22, $C$13, 100%, $E$13)</f>
        <v>5.9427000000000003</v>
      </c>
      <c r="G320" s="64">
        <f>5.9442 * CHOOSE(CONTROL!$C$22, $C$13, 100%, $E$13)</f>
        <v>5.9442000000000004</v>
      </c>
      <c r="H320" s="64">
        <f>10.6113* CHOOSE(CONTROL!$C$22, $C$13, 100%, $E$13)</f>
        <v>10.6113</v>
      </c>
      <c r="I320" s="64">
        <f>10.6128 * CHOOSE(CONTROL!$C$22, $C$13, 100%, $E$13)</f>
        <v>10.6128</v>
      </c>
      <c r="J320" s="64">
        <f>5.9427 * CHOOSE(CONTROL!$C$22, $C$13, 100%, $E$13)</f>
        <v>5.9427000000000003</v>
      </c>
      <c r="K320" s="64">
        <f>5.9442 * CHOOSE(CONTROL!$C$22, $C$13, 100%, $E$13)</f>
        <v>5.9442000000000004</v>
      </c>
    </row>
    <row r="321" spans="1:11" ht="15">
      <c r="A321" s="13">
        <v>51410</v>
      </c>
      <c r="B321" s="63">
        <f>5.1814 * CHOOSE(CONTROL!$C$22, $C$13, 100%, $E$13)</f>
        <v>5.1814</v>
      </c>
      <c r="C321" s="63">
        <f>5.1814 * CHOOSE(CONTROL!$C$22, $C$13, 100%, $E$13)</f>
        <v>5.1814</v>
      </c>
      <c r="D321" s="63">
        <f>5.193 * CHOOSE(CONTROL!$C$22, $C$13, 100%, $E$13)</f>
        <v>5.1929999999999996</v>
      </c>
      <c r="E321" s="64">
        <f>5.9563 * CHOOSE(CONTROL!$C$22, $C$13, 100%, $E$13)</f>
        <v>5.9562999999999997</v>
      </c>
      <c r="F321" s="64">
        <f>5.9563 * CHOOSE(CONTROL!$C$22, $C$13, 100%, $E$13)</f>
        <v>5.9562999999999997</v>
      </c>
      <c r="G321" s="64">
        <f>5.9565 * CHOOSE(CONTROL!$C$22, $C$13, 100%, $E$13)</f>
        <v>5.9565000000000001</v>
      </c>
      <c r="H321" s="64">
        <f>10.6334* CHOOSE(CONTROL!$C$22, $C$13, 100%, $E$13)</f>
        <v>10.6334</v>
      </c>
      <c r="I321" s="64">
        <f>10.6336 * CHOOSE(CONTROL!$C$22, $C$13, 100%, $E$13)</f>
        <v>10.633599999999999</v>
      </c>
      <c r="J321" s="64">
        <f>5.9563 * CHOOSE(CONTROL!$C$22, $C$13, 100%, $E$13)</f>
        <v>5.9562999999999997</v>
      </c>
      <c r="K321" s="64">
        <f>5.9565 * CHOOSE(CONTROL!$C$22, $C$13, 100%, $E$13)</f>
        <v>5.9565000000000001</v>
      </c>
    </row>
    <row r="322" spans="1:11" ht="15">
      <c r="A322" s="13">
        <v>51441</v>
      </c>
      <c r="B322" s="63">
        <f>5.1845 * CHOOSE(CONTROL!$C$22, $C$13, 100%, $E$13)</f>
        <v>5.1844999999999999</v>
      </c>
      <c r="C322" s="63">
        <f>5.1845 * CHOOSE(CONTROL!$C$22, $C$13, 100%, $E$13)</f>
        <v>5.1844999999999999</v>
      </c>
      <c r="D322" s="63">
        <f>5.196 * CHOOSE(CONTROL!$C$22, $C$13, 100%, $E$13)</f>
        <v>5.1959999999999997</v>
      </c>
      <c r="E322" s="64">
        <f>5.972 * CHOOSE(CONTROL!$C$22, $C$13, 100%, $E$13)</f>
        <v>5.9720000000000004</v>
      </c>
      <c r="F322" s="64">
        <f>5.972 * CHOOSE(CONTROL!$C$22, $C$13, 100%, $E$13)</f>
        <v>5.9720000000000004</v>
      </c>
      <c r="G322" s="64">
        <f>5.9722 * CHOOSE(CONTROL!$C$22, $C$13, 100%, $E$13)</f>
        <v>5.9722</v>
      </c>
      <c r="H322" s="64">
        <f>10.6556* CHOOSE(CONTROL!$C$22, $C$13, 100%, $E$13)</f>
        <v>10.6556</v>
      </c>
      <c r="I322" s="64">
        <f>10.6558 * CHOOSE(CONTROL!$C$22, $C$13, 100%, $E$13)</f>
        <v>10.655799999999999</v>
      </c>
      <c r="J322" s="64">
        <f>5.972 * CHOOSE(CONTROL!$C$22, $C$13, 100%, $E$13)</f>
        <v>5.9720000000000004</v>
      </c>
      <c r="K322" s="64">
        <f>5.9722 * CHOOSE(CONTROL!$C$22, $C$13, 100%, $E$13)</f>
        <v>5.9722</v>
      </c>
    </row>
    <row r="323" spans="1:11" ht="15">
      <c r="A323" s="13">
        <v>51471</v>
      </c>
      <c r="B323" s="63">
        <f>5.1845 * CHOOSE(CONTROL!$C$22, $C$13, 100%, $E$13)</f>
        <v>5.1844999999999999</v>
      </c>
      <c r="C323" s="63">
        <f>5.1845 * CHOOSE(CONTROL!$C$22, $C$13, 100%, $E$13)</f>
        <v>5.1844999999999999</v>
      </c>
      <c r="D323" s="63">
        <f>5.196 * CHOOSE(CONTROL!$C$22, $C$13, 100%, $E$13)</f>
        <v>5.1959999999999997</v>
      </c>
      <c r="E323" s="64">
        <f>5.9382 * CHOOSE(CONTROL!$C$22, $C$13, 100%, $E$13)</f>
        <v>5.9382000000000001</v>
      </c>
      <c r="F323" s="64">
        <f>5.9382 * CHOOSE(CONTROL!$C$22, $C$13, 100%, $E$13)</f>
        <v>5.9382000000000001</v>
      </c>
      <c r="G323" s="64">
        <f>5.9384 * CHOOSE(CONTROL!$C$22, $C$13, 100%, $E$13)</f>
        <v>5.9383999999999997</v>
      </c>
      <c r="H323" s="64">
        <f>10.6778* CHOOSE(CONTROL!$C$22, $C$13, 100%, $E$13)</f>
        <v>10.6778</v>
      </c>
      <c r="I323" s="64">
        <f>10.678 * CHOOSE(CONTROL!$C$22, $C$13, 100%, $E$13)</f>
        <v>10.678000000000001</v>
      </c>
      <c r="J323" s="64">
        <f>5.9382 * CHOOSE(CONTROL!$C$22, $C$13, 100%, $E$13)</f>
        <v>5.9382000000000001</v>
      </c>
      <c r="K323" s="64">
        <f>5.9384 * CHOOSE(CONTROL!$C$22, $C$13, 100%, $E$13)</f>
        <v>5.9383999999999997</v>
      </c>
    </row>
    <row r="324" spans="1:11" ht="15">
      <c r="A324" s="13">
        <v>51502</v>
      </c>
      <c r="B324" s="63">
        <f>5.2322 * CHOOSE(CONTROL!$C$22, $C$13, 100%, $E$13)</f>
        <v>5.2321999999999997</v>
      </c>
      <c r="C324" s="63">
        <f>5.2322 * CHOOSE(CONTROL!$C$22, $C$13, 100%, $E$13)</f>
        <v>5.2321999999999997</v>
      </c>
      <c r="D324" s="63">
        <f>5.2438 * CHOOSE(CONTROL!$C$22, $C$13, 100%, $E$13)</f>
        <v>5.2438000000000002</v>
      </c>
      <c r="E324" s="64">
        <f>6.0167 * CHOOSE(CONTROL!$C$22, $C$13, 100%, $E$13)</f>
        <v>6.0167000000000002</v>
      </c>
      <c r="F324" s="64">
        <f>6.0167 * CHOOSE(CONTROL!$C$22, $C$13, 100%, $E$13)</f>
        <v>6.0167000000000002</v>
      </c>
      <c r="G324" s="64">
        <f>6.0168 * CHOOSE(CONTROL!$C$22, $C$13, 100%, $E$13)</f>
        <v>6.0167999999999999</v>
      </c>
      <c r="H324" s="64">
        <f>10.7* CHOOSE(CONTROL!$C$22, $C$13, 100%, $E$13)</f>
        <v>10.7</v>
      </c>
      <c r="I324" s="64">
        <f>10.7002 * CHOOSE(CONTROL!$C$22, $C$13, 100%, $E$13)</f>
        <v>10.700200000000001</v>
      </c>
      <c r="J324" s="64">
        <f>6.0167 * CHOOSE(CONTROL!$C$22, $C$13, 100%, $E$13)</f>
        <v>6.0167000000000002</v>
      </c>
      <c r="K324" s="64">
        <f>6.0168 * CHOOSE(CONTROL!$C$22, $C$13, 100%, $E$13)</f>
        <v>6.0167999999999999</v>
      </c>
    </row>
    <row r="325" spans="1:11" ht="15">
      <c r="A325" s="13">
        <v>51533</v>
      </c>
      <c r="B325" s="63">
        <f>5.2292 * CHOOSE(CONTROL!$C$22, $C$13, 100%, $E$13)</f>
        <v>5.2291999999999996</v>
      </c>
      <c r="C325" s="63">
        <f>5.2292 * CHOOSE(CONTROL!$C$22, $C$13, 100%, $E$13)</f>
        <v>5.2291999999999996</v>
      </c>
      <c r="D325" s="63">
        <f>5.2408 * CHOOSE(CONTROL!$C$22, $C$13, 100%, $E$13)</f>
        <v>5.2408000000000001</v>
      </c>
      <c r="E325" s="64">
        <f>5.9489 * CHOOSE(CONTROL!$C$22, $C$13, 100%, $E$13)</f>
        <v>5.9489000000000001</v>
      </c>
      <c r="F325" s="64">
        <f>5.9489 * CHOOSE(CONTROL!$C$22, $C$13, 100%, $E$13)</f>
        <v>5.9489000000000001</v>
      </c>
      <c r="G325" s="64">
        <f>5.949 * CHOOSE(CONTROL!$C$22, $C$13, 100%, $E$13)</f>
        <v>5.9489999999999998</v>
      </c>
      <c r="H325" s="64">
        <f>10.7223* CHOOSE(CONTROL!$C$22, $C$13, 100%, $E$13)</f>
        <v>10.722300000000001</v>
      </c>
      <c r="I325" s="64">
        <f>10.7225 * CHOOSE(CONTROL!$C$22, $C$13, 100%, $E$13)</f>
        <v>10.7225</v>
      </c>
      <c r="J325" s="64">
        <f>5.9489 * CHOOSE(CONTROL!$C$22, $C$13, 100%, $E$13)</f>
        <v>5.9489000000000001</v>
      </c>
      <c r="K325" s="64">
        <f>5.949 * CHOOSE(CONTROL!$C$22, $C$13, 100%, $E$13)</f>
        <v>5.9489999999999998</v>
      </c>
    </row>
    <row r="326" spans="1:11" ht="15">
      <c r="A326" s="13">
        <v>51561</v>
      </c>
      <c r="B326" s="63">
        <f>5.2262 * CHOOSE(CONTROL!$C$22, $C$13, 100%, $E$13)</f>
        <v>5.2262000000000004</v>
      </c>
      <c r="C326" s="63">
        <f>5.2262 * CHOOSE(CONTROL!$C$22, $C$13, 100%, $E$13)</f>
        <v>5.2262000000000004</v>
      </c>
      <c r="D326" s="63">
        <f>5.2377 * CHOOSE(CONTROL!$C$22, $C$13, 100%, $E$13)</f>
        <v>5.2377000000000002</v>
      </c>
      <c r="E326" s="64">
        <f>5.9985 * CHOOSE(CONTROL!$C$22, $C$13, 100%, $E$13)</f>
        <v>5.9984999999999999</v>
      </c>
      <c r="F326" s="64">
        <f>5.9985 * CHOOSE(CONTROL!$C$22, $C$13, 100%, $E$13)</f>
        <v>5.9984999999999999</v>
      </c>
      <c r="G326" s="64">
        <f>5.9987 * CHOOSE(CONTROL!$C$22, $C$13, 100%, $E$13)</f>
        <v>5.9987000000000004</v>
      </c>
      <c r="H326" s="64">
        <f>10.7447* CHOOSE(CONTROL!$C$22, $C$13, 100%, $E$13)</f>
        <v>10.7447</v>
      </c>
      <c r="I326" s="64">
        <f>10.7448 * CHOOSE(CONTROL!$C$22, $C$13, 100%, $E$13)</f>
        <v>10.7448</v>
      </c>
      <c r="J326" s="64">
        <f>5.9985 * CHOOSE(CONTROL!$C$22, $C$13, 100%, $E$13)</f>
        <v>5.9984999999999999</v>
      </c>
      <c r="K326" s="64">
        <f>5.9987 * CHOOSE(CONTROL!$C$22, $C$13, 100%, $E$13)</f>
        <v>5.9987000000000004</v>
      </c>
    </row>
    <row r="327" spans="1:11" ht="15">
      <c r="A327" s="13">
        <v>51592</v>
      </c>
      <c r="B327" s="63">
        <f>5.2249 * CHOOSE(CONTROL!$C$22, $C$13, 100%, $E$13)</f>
        <v>5.2248999999999999</v>
      </c>
      <c r="C327" s="63">
        <f>5.2249 * CHOOSE(CONTROL!$C$22, $C$13, 100%, $E$13)</f>
        <v>5.2248999999999999</v>
      </c>
      <c r="D327" s="63">
        <f>5.2365 * CHOOSE(CONTROL!$C$22, $C$13, 100%, $E$13)</f>
        <v>5.2365000000000004</v>
      </c>
      <c r="E327" s="64">
        <f>6.0499 * CHOOSE(CONTROL!$C$22, $C$13, 100%, $E$13)</f>
        <v>6.0499000000000001</v>
      </c>
      <c r="F327" s="64">
        <f>6.0499 * CHOOSE(CONTROL!$C$22, $C$13, 100%, $E$13)</f>
        <v>6.0499000000000001</v>
      </c>
      <c r="G327" s="64">
        <f>6.0501 * CHOOSE(CONTROL!$C$22, $C$13, 100%, $E$13)</f>
        <v>6.0500999999999996</v>
      </c>
      <c r="H327" s="64">
        <f>10.767* CHOOSE(CONTROL!$C$22, $C$13, 100%, $E$13)</f>
        <v>10.766999999999999</v>
      </c>
      <c r="I327" s="64">
        <f>10.7672 * CHOOSE(CONTROL!$C$22, $C$13, 100%, $E$13)</f>
        <v>10.767200000000001</v>
      </c>
      <c r="J327" s="64">
        <f>6.0499 * CHOOSE(CONTROL!$C$22, $C$13, 100%, $E$13)</f>
        <v>6.0499000000000001</v>
      </c>
      <c r="K327" s="64">
        <f>6.0501 * CHOOSE(CONTROL!$C$22, $C$13, 100%, $E$13)</f>
        <v>6.0500999999999996</v>
      </c>
    </row>
    <row r="328" spans="1:11" ht="15">
      <c r="A328" s="13">
        <v>51622</v>
      </c>
      <c r="B328" s="63">
        <f>5.2249 * CHOOSE(CONTROL!$C$22, $C$13, 100%, $E$13)</f>
        <v>5.2248999999999999</v>
      </c>
      <c r="C328" s="63">
        <f>5.2249 * CHOOSE(CONTROL!$C$22, $C$13, 100%, $E$13)</f>
        <v>5.2248999999999999</v>
      </c>
      <c r="D328" s="63">
        <f>5.248 * CHOOSE(CONTROL!$C$22, $C$13, 100%, $E$13)</f>
        <v>5.2480000000000002</v>
      </c>
      <c r="E328" s="64">
        <f>6.0707 * CHOOSE(CONTROL!$C$22, $C$13, 100%, $E$13)</f>
        <v>6.0707000000000004</v>
      </c>
      <c r="F328" s="64">
        <f>6.0707 * CHOOSE(CONTROL!$C$22, $C$13, 100%, $E$13)</f>
        <v>6.0707000000000004</v>
      </c>
      <c r="G328" s="64">
        <f>6.0722 * CHOOSE(CONTROL!$C$22, $C$13, 100%, $E$13)</f>
        <v>6.0721999999999996</v>
      </c>
      <c r="H328" s="64">
        <f>10.7895* CHOOSE(CONTROL!$C$22, $C$13, 100%, $E$13)</f>
        <v>10.7895</v>
      </c>
      <c r="I328" s="64">
        <f>10.791 * CHOOSE(CONTROL!$C$22, $C$13, 100%, $E$13)</f>
        <v>10.791</v>
      </c>
      <c r="J328" s="64">
        <f>6.0707 * CHOOSE(CONTROL!$C$22, $C$13, 100%, $E$13)</f>
        <v>6.0707000000000004</v>
      </c>
      <c r="K328" s="64">
        <f>6.0722 * CHOOSE(CONTROL!$C$22, $C$13, 100%, $E$13)</f>
        <v>6.0721999999999996</v>
      </c>
    </row>
    <row r="329" spans="1:11" ht="15">
      <c r="A329" s="13">
        <v>51653</v>
      </c>
      <c r="B329" s="63">
        <f>5.231 * CHOOSE(CONTROL!$C$22, $C$13, 100%, $E$13)</f>
        <v>5.2309999999999999</v>
      </c>
      <c r="C329" s="63">
        <f>5.231 * CHOOSE(CONTROL!$C$22, $C$13, 100%, $E$13)</f>
        <v>5.2309999999999999</v>
      </c>
      <c r="D329" s="63">
        <f>5.2541 * CHOOSE(CONTROL!$C$22, $C$13, 100%, $E$13)</f>
        <v>5.2541000000000002</v>
      </c>
      <c r="E329" s="64">
        <f>6.0541 * CHOOSE(CONTROL!$C$22, $C$13, 100%, $E$13)</f>
        <v>6.0541</v>
      </c>
      <c r="F329" s="64">
        <f>6.0541 * CHOOSE(CONTROL!$C$22, $C$13, 100%, $E$13)</f>
        <v>6.0541</v>
      </c>
      <c r="G329" s="64">
        <f>6.0556 * CHOOSE(CONTROL!$C$22, $C$13, 100%, $E$13)</f>
        <v>6.0556000000000001</v>
      </c>
      <c r="H329" s="64">
        <f>10.812* CHOOSE(CONTROL!$C$22, $C$13, 100%, $E$13)</f>
        <v>10.811999999999999</v>
      </c>
      <c r="I329" s="64">
        <f>10.8134 * CHOOSE(CONTROL!$C$22, $C$13, 100%, $E$13)</f>
        <v>10.8134</v>
      </c>
      <c r="J329" s="64">
        <f>6.0541 * CHOOSE(CONTROL!$C$22, $C$13, 100%, $E$13)</f>
        <v>6.0541</v>
      </c>
      <c r="K329" s="64">
        <f>6.0556 * CHOOSE(CONTROL!$C$22, $C$13, 100%, $E$13)</f>
        <v>6.0556000000000001</v>
      </c>
    </row>
    <row r="330" spans="1:11" ht="15">
      <c r="A330" s="13">
        <v>51683</v>
      </c>
      <c r="B330" s="63">
        <f>5.3201 * CHOOSE(CONTROL!$C$22, $C$13, 100%, $E$13)</f>
        <v>5.3201000000000001</v>
      </c>
      <c r="C330" s="63">
        <f>5.3201 * CHOOSE(CONTROL!$C$22, $C$13, 100%, $E$13)</f>
        <v>5.3201000000000001</v>
      </c>
      <c r="D330" s="63">
        <f>5.3432 * CHOOSE(CONTROL!$C$22, $C$13, 100%, $E$13)</f>
        <v>5.3432000000000004</v>
      </c>
      <c r="E330" s="64">
        <f>6.1755 * CHOOSE(CONTROL!$C$22, $C$13, 100%, $E$13)</f>
        <v>6.1755000000000004</v>
      </c>
      <c r="F330" s="64">
        <f>6.1755 * CHOOSE(CONTROL!$C$22, $C$13, 100%, $E$13)</f>
        <v>6.1755000000000004</v>
      </c>
      <c r="G330" s="64">
        <f>6.177 * CHOOSE(CONTROL!$C$22, $C$13, 100%, $E$13)</f>
        <v>6.1769999999999996</v>
      </c>
      <c r="H330" s="64">
        <f>10.8345* CHOOSE(CONTROL!$C$22, $C$13, 100%, $E$13)</f>
        <v>10.8345</v>
      </c>
      <c r="I330" s="64">
        <f>10.836 * CHOOSE(CONTROL!$C$22, $C$13, 100%, $E$13)</f>
        <v>10.836</v>
      </c>
      <c r="J330" s="64">
        <f>6.1755 * CHOOSE(CONTROL!$C$22, $C$13, 100%, $E$13)</f>
        <v>6.1755000000000004</v>
      </c>
      <c r="K330" s="64">
        <f>6.177 * CHOOSE(CONTROL!$C$22, $C$13, 100%, $E$13)</f>
        <v>6.1769999999999996</v>
      </c>
    </row>
    <row r="331" spans="1:11" ht="15">
      <c r="A331" s="13">
        <v>51714</v>
      </c>
      <c r="B331" s="63">
        <f>5.3268 * CHOOSE(CONTROL!$C$22, $C$13, 100%, $E$13)</f>
        <v>5.3268000000000004</v>
      </c>
      <c r="C331" s="63">
        <f>5.3268 * CHOOSE(CONTROL!$C$22, $C$13, 100%, $E$13)</f>
        <v>5.3268000000000004</v>
      </c>
      <c r="D331" s="63">
        <f>5.3499 * CHOOSE(CONTROL!$C$22, $C$13, 100%, $E$13)</f>
        <v>5.3498999999999999</v>
      </c>
      <c r="E331" s="64">
        <f>6.1176 * CHOOSE(CONTROL!$C$22, $C$13, 100%, $E$13)</f>
        <v>6.1176000000000004</v>
      </c>
      <c r="F331" s="64">
        <f>6.1176 * CHOOSE(CONTROL!$C$22, $C$13, 100%, $E$13)</f>
        <v>6.1176000000000004</v>
      </c>
      <c r="G331" s="64">
        <f>6.1191 * CHOOSE(CONTROL!$C$22, $C$13, 100%, $E$13)</f>
        <v>6.1191000000000004</v>
      </c>
      <c r="H331" s="64">
        <f>10.8571* CHOOSE(CONTROL!$C$22, $C$13, 100%, $E$13)</f>
        <v>10.857100000000001</v>
      </c>
      <c r="I331" s="64">
        <f>10.8585 * CHOOSE(CONTROL!$C$22, $C$13, 100%, $E$13)</f>
        <v>10.858499999999999</v>
      </c>
      <c r="J331" s="64">
        <f>6.1176 * CHOOSE(CONTROL!$C$22, $C$13, 100%, $E$13)</f>
        <v>6.1176000000000004</v>
      </c>
      <c r="K331" s="64">
        <f>6.1191 * CHOOSE(CONTROL!$C$22, $C$13, 100%, $E$13)</f>
        <v>6.1191000000000004</v>
      </c>
    </row>
    <row r="332" spans="1:11" ht="15">
      <c r="A332" s="13">
        <v>51745</v>
      </c>
      <c r="B332" s="63">
        <f>5.3237 * CHOOSE(CONTROL!$C$22, $C$13, 100%, $E$13)</f>
        <v>5.3236999999999997</v>
      </c>
      <c r="C332" s="63">
        <f>5.3237 * CHOOSE(CONTROL!$C$22, $C$13, 100%, $E$13)</f>
        <v>5.3236999999999997</v>
      </c>
      <c r="D332" s="63">
        <f>5.3468 * CHOOSE(CONTROL!$C$22, $C$13, 100%, $E$13)</f>
        <v>5.3468</v>
      </c>
      <c r="E332" s="64">
        <f>6.1085 * CHOOSE(CONTROL!$C$22, $C$13, 100%, $E$13)</f>
        <v>6.1085000000000003</v>
      </c>
      <c r="F332" s="64">
        <f>6.1085 * CHOOSE(CONTROL!$C$22, $C$13, 100%, $E$13)</f>
        <v>6.1085000000000003</v>
      </c>
      <c r="G332" s="64">
        <f>6.11 * CHOOSE(CONTROL!$C$22, $C$13, 100%, $E$13)</f>
        <v>6.11</v>
      </c>
      <c r="H332" s="64">
        <f>10.8797* CHOOSE(CONTROL!$C$22, $C$13, 100%, $E$13)</f>
        <v>10.8797</v>
      </c>
      <c r="I332" s="64">
        <f>10.8812 * CHOOSE(CONTROL!$C$22, $C$13, 100%, $E$13)</f>
        <v>10.8812</v>
      </c>
      <c r="J332" s="64">
        <f>6.1085 * CHOOSE(CONTROL!$C$22, $C$13, 100%, $E$13)</f>
        <v>6.1085000000000003</v>
      </c>
      <c r="K332" s="64">
        <f>6.11 * CHOOSE(CONTROL!$C$22, $C$13, 100%, $E$13)</f>
        <v>6.11</v>
      </c>
    </row>
    <row r="333" spans="1:11" ht="15">
      <c r="A333" s="13">
        <v>51775</v>
      </c>
      <c r="B333" s="63">
        <f>5.3234 * CHOOSE(CONTROL!$C$22, $C$13, 100%, $E$13)</f>
        <v>5.3234000000000004</v>
      </c>
      <c r="C333" s="63">
        <f>5.3234 * CHOOSE(CONTROL!$C$22, $C$13, 100%, $E$13)</f>
        <v>5.3234000000000004</v>
      </c>
      <c r="D333" s="63">
        <f>5.335 * CHOOSE(CONTROL!$C$22, $C$13, 100%, $E$13)</f>
        <v>5.335</v>
      </c>
      <c r="E333" s="64">
        <f>6.1229 * CHOOSE(CONTROL!$C$22, $C$13, 100%, $E$13)</f>
        <v>6.1228999999999996</v>
      </c>
      <c r="F333" s="64">
        <f>6.1229 * CHOOSE(CONTROL!$C$22, $C$13, 100%, $E$13)</f>
        <v>6.1228999999999996</v>
      </c>
      <c r="G333" s="64">
        <f>6.1231 * CHOOSE(CONTROL!$C$22, $C$13, 100%, $E$13)</f>
        <v>6.1231</v>
      </c>
      <c r="H333" s="64">
        <f>10.9023* CHOOSE(CONTROL!$C$22, $C$13, 100%, $E$13)</f>
        <v>10.9023</v>
      </c>
      <c r="I333" s="64">
        <f>10.9025 * CHOOSE(CONTROL!$C$22, $C$13, 100%, $E$13)</f>
        <v>10.9025</v>
      </c>
      <c r="J333" s="64">
        <f>6.1229 * CHOOSE(CONTROL!$C$22, $C$13, 100%, $E$13)</f>
        <v>6.1228999999999996</v>
      </c>
      <c r="K333" s="64">
        <f>6.1231 * CHOOSE(CONTROL!$C$22, $C$13, 100%, $E$13)</f>
        <v>6.1231</v>
      </c>
    </row>
    <row r="334" spans="1:11" ht="15">
      <c r="A334" s="13">
        <v>51806</v>
      </c>
      <c r="B334" s="63">
        <f>5.3265 * CHOOSE(CONTROL!$C$22, $C$13, 100%, $E$13)</f>
        <v>5.3265000000000002</v>
      </c>
      <c r="C334" s="63">
        <f>5.3265 * CHOOSE(CONTROL!$C$22, $C$13, 100%, $E$13)</f>
        <v>5.3265000000000002</v>
      </c>
      <c r="D334" s="63">
        <f>5.338 * CHOOSE(CONTROL!$C$22, $C$13, 100%, $E$13)</f>
        <v>5.3380000000000001</v>
      </c>
      <c r="E334" s="64">
        <f>6.1389 * CHOOSE(CONTROL!$C$22, $C$13, 100%, $E$13)</f>
        <v>6.1388999999999996</v>
      </c>
      <c r="F334" s="64">
        <f>6.1389 * CHOOSE(CONTROL!$C$22, $C$13, 100%, $E$13)</f>
        <v>6.1388999999999996</v>
      </c>
      <c r="G334" s="64">
        <f>6.1391 * CHOOSE(CONTROL!$C$22, $C$13, 100%, $E$13)</f>
        <v>6.1391</v>
      </c>
      <c r="H334" s="64">
        <f>10.9251* CHOOSE(CONTROL!$C$22, $C$13, 100%, $E$13)</f>
        <v>10.9251</v>
      </c>
      <c r="I334" s="64">
        <f>10.9252 * CHOOSE(CONTROL!$C$22, $C$13, 100%, $E$13)</f>
        <v>10.9252</v>
      </c>
      <c r="J334" s="64">
        <f>6.1389 * CHOOSE(CONTROL!$C$22, $C$13, 100%, $E$13)</f>
        <v>6.1388999999999996</v>
      </c>
      <c r="K334" s="64">
        <f>6.1391 * CHOOSE(CONTROL!$C$22, $C$13, 100%, $E$13)</f>
        <v>6.1391</v>
      </c>
    </row>
    <row r="335" spans="1:11" ht="15">
      <c r="A335" s="13">
        <v>51836</v>
      </c>
      <c r="B335" s="63">
        <f>5.3265 * CHOOSE(CONTROL!$C$22, $C$13, 100%, $E$13)</f>
        <v>5.3265000000000002</v>
      </c>
      <c r="C335" s="63">
        <f>5.3265 * CHOOSE(CONTROL!$C$22, $C$13, 100%, $E$13)</f>
        <v>5.3265000000000002</v>
      </c>
      <c r="D335" s="63">
        <f>5.338 * CHOOSE(CONTROL!$C$22, $C$13, 100%, $E$13)</f>
        <v>5.3380000000000001</v>
      </c>
      <c r="E335" s="64">
        <f>6.1042 * CHOOSE(CONTROL!$C$22, $C$13, 100%, $E$13)</f>
        <v>6.1041999999999996</v>
      </c>
      <c r="F335" s="64">
        <f>6.1042 * CHOOSE(CONTROL!$C$22, $C$13, 100%, $E$13)</f>
        <v>6.1041999999999996</v>
      </c>
      <c r="G335" s="64">
        <f>6.1044 * CHOOSE(CONTROL!$C$22, $C$13, 100%, $E$13)</f>
        <v>6.1044</v>
      </c>
      <c r="H335" s="64">
        <f>10.9478* CHOOSE(CONTROL!$C$22, $C$13, 100%, $E$13)</f>
        <v>10.947800000000001</v>
      </c>
      <c r="I335" s="64">
        <f>10.948 * CHOOSE(CONTROL!$C$22, $C$13, 100%, $E$13)</f>
        <v>10.948</v>
      </c>
      <c r="J335" s="64">
        <f>6.1042 * CHOOSE(CONTROL!$C$22, $C$13, 100%, $E$13)</f>
        <v>6.1041999999999996</v>
      </c>
      <c r="K335" s="64">
        <f>6.1044 * CHOOSE(CONTROL!$C$22, $C$13, 100%, $E$13)</f>
        <v>6.1044</v>
      </c>
    </row>
    <row r="336" spans="1:11" ht="15">
      <c r="A336" s="13">
        <v>51867</v>
      </c>
      <c r="B336" s="63">
        <f>5.375 * CHOOSE(CONTROL!$C$22, $C$13, 100%, $E$13)</f>
        <v>5.375</v>
      </c>
      <c r="C336" s="63">
        <f>5.375 * CHOOSE(CONTROL!$C$22, $C$13, 100%, $E$13)</f>
        <v>5.375</v>
      </c>
      <c r="D336" s="63">
        <f>5.3866 * CHOOSE(CONTROL!$C$22, $C$13, 100%, $E$13)</f>
        <v>5.3865999999999996</v>
      </c>
      <c r="E336" s="64">
        <f>6.1849 * CHOOSE(CONTROL!$C$22, $C$13, 100%, $E$13)</f>
        <v>6.1848999999999998</v>
      </c>
      <c r="F336" s="64">
        <f>6.1849 * CHOOSE(CONTROL!$C$22, $C$13, 100%, $E$13)</f>
        <v>6.1848999999999998</v>
      </c>
      <c r="G336" s="64">
        <f>6.1851 * CHOOSE(CONTROL!$C$22, $C$13, 100%, $E$13)</f>
        <v>6.1851000000000003</v>
      </c>
      <c r="H336" s="64">
        <f>10.9706* CHOOSE(CONTROL!$C$22, $C$13, 100%, $E$13)</f>
        <v>10.970599999999999</v>
      </c>
      <c r="I336" s="64">
        <f>10.9708 * CHOOSE(CONTROL!$C$22, $C$13, 100%, $E$13)</f>
        <v>10.970800000000001</v>
      </c>
      <c r="J336" s="64">
        <f>6.1849 * CHOOSE(CONTROL!$C$22, $C$13, 100%, $E$13)</f>
        <v>6.1848999999999998</v>
      </c>
      <c r="K336" s="64">
        <f>6.1851 * CHOOSE(CONTROL!$C$22, $C$13, 100%, $E$13)</f>
        <v>6.1851000000000003</v>
      </c>
    </row>
    <row r="337" spans="1:11" ht="15">
      <c r="A337" s="13">
        <v>51898</v>
      </c>
      <c r="B337" s="63">
        <f>5.372 * CHOOSE(CONTROL!$C$22, $C$13, 100%, $E$13)</f>
        <v>5.3719999999999999</v>
      </c>
      <c r="C337" s="63">
        <f>5.372 * CHOOSE(CONTROL!$C$22, $C$13, 100%, $E$13)</f>
        <v>5.3719999999999999</v>
      </c>
      <c r="D337" s="63">
        <f>5.3836 * CHOOSE(CONTROL!$C$22, $C$13, 100%, $E$13)</f>
        <v>5.3836000000000004</v>
      </c>
      <c r="E337" s="64">
        <f>6.1153 * CHOOSE(CONTROL!$C$22, $C$13, 100%, $E$13)</f>
        <v>6.1153000000000004</v>
      </c>
      <c r="F337" s="64">
        <f>6.1153 * CHOOSE(CONTROL!$C$22, $C$13, 100%, $E$13)</f>
        <v>6.1153000000000004</v>
      </c>
      <c r="G337" s="64">
        <f>6.1154 * CHOOSE(CONTROL!$C$22, $C$13, 100%, $E$13)</f>
        <v>6.1154000000000002</v>
      </c>
      <c r="H337" s="64">
        <f>10.9935* CHOOSE(CONTROL!$C$22, $C$13, 100%, $E$13)</f>
        <v>10.993499999999999</v>
      </c>
      <c r="I337" s="64">
        <f>10.9937 * CHOOSE(CONTROL!$C$22, $C$13, 100%, $E$13)</f>
        <v>10.9937</v>
      </c>
      <c r="J337" s="64">
        <f>6.1153 * CHOOSE(CONTROL!$C$22, $C$13, 100%, $E$13)</f>
        <v>6.1153000000000004</v>
      </c>
      <c r="K337" s="64">
        <f>6.1154 * CHOOSE(CONTROL!$C$22, $C$13, 100%, $E$13)</f>
        <v>6.1154000000000002</v>
      </c>
    </row>
    <row r="338" spans="1:11" ht="15">
      <c r="A338" s="13">
        <v>51926</v>
      </c>
      <c r="B338" s="63">
        <f>5.369 * CHOOSE(CONTROL!$C$22, $C$13, 100%, $E$13)</f>
        <v>5.3689999999999998</v>
      </c>
      <c r="C338" s="63">
        <f>5.369 * CHOOSE(CONTROL!$C$22, $C$13, 100%, $E$13)</f>
        <v>5.3689999999999998</v>
      </c>
      <c r="D338" s="63">
        <f>5.3805 * CHOOSE(CONTROL!$C$22, $C$13, 100%, $E$13)</f>
        <v>5.3804999999999996</v>
      </c>
      <c r="E338" s="64">
        <f>6.1664 * CHOOSE(CONTROL!$C$22, $C$13, 100%, $E$13)</f>
        <v>6.1664000000000003</v>
      </c>
      <c r="F338" s="64">
        <f>6.1664 * CHOOSE(CONTROL!$C$22, $C$13, 100%, $E$13)</f>
        <v>6.1664000000000003</v>
      </c>
      <c r="G338" s="64">
        <f>6.1665 * CHOOSE(CONTROL!$C$22, $C$13, 100%, $E$13)</f>
        <v>6.1665000000000001</v>
      </c>
      <c r="H338" s="64">
        <f>11.0164* CHOOSE(CONTROL!$C$22, $C$13, 100%, $E$13)</f>
        <v>11.016400000000001</v>
      </c>
      <c r="I338" s="64">
        <f>11.0166 * CHOOSE(CONTROL!$C$22, $C$13, 100%, $E$13)</f>
        <v>11.0166</v>
      </c>
      <c r="J338" s="64">
        <f>6.1664 * CHOOSE(CONTROL!$C$22, $C$13, 100%, $E$13)</f>
        <v>6.1664000000000003</v>
      </c>
      <c r="K338" s="64">
        <f>6.1665 * CHOOSE(CONTROL!$C$22, $C$13, 100%, $E$13)</f>
        <v>6.1665000000000001</v>
      </c>
    </row>
    <row r="339" spans="1:11" ht="15">
      <c r="A339" s="13">
        <v>51957</v>
      </c>
      <c r="B339" s="63">
        <f>5.3679 * CHOOSE(CONTROL!$C$22, $C$13, 100%, $E$13)</f>
        <v>5.3678999999999997</v>
      </c>
      <c r="C339" s="63">
        <f>5.3679 * CHOOSE(CONTROL!$C$22, $C$13, 100%, $E$13)</f>
        <v>5.3678999999999997</v>
      </c>
      <c r="D339" s="63">
        <f>5.3794 * CHOOSE(CONTROL!$C$22, $C$13, 100%, $E$13)</f>
        <v>5.3794000000000004</v>
      </c>
      <c r="E339" s="64">
        <f>6.2193 * CHOOSE(CONTROL!$C$22, $C$13, 100%, $E$13)</f>
        <v>6.2192999999999996</v>
      </c>
      <c r="F339" s="64">
        <f>6.2193 * CHOOSE(CONTROL!$C$22, $C$13, 100%, $E$13)</f>
        <v>6.2192999999999996</v>
      </c>
      <c r="G339" s="64">
        <f>6.2195 * CHOOSE(CONTROL!$C$22, $C$13, 100%, $E$13)</f>
        <v>6.2195</v>
      </c>
      <c r="H339" s="64">
        <f>11.0393* CHOOSE(CONTROL!$C$22, $C$13, 100%, $E$13)</f>
        <v>11.039300000000001</v>
      </c>
      <c r="I339" s="64">
        <f>11.0395 * CHOOSE(CONTROL!$C$22, $C$13, 100%, $E$13)</f>
        <v>11.0395</v>
      </c>
      <c r="J339" s="64">
        <f>6.2193 * CHOOSE(CONTROL!$C$22, $C$13, 100%, $E$13)</f>
        <v>6.2192999999999996</v>
      </c>
      <c r="K339" s="64">
        <f>6.2195 * CHOOSE(CONTROL!$C$22, $C$13, 100%, $E$13)</f>
        <v>6.2195</v>
      </c>
    </row>
    <row r="340" spans="1:11" ht="15">
      <c r="A340" s="13">
        <v>51987</v>
      </c>
      <c r="B340" s="63">
        <f>5.3679 * CHOOSE(CONTROL!$C$22, $C$13, 100%, $E$13)</f>
        <v>5.3678999999999997</v>
      </c>
      <c r="C340" s="63">
        <f>5.3679 * CHOOSE(CONTROL!$C$22, $C$13, 100%, $E$13)</f>
        <v>5.3678999999999997</v>
      </c>
      <c r="D340" s="63">
        <f>5.391 * CHOOSE(CONTROL!$C$22, $C$13, 100%, $E$13)</f>
        <v>5.391</v>
      </c>
      <c r="E340" s="64">
        <f>6.2407 * CHOOSE(CONTROL!$C$22, $C$13, 100%, $E$13)</f>
        <v>6.2407000000000004</v>
      </c>
      <c r="F340" s="64">
        <f>6.2407 * CHOOSE(CONTROL!$C$22, $C$13, 100%, $E$13)</f>
        <v>6.2407000000000004</v>
      </c>
      <c r="G340" s="64">
        <f>6.2422 * CHOOSE(CONTROL!$C$22, $C$13, 100%, $E$13)</f>
        <v>6.2422000000000004</v>
      </c>
      <c r="H340" s="64">
        <f>11.0623* CHOOSE(CONTROL!$C$22, $C$13, 100%, $E$13)</f>
        <v>11.0623</v>
      </c>
      <c r="I340" s="64">
        <f>11.0638 * CHOOSE(CONTROL!$C$22, $C$13, 100%, $E$13)</f>
        <v>11.063800000000001</v>
      </c>
      <c r="J340" s="64">
        <f>6.2407 * CHOOSE(CONTROL!$C$22, $C$13, 100%, $E$13)</f>
        <v>6.2407000000000004</v>
      </c>
      <c r="K340" s="64">
        <f>6.2422 * CHOOSE(CONTROL!$C$22, $C$13, 100%, $E$13)</f>
        <v>6.2422000000000004</v>
      </c>
    </row>
    <row r="341" spans="1:11" ht="15">
      <c r="A341" s="13">
        <v>52018</v>
      </c>
      <c r="B341" s="63">
        <f>5.3739 * CHOOSE(CONTROL!$C$22, $C$13, 100%, $E$13)</f>
        <v>5.3738999999999999</v>
      </c>
      <c r="C341" s="63">
        <f>5.3739 * CHOOSE(CONTROL!$C$22, $C$13, 100%, $E$13)</f>
        <v>5.3738999999999999</v>
      </c>
      <c r="D341" s="63">
        <f>5.397 * CHOOSE(CONTROL!$C$22, $C$13, 100%, $E$13)</f>
        <v>5.3970000000000002</v>
      </c>
      <c r="E341" s="64">
        <f>6.2235 * CHOOSE(CONTROL!$C$22, $C$13, 100%, $E$13)</f>
        <v>6.2234999999999996</v>
      </c>
      <c r="F341" s="64">
        <f>6.2235 * CHOOSE(CONTROL!$C$22, $C$13, 100%, $E$13)</f>
        <v>6.2234999999999996</v>
      </c>
      <c r="G341" s="64">
        <f>6.225 * CHOOSE(CONTROL!$C$22, $C$13, 100%, $E$13)</f>
        <v>6.2249999999999996</v>
      </c>
      <c r="H341" s="64">
        <f>11.0854* CHOOSE(CONTROL!$C$22, $C$13, 100%, $E$13)</f>
        <v>11.0854</v>
      </c>
      <c r="I341" s="64">
        <f>11.0869 * CHOOSE(CONTROL!$C$22, $C$13, 100%, $E$13)</f>
        <v>11.0869</v>
      </c>
      <c r="J341" s="64">
        <f>6.2235 * CHOOSE(CONTROL!$C$22, $C$13, 100%, $E$13)</f>
        <v>6.2234999999999996</v>
      </c>
      <c r="K341" s="64">
        <f>6.225 * CHOOSE(CONTROL!$C$22, $C$13, 100%, $E$13)</f>
        <v>6.2249999999999996</v>
      </c>
    </row>
    <row r="342" spans="1:11" ht="15">
      <c r="A342" s="13">
        <v>52048</v>
      </c>
      <c r="B342" s="63">
        <f>5.4644 * CHOOSE(CONTROL!$C$22, $C$13, 100%, $E$13)</f>
        <v>5.4644000000000004</v>
      </c>
      <c r="C342" s="63">
        <f>5.4644 * CHOOSE(CONTROL!$C$22, $C$13, 100%, $E$13)</f>
        <v>5.4644000000000004</v>
      </c>
      <c r="D342" s="63">
        <f>5.4875 * CHOOSE(CONTROL!$C$22, $C$13, 100%, $E$13)</f>
        <v>5.4874999999999998</v>
      </c>
      <c r="E342" s="64">
        <f>6.3483 * CHOOSE(CONTROL!$C$22, $C$13, 100%, $E$13)</f>
        <v>6.3483000000000001</v>
      </c>
      <c r="F342" s="64">
        <f>6.3483 * CHOOSE(CONTROL!$C$22, $C$13, 100%, $E$13)</f>
        <v>6.3483000000000001</v>
      </c>
      <c r="G342" s="64">
        <f>6.3498 * CHOOSE(CONTROL!$C$22, $C$13, 100%, $E$13)</f>
        <v>6.3498000000000001</v>
      </c>
      <c r="H342" s="64">
        <f>11.1085* CHOOSE(CONTROL!$C$22, $C$13, 100%, $E$13)</f>
        <v>11.108499999999999</v>
      </c>
      <c r="I342" s="64">
        <f>11.11 * CHOOSE(CONTROL!$C$22, $C$13, 100%, $E$13)</f>
        <v>11.11</v>
      </c>
      <c r="J342" s="64">
        <f>6.3483 * CHOOSE(CONTROL!$C$22, $C$13, 100%, $E$13)</f>
        <v>6.3483000000000001</v>
      </c>
      <c r="K342" s="64">
        <f>6.3498 * CHOOSE(CONTROL!$C$22, $C$13, 100%, $E$13)</f>
        <v>6.3498000000000001</v>
      </c>
    </row>
    <row r="343" spans="1:11" ht="15">
      <c r="A343" s="13">
        <v>52079</v>
      </c>
      <c r="B343" s="63">
        <f>5.4711 * CHOOSE(CONTROL!$C$22, $C$13, 100%, $E$13)</f>
        <v>5.4710999999999999</v>
      </c>
      <c r="C343" s="63">
        <f>5.4711 * CHOOSE(CONTROL!$C$22, $C$13, 100%, $E$13)</f>
        <v>5.4710999999999999</v>
      </c>
      <c r="D343" s="63">
        <f>5.4942 * CHOOSE(CONTROL!$C$22, $C$13, 100%, $E$13)</f>
        <v>5.4942000000000002</v>
      </c>
      <c r="E343" s="64">
        <f>6.2886 * CHOOSE(CONTROL!$C$22, $C$13, 100%, $E$13)</f>
        <v>6.2885999999999997</v>
      </c>
      <c r="F343" s="64">
        <f>6.2886 * CHOOSE(CONTROL!$C$22, $C$13, 100%, $E$13)</f>
        <v>6.2885999999999997</v>
      </c>
      <c r="G343" s="64">
        <f>6.2901 * CHOOSE(CONTROL!$C$22, $C$13, 100%, $E$13)</f>
        <v>6.2900999999999998</v>
      </c>
      <c r="H343" s="64">
        <f>11.1316* CHOOSE(CONTROL!$C$22, $C$13, 100%, $E$13)</f>
        <v>11.131600000000001</v>
      </c>
      <c r="I343" s="64">
        <f>11.1331 * CHOOSE(CONTROL!$C$22, $C$13, 100%, $E$13)</f>
        <v>11.133100000000001</v>
      </c>
      <c r="J343" s="64">
        <f>6.2886 * CHOOSE(CONTROL!$C$22, $C$13, 100%, $E$13)</f>
        <v>6.2885999999999997</v>
      </c>
      <c r="K343" s="64">
        <f>6.2901 * CHOOSE(CONTROL!$C$22, $C$13, 100%, $E$13)</f>
        <v>6.2900999999999998</v>
      </c>
    </row>
    <row r="344" spans="1:11" ht="15">
      <c r="A344" s="13">
        <v>52110</v>
      </c>
      <c r="B344" s="63">
        <f>5.468 * CHOOSE(CONTROL!$C$22, $C$13, 100%, $E$13)</f>
        <v>5.468</v>
      </c>
      <c r="C344" s="63">
        <f>5.468 * CHOOSE(CONTROL!$C$22, $C$13, 100%, $E$13)</f>
        <v>5.468</v>
      </c>
      <c r="D344" s="63">
        <f>5.4911 * CHOOSE(CONTROL!$C$22, $C$13, 100%, $E$13)</f>
        <v>5.4911000000000003</v>
      </c>
      <c r="E344" s="64">
        <f>6.2794 * CHOOSE(CONTROL!$C$22, $C$13, 100%, $E$13)</f>
        <v>6.2793999999999999</v>
      </c>
      <c r="F344" s="64">
        <f>6.2794 * CHOOSE(CONTROL!$C$22, $C$13, 100%, $E$13)</f>
        <v>6.2793999999999999</v>
      </c>
      <c r="G344" s="64">
        <f>6.2809 * CHOOSE(CONTROL!$C$22, $C$13, 100%, $E$13)</f>
        <v>6.2808999999999999</v>
      </c>
      <c r="H344" s="64">
        <f>11.1548* CHOOSE(CONTROL!$C$22, $C$13, 100%, $E$13)</f>
        <v>11.1548</v>
      </c>
      <c r="I344" s="64">
        <f>11.1563 * CHOOSE(CONTROL!$C$22, $C$13, 100%, $E$13)</f>
        <v>11.1563</v>
      </c>
      <c r="J344" s="64">
        <f>6.2794 * CHOOSE(CONTROL!$C$22, $C$13, 100%, $E$13)</f>
        <v>6.2793999999999999</v>
      </c>
      <c r="K344" s="64">
        <f>6.2809 * CHOOSE(CONTROL!$C$22, $C$13, 100%, $E$13)</f>
        <v>6.2808999999999999</v>
      </c>
    </row>
    <row r="345" spans="1:11" ht="15">
      <c r="A345" s="13">
        <v>52140</v>
      </c>
      <c r="B345" s="63">
        <f>5.4682 * CHOOSE(CONTROL!$C$22, $C$13, 100%, $E$13)</f>
        <v>5.4682000000000004</v>
      </c>
      <c r="C345" s="63">
        <f>5.4682 * CHOOSE(CONTROL!$C$22, $C$13, 100%, $E$13)</f>
        <v>5.4682000000000004</v>
      </c>
      <c r="D345" s="63">
        <f>5.4798 * CHOOSE(CONTROL!$C$22, $C$13, 100%, $E$13)</f>
        <v>5.4798</v>
      </c>
      <c r="E345" s="64">
        <f>6.2945 * CHOOSE(CONTROL!$C$22, $C$13, 100%, $E$13)</f>
        <v>6.2945000000000002</v>
      </c>
      <c r="F345" s="64">
        <f>6.2945 * CHOOSE(CONTROL!$C$22, $C$13, 100%, $E$13)</f>
        <v>6.2945000000000002</v>
      </c>
      <c r="G345" s="64">
        <f>6.2947 * CHOOSE(CONTROL!$C$22, $C$13, 100%, $E$13)</f>
        <v>6.2946999999999997</v>
      </c>
      <c r="H345" s="64">
        <f>11.178* CHOOSE(CONTROL!$C$22, $C$13, 100%, $E$13)</f>
        <v>11.178000000000001</v>
      </c>
      <c r="I345" s="64">
        <f>11.1782 * CHOOSE(CONTROL!$C$22, $C$13, 100%, $E$13)</f>
        <v>11.1782</v>
      </c>
      <c r="J345" s="64">
        <f>6.2945 * CHOOSE(CONTROL!$C$22, $C$13, 100%, $E$13)</f>
        <v>6.2945000000000002</v>
      </c>
      <c r="K345" s="64">
        <f>6.2947 * CHOOSE(CONTROL!$C$22, $C$13, 100%, $E$13)</f>
        <v>6.2946999999999997</v>
      </c>
    </row>
    <row r="346" spans="1:11" ht="15">
      <c r="A346" s="13">
        <v>52171</v>
      </c>
      <c r="B346" s="63">
        <f>5.4713 * CHOOSE(CONTROL!$C$22, $C$13, 100%, $E$13)</f>
        <v>5.4713000000000003</v>
      </c>
      <c r="C346" s="63">
        <f>5.4713 * CHOOSE(CONTROL!$C$22, $C$13, 100%, $E$13)</f>
        <v>5.4713000000000003</v>
      </c>
      <c r="D346" s="63">
        <f>5.4828 * CHOOSE(CONTROL!$C$22, $C$13, 100%, $E$13)</f>
        <v>5.4828000000000001</v>
      </c>
      <c r="E346" s="64">
        <f>6.311 * CHOOSE(CONTROL!$C$22, $C$13, 100%, $E$13)</f>
        <v>6.3109999999999999</v>
      </c>
      <c r="F346" s="64">
        <f>6.311 * CHOOSE(CONTROL!$C$22, $C$13, 100%, $E$13)</f>
        <v>6.3109999999999999</v>
      </c>
      <c r="G346" s="64">
        <f>6.3111 * CHOOSE(CONTROL!$C$22, $C$13, 100%, $E$13)</f>
        <v>6.3110999999999997</v>
      </c>
      <c r="H346" s="64">
        <f>11.2013* CHOOSE(CONTROL!$C$22, $C$13, 100%, $E$13)</f>
        <v>11.2013</v>
      </c>
      <c r="I346" s="64">
        <f>11.2015 * CHOOSE(CONTROL!$C$22, $C$13, 100%, $E$13)</f>
        <v>11.201499999999999</v>
      </c>
      <c r="J346" s="64">
        <f>6.311 * CHOOSE(CONTROL!$C$22, $C$13, 100%, $E$13)</f>
        <v>6.3109999999999999</v>
      </c>
      <c r="K346" s="64">
        <f>6.3111 * CHOOSE(CONTROL!$C$22, $C$13, 100%, $E$13)</f>
        <v>6.3110999999999997</v>
      </c>
    </row>
    <row r="347" spans="1:11" ht="15">
      <c r="A347" s="13">
        <v>52201</v>
      </c>
      <c r="B347" s="63">
        <f>5.4713 * CHOOSE(CONTROL!$C$22, $C$13, 100%, $E$13)</f>
        <v>5.4713000000000003</v>
      </c>
      <c r="C347" s="63">
        <f>5.4713 * CHOOSE(CONTROL!$C$22, $C$13, 100%, $E$13)</f>
        <v>5.4713000000000003</v>
      </c>
      <c r="D347" s="63">
        <f>5.4828 * CHOOSE(CONTROL!$C$22, $C$13, 100%, $E$13)</f>
        <v>5.4828000000000001</v>
      </c>
      <c r="E347" s="64">
        <f>6.2752 * CHOOSE(CONTROL!$C$22, $C$13, 100%, $E$13)</f>
        <v>6.2751999999999999</v>
      </c>
      <c r="F347" s="64">
        <f>6.2752 * CHOOSE(CONTROL!$C$22, $C$13, 100%, $E$13)</f>
        <v>6.2751999999999999</v>
      </c>
      <c r="G347" s="64">
        <f>6.2754 * CHOOSE(CONTROL!$C$22, $C$13, 100%, $E$13)</f>
        <v>6.2754000000000003</v>
      </c>
      <c r="H347" s="64">
        <f>11.2247* CHOOSE(CONTROL!$C$22, $C$13, 100%, $E$13)</f>
        <v>11.2247</v>
      </c>
      <c r="I347" s="64">
        <f>11.2248 * CHOOSE(CONTROL!$C$22, $C$13, 100%, $E$13)</f>
        <v>11.2248</v>
      </c>
      <c r="J347" s="64">
        <f>6.2752 * CHOOSE(CONTROL!$C$22, $C$13, 100%, $E$13)</f>
        <v>6.2751999999999999</v>
      </c>
      <c r="K347" s="64">
        <f>6.2754 * CHOOSE(CONTROL!$C$22, $C$13, 100%, $E$13)</f>
        <v>6.2754000000000003</v>
      </c>
    </row>
    <row r="348" spans="1:11" ht="15">
      <c r="A348" s="13">
        <v>52232</v>
      </c>
      <c r="B348" s="63">
        <f>5.5212 * CHOOSE(CONTROL!$C$22, $C$13, 100%, $E$13)</f>
        <v>5.5212000000000003</v>
      </c>
      <c r="C348" s="63">
        <f>5.5212 * CHOOSE(CONTROL!$C$22, $C$13, 100%, $E$13)</f>
        <v>5.5212000000000003</v>
      </c>
      <c r="D348" s="63">
        <f>5.5328 * CHOOSE(CONTROL!$C$22, $C$13, 100%, $E$13)</f>
        <v>5.5327999999999999</v>
      </c>
      <c r="E348" s="64">
        <f>6.358 * CHOOSE(CONTROL!$C$22, $C$13, 100%, $E$13)</f>
        <v>6.3579999999999997</v>
      </c>
      <c r="F348" s="64">
        <f>6.358 * CHOOSE(CONTROL!$C$22, $C$13, 100%, $E$13)</f>
        <v>6.3579999999999997</v>
      </c>
      <c r="G348" s="64">
        <f>6.3582 * CHOOSE(CONTROL!$C$22, $C$13, 100%, $E$13)</f>
        <v>6.3582000000000001</v>
      </c>
      <c r="H348" s="64">
        <f>11.2481* CHOOSE(CONTROL!$C$22, $C$13, 100%, $E$13)</f>
        <v>11.248100000000001</v>
      </c>
      <c r="I348" s="64">
        <f>11.2482 * CHOOSE(CONTROL!$C$22, $C$13, 100%, $E$13)</f>
        <v>11.248200000000001</v>
      </c>
      <c r="J348" s="64">
        <f>6.358 * CHOOSE(CONTROL!$C$22, $C$13, 100%, $E$13)</f>
        <v>6.3579999999999997</v>
      </c>
      <c r="K348" s="64">
        <f>6.3582 * CHOOSE(CONTROL!$C$22, $C$13, 100%, $E$13)</f>
        <v>6.3582000000000001</v>
      </c>
    </row>
    <row r="349" spans="1:11" ht="15">
      <c r="A349" s="13">
        <v>52263</v>
      </c>
      <c r="B349" s="63">
        <f>5.5182 * CHOOSE(CONTROL!$C$22, $C$13, 100%, $E$13)</f>
        <v>5.5182000000000002</v>
      </c>
      <c r="C349" s="63">
        <f>5.5182 * CHOOSE(CONTROL!$C$22, $C$13, 100%, $E$13)</f>
        <v>5.5182000000000002</v>
      </c>
      <c r="D349" s="63">
        <f>5.5297 * CHOOSE(CONTROL!$C$22, $C$13, 100%, $E$13)</f>
        <v>5.5297000000000001</v>
      </c>
      <c r="E349" s="64">
        <f>6.2865 * CHOOSE(CONTROL!$C$22, $C$13, 100%, $E$13)</f>
        <v>6.2865000000000002</v>
      </c>
      <c r="F349" s="64">
        <f>6.2865 * CHOOSE(CONTROL!$C$22, $C$13, 100%, $E$13)</f>
        <v>6.2865000000000002</v>
      </c>
      <c r="G349" s="64">
        <f>6.2867 * CHOOSE(CONTROL!$C$22, $C$13, 100%, $E$13)</f>
        <v>6.2866999999999997</v>
      </c>
      <c r="H349" s="64">
        <f>11.2715* CHOOSE(CONTROL!$C$22, $C$13, 100%, $E$13)</f>
        <v>11.2715</v>
      </c>
      <c r="I349" s="64">
        <f>11.2717 * CHOOSE(CONTROL!$C$22, $C$13, 100%, $E$13)</f>
        <v>11.271699999999999</v>
      </c>
      <c r="J349" s="64">
        <f>6.2865 * CHOOSE(CONTROL!$C$22, $C$13, 100%, $E$13)</f>
        <v>6.2865000000000002</v>
      </c>
      <c r="K349" s="64">
        <f>6.2867 * CHOOSE(CONTROL!$C$22, $C$13, 100%, $E$13)</f>
        <v>6.2866999999999997</v>
      </c>
    </row>
    <row r="350" spans="1:11" ht="15">
      <c r="A350" s="13">
        <v>52291</v>
      </c>
      <c r="B350" s="63">
        <f>5.5151 * CHOOSE(CONTROL!$C$22, $C$13, 100%, $E$13)</f>
        <v>5.5151000000000003</v>
      </c>
      <c r="C350" s="63">
        <f>5.5151 * CHOOSE(CONTROL!$C$22, $C$13, 100%, $E$13)</f>
        <v>5.5151000000000003</v>
      </c>
      <c r="D350" s="63">
        <f>5.5267 * CHOOSE(CONTROL!$C$22, $C$13, 100%, $E$13)</f>
        <v>5.5266999999999999</v>
      </c>
      <c r="E350" s="64">
        <f>6.3391 * CHOOSE(CONTROL!$C$22, $C$13, 100%, $E$13)</f>
        <v>6.3391000000000002</v>
      </c>
      <c r="F350" s="64">
        <f>6.3391 * CHOOSE(CONTROL!$C$22, $C$13, 100%, $E$13)</f>
        <v>6.3391000000000002</v>
      </c>
      <c r="G350" s="64">
        <f>6.3393 * CHOOSE(CONTROL!$C$22, $C$13, 100%, $E$13)</f>
        <v>6.3392999999999997</v>
      </c>
      <c r="H350" s="64">
        <f>11.295* CHOOSE(CONTROL!$C$22, $C$13, 100%, $E$13)</f>
        <v>11.295</v>
      </c>
      <c r="I350" s="64">
        <f>11.2951 * CHOOSE(CONTROL!$C$22, $C$13, 100%, $E$13)</f>
        <v>11.2951</v>
      </c>
      <c r="J350" s="64">
        <f>6.3391 * CHOOSE(CONTROL!$C$22, $C$13, 100%, $E$13)</f>
        <v>6.3391000000000002</v>
      </c>
      <c r="K350" s="64">
        <f>6.3393 * CHOOSE(CONTROL!$C$22, $C$13, 100%, $E$13)</f>
        <v>6.3392999999999997</v>
      </c>
    </row>
    <row r="351" spans="1:11" ht="15">
      <c r="A351" s="13">
        <v>52322</v>
      </c>
      <c r="B351" s="63">
        <f>5.5142 * CHOOSE(CONTROL!$C$22, $C$13, 100%, $E$13)</f>
        <v>5.5141999999999998</v>
      </c>
      <c r="C351" s="63">
        <f>5.5142 * CHOOSE(CONTROL!$C$22, $C$13, 100%, $E$13)</f>
        <v>5.5141999999999998</v>
      </c>
      <c r="D351" s="63">
        <f>5.5257 * CHOOSE(CONTROL!$C$22, $C$13, 100%, $E$13)</f>
        <v>5.5256999999999996</v>
      </c>
      <c r="E351" s="64">
        <f>6.3936 * CHOOSE(CONTROL!$C$22, $C$13, 100%, $E$13)</f>
        <v>6.3936000000000002</v>
      </c>
      <c r="F351" s="64">
        <f>6.3936 * CHOOSE(CONTROL!$C$22, $C$13, 100%, $E$13)</f>
        <v>6.3936000000000002</v>
      </c>
      <c r="G351" s="64">
        <f>6.3938 * CHOOSE(CONTROL!$C$22, $C$13, 100%, $E$13)</f>
        <v>6.3937999999999997</v>
      </c>
      <c r="H351" s="64">
        <f>11.3185* CHOOSE(CONTROL!$C$22, $C$13, 100%, $E$13)</f>
        <v>11.3185</v>
      </c>
      <c r="I351" s="64">
        <f>11.3187 * CHOOSE(CONTROL!$C$22, $C$13, 100%, $E$13)</f>
        <v>11.3187</v>
      </c>
      <c r="J351" s="64">
        <f>6.3936 * CHOOSE(CONTROL!$C$22, $C$13, 100%, $E$13)</f>
        <v>6.3936000000000002</v>
      </c>
      <c r="K351" s="64">
        <f>6.3938 * CHOOSE(CONTROL!$C$22, $C$13, 100%, $E$13)</f>
        <v>6.3937999999999997</v>
      </c>
    </row>
    <row r="352" spans="1:11" ht="15">
      <c r="A352" s="13">
        <v>52352</v>
      </c>
      <c r="B352" s="63">
        <f>5.5142 * CHOOSE(CONTROL!$C$22, $C$13, 100%, $E$13)</f>
        <v>5.5141999999999998</v>
      </c>
      <c r="C352" s="63">
        <f>5.5142 * CHOOSE(CONTROL!$C$22, $C$13, 100%, $E$13)</f>
        <v>5.5141999999999998</v>
      </c>
      <c r="D352" s="63">
        <f>5.5373 * CHOOSE(CONTROL!$C$22, $C$13, 100%, $E$13)</f>
        <v>5.5373000000000001</v>
      </c>
      <c r="E352" s="64">
        <f>6.4157 * CHOOSE(CONTROL!$C$22, $C$13, 100%, $E$13)</f>
        <v>6.4157000000000002</v>
      </c>
      <c r="F352" s="64">
        <f>6.4157 * CHOOSE(CONTROL!$C$22, $C$13, 100%, $E$13)</f>
        <v>6.4157000000000002</v>
      </c>
      <c r="G352" s="64">
        <f>6.4172 * CHOOSE(CONTROL!$C$22, $C$13, 100%, $E$13)</f>
        <v>6.4172000000000002</v>
      </c>
      <c r="H352" s="64">
        <f>11.3421* CHOOSE(CONTROL!$C$22, $C$13, 100%, $E$13)</f>
        <v>11.3421</v>
      </c>
      <c r="I352" s="64">
        <f>11.3436 * CHOOSE(CONTROL!$C$22, $C$13, 100%, $E$13)</f>
        <v>11.3436</v>
      </c>
      <c r="J352" s="64">
        <f>6.4157 * CHOOSE(CONTROL!$C$22, $C$13, 100%, $E$13)</f>
        <v>6.4157000000000002</v>
      </c>
      <c r="K352" s="64">
        <f>6.4172 * CHOOSE(CONTROL!$C$22, $C$13, 100%, $E$13)</f>
        <v>6.4172000000000002</v>
      </c>
    </row>
    <row r="353" spans="1:11" ht="15">
      <c r="A353" s="13">
        <v>52383</v>
      </c>
      <c r="B353" s="63">
        <f>5.5202 * CHOOSE(CONTROL!$C$22, $C$13, 100%, $E$13)</f>
        <v>5.5202</v>
      </c>
      <c r="C353" s="63">
        <f>5.5202 * CHOOSE(CONTROL!$C$22, $C$13, 100%, $E$13)</f>
        <v>5.5202</v>
      </c>
      <c r="D353" s="63">
        <f>5.5433 * CHOOSE(CONTROL!$C$22, $C$13, 100%, $E$13)</f>
        <v>5.5433000000000003</v>
      </c>
      <c r="E353" s="64">
        <f>6.3979 * CHOOSE(CONTROL!$C$22, $C$13, 100%, $E$13)</f>
        <v>6.3978999999999999</v>
      </c>
      <c r="F353" s="64">
        <f>6.3979 * CHOOSE(CONTROL!$C$22, $C$13, 100%, $E$13)</f>
        <v>6.3978999999999999</v>
      </c>
      <c r="G353" s="64">
        <f>6.3994 * CHOOSE(CONTROL!$C$22, $C$13, 100%, $E$13)</f>
        <v>6.3994</v>
      </c>
      <c r="H353" s="64">
        <f>11.3657* CHOOSE(CONTROL!$C$22, $C$13, 100%, $E$13)</f>
        <v>11.3657</v>
      </c>
      <c r="I353" s="64">
        <f>11.3672 * CHOOSE(CONTROL!$C$22, $C$13, 100%, $E$13)</f>
        <v>11.3672</v>
      </c>
      <c r="J353" s="64">
        <f>6.3979 * CHOOSE(CONTROL!$C$22, $C$13, 100%, $E$13)</f>
        <v>6.3978999999999999</v>
      </c>
      <c r="K353" s="64">
        <f>6.3994 * CHOOSE(CONTROL!$C$22, $C$13, 100%, $E$13)</f>
        <v>6.3994</v>
      </c>
    </row>
    <row r="354" spans="1:11" ht="15">
      <c r="A354" s="13">
        <v>52413</v>
      </c>
      <c r="B354" s="63">
        <f>5.6132 * CHOOSE(CONTROL!$C$22, $C$13, 100%, $E$13)</f>
        <v>5.6132</v>
      </c>
      <c r="C354" s="63">
        <f>5.6132 * CHOOSE(CONTROL!$C$22, $C$13, 100%, $E$13)</f>
        <v>5.6132</v>
      </c>
      <c r="D354" s="63">
        <f>5.6363 * CHOOSE(CONTROL!$C$22, $C$13, 100%, $E$13)</f>
        <v>5.6363000000000003</v>
      </c>
      <c r="E354" s="64">
        <f>6.5257 * CHOOSE(CONTROL!$C$22, $C$13, 100%, $E$13)</f>
        <v>6.5256999999999996</v>
      </c>
      <c r="F354" s="64">
        <f>6.5257 * CHOOSE(CONTROL!$C$22, $C$13, 100%, $E$13)</f>
        <v>6.5256999999999996</v>
      </c>
      <c r="G354" s="64">
        <f>6.5272 * CHOOSE(CONTROL!$C$22, $C$13, 100%, $E$13)</f>
        <v>6.5271999999999997</v>
      </c>
      <c r="H354" s="64">
        <f>11.3894* CHOOSE(CONTROL!$C$22, $C$13, 100%, $E$13)</f>
        <v>11.3894</v>
      </c>
      <c r="I354" s="64">
        <f>11.3909 * CHOOSE(CONTROL!$C$22, $C$13, 100%, $E$13)</f>
        <v>11.3909</v>
      </c>
      <c r="J354" s="64">
        <f>6.5257 * CHOOSE(CONTROL!$C$22, $C$13, 100%, $E$13)</f>
        <v>6.5256999999999996</v>
      </c>
      <c r="K354" s="64">
        <f>6.5272 * CHOOSE(CONTROL!$C$22, $C$13, 100%, $E$13)</f>
        <v>6.5271999999999997</v>
      </c>
    </row>
    <row r="355" spans="1:11" ht="15">
      <c r="A355" s="13">
        <v>52444</v>
      </c>
      <c r="B355" s="63">
        <f>5.6199 * CHOOSE(CONTROL!$C$22, $C$13, 100%, $E$13)</f>
        <v>5.6199000000000003</v>
      </c>
      <c r="C355" s="63">
        <f>5.6199 * CHOOSE(CONTROL!$C$22, $C$13, 100%, $E$13)</f>
        <v>5.6199000000000003</v>
      </c>
      <c r="D355" s="63">
        <f>5.643 * CHOOSE(CONTROL!$C$22, $C$13, 100%, $E$13)</f>
        <v>5.6429999999999998</v>
      </c>
      <c r="E355" s="64">
        <f>6.4643 * CHOOSE(CONTROL!$C$22, $C$13, 100%, $E$13)</f>
        <v>6.4642999999999997</v>
      </c>
      <c r="F355" s="64">
        <f>6.4643 * CHOOSE(CONTROL!$C$22, $C$13, 100%, $E$13)</f>
        <v>6.4642999999999997</v>
      </c>
      <c r="G355" s="64">
        <f>6.4658 * CHOOSE(CONTROL!$C$22, $C$13, 100%, $E$13)</f>
        <v>6.4657999999999998</v>
      </c>
      <c r="H355" s="64">
        <f>11.4131* CHOOSE(CONTROL!$C$22, $C$13, 100%, $E$13)</f>
        <v>11.4131</v>
      </c>
      <c r="I355" s="64">
        <f>11.4146 * CHOOSE(CONTROL!$C$22, $C$13, 100%, $E$13)</f>
        <v>11.4146</v>
      </c>
      <c r="J355" s="64">
        <f>6.4643 * CHOOSE(CONTROL!$C$22, $C$13, 100%, $E$13)</f>
        <v>6.4642999999999997</v>
      </c>
      <c r="K355" s="64">
        <f>6.4658 * CHOOSE(CONTROL!$C$22, $C$13, 100%, $E$13)</f>
        <v>6.4657999999999998</v>
      </c>
    </row>
    <row r="356" spans="1:11" ht="15">
      <c r="A356" s="13">
        <v>52475</v>
      </c>
      <c r="B356" s="63">
        <f>5.6168 * CHOOSE(CONTROL!$C$22, $C$13, 100%, $E$13)</f>
        <v>5.6167999999999996</v>
      </c>
      <c r="C356" s="63">
        <f>5.6168 * CHOOSE(CONTROL!$C$22, $C$13, 100%, $E$13)</f>
        <v>5.6167999999999996</v>
      </c>
      <c r="D356" s="63">
        <f>5.6399 * CHOOSE(CONTROL!$C$22, $C$13, 100%, $E$13)</f>
        <v>5.6398999999999999</v>
      </c>
      <c r="E356" s="64">
        <f>6.4548 * CHOOSE(CONTROL!$C$22, $C$13, 100%, $E$13)</f>
        <v>6.4547999999999996</v>
      </c>
      <c r="F356" s="64">
        <f>6.4548 * CHOOSE(CONTROL!$C$22, $C$13, 100%, $E$13)</f>
        <v>6.4547999999999996</v>
      </c>
      <c r="G356" s="64">
        <f>6.4563 * CHOOSE(CONTROL!$C$22, $C$13, 100%, $E$13)</f>
        <v>6.4562999999999997</v>
      </c>
      <c r="H356" s="64">
        <f>11.4369* CHOOSE(CONTROL!$C$22, $C$13, 100%, $E$13)</f>
        <v>11.4369</v>
      </c>
      <c r="I356" s="64">
        <f>11.4384 * CHOOSE(CONTROL!$C$22, $C$13, 100%, $E$13)</f>
        <v>11.4384</v>
      </c>
      <c r="J356" s="64">
        <f>6.4548 * CHOOSE(CONTROL!$C$22, $C$13, 100%, $E$13)</f>
        <v>6.4547999999999996</v>
      </c>
      <c r="K356" s="64">
        <f>6.4563 * CHOOSE(CONTROL!$C$22, $C$13, 100%, $E$13)</f>
        <v>6.4562999999999997</v>
      </c>
    </row>
    <row r="357" spans="1:11" ht="15">
      <c r="A357" s="13">
        <v>52505</v>
      </c>
      <c r="B357" s="63">
        <f>5.6175 * CHOOSE(CONTROL!$C$22, $C$13, 100%, $E$13)</f>
        <v>5.6174999999999997</v>
      </c>
      <c r="C357" s="63">
        <f>5.6175 * CHOOSE(CONTROL!$C$22, $C$13, 100%, $E$13)</f>
        <v>5.6174999999999997</v>
      </c>
      <c r="D357" s="63">
        <f>5.6291 * CHOOSE(CONTROL!$C$22, $C$13, 100%, $E$13)</f>
        <v>5.6291000000000002</v>
      </c>
      <c r="E357" s="64">
        <f>6.4708 * CHOOSE(CONTROL!$C$22, $C$13, 100%, $E$13)</f>
        <v>6.4707999999999997</v>
      </c>
      <c r="F357" s="64">
        <f>6.4708 * CHOOSE(CONTROL!$C$22, $C$13, 100%, $E$13)</f>
        <v>6.4707999999999997</v>
      </c>
      <c r="G357" s="64">
        <f>6.4709 * CHOOSE(CONTROL!$C$22, $C$13, 100%, $E$13)</f>
        <v>6.4709000000000003</v>
      </c>
      <c r="H357" s="64">
        <f>11.4607* CHOOSE(CONTROL!$C$22, $C$13, 100%, $E$13)</f>
        <v>11.460699999999999</v>
      </c>
      <c r="I357" s="64">
        <f>11.4609 * CHOOSE(CONTROL!$C$22, $C$13, 100%, $E$13)</f>
        <v>11.460900000000001</v>
      </c>
      <c r="J357" s="64">
        <f>6.4708 * CHOOSE(CONTROL!$C$22, $C$13, 100%, $E$13)</f>
        <v>6.4707999999999997</v>
      </c>
      <c r="K357" s="64">
        <f>6.4709 * CHOOSE(CONTROL!$C$22, $C$13, 100%, $E$13)</f>
        <v>6.4709000000000003</v>
      </c>
    </row>
    <row r="358" spans="1:11" ht="15">
      <c r="A358" s="13">
        <v>52536</v>
      </c>
      <c r="B358" s="63">
        <f>5.6206 * CHOOSE(CONTROL!$C$22, $C$13, 100%, $E$13)</f>
        <v>5.6205999999999996</v>
      </c>
      <c r="C358" s="63">
        <f>5.6206 * CHOOSE(CONTROL!$C$22, $C$13, 100%, $E$13)</f>
        <v>5.6205999999999996</v>
      </c>
      <c r="D358" s="63">
        <f>5.6321 * CHOOSE(CONTROL!$C$22, $C$13, 100%, $E$13)</f>
        <v>5.6321000000000003</v>
      </c>
      <c r="E358" s="64">
        <f>6.4876 * CHOOSE(CONTROL!$C$22, $C$13, 100%, $E$13)</f>
        <v>6.4875999999999996</v>
      </c>
      <c r="F358" s="64">
        <f>6.4876 * CHOOSE(CONTROL!$C$22, $C$13, 100%, $E$13)</f>
        <v>6.4875999999999996</v>
      </c>
      <c r="G358" s="64">
        <f>6.4877 * CHOOSE(CONTROL!$C$22, $C$13, 100%, $E$13)</f>
        <v>6.4877000000000002</v>
      </c>
      <c r="H358" s="64">
        <f>11.4846* CHOOSE(CONTROL!$C$22, $C$13, 100%, $E$13)</f>
        <v>11.4846</v>
      </c>
      <c r="I358" s="64">
        <f>11.4848 * CHOOSE(CONTROL!$C$22, $C$13, 100%, $E$13)</f>
        <v>11.4848</v>
      </c>
      <c r="J358" s="64">
        <f>6.4876 * CHOOSE(CONTROL!$C$22, $C$13, 100%, $E$13)</f>
        <v>6.4875999999999996</v>
      </c>
      <c r="K358" s="64">
        <f>6.4877 * CHOOSE(CONTROL!$C$22, $C$13, 100%, $E$13)</f>
        <v>6.4877000000000002</v>
      </c>
    </row>
    <row r="359" spans="1:11" ht="15">
      <c r="A359" s="13">
        <v>52566</v>
      </c>
      <c r="B359" s="63">
        <f>5.6206 * CHOOSE(CONTROL!$C$22, $C$13, 100%, $E$13)</f>
        <v>5.6205999999999996</v>
      </c>
      <c r="C359" s="63">
        <f>5.6206 * CHOOSE(CONTROL!$C$22, $C$13, 100%, $E$13)</f>
        <v>5.6205999999999996</v>
      </c>
      <c r="D359" s="63">
        <f>5.6321 * CHOOSE(CONTROL!$C$22, $C$13, 100%, $E$13)</f>
        <v>5.6321000000000003</v>
      </c>
      <c r="E359" s="64">
        <f>6.4508 * CHOOSE(CONTROL!$C$22, $C$13, 100%, $E$13)</f>
        <v>6.4508000000000001</v>
      </c>
      <c r="F359" s="64">
        <f>6.4508 * CHOOSE(CONTROL!$C$22, $C$13, 100%, $E$13)</f>
        <v>6.4508000000000001</v>
      </c>
      <c r="G359" s="64">
        <f>6.451 * CHOOSE(CONTROL!$C$22, $C$13, 100%, $E$13)</f>
        <v>6.4509999999999996</v>
      </c>
      <c r="H359" s="64">
        <f>11.5085* CHOOSE(CONTROL!$C$22, $C$13, 100%, $E$13)</f>
        <v>11.5085</v>
      </c>
      <c r="I359" s="64">
        <f>11.5087 * CHOOSE(CONTROL!$C$22, $C$13, 100%, $E$13)</f>
        <v>11.508699999999999</v>
      </c>
      <c r="J359" s="64">
        <f>6.4508 * CHOOSE(CONTROL!$C$22, $C$13, 100%, $E$13)</f>
        <v>6.4508000000000001</v>
      </c>
      <c r="K359" s="64">
        <f>6.451 * CHOOSE(CONTROL!$C$22, $C$13, 100%, $E$13)</f>
        <v>6.4509999999999996</v>
      </c>
    </row>
    <row r="360" spans="1:11" ht="15">
      <c r="A360" s="13">
        <v>52597</v>
      </c>
      <c r="B360" s="63">
        <f>5.6717 * CHOOSE(CONTROL!$C$22, $C$13, 100%, $E$13)</f>
        <v>5.6717000000000004</v>
      </c>
      <c r="C360" s="63">
        <f>5.6717 * CHOOSE(CONTROL!$C$22, $C$13, 100%, $E$13)</f>
        <v>5.6717000000000004</v>
      </c>
      <c r="D360" s="63">
        <f>5.6832 * CHOOSE(CONTROL!$C$22, $C$13, 100%, $E$13)</f>
        <v>5.6832000000000003</v>
      </c>
      <c r="E360" s="64">
        <f>6.5359 * CHOOSE(CONTROL!$C$22, $C$13, 100%, $E$13)</f>
        <v>6.5358999999999998</v>
      </c>
      <c r="F360" s="64">
        <f>6.5359 * CHOOSE(CONTROL!$C$22, $C$13, 100%, $E$13)</f>
        <v>6.5358999999999998</v>
      </c>
      <c r="G360" s="64">
        <f>6.5361 * CHOOSE(CONTROL!$C$22, $C$13, 100%, $E$13)</f>
        <v>6.5361000000000002</v>
      </c>
      <c r="H360" s="64">
        <f>11.5325* CHOOSE(CONTROL!$C$22, $C$13, 100%, $E$13)</f>
        <v>11.532500000000001</v>
      </c>
      <c r="I360" s="64">
        <f>11.5327 * CHOOSE(CONTROL!$C$22, $C$13, 100%, $E$13)</f>
        <v>11.5327</v>
      </c>
      <c r="J360" s="64">
        <f>6.5359 * CHOOSE(CONTROL!$C$22, $C$13, 100%, $E$13)</f>
        <v>6.5358999999999998</v>
      </c>
      <c r="K360" s="64">
        <f>6.5361 * CHOOSE(CONTROL!$C$22, $C$13, 100%, $E$13)</f>
        <v>6.5361000000000002</v>
      </c>
    </row>
    <row r="361" spans="1:11" ht="15">
      <c r="A361" s="13">
        <v>52628</v>
      </c>
      <c r="B361" s="63">
        <f>5.6686 * CHOOSE(CONTROL!$C$22, $C$13, 100%, $E$13)</f>
        <v>5.6685999999999996</v>
      </c>
      <c r="C361" s="63">
        <f>5.6686 * CHOOSE(CONTROL!$C$22, $C$13, 100%, $E$13)</f>
        <v>5.6685999999999996</v>
      </c>
      <c r="D361" s="63">
        <f>5.6802 * CHOOSE(CONTROL!$C$22, $C$13, 100%, $E$13)</f>
        <v>5.6802000000000001</v>
      </c>
      <c r="E361" s="64">
        <f>6.4624 * CHOOSE(CONTROL!$C$22, $C$13, 100%, $E$13)</f>
        <v>6.4623999999999997</v>
      </c>
      <c r="F361" s="64">
        <f>6.4624 * CHOOSE(CONTROL!$C$22, $C$13, 100%, $E$13)</f>
        <v>6.4623999999999997</v>
      </c>
      <c r="G361" s="64">
        <f>6.4626 * CHOOSE(CONTROL!$C$22, $C$13, 100%, $E$13)</f>
        <v>6.4626000000000001</v>
      </c>
      <c r="H361" s="64">
        <f>11.5565* CHOOSE(CONTROL!$C$22, $C$13, 100%, $E$13)</f>
        <v>11.5565</v>
      </c>
      <c r="I361" s="64">
        <f>11.5567 * CHOOSE(CONTROL!$C$22, $C$13, 100%, $E$13)</f>
        <v>11.556699999999999</v>
      </c>
      <c r="J361" s="64">
        <f>6.4624 * CHOOSE(CONTROL!$C$22, $C$13, 100%, $E$13)</f>
        <v>6.4623999999999997</v>
      </c>
      <c r="K361" s="64">
        <f>6.4626 * CHOOSE(CONTROL!$C$22, $C$13, 100%, $E$13)</f>
        <v>6.4626000000000001</v>
      </c>
    </row>
    <row r="362" spans="1:11" ht="15">
      <c r="A362" s="13">
        <v>52657</v>
      </c>
      <c r="B362" s="63">
        <f>5.6656 * CHOOSE(CONTROL!$C$22, $C$13, 100%, $E$13)</f>
        <v>5.6656000000000004</v>
      </c>
      <c r="C362" s="63">
        <f>5.6656 * CHOOSE(CONTROL!$C$22, $C$13, 100%, $E$13)</f>
        <v>5.6656000000000004</v>
      </c>
      <c r="D362" s="63">
        <f>5.6771 * CHOOSE(CONTROL!$C$22, $C$13, 100%, $E$13)</f>
        <v>5.6771000000000003</v>
      </c>
      <c r="E362" s="64">
        <f>6.5166 * CHOOSE(CONTROL!$C$22, $C$13, 100%, $E$13)</f>
        <v>6.5166000000000004</v>
      </c>
      <c r="F362" s="64">
        <f>6.5166 * CHOOSE(CONTROL!$C$22, $C$13, 100%, $E$13)</f>
        <v>6.5166000000000004</v>
      </c>
      <c r="G362" s="64">
        <f>6.5167 * CHOOSE(CONTROL!$C$22, $C$13, 100%, $E$13)</f>
        <v>6.5167000000000002</v>
      </c>
      <c r="H362" s="64">
        <f>11.5806* CHOOSE(CONTROL!$C$22, $C$13, 100%, $E$13)</f>
        <v>11.5806</v>
      </c>
      <c r="I362" s="64">
        <f>11.5808 * CHOOSE(CONTROL!$C$22, $C$13, 100%, $E$13)</f>
        <v>11.5808</v>
      </c>
      <c r="J362" s="64">
        <f>6.5166 * CHOOSE(CONTROL!$C$22, $C$13, 100%, $E$13)</f>
        <v>6.5166000000000004</v>
      </c>
      <c r="K362" s="64">
        <f>6.5167 * CHOOSE(CONTROL!$C$22, $C$13, 100%, $E$13)</f>
        <v>6.5167000000000002</v>
      </c>
    </row>
    <row r="363" spans="1:11" ht="15">
      <c r="A363" s="13">
        <v>52688</v>
      </c>
      <c r="B363" s="63">
        <f>5.6648 * CHOOSE(CONTROL!$C$22, $C$13, 100%, $E$13)</f>
        <v>5.6647999999999996</v>
      </c>
      <c r="C363" s="63">
        <f>5.6648 * CHOOSE(CONTROL!$C$22, $C$13, 100%, $E$13)</f>
        <v>5.6647999999999996</v>
      </c>
      <c r="D363" s="63">
        <f>5.6763 * CHOOSE(CONTROL!$C$22, $C$13, 100%, $E$13)</f>
        <v>5.6763000000000003</v>
      </c>
      <c r="E363" s="64">
        <f>6.5727 * CHOOSE(CONTROL!$C$22, $C$13, 100%, $E$13)</f>
        <v>6.5727000000000002</v>
      </c>
      <c r="F363" s="64">
        <f>6.5727 * CHOOSE(CONTROL!$C$22, $C$13, 100%, $E$13)</f>
        <v>6.5727000000000002</v>
      </c>
      <c r="G363" s="64">
        <f>6.5729 * CHOOSE(CONTROL!$C$22, $C$13, 100%, $E$13)</f>
        <v>6.5728999999999997</v>
      </c>
      <c r="H363" s="64">
        <f>11.6047* CHOOSE(CONTROL!$C$22, $C$13, 100%, $E$13)</f>
        <v>11.604699999999999</v>
      </c>
      <c r="I363" s="64">
        <f>11.6049 * CHOOSE(CONTROL!$C$22, $C$13, 100%, $E$13)</f>
        <v>11.604900000000001</v>
      </c>
      <c r="J363" s="64">
        <f>6.5727 * CHOOSE(CONTROL!$C$22, $C$13, 100%, $E$13)</f>
        <v>6.5727000000000002</v>
      </c>
      <c r="K363" s="64">
        <f>6.5729 * CHOOSE(CONTROL!$C$22, $C$13, 100%, $E$13)</f>
        <v>6.5728999999999997</v>
      </c>
    </row>
    <row r="364" spans="1:11" ht="15">
      <c r="A364" s="13">
        <v>52718</v>
      </c>
      <c r="B364" s="63">
        <f>5.6648 * CHOOSE(CONTROL!$C$22, $C$13, 100%, $E$13)</f>
        <v>5.6647999999999996</v>
      </c>
      <c r="C364" s="63">
        <f>5.6648 * CHOOSE(CONTROL!$C$22, $C$13, 100%, $E$13)</f>
        <v>5.6647999999999996</v>
      </c>
      <c r="D364" s="63">
        <f>5.6879 * CHOOSE(CONTROL!$C$22, $C$13, 100%, $E$13)</f>
        <v>5.6879</v>
      </c>
      <c r="E364" s="64">
        <f>6.5954 * CHOOSE(CONTROL!$C$22, $C$13, 100%, $E$13)</f>
        <v>6.5953999999999997</v>
      </c>
      <c r="F364" s="64">
        <f>6.5954 * CHOOSE(CONTROL!$C$22, $C$13, 100%, $E$13)</f>
        <v>6.5953999999999997</v>
      </c>
      <c r="G364" s="64">
        <f>6.5969 * CHOOSE(CONTROL!$C$22, $C$13, 100%, $E$13)</f>
        <v>6.5968999999999998</v>
      </c>
      <c r="H364" s="64">
        <f>11.6289* CHOOSE(CONTROL!$C$22, $C$13, 100%, $E$13)</f>
        <v>11.6289</v>
      </c>
      <c r="I364" s="64">
        <f>11.6304 * CHOOSE(CONTROL!$C$22, $C$13, 100%, $E$13)</f>
        <v>11.6304</v>
      </c>
      <c r="J364" s="64">
        <f>6.5954 * CHOOSE(CONTROL!$C$22, $C$13, 100%, $E$13)</f>
        <v>6.5953999999999997</v>
      </c>
      <c r="K364" s="64">
        <f>6.5969 * CHOOSE(CONTROL!$C$22, $C$13, 100%, $E$13)</f>
        <v>6.5968999999999998</v>
      </c>
    </row>
    <row r="365" spans="1:11" ht="15">
      <c r="A365" s="13">
        <v>52749</v>
      </c>
      <c r="B365" s="63">
        <f>5.6708 * CHOOSE(CONTROL!$C$22, $C$13, 100%, $E$13)</f>
        <v>5.6707999999999998</v>
      </c>
      <c r="C365" s="63">
        <f>5.6708 * CHOOSE(CONTROL!$C$22, $C$13, 100%, $E$13)</f>
        <v>5.6707999999999998</v>
      </c>
      <c r="D365" s="63">
        <f>5.6939 * CHOOSE(CONTROL!$C$22, $C$13, 100%, $E$13)</f>
        <v>5.6939000000000002</v>
      </c>
      <c r="E365" s="64">
        <f>6.577 * CHOOSE(CONTROL!$C$22, $C$13, 100%, $E$13)</f>
        <v>6.577</v>
      </c>
      <c r="F365" s="64">
        <f>6.577 * CHOOSE(CONTROL!$C$22, $C$13, 100%, $E$13)</f>
        <v>6.577</v>
      </c>
      <c r="G365" s="64">
        <f>6.5785 * CHOOSE(CONTROL!$C$22, $C$13, 100%, $E$13)</f>
        <v>6.5785</v>
      </c>
      <c r="H365" s="64">
        <f>11.6531* CHOOSE(CONTROL!$C$22, $C$13, 100%, $E$13)</f>
        <v>11.6531</v>
      </c>
      <c r="I365" s="64">
        <f>11.6546 * CHOOSE(CONTROL!$C$22, $C$13, 100%, $E$13)</f>
        <v>11.6546</v>
      </c>
      <c r="J365" s="64">
        <f>6.577 * CHOOSE(CONTROL!$C$22, $C$13, 100%, $E$13)</f>
        <v>6.577</v>
      </c>
      <c r="K365" s="64">
        <f>6.5785 * CHOOSE(CONTROL!$C$22, $C$13, 100%, $E$13)</f>
        <v>6.5785</v>
      </c>
    </row>
    <row r="366" spans="1:11" ht="15">
      <c r="A366" s="13">
        <v>52779</v>
      </c>
      <c r="B366" s="63">
        <f>5.7658 * CHOOSE(CONTROL!$C$22, $C$13, 100%, $E$13)</f>
        <v>5.7657999999999996</v>
      </c>
      <c r="C366" s="63">
        <f>5.7658 * CHOOSE(CONTROL!$C$22, $C$13, 100%, $E$13)</f>
        <v>5.7657999999999996</v>
      </c>
      <c r="D366" s="63">
        <f>5.7889 * CHOOSE(CONTROL!$C$22, $C$13, 100%, $E$13)</f>
        <v>5.7888999999999999</v>
      </c>
      <c r="E366" s="64">
        <f>6.7082 * CHOOSE(CONTROL!$C$22, $C$13, 100%, $E$13)</f>
        <v>6.7081999999999997</v>
      </c>
      <c r="F366" s="64">
        <f>6.7082 * CHOOSE(CONTROL!$C$22, $C$13, 100%, $E$13)</f>
        <v>6.7081999999999997</v>
      </c>
      <c r="G366" s="64">
        <f>6.7097 * CHOOSE(CONTROL!$C$22, $C$13, 100%, $E$13)</f>
        <v>6.7096999999999998</v>
      </c>
      <c r="H366" s="64">
        <f>11.6774* CHOOSE(CONTROL!$C$22, $C$13, 100%, $E$13)</f>
        <v>11.6774</v>
      </c>
      <c r="I366" s="64">
        <f>11.6789 * CHOOSE(CONTROL!$C$22, $C$13, 100%, $E$13)</f>
        <v>11.678900000000001</v>
      </c>
      <c r="J366" s="64">
        <f>6.7082 * CHOOSE(CONTROL!$C$22, $C$13, 100%, $E$13)</f>
        <v>6.7081999999999997</v>
      </c>
      <c r="K366" s="64">
        <f>6.7097 * CHOOSE(CONTROL!$C$22, $C$13, 100%, $E$13)</f>
        <v>6.7096999999999998</v>
      </c>
    </row>
    <row r="367" spans="1:11" ht="15">
      <c r="A367" s="13">
        <v>52810</v>
      </c>
      <c r="B367" s="63">
        <f>5.7725 * CHOOSE(CONTROL!$C$22, $C$13, 100%, $E$13)</f>
        <v>5.7725</v>
      </c>
      <c r="C367" s="63">
        <f>5.7725 * CHOOSE(CONTROL!$C$22, $C$13, 100%, $E$13)</f>
        <v>5.7725</v>
      </c>
      <c r="D367" s="63">
        <f>5.7956 * CHOOSE(CONTROL!$C$22, $C$13, 100%, $E$13)</f>
        <v>5.7956000000000003</v>
      </c>
      <c r="E367" s="64">
        <f>6.6449 * CHOOSE(CONTROL!$C$22, $C$13, 100%, $E$13)</f>
        <v>6.6448999999999998</v>
      </c>
      <c r="F367" s="64">
        <f>6.6449 * CHOOSE(CONTROL!$C$22, $C$13, 100%, $E$13)</f>
        <v>6.6448999999999998</v>
      </c>
      <c r="G367" s="64">
        <f>6.6464 * CHOOSE(CONTROL!$C$22, $C$13, 100%, $E$13)</f>
        <v>6.6463999999999999</v>
      </c>
      <c r="H367" s="64">
        <f>11.7017* CHOOSE(CONTROL!$C$22, $C$13, 100%, $E$13)</f>
        <v>11.701700000000001</v>
      </c>
      <c r="I367" s="64">
        <f>11.7032 * CHOOSE(CONTROL!$C$22, $C$13, 100%, $E$13)</f>
        <v>11.703200000000001</v>
      </c>
      <c r="J367" s="64">
        <f>6.6449 * CHOOSE(CONTROL!$C$22, $C$13, 100%, $E$13)</f>
        <v>6.6448999999999998</v>
      </c>
      <c r="K367" s="64">
        <f>6.6464 * CHOOSE(CONTROL!$C$22, $C$13, 100%, $E$13)</f>
        <v>6.6463999999999999</v>
      </c>
    </row>
    <row r="368" spans="1:11" ht="15">
      <c r="A368" s="13">
        <v>52841</v>
      </c>
      <c r="B368" s="63">
        <f>5.7695 * CHOOSE(CONTROL!$C$22, $C$13, 100%, $E$13)</f>
        <v>5.7694999999999999</v>
      </c>
      <c r="C368" s="63">
        <f>5.7695 * CHOOSE(CONTROL!$C$22, $C$13, 100%, $E$13)</f>
        <v>5.7694999999999999</v>
      </c>
      <c r="D368" s="63">
        <f>5.7926 * CHOOSE(CONTROL!$C$22, $C$13, 100%, $E$13)</f>
        <v>5.7926000000000002</v>
      </c>
      <c r="E368" s="64">
        <f>6.6352 * CHOOSE(CONTROL!$C$22, $C$13, 100%, $E$13)</f>
        <v>6.6352000000000002</v>
      </c>
      <c r="F368" s="64">
        <f>6.6352 * CHOOSE(CONTROL!$C$22, $C$13, 100%, $E$13)</f>
        <v>6.6352000000000002</v>
      </c>
      <c r="G368" s="64">
        <f>6.6367 * CHOOSE(CONTROL!$C$22, $C$13, 100%, $E$13)</f>
        <v>6.6367000000000003</v>
      </c>
      <c r="H368" s="64">
        <f>11.7261* CHOOSE(CONTROL!$C$22, $C$13, 100%, $E$13)</f>
        <v>11.726100000000001</v>
      </c>
      <c r="I368" s="64">
        <f>11.7276 * CHOOSE(CONTROL!$C$22, $C$13, 100%, $E$13)</f>
        <v>11.727600000000001</v>
      </c>
      <c r="J368" s="64">
        <f>6.6352 * CHOOSE(CONTROL!$C$22, $C$13, 100%, $E$13)</f>
        <v>6.6352000000000002</v>
      </c>
      <c r="K368" s="64">
        <f>6.6367 * CHOOSE(CONTROL!$C$22, $C$13, 100%, $E$13)</f>
        <v>6.6367000000000003</v>
      </c>
    </row>
    <row r="369" spans="1:11" ht="15">
      <c r="A369" s="13">
        <v>52871</v>
      </c>
      <c r="B369" s="63">
        <f>5.7707 * CHOOSE(CONTROL!$C$22, $C$13, 100%, $E$13)</f>
        <v>5.7706999999999997</v>
      </c>
      <c r="C369" s="63">
        <f>5.7707 * CHOOSE(CONTROL!$C$22, $C$13, 100%, $E$13)</f>
        <v>5.7706999999999997</v>
      </c>
      <c r="D369" s="63">
        <f>5.7822 * CHOOSE(CONTROL!$C$22, $C$13, 100%, $E$13)</f>
        <v>5.7821999999999996</v>
      </c>
      <c r="E369" s="64">
        <f>6.652 * CHOOSE(CONTROL!$C$22, $C$13, 100%, $E$13)</f>
        <v>6.6520000000000001</v>
      </c>
      <c r="F369" s="64">
        <f>6.652 * CHOOSE(CONTROL!$C$22, $C$13, 100%, $E$13)</f>
        <v>6.6520000000000001</v>
      </c>
      <c r="G369" s="64">
        <f>6.6522 * CHOOSE(CONTROL!$C$22, $C$13, 100%, $E$13)</f>
        <v>6.6521999999999997</v>
      </c>
      <c r="H369" s="64">
        <f>11.7505* CHOOSE(CONTROL!$C$22, $C$13, 100%, $E$13)</f>
        <v>11.750500000000001</v>
      </c>
      <c r="I369" s="64">
        <f>11.7507 * CHOOSE(CONTROL!$C$22, $C$13, 100%, $E$13)</f>
        <v>11.7507</v>
      </c>
      <c r="J369" s="64">
        <f>6.652 * CHOOSE(CONTROL!$C$22, $C$13, 100%, $E$13)</f>
        <v>6.6520000000000001</v>
      </c>
      <c r="K369" s="64">
        <f>6.6522 * CHOOSE(CONTROL!$C$22, $C$13, 100%, $E$13)</f>
        <v>6.6521999999999997</v>
      </c>
    </row>
    <row r="370" spans="1:11" ht="15">
      <c r="A370" s="13">
        <v>52902</v>
      </c>
      <c r="B370" s="63">
        <f>5.7737 * CHOOSE(CONTROL!$C$22, $C$13, 100%, $E$13)</f>
        <v>5.7736999999999998</v>
      </c>
      <c r="C370" s="63">
        <f>5.7737 * CHOOSE(CONTROL!$C$22, $C$13, 100%, $E$13)</f>
        <v>5.7736999999999998</v>
      </c>
      <c r="D370" s="63">
        <f>5.7853 * CHOOSE(CONTROL!$C$22, $C$13, 100%, $E$13)</f>
        <v>5.7853000000000003</v>
      </c>
      <c r="E370" s="64">
        <f>6.6693 * CHOOSE(CONTROL!$C$22, $C$13, 100%, $E$13)</f>
        <v>6.6692999999999998</v>
      </c>
      <c r="F370" s="64">
        <f>6.6693 * CHOOSE(CONTROL!$C$22, $C$13, 100%, $E$13)</f>
        <v>6.6692999999999998</v>
      </c>
      <c r="G370" s="64">
        <f>6.6694 * CHOOSE(CONTROL!$C$22, $C$13, 100%, $E$13)</f>
        <v>6.6694000000000004</v>
      </c>
      <c r="H370" s="64">
        <f>11.775* CHOOSE(CONTROL!$C$22, $C$13, 100%, $E$13)</f>
        <v>11.775</v>
      </c>
      <c r="I370" s="64">
        <f>11.7752 * CHOOSE(CONTROL!$C$22, $C$13, 100%, $E$13)</f>
        <v>11.7752</v>
      </c>
      <c r="J370" s="64">
        <f>6.6693 * CHOOSE(CONTROL!$C$22, $C$13, 100%, $E$13)</f>
        <v>6.6692999999999998</v>
      </c>
      <c r="K370" s="64">
        <f>6.6694 * CHOOSE(CONTROL!$C$22, $C$13, 100%, $E$13)</f>
        <v>6.6694000000000004</v>
      </c>
    </row>
    <row r="371" spans="1:11" ht="15">
      <c r="A371" s="13">
        <v>52932</v>
      </c>
      <c r="B371" s="63">
        <f>5.7737 * CHOOSE(CONTROL!$C$22, $C$13, 100%, $E$13)</f>
        <v>5.7736999999999998</v>
      </c>
      <c r="C371" s="63">
        <f>5.7737 * CHOOSE(CONTROL!$C$22, $C$13, 100%, $E$13)</f>
        <v>5.7736999999999998</v>
      </c>
      <c r="D371" s="63">
        <f>5.7853 * CHOOSE(CONTROL!$C$22, $C$13, 100%, $E$13)</f>
        <v>5.7853000000000003</v>
      </c>
      <c r="E371" s="64">
        <f>6.6315 * CHOOSE(CONTROL!$C$22, $C$13, 100%, $E$13)</f>
        <v>6.6315</v>
      </c>
      <c r="F371" s="64">
        <f>6.6315 * CHOOSE(CONTROL!$C$22, $C$13, 100%, $E$13)</f>
        <v>6.6315</v>
      </c>
      <c r="G371" s="64">
        <f>6.6317 * CHOOSE(CONTROL!$C$22, $C$13, 100%, $E$13)</f>
        <v>6.6317000000000004</v>
      </c>
      <c r="H371" s="64">
        <f>11.7996* CHOOSE(CONTROL!$C$22, $C$13, 100%, $E$13)</f>
        <v>11.7996</v>
      </c>
      <c r="I371" s="64">
        <f>11.7997 * CHOOSE(CONTROL!$C$22, $C$13, 100%, $E$13)</f>
        <v>11.7997</v>
      </c>
      <c r="J371" s="64">
        <f>6.6315 * CHOOSE(CONTROL!$C$22, $C$13, 100%, $E$13)</f>
        <v>6.6315</v>
      </c>
      <c r="K371" s="64">
        <f>6.6317 * CHOOSE(CONTROL!$C$22, $C$13, 100%, $E$13)</f>
        <v>6.6317000000000004</v>
      </c>
    </row>
    <row r="372" spans="1:11" ht="15">
      <c r="A372" s="13">
        <v>52963</v>
      </c>
      <c r="B372" s="63">
        <f>5.8261 * CHOOSE(CONTROL!$C$22, $C$13, 100%, $E$13)</f>
        <v>5.8261000000000003</v>
      </c>
      <c r="C372" s="63">
        <f>5.8261 * CHOOSE(CONTROL!$C$22, $C$13, 100%, $E$13)</f>
        <v>5.8261000000000003</v>
      </c>
      <c r="D372" s="63">
        <f>5.8377 * CHOOSE(CONTROL!$C$22, $C$13, 100%, $E$13)</f>
        <v>5.8376999999999999</v>
      </c>
      <c r="E372" s="64">
        <f>6.7188 * CHOOSE(CONTROL!$C$22, $C$13, 100%, $E$13)</f>
        <v>6.7187999999999999</v>
      </c>
      <c r="F372" s="64">
        <f>6.7188 * CHOOSE(CONTROL!$C$22, $C$13, 100%, $E$13)</f>
        <v>6.7187999999999999</v>
      </c>
      <c r="G372" s="64">
        <f>6.719 * CHOOSE(CONTROL!$C$22, $C$13, 100%, $E$13)</f>
        <v>6.7190000000000003</v>
      </c>
      <c r="H372" s="64">
        <f>11.8241* CHOOSE(CONTROL!$C$22, $C$13, 100%, $E$13)</f>
        <v>11.8241</v>
      </c>
      <c r="I372" s="64">
        <f>11.8243 * CHOOSE(CONTROL!$C$22, $C$13, 100%, $E$13)</f>
        <v>11.824299999999999</v>
      </c>
      <c r="J372" s="64">
        <f>6.7188 * CHOOSE(CONTROL!$C$22, $C$13, 100%, $E$13)</f>
        <v>6.7187999999999999</v>
      </c>
      <c r="K372" s="64">
        <f>6.719 * CHOOSE(CONTROL!$C$22, $C$13, 100%, $E$13)</f>
        <v>6.7190000000000003</v>
      </c>
    </row>
    <row r="373" spans="1:11" ht="15">
      <c r="A373" s="13">
        <v>52994</v>
      </c>
      <c r="B373" s="63">
        <f>5.8231 * CHOOSE(CONTROL!$C$22, $C$13, 100%, $E$13)</f>
        <v>5.8231000000000002</v>
      </c>
      <c r="C373" s="63">
        <f>5.8231 * CHOOSE(CONTROL!$C$22, $C$13, 100%, $E$13)</f>
        <v>5.8231000000000002</v>
      </c>
      <c r="D373" s="63">
        <f>5.8346 * CHOOSE(CONTROL!$C$22, $C$13, 100%, $E$13)</f>
        <v>5.8346</v>
      </c>
      <c r="E373" s="64">
        <f>6.6434 * CHOOSE(CONTROL!$C$22, $C$13, 100%, $E$13)</f>
        <v>6.6433999999999997</v>
      </c>
      <c r="F373" s="64">
        <f>6.6434 * CHOOSE(CONTROL!$C$22, $C$13, 100%, $E$13)</f>
        <v>6.6433999999999997</v>
      </c>
      <c r="G373" s="64">
        <f>6.6435 * CHOOSE(CONTROL!$C$22, $C$13, 100%, $E$13)</f>
        <v>6.6435000000000004</v>
      </c>
      <c r="H373" s="64">
        <f>11.8488* CHOOSE(CONTROL!$C$22, $C$13, 100%, $E$13)</f>
        <v>11.848800000000001</v>
      </c>
      <c r="I373" s="64">
        <f>11.8489 * CHOOSE(CONTROL!$C$22, $C$13, 100%, $E$13)</f>
        <v>11.8489</v>
      </c>
      <c r="J373" s="64">
        <f>6.6434 * CHOOSE(CONTROL!$C$22, $C$13, 100%, $E$13)</f>
        <v>6.6433999999999997</v>
      </c>
      <c r="K373" s="64">
        <f>6.6435 * CHOOSE(CONTROL!$C$22, $C$13, 100%, $E$13)</f>
        <v>6.6435000000000004</v>
      </c>
    </row>
    <row r="374" spans="1:11" ht="15">
      <c r="A374" s="13">
        <v>53022</v>
      </c>
      <c r="B374" s="63">
        <f>5.8201 * CHOOSE(CONTROL!$C$22, $C$13, 100%, $E$13)</f>
        <v>5.8201000000000001</v>
      </c>
      <c r="C374" s="63">
        <f>5.8201 * CHOOSE(CONTROL!$C$22, $C$13, 100%, $E$13)</f>
        <v>5.8201000000000001</v>
      </c>
      <c r="D374" s="63">
        <f>5.8316 * CHOOSE(CONTROL!$C$22, $C$13, 100%, $E$13)</f>
        <v>5.8315999999999999</v>
      </c>
      <c r="E374" s="64">
        <f>6.6991 * CHOOSE(CONTROL!$C$22, $C$13, 100%, $E$13)</f>
        <v>6.6990999999999996</v>
      </c>
      <c r="F374" s="64">
        <f>6.6991 * CHOOSE(CONTROL!$C$22, $C$13, 100%, $E$13)</f>
        <v>6.6990999999999996</v>
      </c>
      <c r="G374" s="64">
        <f>6.6992 * CHOOSE(CONTROL!$C$22, $C$13, 100%, $E$13)</f>
        <v>6.6992000000000003</v>
      </c>
      <c r="H374" s="64">
        <f>11.8735* CHOOSE(CONTROL!$C$22, $C$13, 100%, $E$13)</f>
        <v>11.8735</v>
      </c>
      <c r="I374" s="64">
        <f>11.8736 * CHOOSE(CONTROL!$C$22, $C$13, 100%, $E$13)</f>
        <v>11.8736</v>
      </c>
      <c r="J374" s="64">
        <f>6.6991 * CHOOSE(CONTROL!$C$22, $C$13, 100%, $E$13)</f>
        <v>6.6990999999999996</v>
      </c>
      <c r="K374" s="64">
        <f>6.6992 * CHOOSE(CONTROL!$C$22, $C$13, 100%, $E$13)</f>
        <v>6.6992000000000003</v>
      </c>
    </row>
    <row r="375" spans="1:11" ht="15">
      <c r="A375" s="13">
        <v>53053</v>
      </c>
      <c r="B375" s="63">
        <f>5.8194 * CHOOSE(CONTROL!$C$22, $C$13, 100%, $E$13)</f>
        <v>5.8193999999999999</v>
      </c>
      <c r="C375" s="63">
        <f>5.8194 * CHOOSE(CONTROL!$C$22, $C$13, 100%, $E$13)</f>
        <v>5.8193999999999999</v>
      </c>
      <c r="D375" s="63">
        <f>5.8309 * CHOOSE(CONTROL!$C$22, $C$13, 100%, $E$13)</f>
        <v>5.8308999999999997</v>
      </c>
      <c r="E375" s="64">
        <f>6.7569 * CHOOSE(CONTROL!$C$22, $C$13, 100%, $E$13)</f>
        <v>6.7568999999999999</v>
      </c>
      <c r="F375" s="64">
        <f>6.7569 * CHOOSE(CONTROL!$C$22, $C$13, 100%, $E$13)</f>
        <v>6.7568999999999999</v>
      </c>
      <c r="G375" s="64">
        <f>6.7571 * CHOOSE(CONTROL!$C$22, $C$13, 100%, $E$13)</f>
        <v>6.7571000000000003</v>
      </c>
      <c r="H375" s="64">
        <f>11.8982* CHOOSE(CONTROL!$C$22, $C$13, 100%, $E$13)</f>
        <v>11.898199999999999</v>
      </c>
      <c r="I375" s="64">
        <f>11.8984 * CHOOSE(CONTROL!$C$22, $C$13, 100%, $E$13)</f>
        <v>11.898400000000001</v>
      </c>
      <c r="J375" s="64">
        <f>6.7569 * CHOOSE(CONTROL!$C$22, $C$13, 100%, $E$13)</f>
        <v>6.7568999999999999</v>
      </c>
      <c r="K375" s="64">
        <f>6.7571 * CHOOSE(CONTROL!$C$22, $C$13, 100%, $E$13)</f>
        <v>6.7571000000000003</v>
      </c>
    </row>
    <row r="376" spans="1:11" ht="15">
      <c r="A376" s="13">
        <v>53083</v>
      </c>
      <c r="B376" s="63">
        <f>5.8194 * CHOOSE(CONTROL!$C$22, $C$13, 100%, $E$13)</f>
        <v>5.8193999999999999</v>
      </c>
      <c r="C376" s="63">
        <f>5.8194 * CHOOSE(CONTROL!$C$22, $C$13, 100%, $E$13)</f>
        <v>5.8193999999999999</v>
      </c>
      <c r="D376" s="63">
        <f>5.8425 * CHOOSE(CONTROL!$C$22, $C$13, 100%, $E$13)</f>
        <v>5.8425000000000002</v>
      </c>
      <c r="E376" s="64">
        <f>6.7802 * CHOOSE(CONTROL!$C$22, $C$13, 100%, $E$13)</f>
        <v>6.7801999999999998</v>
      </c>
      <c r="F376" s="64">
        <f>6.7802 * CHOOSE(CONTROL!$C$22, $C$13, 100%, $E$13)</f>
        <v>6.7801999999999998</v>
      </c>
      <c r="G376" s="64">
        <f>6.7817 * CHOOSE(CONTROL!$C$22, $C$13, 100%, $E$13)</f>
        <v>6.7816999999999998</v>
      </c>
      <c r="H376" s="64">
        <f>11.923* CHOOSE(CONTROL!$C$22, $C$13, 100%, $E$13)</f>
        <v>11.923</v>
      </c>
      <c r="I376" s="64">
        <f>11.9245 * CHOOSE(CONTROL!$C$22, $C$13, 100%, $E$13)</f>
        <v>11.9245</v>
      </c>
      <c r="J376" s="64">
        <f>6.7802 * CHOOSE(CONTROL!$C$22, $C$13, 100%, $E$13)</f>
        <v>6.7801999999999998</v>
      </c>
      <c r="K376" s="64">
        <f>6.7817 * CHOOSE(CONTROL!$C$22, $C$13, 100%, $E$13)</f>
        <v>6.7816999999999998</v>
      </c>
    </row>
    <row r="377" spans="1:11" ht="15">
      <c r="A377" s="13">
        <v>53114</v>
      </c>
      <c r="B377" s="63">
        <f>5.8254 * CHOOSE(CONTROL!$C$22, $C$13, 100%, $E$13)</f>
        <v>5.8254000000000001</v>
      </c>
      <c r="C377" s="63">
        <f>5.8254 * CHOOSE(CONTROL!$C$22, $C$13, 100%, $E$13)</f>
        <v>5.8254000000000001</v>
      </c>
      <c r="D377" s="63">
        <f>5.8485 * CHOOSE(CONTROL!$C$22, $C$13, 100%, $E$13)</f>
        <v>5.8484999999999996</v>
      </c>
      <c r="E377" s="64">
        <f>6.7612 * CHOOSE(CONTROL!$C$22, $C$13, 100%, $E$13)</f>
        <v>6.7611999999999997</v>
      </c>
      <c r="F377" s="64">
        <f>6.7612 * CHOOSE(CONTROL!$C$22, $C$13, 100%, $E$13)</f>
        <v>6.7611999999999997</v>
      </c>
      <c r="G377" s="64">
        <f>6.7627 * CHOOSE(CONTROL!$C$22, $C$13, 100%, $E$13)</f>
        <v>6.7626999999999997</v>
      </c>
      <c r="H377" s="64">
        <f>11.9478* CHOOSE(CONTROL!$C$22, $C$13, 100%, $E$13)</f>
        <v>11.947800000000001</v>
      </c>
      <c r="I377" s="64">
        <f>11.9493 * CHOOSE(CONTROL!$C$22, $C$13, 100%, $E$13)</f>
        <v>11.949299999999999</v>
      </c>
      <c r="J377" s="64">
        <f>6.7612 * CHOOSE(CONTROL!$C$22, $C$13, 100%, $E$13)</f>
        <v>6.7611999999999997</v>
      </c>
      <c r="K377" s="64">
        <f>6.7627 * CHOOSE(CONTROL!$C$22, $C$13, 100%, $E$13)</f>
        <v>6.7626999999999997</v>
      </c>
    </row>
    <row r="378" spans="1:11" ht="15">
      <c r="A378" s="13">
        <v>53144</v>
      </c>
      <c r="B378" s="63">
        <f>5.9228 * CHOOSE(CONTROL!$C$22, $C$13, 100%, $E$13)</f>
        <v>5.9227999999999996</v>
      </c>
      <c r="C378" s="63">
        <f>5.9228 * CHOOSE(CONTROL!$C$22, $C$13, 100%, $E$13)</f>
        <v>5.9227999999999996</v>
      </c>
      <c r="D378" s="63">
        <f>5.9459 * CHOOSE(CONTROL!$C$22, $C$13, 100%, $E$13)</f>
        <v>5.9459</v>
      </c>
      <c r="E378" s="64">
        <f>6.8958 * CHOOSE(CONTROL!$C$22, $C$13, 100%, $E$13)</f>
        <v>6.8958000000000004</v>
      </c>
      <c r="F378" s="64">
        <f>6.8958 * CHOOSE(CONTROL!$C$22, $C$13, 100%, $E$13)</f>
        <v>6.8958000000000004</v>
      </c>
      <c r="G378" s="64">
        <f>6.8973 * CHOOSE(CONTROL!$C$22, $C$13, 100%, $E$13)</f>
        <v>6.8973000000000004</v>
      </c>
      <c r="H378" s="64">
        <f>11.9727* CHOOSE(CONTROL!$C$22, $C$13, 100%, $E$13)</f>
        <v>11.9727</v>
      </c>
      <c r="I378" s="64">
        <f>11.9742 * CHOOSE(CONTROL!$C$22, $C$13, 100%, $E$13)</f>
        <v>11.9742</v>
      </c>
      <c r="J378" s="64">
        <f>6.8958 * CHOOSE(CONTROL!$C$22, $C$13, 100%, $E$13)</f>
        <v>6.8958000000000004</v>
      </c>
      <c r="K378" s="64">
        <f>6.8973 * CHOOSE(CONTROL!$C$22, $C$13, 100%, $E$13)</f>
        <v>6.8973000000000004</v>
      </c>
    </row>
    <row r="379" spans="1:11" ht="15">
      <c r="A379" s="13">
        <v>53175</v>
      </c>
      <c r="B379" s="63">
        <f>5.9295 * CHOOSE(CONTROL!$C$22, $C$13, 100%, $E$13)</f>
        <v>5.9295</v>
      </c>
      <c r="C379" s="63">
        <f>5.9295 * CHOOSE(CONTROL!$C$22, $C$13, 100%, $E$13)</f>
        <v>5.9295</v>
      </c>
      <c r="D379" s="63">
        <f>5.9526 * CHOOSE(CONTROL!$C$22, $C$13, 100%, $E$13)</f>
        <v>5.9526000000000003</v>
      </c>
      <c r="E379" s="64">
        <f>6.8306 * CHOOSE(CONTROL!$C$22, $C$13, 100%, $E$13)</f>
        <v>6.8305999999999996</v>
      </c>
      <c r="F379" s="64">
        <f>6.8306 * CHOOSE(CONTROL!$C$22, $C$13, 100%, $E$13)</f>
        <v>6.8305999999999996</v>
      </c>
      <c r="G379" s="64">
        <f>6.832 * CHOOSE(CONTROL!$C$22, $C$13, 100%, $E$13)</f>
        <v>6.8319999999999999</v>
      </c>
      <c r="H379" s="64">
        <f>11.9977* CHOOSE(CONTROL!$C$22, $C$13, 100%, $E$13)</f>
        <v>11.9977</v>
      </c>
      <c r="I379" s="64">
        <f>11.9991 * CHOOSE(CONTROL!$C$22, $C$13, 100%, $E$13)</f>
        <v>11.9991</v>
      </c>
      <c r="J379" s="64">
        <f>6.8306 * CHOOSE(CONTROL!$C$22, $C$13, 100%, $E$13)</f>
        <v>6.8305999999999996</v>
      </c>
      <c r="K379" s="64">
        <f>6.832 * CHOOSE(CONTROL!$C$22, $C$13, 100%, $E$13)</f>
        <v>6.8319999999999999</v>
      </c>
    </row>
    <row r="380" spans="1:11" ht="15">
      <c r="A380" s="13">
        <v>53206</v>
      </c>
      <c r="B380" s="63">
        <f>5.9264 * CHOOSE(CONTROL!$C$22, $C$13, 100%, $E$13)</f>
        <v>5.9264000000000001</v>
      </c>
      <c r="C380" s="63">
        <f>5.9264 * CHOOSE(CONTROL!$C$22, $C$13, 100%, $E$13)</f>
        <v>5.9264000000000001</v>
      </c>
      <c r="D380" s="63">
        <f>5.9495 * CHOOSE(CONTROL!$C$22, $C$13, 100%, $E$13)</f>
        <v>5.9494999999999996</v>
      </c>
      <c r="E380" s="64">
        <f>6.8207 * CHOOSE(CONTROL!$C$22, $C$13, 100%, $E$13)</f>
        <v>6.8207000000000004</v>
      </c>
      <c r="F380" s="64">
        <f>6.8207 * CHOOSE(CONTROL!$C$22, $C$13, 100%, $E$13)</f>
        <v>6.8207000000000004</v>
      </c>
      <c r="G380" s="64">
        <f>6.8222 * CHOOSE(CONTROL!$C$22, $C$13, 100%, $E$13)</f>
        <v>6.8221999999999996</v>
      </c>
      <c r="H380" s="64">
        <f>12.0226* CHOOSE(CONTROL!$C$22, $C$13, 100%, $E$13)</f>
        <v>12.022600000000001</v>
      </c>
      <c r="I380" s="64">
        <f>12.0241 * CHOOSE(CONTROL!$C$22, $C$13, 100%, $E$13)</f>
        <v>12.024100000000001</v>
      </c>
      <c r="J380" s="64">
        <f>6.8207 * CHOOSE(CONTROL!$C$22, $C$13, 100%, $E$13)</f>
        <v>6.8207000000000004</v>
      </c>
      <c r="K380" s="64">
        <f>6.8222 * CHOOSE(CONTROL!$C$22, $C$13, 100%, $E$13)</f>
        <v>6.8221999999999996</v>
      </c>
    </row>
    <row r="381" spans="1:11" ht="15">
      <c r="A381" s="13">
        <v>53236</v>
      </c>
      <c r="B381" s="63">
        <f>5.9282 * CHOOSE(CONTROL!$C$22, $C$13, 100%, $E$13)</f>
        <v>5.9282000000000004</v>
      </c>
      <c r="C381" s="63">
        <f>5.9282 * CHOOSE(CONTROL!$C$22, $C$13, 100%, $E$13)</f>
        <v>5.9282000000000004</v>
      </c>
      <c r="D381" s="63">
        <f>5.9397 * CHOOSE(CONTROL!$C$22, $C$13, 100%, $E$13)</f>
        <v>5.9397000000000002</v>
      </c>
      <c r="E381" s="64">
        <f>6.8383 * CHOOSE(CONTROL!$C$22, $C$13, 100%, $E$13)</f>
        <v>6.8383000000000003</v>
      </c>
      <c r="F381" s="64">
        <f>6.8383 * CHOOSE(CONTROL!$C$22, $C$13, 100%, $E$13)</f>
        <v>6.8383000000000003</v>
      </c>
      <c r="G381" s="64">
        <f>6.8385 * CHOOSE(CONTROL!$C$22, $C$13, 100%, $E$13)</f>
        <v>6.8384999999999998</v>
      </c>
      <c r="H381" s="64">
        <f>12.0477* CHOOSE(CONTROL!$C$22, $C$13, 100%, $E$13)</f>
        <v>12.047700000000001</v>
      </c>
      <c r="I381" s="64">
        <f>12.0479 * CHOOSE(CONTROL!$C$22, $C$13, 100%, $E$13)</f>
        <v>12.0479</v>
      </c>
      <c r="J381" s="64">
        <f>6.8383 * CHOOSE(CONTROL!$C$22, $C$13, 100%, $E$13)</f>
        <v>6.8383000000000003</v>
      </c>
      <c r="K381" s="64">
        <f>6.8385 * CHOOSE(CONTROL!$C$22, $C$13, 100%, $E$13)</f>
        <v>6.8384999999999998</v>
      </c>
    </row>
    <row r="382" spans="1:11" ht="15">
      <c r="A382" s="13">
        <v>53267</v>
      </c>
      <c r="B382" s="63">
        <f>5.9312 * CHOOSE(CONTROL!$C$22, $C$13, 100%, $E$13)</f>
        <v>5.9311999999999996</v>
      </c>
      <c r="C382" s="63">
        <f>5.9312 * CHOOSE(CONTROL!$C$22, $C$13, 100%, $E$13)</f>
        <v>5.9311999999999996</v>
      </c>
      <c r="D382" s="63">
        <f>5.9428 * CHOOSE(CONTROL!$C$22, $C$13, 100%, $E$13)</f>
        <v>5.9428000000000001</v>
      </c>
      <c r="E382" s="64">
        <f>6.856 * CHOOSE(CONTROL!$C$22, $C$13, 100%, $E$13)</f>
        <v>6.8559999999999999</v>
      </c>
      <c r="F382" s="64">
        <f>6.856 * CHOOSE(CONTROL!$C$22, $C$13, 100%, $E$13)</f>
        <v>6.8559999999999999</v>
      </c>
      <c r="G382" s="64">
        <f>6.8561 * CHOOSE(CONTROL!$C$22, $C$13, 100%, $E$13)</f>
        <v>6.8560999999999996</v>
      </c>
      <c r="H382" s="64">
        <f>12.0728* CHOOSE(CONTROL!$C$22, $C$13, 100%, $E$13)</f>
        <v>12.072800000000001</v>
      </c>
      <c r="I382" s="64">
        <f>12.073 * CHOOSE(CONTROL!$C$22, $C$13, 100%, $E$13)</f>
        <v>12.073</v>
      </c>
      <c r="J382" s="64">
        <f>6.856 * CHOOSE(CONTROL!$C$22, $C$13, 100%, $E$13)</f>
        <v>6.8559999999999999</v>
      </c>
      <c r="K382" s="64">
        <f>6.8561 * CHOOSE(CONTROL!$C$22, $C$13, 100%, $E$13)</f>
        <v>6.8560999999999996</v>
      </c>
    </row>
    <row r="383" spans="1:11" ht="15">
      <c r="A383" s="13">
        <v>53297</v>
      </c>
      <c r="B383" s="63">
        <f>5.9312 * CHOOSE(CONTROL!$C$22, $C$13, 100%, $E$13)</f>
        <v>5.9311999999999996</v>
      </c>
      <c r="C383" s="63">
        <f>5.9312 * CHOOSE(CONTROL!$C$22, $C$13, 100%, $E$13)</f>
        <v>5.9311999999999996</v>
      </c>
      <c r="D383" s="63">
        <f>5.9428 * CHOOSE(CONTROL!$C$22, $C$13, 100%, $E$13)</f>
        <v>5.9428000000000001</v>
      </c>
      <c r="E383" s="64">
        <f>6.8171 * CHOOSE(CONTROL!$C$22, $C$13, 100%, $E$13)</f>
        <v>6.8170999999999999</v>
      </c>
      <c r="F383" s="64">
        <f>6.8171 * CHOOSE(CONTROL!$C$22, $C$13, 100%, $E$13)</f>
        <v>6.8170999999999999</v>
      </c>
      <c r="G383" s="64">
        <f>6.8173 * CHOOSE(CONTROL!$C$22, $C$13, 100%, $E$13)</f>
        <v>6.8173000000000004</v>
      </c>
      <c r="H383" s="64">
        <f>12.0979* CHOOSE(CONTROL!$C$22, $C$13, 100%, $E$13)</f>
        <v>12.097899999999999</v>
      </c>
      <c r="I383" s="64">
        <f>12.0981 * CHOOSE(CONTROL!$C$22, $C$13, 100%, $E$13)</f>
        <v>12.098100000000001</v>
      </c>
      <c r="J383" s="64">
        <f>6.8171 * CHOOSE(CONTROL!$C$22, $C$13, 100%, $E$13)</f>
        <v>6.8170999999999999</v>
      </c>
      <c r="K383" s="64">
        <f>6.8173 * CHOOSE(CONTROL!$C$22, $C$13, 100%, $E$13)</f>
        <v>6.8173000000000004</v>
      </c>
    </row>
    <row r="384" spans="1:11" ht="15">
      <c r="A384" s="13">
        <v>53328</v>
      </c>
      <c r="B384" s="63">
        <f>5.9849 * CHOOSE(CONTROL!$C$22, $C$13, 100%, $E$13)</f>
        <v>5.9848999999999997</v>
      </c>
      <c r="C384" s="63">
        <f>5.9849 * CHOOSE(CONTROL!$C$22, $C$13, 100%, $E$13)</f>
        <v>5.9848999999999997</v>
      </c>
      <c r="D384" s="63">
        <f>5.9965 * CHOOSE(CONTROL!$C$22, $C$13, 100%, $E$13)</f>
        <v>5.9965000000000002</v>
      </c>
      <c r="E384" s="64">
        <f>6.9068 * CHOOSE(CONTROL!$C$22, $C$13, 100%, $E$13)</f>
        <v>6.9067999999999996</v>
      </c>
      <c r="F384" s="64">
        <f>6.9068 * CHOOSE(CONTROL!$C$22, $C$13, 100%, $E$13)</f>
        <v>6.9067999999999996</v>
      </c>
      <c r="G384" s="64">
        <f>6.907 * CHOOSE(CONTROL!$C$22, $C$13, 100%, $E$13)</f>
        <v>6.907</v>
      </c>
      <c r="H384" s="64">
        <f>12.1231* CHOOSE(CONTROL!$C$22, $C$13, 100%, $E$13)</f>
        <v>12.123100000000001</v>
      </c>
      <c r="I384" s="64">
        <f>12.1233 * CHOOSE(CONTROL!$C$22, $C$13, 100%, $E$13)</f>
        <v>12.1233</v>
      </c>
      <c r="J384" s="64">
        <f>6.9068 * CHOOSE(CONTROL!$C$22, $C$13, 100%, $E$13)</f>
        <v>6.9067999999999996</v>
      </c>
      <c r="K384" s="64">
        <f>6.907 * CHOOSE(CONTROL!$C$22, $C$13, 100%, $E$13)</f>
        <v>6.907</v>
      </c>
    </row>
    <row r="385" spans="1:11" ht="15">
      <c r="A385" s="13">
        <v>53359</v>
      </c>
      <c r="B385" s="63">
        <f>5.9819 * CHOOSE(CONTROL!$C$22, $C$13, 100%, $E$13)</f>
        <v>5.9819000000000004</v>
      </c>
      <c r="C385" s="63">
        <f>5.9819 * CHOOSE(CONTROL!$C$22, $C$13, 100%, $E$13)</f>
        <v>5.9819000000000004</v>
      </c>
      <c r="D385" s="63">
        <f>5.9934 * CHOOSE(CONTROL!$C$22, $C$13, 100%, $E$13)</f>
        <v>5.9934000000000003</v>
      </c>
      <c r="E385" s="64">
        <f>6.8293 * CHOOSE(CONTROL!$C$22, $C$13, 100%, $E$13)</f>
        <v>6.8292999999999999</v>
      </c>
      <c r="F385" s="64">
        <f>6.8293 * CHOOSE(CONTROL!$C$22, $C$13, 100%, $E$13)</f>
        <v>6.8292999999999999</v>
      </c>
      <c r="G385" s="64">
        <f>6.8295 * CHOOSE(CONTROL!$C$22, $C$13, 100%, $E$13)</f>
        <v>6.8295000000000003</v>
      </c>
      <c r="H385" s="64">
        <f>12.1484* CHOOSE(CONTROL!$C$22, $C$13, 100%, $E$13)</f>
        <v>12.148400000000001</v>
      </c>
      <c r="I385" s="64">
        <f>12.1486 * CHOOSE(CONTROL!$C$22, $C$13, 100%, $E$13)</f>
        <v>12.1486</v>
      </c>
      <c r="J385" s="64">
        <f>6.8293 * CHOOSE(CONTROL!$C$22, $C$13, 100%, $E$13)</f>
        <v>6.8292999999999999</v>
      </c>
      <c r="K385" s="64">
        <f>6.8295 * CHOOSE(CONTROL!$C$22, $C$13, 100%, $E$13)</f>
        <v>6.8295000000000003</v>
      </c>
    </row>
    <row r="386" spans="1:11" ht="15">
      <c r="A386" s="13">
        <v>53387</v>
      </c>
      <c r="B386" s="63">
        <f>5.9788 * CHOOSE(CONTROL!$C$22, $C$13, 100%, $E$13)</f>
        <v>5.9787999999999997</v>
      </c>
      <c r="C386" s="63">
        <f>5.9788 * CHOOSE(CONTROL!$C$22, $C$13, 100%, $E$13)</f>
        <v>5.9787999999999997</v>
      </c>
      <c r="D386" s="63">
        <f>5.9904 * CHOOSE(CONTROL!$C$22, $C$13, 100%, $E$13)</f>
        <v>5.9904000000000002</v>
      </c>
      <c r="E386" s="64">
        <f>6.8866 * CHOOSE(CONTROL!$C$22, $C$13, 100%, $E$13)</f>
        <v>6.8865999999999996</v>
      </c>
      <c r="F386" s="64">
        <f>6.8866 * CHOOSE(CONTROL!$C$22, $C$13, 100%, $E$13)</f>
        <v>6.8865999999999996</v>
      </c>
      <c r="G386" s="64">
        <f>6.8868 * CHOOSE(CONTROL!$C$22, $C$13, 100%, $E$13)</f>
        <v>6.8868</v>
      </c>
      <c r="H386" s="64">
        <f>12.1737* CHOOSE(CONTROL!$C$22, $C$13, 100%, $E$13)</f>
        <v>12.1737</v>
      </c>
      <c r="I386" s="64">
        <f>12.1739 * CHOOSE(CONTROL!$C$22, $C$13, 100%, $E$13)</f>
        <v>12.1739</v>
      </c>
      <c r="J386" s="64">
        <f>6.8866 * CHOOSE(CONTROL!$C$22, $C$13, 100%, $E$13)</f>
        <v>6.8865999999999996</v>
      </c>
      <c r="K386" s="64">
        <f>6.8868 * CHOOSE(CONTROL!$C$22, $C$13, 100%, $E$13)</f>
        <v>6.8868</v>
      </c>
    </row>
    <row r="387" spans="1:11" ht="15">
      <c r="A387" s="13">
        <v>53418</v>
      </c>
      <c r="B387" s="63">
        <f>5.9783 * CHOOSE(CONTROL!$C$22, $C$13, 100%, $E$13)</f>
        <v>5.9782999999999999</v>
      </c>
      <c r="C387" s="63">
        <f>5.9783 * CHOOSE(CONTROL!$C$22, $C$13, 100%, $E$13)</f>
        <v>5.9782999999999999</v>
      </c>
      <c r="D387" s="63">
        <f>5.9898 * CHOOSE(CONTROL!$C$22, $C$13, 100%, $E$13)</f>
        <v>5.9897999999999998</v>
      </c>
      <c r="E387" s="64">
        <f>6.9463 * CHOOSE(CONTROL!$C$22, $C$13, 100%, $E$13)</f>
        <v>6.9462999999999999</v>
      </c>
      <c r="F387" s="64">
        <f>6.9463 * CHOOSE(CONTROL!$C$22, $C$13, 100%, $E$13)</f>
        <v>6.9462999999999999</v>
      </c>
      <c r="G387" s="64">
        <f>6.9464 * CHOOSE(CONTROL!$C$22, $C$13, 100%, $E$13)</f>
        <v>6.9463999999999997</v>
      </c>
      <c r="H387" s="64">
        <f>12.1991* CHOOSE(CONTROL!$C$22, $C$13, 100%, $E$13)</f>
        <v>12.1991</v>
      </c>
      <c r="I387" s="64">
        <f>12.1993 * CHOOSE(CONTROL!$C$22, $C$13, 100%, $E$13)</f>
        <v>12.199299999999999</v>
      </c>
      <c r="J387" s="64">
        <f>6.9463 * CHOOSE(CONTROL!$C$22, $C$13, 100%, $E$13)</f>
        <v>6.9462999999999999</v>
      </c>
      <c r="K387" s="64">
        <f>6.9464 * CHOOSE(CONTROL!$C$22, $C$13, 100%, $E$13)</f>
        <v>6.9463999999999997</v>
      </c>
    </row>
    <row r="388" spans="1:11" ht="15">
      <c r="A388" s="13">
        <v>53448</v>
      </c>
      <c r="B388" s="63">
        <f>5.9783 * CHOOSE(CONTROL!$C$22, $C$13, 100%, $E$13)</f>
        <v>5.9782999999999999</v>
      </c>
      <c r="C388" s="63">
        <f>5.9783 * CHOOSE(CONTROL!$C$22, $C$13, 100%, $E$13)</f>
        <v>5.9782999999999999</v>
      </c>
      <c r="D388" s="63">
        <f>6.0014 * CHOOSE(CONTROL!$C$22, $C$13, 100%, $E$13)</f>
        <v>6.0014000000000003</v>
      </c>
      <c r="E388" s="64">
        <f>6.9702 * CHOOSE(CONTROL!$C$22, $C$13, 100%, $E$13)</f>
        <v>6.9702000000000002</v>
      </c>
      <c r="F388" s="64">
        <f>6.9702 * CHOOSE(CONTROL!$C$22, $C$13, 100%, $E$13)</f>
        <v>6.9702000000000002</v>
      </c>
      <c r="G388" s="64">
        <f>6.9717 * CHOOSE(CONTROL!$C$22, $C$13, 100%, $E$13)</f>
        <v>6.9717000000000002</v>
      </c>
      <c r="H388" s="64">
        <f>12.2245* CHOOSE(CONTROL!$C$22, $C$13, 100%, $E$13)</f>
        <v>12.224500000000001</v>
      </c>
      <c r="I388" s="64">
        <f>12.226 * CHOOSE(CONTROL!$C$22, $C$13, 100%, $E$13)</f>
        <v>12.226000000000001</v>
      </c>
      <c r="J388" s="64">
        <f>6.9702 * CHOOSE(CONTROL!$C$22, $C$13, 100%, $E$13)</f>
        <v>6.9702000000000002</v>
      </c>
      <c r="K388" s="64">
        <f>6.9717 * CHOOSE(CONTROL!$C$22, $C$13, 100%, $E$13)</f>
        <v>6.9717000000000002</v>
      </c>
    </row>
    <row r="389" spans="1:11" ht="15">
      <c r="A389" s="13">
        <v>53479</v>
      </c>
      <c r="B389" s="63">
        <f>5.9843 * CHOOSE(CONTROL!$C$22, $C$13, 100%, $E$13)</f>
        <v>5.9843000000000002</v>
      </c>
      <c r="C389" s="63">
        <f>5.9843 * CHOOSE(CONTROL!$C$22, $C$13, 100%, $E$13)</f>
        <v>5.9843000000000002</v>
      </c>
      <c r="D389" s="63">
        <f>6.0074 * CHOOSE(CONTROL!$C$22, $C$13, 100%, $E$13)</f>
        <v>6.0073999999999996</v>
      </c>
      <c r="E389" s="64">
        <f>6.9505 * CHOOSE(CONTROL!$C$22, $C$13, 100%, $E$13)</f>
        <v>6.9504999999999999</v>
      </c>
      <c r="F389" s="64">
        <f>6.9505 * CHOOSE(CONTROL!$C$22, $C$13, 100%, $E$13)</f>
        <v>6.9504999999999999</v>
      </c>
      <c r="G389" s="64">
        <f>6.952 * CHOOSE(CONTROL!$C$22, $C$13, 100%, $E$13)</f>
        <v>6.952</v>
      </c>
      <c r="H389" s="64">
        <f>12.25* CHOOSE(CONTROL!$C$22, $C$13, 100%, $E$13)</f>
        <v>12.25</v>
      </c>
      <c r="I389" s="64">
        <f>12.2514 * CHOOSE(CONTROL!$C$22, $C$13, 100%, $E$13)</f>
        <v>12.2514</v>
      </c>
      <c r="J389" s="64">
        <f>6.9505 * CHOOSE(CONTROL!$C$22, $C$13, 100%, $E$13)</f>
        <v>6.9504999999999999</v>
      </c>
      <c r="K389" s="64">
        <f>6.952 * CHOOSE(CONTROL!$C$22, $C$13, 100%, $E$13)</f>
        <v>6.952</v>
      </c>
    </row>
    <row r="390" spans="1:11" ht="15">
      <c r="A390" s="13">
        <v>53509</v>
      </c>
      <c r="B390" s="63">
        <f>6.084 * CHOOSE(CONTROL!$C$22, $C$13, 100%, $E$13)</f>
        <v>6.0839999999999996</v>
      </c>
      <c r="C390" s="63">
        <f>6.084 * CHOOSE(CONTROL!$C$22, $C$13, 100%, $E$13)</f>
        <v>6.0839999999999996</v>
      </c>
      <c r="D390" s="63">
        <f>6.1071 * CHOOSE(CONTROL!$C$22, $C$13, 100%, $E$13)</f>
        <v>6.1071</v>
      </c>
      <c r="E390" s="64">
        <f>7.0886 * CHOOSE(CONTROL!$C$22, $C$13, 100%, $E$13)</f>
        <v>7.0885999999999996</v>
      </c>
      <c r="F390" s="64">
        <f>7.0886 * CHOOSE(CONTROL!$C$22, $C$13, 100%, $E$13)</f>
        <v>7.0885999999999996</v>
      </c>
      <c r="G390" s="64">
        <f>7.0901 * CHOOSE(CONTROL!$C$22, $C$13, 100%, $E$13)</f>
        <v>7.0900999999999996</v>
      </c>
      <c r="H390" s="64">
        <f>12.2755* CHOOSE(CONTROL!$C$22, $C$13, 100%, $E$13)</f>
        <v>12.275499999999999</v>
      </c>
      <c r="I390" s="64">
        <f>12.277 * CHOOSE(CONTROL!$C$22, $C$13, 100%, $E$13)</f>
        <v>12.276999999999999</v>
      </c>
      <c r="J390" s="64">
        <f>7.0886 * CHOOSE(CONTROL!$C$22, $C$13, 100%, $E$13)</f>
        <v>7.0885999999999996</v>
      </c>
      <c r="K390" s="64">
        <f>7.0901 * CHOOSE(CONTROL!$C$22, $C$13, 100%, $E$13)</f>
        <v>7.0900999999999996</v>
      </c>
    </row>
    <row r="391" spans="1:11" ht="15">
      <c r="A391" s="13">
        <v>53540</v>
      </c>
      <c r="B391" s="63">
        <f>6.0907 * CHOOSE(CONTROL!$C$22, $C$13, 100%, $E$13)</f>
        <v>6.0907</v>
      </c>
      <c r="C391" s="63">
        <f>6.0907 * CHOOSE(CONTROL!$C$22, $C$13, 100%, $E$13)</f>
        <v>6.0907</v>
      </c>
      <c r="D391" s="63">
        <f>6.1138 * CHOOSE(CONTROL!$C$22, $C$13, 100%, $E$13)</f>
        <v>6.1138000000000003</v>
      </c>
      <c r="E391" s="64">
        <f>7.0214 * CHOOSE(CONTROL!$C$22, $C$13, 100%, $E$13)</f>
        <v>7.0213999999999999</v>
      </c>
      <c r="F391" s="64">
        <f>7.0214 * CHOOSE(CONTROL!$C$22, $C$13, 100%, $E$13)</f>
        <v>7.0213999999999999</v>
      </c>
      <c r="G391" s="64">
        <f>7.0229 * CHOOSE(CONTROL!$C$22, $C$13, 100%, $E$13)</f>
        <v>7.0228999999999999</v>
      </c>
      <c r="H391" s="64">
        <f>12.3011* CHOOSE(CONTROL!$C$22, $C$13, 100%, $E$13)</f>
        <v>12.3011</v>
      </c>
      <c r="I391" s="64">
        <f>12.3025 * CHOOSE(CONTROL!$C$22, $C$13, 100%, $E$13)</f>
        <v>12.3025</v>
      </c>
      <c r="J391" s="64">
        <f>7.0214 * CHOOSE(CONTROL!$C$22, $C$13, 100%, $E$13)</f>
        <v>7.0213999999999999</v>
      </c>
      <c r="K391" s="64">
        <f>7.0229 * CHOOSE(CONTROL!$C$22, $C$13, 100%, $E$13)</f>
        <v>7.0228999999999999</v>
      </c>
    </row>
    <row r="392" spans="1:11" ht="15">
      <c r="A392" s="13">
        <v>53571</v>
      </c>
      <c r="B392" s="63">
        <f>6.0877 * CHOOSE(CONTROL!$C$22, $C$13, 100%, $E$13)</f>
        <v>6.0876999999999999</v>
      </c>
      <c r="C392" s="63">
        <f>6.0877 * CHOOSE(CONTROL!$C$22, $C$13, 100%, $E$13)</f>
        <v>6.0876999999999999</v>
      </c>
      <c r="D392" s="63">
        <f>6.1108 * CHOOSE(CONTROL!$C$22, $C$13, 100%, $E$13)</f>
        <v>6.1108000000000002</v>
      </c>
      <c r="E392" s="64">
        <f>7.0113 * CHOOSE(CONTROL!$C$22, $C$13, 100%, $E$13)</f>
        <v>7.0113000000000003</v>
      </c>
      <c r="F392" s="64">
        <f>7.0113 * CHOOSE(CONTROL!$C$22, $C$13, 100%, $E$13)</f>
        <v>7.0113000000000003</v>
      </c>
      <c r="G392" s="64">
        <f>7.0128 * CHOOSE(CONTROL!$C$22, $C$13, 100%, $E$13)</f>
        <v>7.0128000000000004</v>
      </c>
      <c r="H392" s="64">
        <f>12.3267* CHOOSE(CONTROL!$C$22, $C$13, 100%, $E$13)</f>
        <v>12.326700000000001</v>
      </c>
      <c r="I392" s="64">
        <f>12.3282 * CHOOSE(CONTROL!$C$22, $C$13, 100%, $E$13)</f>
        <v>12.328200000000001</v>
      </c>
      <c r="J392" s="64">
        <f>7.0113 * CHOOSE(CONTROL!$C$22, $C$13, 100%, $E$13)</f>
        <v>7.0113000000000003</v>
      </c>
      <c r="K392" s="64">
        <f>7.0128 * CHOOSE(CONTROL!$C$22, $C$13, 100%, $E$13)</f>
        <v>7.0128000000000004</v>
      </c>
    </row>
    <row r="393" spans="1:11" ht="15">
      <c r="A393" s="13">
        <v>53601</v>
      </c>
      <c r="B393" s="63">
        <f>6.0899 * CHOOSE(CONTROL!$C$22, $C$13, 100%, $E$13)</f>
        <v>6.0899000000000001</v>
      </c>
      <c r="C393" s="63">
        <f>6.0899 * CHOOSE(CONTROL!$C$22, $C$13, 100%, $E$13)</f>
        <v>6.0899000000000001</v>
      </c>
      <c r="D393" s="63">
        <f>6.1015 * CHOOSE(CONTROL!$C$22, $C$13, 100%, $E$13)</f>
        <v>6.1014999999999997</v>
      </c>
      <c r="E393" s="64">
        <f>7.0298 * CHOOSE(CONTROL!$C$22, $C$13, 100%, $E$13)</f>
        <v>7.0297999999999998</v>
      </c>
      <c r="F393" s="64">
        <f>7.0298 * CHOOSE(CONTROL!$C$22, $C$13, 100%, $E$13)</f>
        <v>7.0297999999999998</v>
      </c>
      <c r="G393" s="64">
        <f>7.03 * CHOOSE(CONTROL!$C$22, $C$13, 100%, $E$13)</f>
        <v>7.03</v>
      </c>
      <c r="H393" s="64">
        <f>12.3524* CHOOSE(CONTROL!$C$22, $C$13, 100%, $E$13)</f>
        <v>12.352399999999999</v>
      </c>
      <c r="I393" s="64">
        <f>12.3525 * CHOOSE(CONTROL!$C$22, $C$13, 100%, $E$13)</f>
        <v>12.352499999999999</v>
      </c>
      <c r="J393" s="64">
        <f>7.0298 * CHOOSE(CONTROL!$C$22, $C$13, 100%, $E$13)</f>
        <v>7.0297999999999998</v>
      </c>
      <c r="K393" s="64">
        <f>7.03 * CHOOSE(CONTROL!$C$22, $C$13, 100%, $E$13)</f>
        <v>7.03</v>
      </c>
    </row>
    <row r="394" spans="1:11" ht="15">
      <c r="A394" s="13">
        <v>53632</v>
      </c>
      <c r="B394" s="63">
        <f>6.093 * CHOOSE(CONTROL!$C$22, $C$13, 100%, $E$13)</f>
        <v>6.093</v>
      </c>
      <c r="C394" s="63">
        <f>6.093 * CHOOSE(CONTROL!$C$22, $C$13, 100%, $E$13)</f>
        <v>6.093</v>
      </c>
      <c r="D394" s="63">
        <f>6.1045 * CHOOSE(CONTROL!$C$22, $C$13, 100%, $E$13)</f>
        <v>6.1044999999999998</v>
      </c>
      <c r="E394" s="64">
        <f>7.0479 * CHOOSE(CONTROL!$C$22, $C$13, 100%, $E$13)</f>
        <v>7.0479000000000003</v>
      </c>
      <c r="F394" s="64">
        <f>7.0479 * CHOOSE(CONTROL!$C$22, $C$13, 100%, $E$13)</f>
        <v>7.0479000000000003</v>
      </c>
      <c r="G394" s="64">
        <f>7.0481 * CHOOSE(CONTROL!$C$22, $C$13, 100%, $E$13)</f>
        <v>7.0480999999999998</v>
      </c>
      <c r="H394" s="64">
        <f>12.3781* CHOOSE(CONTROL!$C$22, $C$13, 100%, $E$13)</f>
        <v>12.3781</v>
      </c>
      <c r="I394" s="64">
        <f>12.3783 * CHOOSE(CONTROL!$C$22, $C$13, 100%, $E$13)</f>
        <v>12.378299999999999</v>
      </c>
      <c r="J394" s="64">
        <f>7.0479 * CHOOSE(CONTROL!$C$22, $C$13, 100%, $E$13)</f>
        <v>7.0479000000000003</v>
      </c>
      <c r="K394" s="64">
        <f>7.0481 * CHOOSE(CONTROL!$C$22, $C$13, 100%, $E$13)</f>
        <v>7.0480999999999998</v>
      </c>
    </row>
    <row r="395" spans="1:11" ht="15">
      <c r="A395" s="13">
        <v>53662</v>
      </c>
      <c r="B395" s="63">
        <f>6.093 * CHOOSE(CONTROL!$C$22, $C$13, 100%, $E$13)</f>
        <v>6.093</v>
      </c>
      <c r="C395" s="63">
        <f>6.093 * CHOOSE(CONTROL!$C$22, $C$13, 100%, $E$13)</f>
        <v>6.093</v>
      </c>
      <c r="D395" s="63">
        <f>6.1045 * CHOOSE(CONTROL!$C$22, $C$13, 100%, $E$13)</f>
        <v>6.1044999999999998</v>
      </c>
      <c r="E395" s="64">
        <f>7.008 * CHOOSE(CONTROL!$C$22, $C$13, 100%, $E$13)</f>
        <v>7.008</v>
      </c>
      <c r="F395" s="64">
        <f>7.008 * CHOOSE(CONTROL!$C$22, $C$13, 100%, $E$13)</f>
        <v>7.008</v>
      </c>
      <c r="G395" s="64">
        <f>7.0082 * CHOOSE(CONTROL!$C$22, $C$13, 100%, $E$13)</f>
        <v>7.0082000000000004</v>
      </c>
      <c r="H395" s="64">
        <f>12.4039* CHOOSE(CONTROL!$C$22, $C$13, 100%, $E$13)</f>
        <v>12.4039</v>
      </c>
      <c r="I395" s="64">
        <f>12.4041 * CHOOSE(CONTROL!$C$22, $C$13, 100%, $E$13)</f>
        <v>12.4041</v>
      </c>
      <c r="J395" s="64">
        <f>7.008 * CHOOSE(CONTROL!$C$22, $C$13, 100%, $E$13)</f>
        <v>7.008</v>
      </c>
      <c r="K395" s="64">
        <f>7.0082 * CHOOSE(CONTROL!$C$22, $C$13, 100%, $E$13)</f>
        <v>7.0082000000000004</v>
      </c>
    </row>
    <row r="396" spans="1:11" ht="15">
      <c r="A396" s="13">
        <v>53693</v>
      </c>
      <c r="B396" s="63">
        <f>6.148 * CHOOSE(CONTROL!$C$22, $C$13, 100%, $E$13)</f>
        <v>6.1479999999999997</v>
      </c>
      <c r="C396" s="63">
        <f>6.148 * CHOOSE(CONTROL!$C$22, $C$13, 100%, $E$13)</f>
        <v>6.1479999999999997</v>
      </c>
      <c r="D396" s="63">
        <f>6.1596 * CHOOSE(CONTROL!$C$22, $C$13, 100%, $E$13)</f>
        <v>6.1596000000000002</v>
      </c>
      <c r="E396" s="64">
        <f>7.1001 * CHOOSE(CONTROL!$C$22, $C$13, 100%, $E$13)</f>
        <v>7.1001000000000003</v>
      </c>
      <c r="F396" s="64">
        <f>7.1001 * CHOOSE(CONTROL!$C$22, $C$13, 100%, $E$13)</f>
        <v>7.1001000000000003</v>
      </c>
      <c r="G396" s="64">
        <f>7.1003 * CHOOSE(CONTROL!$C$22, $C$13, 100%, $E$13)</f>
        <v>7.1002999999999998</v>
      </c>
      <c r="H396" s="64">
        <f>12.4297* CHOOSE(CONTROL!$C$22, $C$13, 100%, $E$13)</f>
        <v>12.4297</v>
      </c>
      <c r="I396" s="64">
        <f>12.4299 * CHOOSE(CONTROL!$C$22, $C$13, 100%, $E$13)</f>
        <v>12.4299</v>
      </c>
      <c r="J396" s="64">
        <f>7.1001 * CHOOSE(CONTROL!$C$22, $C$13, 100%, $E$13)</f>
        <v>7.1001000000000003</v>
      </c>
      <c r="K396" s="64">
        <f>7.1003 * CHOOSE(CONTROL!$C$22, $C$13, 100%, $E$13)</f>
        <v>7.1002999999999998</v>
      </c>
    </row>
    <row r="397" spans="1:11" ht="15">
      <c r="A397" s="13">
        <v>53724</v>
      </c>
      <c r="B397" s="63">
        <f>6.145 * CHOOSE(CONTROL!$C$22, $C$13, 100%, $E$13)</f>
        <v>6.1449999999999996</v>
      </c>
      <c r="C397" s="63">
        <f>6.145 * CHOOSE(CONTROL!$C$22, $C$13, 100%, $E$13)</f>
        <v>6.1449999999999996</v>
      </c>
      <c r="D397" s="63">
        <f>6.1565 * CHOOSE(CONTROL!$C$22, $C$13, 100%, $E$13)</f>
        <v>6.1565000000000003</v>
      </c>
      <c r="E397" s="64">
        <f>7.0205 * CHOOSE(CONTROL!$C$22, $C$13, 100%, $E$13)</f>
        <v>7.0205000000000002</v>
      </c>
      <c r="F397" s="64">
        <f>7.0205 * CHOOSE(CONTROL!$C$22, $C$13, 100%, $E$13)</f>
        <v>7.0205000000000002</v>
      </c>
      <c r="G397" s="64">
        <f>7.0206 * CHOOSE(CONTROL!$C$22, $C$13, 100%, $E$13)</f>
        <v>7.0206</v>
      </c>
      <c r="H397" s="64">
        <f>12.4556* CHOOSE(CONTROL!$C$22, $C$13, 100%, $E$13)</f>
        <v>12.4556</v>
      </c>
      <c r="I397" s="64">
        <f>12.4558 * CHOOSE(CONTROL!$C$22, $C$13, 100%, $E$13)</f>
        <v>12.4558</v>
      </c>
      <c r="J397" s="64">
        <f>7.0205 * CHOOSE(CONTROL!$C$22, $C$13, 100%, $E$13)</f>
        <v>7.0205000000000002</v>
      </c>
      <c r="K397" s="64">
        <f>7.0206 * CHOOSE(CONTROL!$C$22, $C$13, 100%, $E$13)</f>
        <v>7.0206</v>
      </c>
    </row>
    <row r="398" spans="1:11" ht="15">
      <c r="A398" s="13">
        <v>53752</v>
      </c>
      <c r="B398" s="63">
        <f>6.1419 * CHOOSE(CONTROL!$C$22, $C$13, 100%, $E$13)</f>
        <v>6.1418999999999997</v>
      </c>
      <c r="C398" s="63">
        <f>6.1419 * CHOOSE(CONTROL!$C$22, $C$13, 100%, $E$13)</f>
        <v>6.1418999999999997</v>
      </c>
      <c r="D398" s="63">
        <f>6.1535 * CHOOSE(CONTROL!$C$22, $C$13, 100%, $E$13)</f>
        <v>6.1535000000000002</v>
      </c>
      <c r="E398" s="64">
        <f>7.0795 * CHOOSE(CONTROL!$C$22, $C$13, 100%, $E$13)</f>
        <v>7.0795000000000003</v>
      </c>
      <c r="F398" s="64">
        <f>7.0795 * CHOOSE(CONTROL!$C$22, $C$13, 100%, $E$13)</f>
        <v>7.0795000000000003</v>
      </c>
      <c r="G398" s="64">
        <f>7.0797 * CHOOSE(CONTROL!$C$22, $C$13, 100%, $E$13)</f>
        <v>7.0796999999999999</v>
      </c>
      <c r="H398" s="64">
        <f>12.4816* CHOOSE(CONTROL!$C$22, $C$13, 100%, $E$13)</f>
        <v>12.4816</v>
      </c>
      <c r="I398" s="64">
        <f>12.4817 * CHOOSE(CONTROL!$C$22, $C$13, 100%, $E$13)</f>
        <v>12.4817</v>
      </c>
      <c r="J398" s="64">
        <f>7.0795 * CHOOSE(CONTROL!$C$22, $C$13, 100%, $E$13)</f>
        <v>7.0795000000000003</v>
      </c>
      <c r="K398" s="64">
        <f>7.0797 * CHOOSE(CONTROL!$C$22, $C$13, 100%, $E$13)</f>
        <v>7.0796999999999999</v>
      </c>
    </row>
    <row r="399" spans="1:11" ht="15">
      <c r="A399" s="13">
        <v>53783</v>
      </c>
      <c r="B399" s="63">
        <f>6.1415 * CHOOSE(CONTROL!$C$22, $C$13, 100%, $E$13)</f>
        <v>6.1414999999999997</v>
      </c>
      <c r="C399" s="63">
        <f>6.1415 * CHOOSE(CONTROL!$C$22, $C$13, 100%, $E$13)</f>
        <v>6.1414999999999997</v>
      </c>
      <c r="D399" s="63">
        <f>6.1531 * CHOOSE(CONTROL!$C$22, $C$13, 100%, $E$13)</f>
        <v>6.1531000000000002</v>
      </c>
      <c r="E399" s="64">
        <f>7.1409 * CHOOSE(CONTROL!$C$22, $C$13, 100%, $E$13)</f>
        <v>7.1409000000000002</v>
      </c>
      <c r="F399" s="64">
        <f>7.1409 * CHOOSE(CONTROL!$C$22, $C$13, 100%, $E$13)</f>
        <v>7.1409000000000002</v>
      </c>
      <c r="G399" s="64">
        <f>7.1411 * CHOOSE(CONTROL!$C$22, $C$13, 100%, $E$13)</f>
        <v>7.1410999999999998</v>
      </c>
      <c r="H399" s="64">
        <f>12.5076* CHOOSE(CONTROL!$C$22, $C$13, 100%, $E$13)</f>
        <v>12.5076</v>
      </c>
      <c r="I399" s="64">
        <f>12.5078 * CHOOSE(CONTROL!$C$22, $C$13, 100%, $E$13)</f>
        <v>12.5078</v>
      </c>
      <c r="J399" s="64">
        <f>7.1409 * CHOOSE(CONTROL!$C$22, $C$13, 100%, $E$13)</f>
        <v>7.1409000000000002</v>
      </c>
      <c r="K399" s="64">
        <f>7.1411 * CHOOSE(CONTROL!$C$22, $C$13, 100%, $E$13)</f>
        <v>7.1410999999999998</v>
      </c>
    </row>
    <row r="400" spans="1:11" ht="15">
      <c r="A400" s="13">
        <v>53813</v>
      </c>
      <c r="B400" s="63">
        <f>6.1415 * CHOOSE(CONTROL!$C$22, $C$13, 100%, $E$13)</f>
        <v>6.1414999999999997</v>
      </c>
      <c r="C400" s="63">
        <f>6.1415 * CHOOSE(CONTROL!$C$22, $C$13, 100%, $E$13)</f>
        <v>6.1414999999999997</v>
      </c>
      <c r="D400" s="63">
        <f>6.1646 * CHOOSE(CONTROL!$C$22, $C$13, 100%, $E$13)</f>
        <v>6.1646000000000001</v>
      </c>
      <c r="E400" s="64">
        <f>7.1655 * CHOOSE(CONTROL!$C$22, $C$13, 100%, $E$13)</f>
        <v>7.1654999999999998</v>
      </c>
      <c r="F400" s="64">
        <f>7.1655 * CHOOSE(CONTROL!$C$22, $C$13, 100%, $E$13)</f>
        <v>7.1654999999999998</v>
      </c>
      <c r="G400" s="64">
        <f>7.167 * CHOOSE(CONTROL!$C$22, $C$13, 100%, $E$13)</f>
        <v>7.1669999999999998</v>
      </c>
      <c r="H400" s="64">
        <f>12.5336* CHOOSE(CONTROL!$C$22, $C$13, 100%, $E$13)</f>
        <v>12.5336</v>
      </c>
      <c r="I400" s="64">
        <f>12.5351 * CHOOSE(CONTROL!$C$22, $C$13, 100%, $E$13)</f>
        <v>12.5351</v>
      </c>
      <c r="J400" s="64">
        <f>7.1655 * CHOOSE(CONTROL!$C$22, $C$13, 100%, $E$13)</f>
        <v>7.1654999999999998</v>
      </c>
      <c r="K400" s="64">
        <f>7.167 * CHOOSE(CONTROL!$C$22, $C$13, 100%, $E$13)</f>
        <v>7.1669999999999998</v>
      </c>
    </row>
    <row r="401" spans="1:11" ht="15">
      <c r="A401" s="13">
        <v>53844</v>
      </c>
      <c r="B401" s="63">
        <f>6.1476 * CHOOSE(CONTROL!$C$22, $C$13, 100%, $E$13)</f>
        <v>6.1475999999999997</v>
      </c>
      <c r="C401" s="63">
        <f>6.1476 * CHOOSE(CONTROL!$C$22, $C$13, 100%, $E$13)</f>
        <v>6.1475999999999997</v>
      </c>
      <c r="D401" s="63">
        <f>6.1707 * CHOOSE(CONTROL!$C$22, $C$13, 100%, $E$13)</f>
        <v>6.1707000000000001</v>
      </c>
      <c r="E401" s="64">
        <f>7.1451 * CHOOSE(CONTROL!$C$22, $C$13, 100%, $E$13)</f>
        <v>7.1451000000000002</v>
      </c>
      <c r="F401" s="64">
        <f>7.1451 * CHOOSE(CONTROL!$C$22, $C$13, 100%, $E$13)</f>
        <v>7.1451000000000002</v>
      </c>
      <c r="G401" s="64">
        <f>7.1466 * CHOOSE(CONTROL!$C$22, $C$13, 100%, $E$13)</f>
        <v>7.1466000000000003</v>
      </c>
      <c r="H401" s="64">
        <f>12.5597* CHOOSE(CONTROL!$C$22, $C$13, 100%, $E$13)</f>
        <v>12.559699999999999</v>
      </c>
      <c r="I401" s="64">
        <f>12.5612 * CHOOSE(CONTROL!$C$22, $C$13, 100%, $E$13)</f>
        <v>12.561199999999999</v>
      </c>
      <c r="J401" s="64">
        <f>7.1451 * CHOOSE(CONTROL!$C$22, $C$13, 100%, $E$13)</f>
        <v>7.1451000000000002</v>
      </c>
      <c r="K401" s="64">
        <f>7.1466 * CHOOSE(CONTROL!$C$22, $C$13, 100%, $E$13)</f>
        <v>7.1466000000000003</v>
      </c>
    </row>
    <row r="402" spans="1:11" ht="15">
      <c r="A402" s="13">
        <v>53874</v>
      </c>
      <c r="B402" s="63">
        <f>6.2497 * CHOOSE(CONTROL!$C$22, $C$13, 100%, $E$13)</f>
        <v>6.2496999999999998</v>
      </c>
      <c r="C402" s="63">
        <f>6.2497 * CHOOSE(CONTROL!$C$22, $C$13, 100%, $E$13)</f>
        <v>6.2496999999999998</v>
      </c>
      <c r="D402" s="63">
        <f>6.2728 * CHOOSE(CONTROL!$C$22, $C$13, 100%, $E$13)</f>
        <v>6.2728000000000002</v>
      </c>
      <c r="E402" s="64">
        <f>7.2868 * CHOOSE(CONTROL!$C$22, $C$13, 100%, $E$13)</f>
        <v>7.2868000000000004</v>
      </c>
      <c r="F402" s="64">
        <f>7.2868 * CHOOSE(CONTROL!$C$22, $C$13, 100%, $E$13)</f>
        <v>7.2868000000000004</v>
      </c>
      <c r="G402" s="64">
        <f>7.2883 * CHOOSE(CONTROL!$C$22, $C$13, 100%, $E$13)</f>
        <v>7.2882999999999996</v>
      </c>
      <c r="H402" s="64">
        <f>12.5859* CHOOSE(CONTROL!$C$22, $C$13, 100%, $E$13)</f>
        <v>12.585900000000001</v>
      </c>
      <c r="I402" s="64">
        <f>12.5874 * CHOOSE(CONTROL!$C$22, $C$13, 100%, $E$13)</f>
        <v>12.587400000000001</v>
      </c>
      <c r="J402" s="64">
        <f>7.2868 * CHOOSE(CONTROL!$C$22, $C$13, 100%, $E$13)</f>
        <v>7.2868000000000004</v>
      </c>
      <c r="K402" s="64">
        <f>7.2883 * CHOOSE(CONTROL!$C$22, $C$13, 100%, $E$13)</f>
        <v>7.2882999999999996</v>
      </c>
    </row>
    <row r="403" spans="1:11" ht="15">
      <c r="A403" s="13">
        <v>53905</v>
      </c>
      <c r="B403" s="63">
        <f>6.2564 * CHOOSE(CONTROL!$C$22, $C$13, 100%, $E$13)</f>
        <v>6.2564000000000002</v>
      </c>
      <c r="C403" s="63">
        <f>6.2564 * CHOOSE(CONTROL!$C$22, $C$13, 100%, $E$13)</f>
        <v>6.2564000000000002</v>
      </c>
      <c r="D403" s="63">
        <f>6.2795 * CHOOSE(CONTROL!$C$22, $C$13, 100%, $E$13)</f>
        <v>6.2794999999999996</v>
      </c>
      <c r="E403" s="64">
        <f>7.2176 * CHOOSE(CONTROL!$C$22, $C$13, 100%, $E$13)</f>
        <v>7.2176</v>
      </c>
      <c r="F403" s="64">
        <f>7.2176 * CHOOSE(CONTROL!$C$22, $C$13, 100%, $E$13)</f>
        <v>7.2176</v>
      </c>
      <c r="G403" s="64">
        <f>7.2191 * CHOOSE(CONTROL!$C$22, $C$13, 100%, $E$13)</f>
        <v>7.2191000000000001</v>
      </c>
      <c r="H403" s="64">
        <f>12.6121* CHOOSE(CONTROL!$C$22, $C$13, 100%, $E$13)</f>
        <v>12.6121</v>
      </c>
      <c r="I403" s="64">
        <f>12.6136 * CHOOSE(CONTROL!$C$22, $C$13, 100%, $E$13)</f>
        <v>12.6136</v>
      </c>
      <c r="J403" s="64">
        <f>7.2176 * CHOOSE(CONTROL!$C$22, $C$13, 100%, $E$13)</f>
        <v>7.2176</v>
      </c>
      <c r="K403" s="64">
        <f>7.2191 * CHOOSE(CONTROL!$C$22, $C$13, 100%, $E$13)</f>
        <v>7.2191000000000001</v>
      </c>
    </row>
    <row r="404" spans="1:11" ht="15">
      <c r="A404" s="13">
        <v>53936</v>
      </c>
      <c r="B404" s="63">
        <f>6.2534 * CHOOSE(CONTROL!$C$22, $C$13, 100%, $E$13)</f>
        <v>6.2534000000000001</v>
      </c>
      <c r="C404" s="63">
        <f>6.2534 * CHOOSE(CONTROL!$C$22, $C$13, 100%, $E$13)</f>
        <v>6.2534000000000001</v>
      </c>
      <c r="D404" s="63">
        <f>6.2765 * CHOOSE(CONTROL!$C$22, $C$13, 100%, $E$13)</f>
        <v>6.2765000000000004</v>
      </c>
      <c r="E404" s="64">
        <f>7.2073 * CHOOSE(CONTROL!$C$22, $C$13, 100%, $E$13)</f>
        <v>7.2073</v>
      </c>
      <c r="F404" s="64">
        <f>7.2073 * CHOOSE(CONTROL!$C$22, $C$13, 100%, $E$13)</f>
        <v>7.2073</v>
      </c>
      <c r="G404" s="64">
        <f>7.2088 * CHOOSE(CONTROL!$C$22, $C$13, 100%, $E$13)</f>
        <v>7.2088000000000001</v>
      </c>
      <c r="H404" s="64">
        <f>12.6384* CHOOSE(CONTROL!$C$22, $C$13, 100%, $E$13)</f>
        <v>12.638400000000001</v>
      </c>
      <c r="I404" s="64">
        <f>12.6399 * CHOOSE(CONTROL!$C$22, $C$13, 100%, $E$13)</f>
        <v>12.639900000000001</v>
      </c>
      <c r="J404" s="64">
        <f>7.2073 * CHOOSE(CONTROL!$C$22, $C$13, 100%, $E$13)</f>
        <v>7.2073</v>
      </c>
      <c r="K404" s="64">
        <f>7.2088 * CHOOSE(CONTROL!$C$22, $C$13, 100%, $E$13)</f>
        <v>7.2088000000000001</v>
      </c>
    </row>
    <row r="405" spans="1:11" ht="15">
      <c r="A405" s="13">
        <v>53966</v>
      </c>
      <c r="B405" s="63">
        <f>6.2562 * CHOOSE(CONTROL!$C$22, $C$13, 100%, $E$13)</f>
        <v>6.2561999999999998</v>
      </c>
      <c r="C405" s="63">
        <f>6.2562 * CHOOSE(CONTROL!$C$22, $C$13, 100%, $E$13)</f>
        <v>6.2561999999999998</v>
      </c>
      <c r="D405" s="63">
        <f>6.2677 * CHOOSE(CONTROL!$C$22, $C$13, 100%, $E$13)</f>
        <v>6.2676999999999996</v>
      </c>
      <c r="E405" s="64">
        <f>7.2267 * CHOOSE(CONTROL!$C$22, $C$13, 100%, $E$13)</f>
        <v>7.2267000000000001</v>
      </c>
      <c r="F405" s="64">
        <f>7.2267 * CHOOSE(CONTROL!$C$22, $C$13, 100%, $E$13)</f>
        <v>7.2267000000000001</v>
      </c>
      <c r="G405" s="64">
        <f>7.2269 * CHOOSE(CONTROL!$C$22, $C$13, 100%, $E$13)</f>
        <v>7.2268999999999997</v>
      </c>
      <c r="H405" s="64">
        <f>12.6647* CHOOSE(CONTROL!$C$22, $C$13, 100%, $E$13)</f>
        <v>12.6647</v>
      </c>
      <c r="I405" s="64">
        <f>12.6649 * CHOOSE(CONTROL!$C$22, $C$13, 100%, $E$13)</f>
        <v>12.664899999999999</v>
      </c>
      <c r="J405" s="64">
        <f>7.2267 * CHOOSE(CONTROL!$C$22, $C$13, 100%, $E$13)</f>
        <v>7.2267000000000001</v>
      </c>
      <c r="K405" s="64">
        <f>7.2269 * CHOOSE(CONTROL!$C$22, $C$13, 100%, $E$13)</f>
        <v>7.2268999999999997</v>
      </c>
    </row>
    <row r="406" spans="1:11" ht="15">
      <c r="A406" s="13">
        <v>53997</v>
      </c>
      <c r="B406" s="63">
        <f>6.2592 * CHOOSE(CONTROL!$C$22, $C$13, 100%, $E$13)</f>
        <v>6.2591999999999999</v>
      </c>
      <c r="C406" s="63">
        <f>6.2592 * CHOOSE(CONTROL!$C$22, $C$13, 100%, $E$13)</f>
        <v>6.2591999999999999</v>
      </c>
      <c r="D406" s="63">
        <f>6.2708 * CHOOSE(CONTROL!$C$22, $C$13, 100%, $E$13)</f>
        <v>6.2708000000000004</v>
      </c>
      <c r="E406" s="64">
        <f>7.2452 * CHOOSE(CONTROL!$C$22, $C$13, 100%, $E$13)</f>
        <v>7.2451999999999996</v>
      </c>
      <c r="F406" s="64">
        <f>7.2452 * CHOOSE(CONTROL!$C$22, $C$13, 100%, $E$13)</f>
        <v>7.2451999999999996</v>
      </c>
      <c r="G406" s="64">
        <f>7.2454 * CHOOSE(CONTROL!$C$22, $C$13, 100%, $E$13)</f>
        <v>7.2454000000000001</v>
      </c>
      <c r="H406" s="64">
        <f>12.6911* CHOOSE(CONTROL!$C$22, $C$13, 100%, $E$13)</f>
        <v>12.6911</v>
      </c>
      <c r="I406" s="64">
        <f>12.6913 * CHOOSE(CONTROL!$C$22, $C$13, 100%, $E$13)</f>
        <v>12.6913</v>
      </c>
      <c r="J406" s="64">
        <f>7.2452 * CHOOSE(CONTROL!$C$22, $C$13, 100%, $E$13)</f>
        <v>7.2451999999999996</v>
      </c>
      <c r="K406" s="64">
        <f>7.2454 * CHOOSE(CONTROL!$C$22, $C$13, 100%, $E$13)</f>
        <v>7.2454000000000001</v>
      </c>
    </row>
    <row r="407" spans="1:11" ht="15">
      <c r="A407" s="13">
        <v>54027</v>
      </c>
      <c r="B407" s="63">
        <f>6.2592 * CHOOSE(CONTROL!$C$22, $C$13, 100%, $E$13)</f>
        <v>6.2591999999999999</v>
      </c>
      <c r="C407" s="63">
        <f>6.2592 * CHOOSE(CONTROL!$C$22, $C$13, 100%, $E$13)</f>
        <v>6.2591999999999999</v>
      </c>
      <c r="D407" s="63">
        <f>6.2708 * CHOOSE(CONTROL!$C$22, $C$13, 100%, $E$13)</f>
        <v>6.2708000000000004</v>
      </c>
      <c r="E407" s="64">
        <f>7.2042 * CHOOSE(CONTROL!$C$22, $C$13, 100%, $E$13)</f>
        <v>7.2042000000000002</v>
      </c>
      <c r="F407" s="64">
        <f>7.2042 * CHOOSE(CONTROL!$C$22, $C$13, 100%, $E$13)</f>
        <v>7.2042000000000002</v>
      </c>
      <c r="G407" s="64">
        <f>7.2044 * CHOOSE(CONTROL!$C$22, $C$13, 100%, $E$13)</f>
        <v>7.2043999999999997</v>
      </c>
      <c r="H407" s="64">
        <f>12.7176* CHOOSE(CONTROL!$C$22, $C$13, 100%, $E$13)</f>
        <v>12.717599999999999</v>
      </c>
      <c r="I407" s="64">
        <f>12.7177 * CHOOSE(CONTROL!$C$22, $C$13, 100%, $E$13)</f>
        <v>12.717700000000001</v>
      </c>
      <c r="J407" s="64">
        <f>7.2042 * CHOOSE(CONTROL!$C$22, $C$13, 100%, $E$13)</f>
        <v>7.2042000000000002</v>
      </c>
      <c r="K407" s="64">
        <f>7.2044 * CHOOSE(CONTROL!$C$22, $C$13, 100%, $E$13)</f>
        <v>7.2043999999999997</v>
      </c>
    </row>
    <row r="408" spans="1:11" ht="15">
      <c r="A408" s="13">
        <v>54058</v>
      </c>
      <c r="B408" s="63">
        <f>6.3156 * CHOOSE(CONTROL!$C$22, $C$13, 100%, $E$13)</f>
        <v>6.3155999999999999</v>
      </c>
      <c r="C408" s="63">
        <f>6.3156 * CHOOSE(CONTROL!$C$22, $C$13, 100%, $E$13)</f>
        <v>6.3155999999999999</v>
      </c>
      <c r="D408" s="63">
        <f>6.3272 * CHOOSE(CONTROL!$C$22, $C$13, 100%, $E$13)</f>
        <v>6.3272000000000004</v>
      </c>
      <c r="E408" s="64">
        <f>7.2988 * CHOOSE(CONTROL!$C$22, $C$13, 100%, $E$13)</f>
        <v>7.2988</v>
      </c>
      <c r="F408" s="64">
        <f>7.2988 * CHOOSE(CONTROL!$C$22, $C$13, 100%, $E$13)</f>
        <v>7.2988</v>
      </c>
      <c r="G408" s="64">
        <f>7.299 * CHOOSE(CONTROL!$C$22, $C$13, 100%, $E$13)</f>
        <v>7.2990000000000004</v>
      </c>
      <c r="H408" s="64">
        <f>12.7441* CHOOSE(CONTROL!$C$22, $C$13, 100%, $E$13)</f>
        <v>12.7441</v>
      </c>
      <c r="I408" s="64">
        <f>12.7442 * CHOOSE(CONTROL!$C$22, $C$13, 100%, $E$13)</f>
        <v>12.744199999999999</v>
      </c>
      <c r="J408" s="64">
        <f>7.2988 * CHOOSE(CONTROL!$C$22, $C$13, 100%, $E$13)</f>
        <v>7.2988</v>
      </c>
      <c r="K408" s="64">
        <f>7.299 * CHOOSE(CONTROL!$C$22, $C$13, 100%, $E$13)</f>
        <v>7.2990000000000004</v>
      </c>
    </row>
    <row r="409" spans="1:11" ht="15">
      <c r="A409" s="13">
        <v>54089</v>
      </c>
      <c r="B409" s="63">
        <f>6.3126 * CHOOSE(CONTROL!$C$22, $C$13, 100%, $E$13)</f>
        <v>6.3125999999999998</v>
      </c>
      <c r="C409" s="63">
        <f>6.3126 * CHOOSE(CONTROL!$C$22, $C$13, 100%, $E$13)</f>
        <v>6.3125999999999998</v>
      </c>
      <c r="D409" s="63">
        <f>6.3242 * CHOOSE(CONTROL!$C$22, $C$13, 100%, $E$13)</f>
        <v>6.3242000000000003</v>
      </c>
      <c r="E409" s="64">
        <f>7.217 * CHOOSE(CONTROL!$C$22, $C$13, 100%, $E$13)</f>
        <v>7.2169999999999996</v>
      </c>
      <c r="F409" s="64">
        <f>7.217 * CHOOSE(CONTROL!$C$22, $C$13, 100%, $E$13)</f>
        <v>7.2169999999999996</v>
      </c>
      <c r="G409" s="64">
        <f>7.2172 * CHOOSE(CONTROL!$C$22, $C$13, 100%, $E$13)</f>
        <v>7.2172000000000001</v>
      </c>
      <c r="H409" s="64">
        <f>12.7706* CHOOSE(CONTROL!$C$22, $C$13, 100%, $E$13)</f>
        <v>12.7706</v>
      </c>
      <c r="I409" s="64">
        <f>12.7708 * CHOOSE(CONTROL!$C$22, $C$13, 100%, $E$13)</f>
        <v>12.770799999999999</v>
      </c>
      <c r="J409" s="64">
        <f>7.217 * CHOOSE(CONTROL!$C$22, $C$13, 100%, $E$13)</f>
        <v>7.2169999999999996</v>
      </c>
      <c r="K409" s="64">
        <f>7.2172 * CHOOSE(CONTROL!$C$22, $C$13, 100%, $E$13)</f>
        <v>7.2172000000000001</v>
      </c>
    </row>
    <row r="410" spans="1:11" ht="15">
      <c r="A410" s="13">
        <v>54118</v>
      </c>
      <c r="B410" s="63">
        <f>6.3096 * CHOOSE(CONTROL!$C$22, $C$13, 100%, $E$13)</f>
        <v>6.3095999999999997</v>
      </c>
      <c r="C410" s="63">
        <f>6.3096 * CHOOSE(CONTROL!$C$22, $C$13, 100%, $E$13)</f>
        <v>6.3095999999999997</v>
      </c>
      <c r="D410" s="63">
        <f>6.3211 * CHOOSE(CONTROL!$C$22, $C$13, 100%, $E$13)</f>
        <v>6.3211000000000004</v>
      </c>
      <c r="E410" s="64">
        <f>7.2777 * CHOOSE(CONTROL!$C$22, $C$13, 100%, $E$13)</f>
        <v>7.2777000000000003</v>
      </c>
      <c r="F410" s="64">
        <f>7.2777 * CHOOSE(CONTROL!$C$22, $C$13, 100%, $E$13)</f>
        <v>7.2777000000000003</v>
      </c>
      <c r="G410" s="64">
        <f>7.2779 * CHOOSE(CONTROL!$C$22, $C$13, 100%, $E$13)</f>
        <v>7.2778999999999998</v>
      </c>
      <c r="H410" s="64">
        <f>12.7972* CHOOSE(CONTROL!$C$22, $C$13, 100%, $E$13)</f>
        <v>12.7972</v>
      </c>
      <c r="I410" s="64">
        <f>12.7974 * CHOOSE(CONTROL!$C$22, $C$13, 100%, $E$13)</f>
        <v>12.7974</v>
      </c>
      <c r="J410" s="64">
        <f>7.2777 * CHOOSE(CONTROL!$C$22, $C$13, 100%, $E$13)</f>
        <v>7.2777000000000003</v>
      </c>
      <c r="K410" s="64">
        <f>7.2779 * CHOOSE(CONTROL!$C$22, $C$13, 100%, $E$13)</f>
        <v>7.2778999999999998</v>
      </c>
    </row>
    <row r="411" spans="1:11" ht="15">
      <c r="A411" s="13">
        <v>54149</v>
      </c>
      <c r="B411" s="63">
        <f>6.3093 * CHOOSE(CONTROL!$C$22, $C$13, 100%, $E$13)</f>
        <v>6.3093000000000004</v>
      </c>
      <c r="C411" s="63">
        <f>6.3093 * CHOOSE(CONTROL!$C$22, $C$13, 100%, $E$13)</f>
        <v>6.3093000000000004</v>
      </c>
      <c r="D411" s="63">
        <f>6.3208 * CHOOSE(CONTROL!$C$22, $C$13, 100%, $E$13)</f>
        <v>6.3208000000000002</v>
      </c>
      <c r="E411" s="64">
        <f>7.3409 * CHOOSE(CONTROL!$C$22, $C$13, 100%, $E$13)</f>
        <v>7.3409000000000004</v>
      </c>
      <c r="F411" s="64">
        <f>7.3409 * CHOOSE(CONTROL!$C$22, $C$13, 100%, $E$13)</f>
        <v>7.3409000000000004</v>
      </c>
      <c r="G411" s="64">
        <f>7.3411 * CHOOSE(CONTROL!$C$22, $C$13, 100%, $E$13)</f>
        <v>7.3411</v>
      </c>
      <c r="H411" s="64">
        <f>12.8239* CHOOSE(CONTROL!$C$22, $C$13, 100%, $E$13)</f>
        <v>12.8239</v>
      </c>
      <c r="I411" s="64">
        <f>12.824 * CHOOSE(CONTROL!$C$22, $C$13, 100%, $E$13)</f>
        <v>12.824</v>
      </c>
      <c r="J411" s="64">
        <f>7.3409 * CHOOSE(CONTROL!$C$22, $C$13, 100%, $E$13)</f>
        <v>7.3409000000000004</v>
      </c>
      <c r="K411" s="64">
        <f>7.3411 * CHOOSE(CONTROL!$C$22, $C$13, 100%, $E$13)</f>
        <v>7.3411</v>
      </c>
    </row>
    <row r="412" spans="1:11" ht="15">
      <c r="A412" s="13">
        <v>54179</v>
      </c>
      <c r="B412" s="63">
        <f>6.3093 * CHOOSE(CONTROL!$C$22, $C$13, 100%, $E$13)</f>
        <v>6.3093000000000004</v>
      </c>
      <c r="C412" s="63">
        <f>6.3093 * CHOOSE(CONTROL!$C$22, $C$13, 100%, $E$13)</f>
        <v>6.3093000000000004</v>
      </c>
      <c r="D412" s="63">
        <f>6.3324 * CHOOSE(CONTROL!$C$22, $C$13, 100%, $E$13)</f>
        <v>6.3323999999999998</v>
      </c>
      <c r="E412" s="64">
        <f>7.3663 * CHOOSE(CONTROL!$C$22, $C$13, 100%, $E$13)</f>
        <v>7.3662999999999998</v>
      </c>
      <c r="F412" s="64">
        <f>7.3663 * CHOOSE(CONTROL!$C$22, $C$13, 100%, $E$13)</f>
        <v>7.3662999999999998</v>
      </c>
      <c r="G412" s="64">
        <f>7.3677 * CHOOSE(CONTROL!$C$22, $C$13, 100%, $E$13)</f>
        <v>7.3677000000000001</v>
      </c>
      <c r="H412" s="64">
        <f>12.8506* CHOOSE(CONTROL!$C$22, $C$13, 100%, $E$13)</f>
        <v>12.8506</v>
      </c>
      <c r="I412" s="64">
        <f>12.8521 * CHOOSE(CONTROL!$C$22, $C$13, 100%, $E$13)</f>
        <v>12.8521</v>
      </c>
      <c r="J412" s="64">
        <f>7.3663 * CHOOSE(CONTROL!$C$22, $C$13, 100%, $E$13)</f>
        <v>7.3662999999999998</v>
      </c>
      <c r="K412" s="64">
        <f>7.3677 * CHOOSE(CONTROL!$C$22, $C$13, 100%, $E$13)</f>
        <v>7.3677000000000001</v>
      </c>
    </row>
    <row r="413" spans="1:11" ht="15">
      <c r="A413" s="13">
        <v>54210</v>
      </c>
      <c r="B413" s="63">
        <f>6.3154 * CHOOSE(CONTROL!$C$22, $C$13, 100%, $E$13)</f>
        <v>6.3154000000000003</v>
      </c>
      <c r="C413" s="63">
        <f>6.3154 * CHOOSE(CONTROL!$C$22, $C$13, 100%, $E$13)</f>
        <v>6.3154000000000003</v>
      </c>
      <c r="D413" s="63">
        <f>6.3385 * CHOOSE(CONTROL!$C$22, $C$13, 100%, $E$13)</f>
        <v>6.3384999999999998</v>
      </c>
      <c r="E413" s="64">
        <f>7.3452 * CHOOSE(CONTROL!$C$22, $C$13, 100%, $E$13)</f>
        <v>7.3452000000000002</v>
      </c>
      <c r="F413" s="64">
        <f>7.3452 * CHOOSE(CONTROL!$C$22, $C$13, 100%, $E$13)</f>
        <v>7.3452000000000002</v>
      </c>
      <c r="G413" s="64">
        <f>7.3467 * CHOOSE(CONTROL!$C$22, $C$13, 100%, $E$13)</f>
        <v>7.3467000000000002</v>
      </c>
      <c r="H413" s="64">
        <f>12.8774* CHOOSE(CONTROL!$C$22, $C$13, 100%, $E$13)</f>
        <v>12.8774</v>
      </c>
      <c r="I413" s="64">
        <f>12.8788 * CHOOSE(CONTROL!$C$22, $C$13, 100%, $E$13)</f>
        <v>12.8788</v>
      </c>
      <c r="J413" s="64">
        <f>7.3452 * CHOOSE(CONTROL!$C$22, $C$13, 100%, $E$13)</f>
        <v>7.3452000000000002</v>
      </c>
      <c r="K413" s="64">
        <f>7.3467 * CHOOSE(CONTROL!$C$22, $C$13, 100%, $E$13)</f>
        <v>7.3467000000000002</v>
      </c>
    </row>
    <row r="414" spans="1:11" ht="15">
      <c r="A414" s="13">
        <v>54240</v>
      </c>
      <c r="B414" s="63">
        <f>6.42 * CHOOSE(CONTROL!$C$22, $C$13, 100%, $E$13)</f>
        <v>6.42</v>
      </c>
      <c r="C414" s="63">
        <f>6.42 * CHOOSE(CONTROL!$C$22, $C$13, 100%, $E$13)</f>
        <v>6.42</v>
      </c>
      <c r="D414" s="63">
        <f>6.4431 * CHOOSE(CONTROL!$C$22, $C$13, 100%, $E$13)</f>
        <v>6.4431000000000003</v>
      </c>
      <c r="E414" s="64">
        <f>7.4906 * CHOOSE(CONTROL!$C$22, $C$13, 100%, $E$13)</f>
        <v>7.4905999999999997</v>
      </c>
      <c r="F414" s="64">
        <f>7.4906 * CHOOSE(CONTROL!$C$22, $C$13, 100%, $E$13)</f>
        <v>7.4905999999999997</v>
      </c>
      <c r="G414" s="64">
        <f>7.4921 * CHOOSE(CONTROL!$C$22, $C$13, 100%, $E$13)</f>
        <v>7.4920999999999998</v>
      </c>
      <c r="H414" s="64">
        <f>12.9042* CHOOSE(CONTROL!$C$22, $C$13, 100%, $E$13)</f>
        <v>12.904199999999999</v>
      </c>
      <c r="I414" s="64">
        <f>12.9057 * CHOOSE(CONTROL!$C$22, $C$13, 100%, $E$13)</f>
        <v>12.9057</v>
      </c>
      <c r="J414" s="64">
        <f>7.4906 * CHOOSE(CONTROL!$C$22, $C$13, 100%, $E$13)</f>
        <v>7.4905999999999997</v>
      </c>
      <c r="K414" s="64">
        <f>7.4921 * CHOOSE(CONTROL!$C$22, $C$13, 100%, $E$13)</f>
        <v>7.4920999999999998</v>
      </c>
    </row>
    <row r="415" spans="1:11" ht="15">
      <c r="A415" s="13">
        <v>54271</v>
      </c>
      <c r="B415" s="63">
        <f>6.4266 * CHOOSE(CONTROL!$C$22, $C$13, 100%, $E$13)</f>
        <v>6.4265999999999996</v>
      </c>
      <c r="C415" s="63">
        <f>6.4266 * CHOOSE(CONTROL!$C$22, $C$13, 100%, $E$13)</f>
        <v>6.4265999999999996</v>
      </c>
      <c r="D415" s="63">
        <f>6.4498 * CHOOSE(CONTROL!$C$22, $C$13, 100%, $E$13)</f>
        <v>6.4497999999999998</v>
      </c>
      <c r="E415" s="64">
        <f>7.4193 * CHOOSE(CONTROL!$C$22, $C$13, 100%, $E$13)</f>
        <v>7.4192999999999998</v>
      </c>
      <c r="F415" s="64">
        <f>7.4193 * CHOOSE(CONTROL!$C$22, $C$13, 100%, $E$13)</f>
        <v>7.4192999999999998</v>
      </c>
      <c r="G415" s="64">
        <f>7.4208 * CHOOSE(CONTROL!$C$22, $C$13, 100%, $E$13)</f>
        <v>7.4207999999999998</v>
      </c>
      <c r="H415" s="64">
        <f>12.9311* CHOOSE(CONTROL!$C$22, $C$13, 100%, $E$13)</f>
        <v>12.931100000000001</v>
      </c>
      <c r="I415" s="64">
        <f>12.9326 * CHOOSE(CONTROL!$C$22, $C$13, 100%, $E$13)</f>
        <v>12.932600000000001</v>
      </c>
      <c r="J415" s="64">
        <f>7.4193 * CHOOSE(CONTROL!$C$22, $C$13, 100%, $E$13)</f>
        <v>7.4192999999999998</v>
      </c>
      <c r="K415" s="64">
        <f>7.4208 * CHOOSE(CONTROL!$C$22, $C$13, 100%, $E$13)</f>
        <v>7.4207999999999998</v>
      </c>
    </row>
    <row r="416" spans="1:11" ht="15">
      <c r="A416" s="13">
        <v>54302</v>
      </c>
      <c r="B416" s="63">
        <f>6.4236 * CHOOSE(CONTROL!$C$22, $C$13, 100%, $E$13)</f>
        <v>6.4236000000000004</v>
      </c>
      <c r="C416" s="63">
        <f>6.4236 * CHOOSE(CONTROL!$C$22, $C$13, 100%, $E$13)</f>
        <v>6.4236000000000004</v>
      </c>
      <c r="D416" s="63">
        <f>6.4467 * CHOOSE(CONTROL!$C$22, $C$13, 100%, $E$13)</f>
        <v>6.4466999999999999</v>
      </c>
      <c r="E416" s="64">
        <f>7.4088 * CHOOSE(CONTROL!$C$22, $C$13, 100%, $E$13)</f>
        <v>7.4088000000000003</v>
      </c>
      <c r="F416" s="64">
        <f>7.4088 * CHOOSE(CONTROL!$C$22, $C$13, 100%, $E$13)</f>
        <v>7.4088000000000003</v>
      </c>
      <c r="G416" s="64">
        <f>7.4102 * CHOOSE(CONTROL!$C$22, $C$13, 100%, $E$13)</f>
        <v>7.4101999999999997</v>
      </c>
      <c r="H416" s="64">
        <f>12.958* CHOOSE(CONTROL!$C$22, $C$13, 100%, $E$13)</f>
        <v>12.958</v>
      </c>
      <c r="I416" s="64">
        <f>12.9595 * CHOOSE(CONTROL!$C$22, $C$13, 100%, $E$13)</f>
        <v>12.9595</v>
      </c>
      <c r="J416" s="64">
        <f>7.4088 * CHOOSE(CONTROL!$C$22, $C$13, 100%, $E$13)</f>
        <v>7.4088000000000003</v>
      </c>
      <c r="K416" s="64">
        <f>7.4102 * CHOOSE(CONTROL!$C$22, $C$13, 100%, $E$13)</f>
        <v>7.4101999999999997</v>
      </c>
    </row>
    <row r="417" spans="1:11" ht="15">
      <c r="A417" s="13">
        <v>54332</v>
      </c>
      <c r="B417" s="63">
        <f>6.427 * CHOOSE(CONTROL!$C$22, $C$13, 100%, $E$13)</f>
        <v>6.4269999999999996</v>
      </c>
      <c r="C417" s="63">
        <f>6.427 * CHOOSE(CONTROL!$C$22, $C$13, 100%, $E$13)</f>
        <v>6.4269999999999996</v>
      </c>
      <c r="D417" s="63">
        <f>6.4385 * CHOOSE(CONTROL!$C$22, $C$13, 100%, $E$13)</f>
        <v>6.4385000000000003</v>
      </c>
      <c r="E417" s="64">
        <f>7.4291 * CHOOSE(CONTROL!$C$22, $C$13, 100%, $E$13)</f>
        <v>7.4291</v>
      </c>
      <c r="F417" s="64">
        <f>7.4291 * CHOOSE(CONTROL!$C$22, $C$13, 100%, $E$13)</f>
        <v>7.4291</v>
      </c>
      <c r="G417" s="64">
        <f>7.4293 * CHOOSE(CONTROL!$C$22, $C$13, 100%, $E$13)</f>
        <v>7.4292999999999996</v>
      </c>
      <c r="H417" s="64">
        <f>12.985* CHOOSE(CONTROL!$C$22, $C$13, 100%, $E$13)</f>
        <v>12.984999999999999</v>
      </c>
      <c r="I417" s="64">
        <f>12.9852 * CHOOSE(CONTROL!$C$22, $C$13, 100%, $E$13)</f>
        <v>12.985200000000001</v>
      </c>
      <c r="J417" s="64">
        <f>7.4291 * CHOOSE(CONTROL!$C$22, $C$13, 100%, $E$13)</f>
        <v>7.4291</v>
      </c>
      <c r="K417" s="64">
        <f>7.4293 * CHOOSE(CONTROL!$C$22, $C$13, 100%, $E$13)</f>
        <v>7.4292999999999996</v>
      </c>
    </row>
    <row r="418" spans="1:11" ht="15">
      <c r="A418" s="13">
        <v>54363</v>
      </c>
      <c r="B418" s="63">
        <f>6.43 * CHOOSE(CONTROL!$C$22, $C$13, 100%, $E$13)</f>
        <v>6.43</v>
      </c>
      <c r="C418" s="63">
        <f>6.43 * CHOOSE(CONTROL!$C$22, $C$13, 100%, $E$13)</f>
        <v>6.43</v>
      </c>
      <c r="D418" s="63">
        <f>6.4416 * CHOOSE(CONTROL!$C$22, $C$13, 100%, $E$13)</f>
        <v>6.4416000000000002</v>
      </c>
      <c r="E418" s="64">
        <f>7.4481 * CHOOSE(CONTROL!$C$22, $C$13, 100%, $E$13)</f>
        <v>7.4481000000000002</v>
      </c>
      <c r="F418" s="64">
        <f>7.4481 * CHOOSE(CONTROL!$C$22, $C$13, 100%, $E$13)</f>
        <v>7.4481000000000002</v>
      </c>
      <c r="G418" s="64">
        <f>7.4483 * CHOOSE(CONTROL!$C$22, $C$13, 100%, $E$13)</f>
        <v>7.4482999999999997</v>
      </c>
      <c r="H418" s="64">
        <f>13.0121* CHOOSE(CONTROL!$C$22, $C$13, 100%, $E$13)</f>
        <v>13.0121</v>
      </c>
      <c r="I418" s="64">
        <f>13.0122 * CHOOSE(CONTROL!$C$22, $C$13, 100%, $E$13)</f>
        <v>13.0122</v>
      </c>
      <c r="J418" s="64">
        <f>7.4481 * CHOOSE(CONTROL!$C$22, $C$13, 100%, $E$13)</f>
        <v>7.4481000000000002</v>
      </c>
      <c r="K418" s="64">
        <f>7.4483 * CHOOSE(CONTROL!$C$22, $C$13, 100%, $E$13)</f>
        <v>7.4482999999999997</v>
      </c>
    </row>
    <row r="419" spans="1:11" ht="15">
      <c r="A419" s="13">
        <v>54393</v>
      </c>
      <c r="B419" s="63">
        <f>6.43 * CHOOSE(CONTROL!$C$22, $C$13, 100%, $E$13)</f>
        <v>6.43</v>
      </c>
      <c r="C419" s="63">
        <f>6.43 * CHOOSE(CONTROL!$C$22, $C$13, 100%, $E$13)</f>
        <v>6.43</v>
      </c>
      <c r="D419" s="63">
        <f>6.4416 * CHOOSE(CONTROL!$C$22, $C$13, 100%, $E$13)</f>
        <v>6.4416000000000002</v>
      </c>
      <c r="E419" s="64">
        <f>7.4059 * CHOOSE(CONTROL!$C$22, $C$13, 100%, $E$13)</f>
        <v>7.4058999999999999</v>
      </c>
      <c r="F419" s="64">
        <f>7.4059 * CHOOSE(CONTROL!$C$22, $C$13, 100%, $E$13)</f>
        <v>7.4058999999999999</v>
      </c>
      <c r="G419" s="64">
        <f>7.4061 * CHOOSE(CONTROL!$C$22, $C$13, 100%, $E$13)</f>
        <v>7.4061000000000003</v>
      </c>
      <c r="H419" s="64">
        <f>13.0392* CHOOSE(CONTROL!$C$22, $C$13, 100%, $E$13)</f>
        <v>13.039199999999999</v>
      </c>
      <c r="I419" s="64">
        <f>13.0393 * CHOOSE(CONTROL!$C$22, $C$13, 100%, $E$13)</f>
        <v>13.039300000000001</v>
      </c>
      <c r="J419" s="64">
        <f>7.4059 * CHOOSE(CONTROL!$C$22, $C$13, 100%, $E$13)</f>
        <v>7.4058999999999999</v>
      </c>
      <c r="K419" s="64">
        <f>7.4061 * CHOOSE(CONTROL!$C$22, $C$13, 100%, $E$13)</f>
        <v>7.4061000000000003</v>
      </c>
    </row>
    <row r="420" spans="1:11" ht="15">
      <c r="A420" s="13">
        <v>54424</v>
      </c>
      <c r="B420" s="63">
        <f>6.4879 * CHOOSE(CONTROL!$C$22, $C$13, 100%, $E$13)</f>
        <v>6.4878999999999998</v>
      </c>
      <c r="C420" s="63">
        <f>6.4879 * CHOOSE(CONTROL!$C$22, $C$13, 100%, $E$13)</f>
        <v>6.4878999999999998</v>
      </c>
      <c r="D420" s="63">
        <f>6.4994 * CHOOSE(CONTROL!$C$22, $C$13, 100%, $E$13)</f>
        <v>6.4993999999999996</v>
      </c>
      <c r="E420" s="64">
        <f>7.5031 * CHOOSE(CONTROL!$C$22, $C$13, 100%, $E$13)</f>
        <v>7.5030999999999999</v>
      </c>
      <c r="F420" s="64">
        <f>7.5031 * CHOOSE(CONTROL!$C$22, $C$13, 100%, $E$13)</f>
        <v>7.5030999999999999</v>
      </c>
      <c r="G420" s="64">
        <f>7.5032 * CHOOSE(CONTROL!$C$22, $C$13, 100%, $E$13)</f>
        <v>7.5031999999999996</v>
      </c>
      <c r="H420" s="64">
        <f>13.0663* CHOOSE(CONTROL!$C$22, $C$13, 100%, $E$13)</f>
        <v>13.0663</v>
      </c>
      <c r="I420" s="64">
        <f>13.0665 * CHOOSE(CONTROL!$C$22, $C$13, 100%, $E$13)</f>
        <v>13.0665</v>
      </c>
      <c r="J420" s="64">
        <f>7.5031 * CHOOSE(CONTROL!$C$22, $C$13, 100%, $E$13)</f>
        <v>7.5030999999999999</v>
      </c>
      <c r="K420" s="64">
        <f>7.5032 * CHOOSE(CONTROL!$C$22, $C$13, 100%, $E$13)</f>
        <v>7.5031999999999996</v>
      </c>
    </row>
    <row r="421" spans="1:11" ht="15">
      <c r="A421" s="13">
        <v>54455</v>
      </c>
      <c r="B421" s="63">
        <f>6.4848 * CHOOSE(CONTROL!$C$22, $C$13, 100%, $E$13)</f>
        <v>6.4847999999999999</v>
      </c>
      <c r="C421" s="63">
        <f>6.4848 * CHOOSE(CONTROL!$C$22, $C$13, 100%, $E$13)</f>
        <v>6.4847999999999999</v>
      </c>
      <c r="D421" s="63">
        <f>6.4964 * CHOOSE(CONTROL!$C$22, $C$13, 100%, $E$13)</f>
        <v>6.4964000000000004</v>
      </c>
      <c r="E421" s="64">
        <f>7.419 * CHOOSE(CONTROL!$C$22, $C$13, 100%, $E$13)</f>
        <v>7.4189999999999996</v>
      </c>
      <c r="F421" s="64">
        <f>7.419 * CHOOSE(CONTROL!$C$22, $C$13, 100%, $E$13)</f>
        <v>7.4189999999999996</v>
      </c>
      <c r="G421" s="64">
        <f>7.4192 * CHOOSE(CONTROL!$C$22, $C$13, 100%, $E$13)</f>
        <v>7.4192</v>
      </c>
      <c r="H421" s="64">
        <f>13.0936* CHOOSE(CONTROL!$C$22, $C$13, 100%, $E$13)</f>
        <v>13.0936</v>
      </c>
      <c r="I421" s="64">
        <f>13.0937 * CHOOSE(CONTROL!$C$22, $C$13, 100%, $E$13)</f>
        <v>13.0937</v>
      </c>
      <c r="J421" s="64">
        <f>7.419 * CHOOSE(CONTROL!$C$22, $C$13, 100%, $E$13)</f>
        <v>7.4189999999999996</v>
      </c>
      <c r="K421" s="64">
        <f>7.4192 * CHOOSE(CONTROL!$C$22, $C$13, 100%, $E$13)</f>
        <v>7.4192</v>
      </c>
    </row>
    <row r="422" spans="1:11" ht="15">
      <c r="A422" s="13">
        <v>54483</v>
      </c>
      <c r="B422" s="63">
        <f>6.4818 * CHOOSE(CONTROL!$C$22, $C$13, 100%, $E$13)</f>
        <v>6.4817999999999998</v>
      </c>
      <c r="C422" s="63">
        <f>6.4818 * CHOOSE(CONTROL!$C$22, $C$13, 100%, $E$13)</f>
        <v>6.4817999999999998</v>
      </c>
      <c r="D422" s="63">
        <f>6.4933 * CHOOSE(CONTROL!$C$22, $C$13, 100%, $E$13)</f>
        <v>6.4932999999999996</v>
      </c>
      <c r="E422" s="64">
        <f>7.4815 * CHOOSE(CONTROL!$C$22, $C$13, 100%, $E$13)</f>
        <v>7.4814999999999996</v>
      </c>
      <c r="F422" s="64">
        <f>7.4815 * CHOOSE(CONTROL!$C$22, $C$13, 100%, $E$13)</f>
        <v>7.4814999999999996</v>
      </c>
      <c r="G422" s="64">
        <f>7.4817 * CHOOSE(CONTROL!$C$22, $C$13, 100%, $E$13)</f>
        <v>7.4817</v>
      </c>
      <c r="H422" s="64">
        <f>13.1208* CHOOSE(CONTROL!$C$22, $C$13, 100%, $E$13)</f>
        <v>13.120799999999999</v>
      </c>
      <c r="I422" s="64">
        <f>13.121 * CHOOSE(CONTROL!$C$22, $C$13, 100%, $E$13)</f>
        <v>13.121</v>
      </c>
      <c r="J422" s="64">
        <f>7.4815 * CHOOSE(CONTROL!$C$22, $C$13, 100%, $E$13)</f>
        <v>7.4814999999999996</v>
      </c>
      <c r="K422" s="64">
        <f>7.4817 * CHOOSE(CONTROL!$C$22, $C$13, 100%, $E$13)</f>
        <v>7.4817</v>
      </c>
    </row>
    <row r="423" spans="1:11" ht="15">
      <c r="A423" s="13">
        <v>54514</v>
      </c>
      <c r="B423" s="63">
        <f>6.4817 * CHOOSE(CONTROL!$C$22, $C$13, 100%, $E$13)</f>
        <v>6.4817</v>
      </c>
      <c r="C423" s="63">
        <f>6.4817 * CHOOSE(CONTROL!$C$22, $C$13, 100%, $E$13)</f>
        <v>6.4817</v>
      </c>
      <c r="D423" s="63">
        <f>6.4932 * CHOOSE(CONTROL!$C$22, $C$13, 100%, $E$13)</f>
        <v>6.4931999999999999</v>
      </c>
      <c r="E423" s="64">
        <f>7.5466 * CHOOSE(CONTROL!$C$22, $C$13, 100%, $E$13)</f>
        <v>7.5465999999999998</v>
      </c>
      <c r="F423" s="64">
        <f>7.5466 * CHOOSE(CONTROL!$C$22, $C$13, 100%, $E$13)</f>
        <v>7.5465999999999998</v>
      </c>
      <c r="G423" s="64">
        <f>7.5468 * CHOOSE(CONTROL!$C$22, $C$13, 100%, $E$13)</f>
        <v>7.5468000000000002</v>
      </c>
      <c r="H423" s="64">
        <f>13.1482* CHOOSE(CONTROL!$C$22, $C$13, 100%, $E$13)</f>
        <v>13.148199999999999</v>
      </c>
      <c r="I423" s="64">
        <f>13.1483 * CHOOSE(CONTROL!$C$22, $C$13, 100%, $E$13)</f>
        <v>13.148300000000001</v>
      </c>
      <c r="J423" s="64">
        <f>7.5466 * CHOOSE(CONTROL!$C$22, $C$13, 100%, $E$13)</f>
        <v>7.5465999999999998</v>
      </c>
      <c r="K423" s="64">
        <f>7.5468 * CHOOSE(CONTROL!$C$22, $C$13, 100%, $E$13)</f>
        <v>7.5468000000000002</v>
      </c>
    </row>
    <row r="424" spans="1:11" ht="15">
      <c r="A424" s="13">
        <v>54544</v>
      </c>
      <c r="B424" s="63">
        <f>6.4817 * CHOOSE(CONTROL!$C$22, $C$13, 100%, $E$13)</f>
        <v>6.4817</v>
      </c>
      <c r="C424" s="63">
        <f>6.4817 * CHOOSE(CONTROL!$C$22, $C$13, 100%, $E$13)</f>
        <v>6.4817</v>
      </c>
      <c r="D424" s="63">
        <f>6.5048 * CHOOSE(CONTROL!$C$22, $C$13, 100%, $E$13)</f>
        <v>6.5048000000000004</v>
      </c>
      <c r="E424" s="64">
        <f>7.5726 * CHOOSE(CONTROL!$C$22, $C$13, 100%, $E$13)</f>
        <v>7.5726000000000004</v>
      </c>
      <c r="F424" s="64">
        <f>7.5726 * CHOOSE(CONTROL!$C$22, $C$13, 100%, $E$13)</f>
        <v>7.5726000000000004</v>
      </c>
      <c r="G424" s="64">
        <f>7.5741 * CHOOSE(CONTROL!$C$22, $C$13, 100%, $E$13)</f>
        <v>7.5740999999999996</v>
      </c>
      <c r="H424" s="64">
        <f>13.1756* CHOOSE(CONTROL!$C$22, $C$13, 100%, $E$13)</f>
        <v>13.175599999999999</v>
      </c>
      <c r="I424" s="64">
        <f>13.177 * CHOOSE(CONTROL!$C$22, $C$13, 100%, $E$13)</f>
        <v>13.177</v>
      </c>
      <c r="J424" s="64">
        <f>7.5726 * CHOOSE(CONTROL!$C$22, $C$13, 100%, $E$13)</f>
        <v>7.5726000000000004</v>
      </c>
      <c r="K424" s="64">
        <f>7.5741 * CHOOSE(CONTROL!$C$22, $C$13, 100%, $E$13)</f>
        <v>7.5740999999999996</v>
      </c>
    </row>
    <row r="425" spans="1:11" ht="15">
      <c r="A425" s="13">
        <v>54575</v>
      </c>
      <c r="B425" s="63">
        <f>6.4877 * CHOOSE(CONTROL!$C$22, $C$13, 100%, $E$13)</f>
        <v>6.4877000000000002</v>
      </c>
      <c r="C425" s="63">
        <f>6.4877 * CHOOSE(CONTROL!$C$22, $C$13, 100%, $E$13)</f>
        <v>6.4877000000000002</v>
      </c>
      <c r="D425" s="63">
        <f>6.5108 * CHOOSE(CONTROL!$C$22, $C$13, 100%, $E$13)</f>
        <v>6.5107999999999997</v>
      </c>
      <c r="E425" s="64">
        <f>7.5509 * CHOOSE(CONTROL!$C$22, $C$13, 100%, $E$13)</f>
        <v>7.5509000000000004</v>
      </c>
      <c r="F425" s="64">
        <f>7.5509 * CHOOSE(CONTROL!$C$22, $C$13, 100%, $E$13)</f>
        <v>7.5509000000000004</v>
      </c>
      <c r="G425" s="64">
        <f>7.5523 * CHOOSE(CONTROL!$C$22, $C$13, 100%, $E$13)</f>
        <v>7.5522999999999998</v>
      </c>
      <c r="H425" s="64">
        <f>13.203* CHOOSE(CONTROL!$C$22, $C$13, 100%, $E$13)</f>
        <v>13.202999999999999</v>
      </c>
      <c r="I425" s="64">
        <f>13.2045 * CHOOSE(CONTROL!$C$22, $C$13, 100%, $E$13)</f>
        <v>13.204499999999999</v>
      </c>
      <c r="J425" s="64">
        <f>7.5509 * CHOOSE(CONTROL!$C$22, $C$13, 100%, $E$13)</f>
        <v>7.5509000000000004</v>
      </c>
      <c r="K425" s="64">
        <f>7.5523 * CHOOSE(CONTROL!$C$22, $C$13, 100%, $E$13)</f>
        <v>7.5522999999999998</v>
      </c>
    </row>
    <row r="426" spans="1:11" ht="15">
      <c r="A426" s="13">
        <v>54605</v>
      </c>
      <c r="B426" s="63">
        <f>6.5949 * CHOOSE(CONTROL!$C$22, $C$13, 100%, $E$13)</f>
        <v>6.5949</v>
      </c>
      <c r="C426" s="63">
        <f>6.5949 * CHOOSE(CONTROL!$C$22, $C$13, 100%, $E$13)</f>
        <v>6.5949</v>
      </c>
      <c r="D426" s="63">
        <f>6.618 * CHOOSE(CONTROL!$C$22, $C$13, 100%, $E$13)</f>
        <v>6.6180000000000003</v>
      </c>
      <c r="E426" s="64">
        <f>7.7 * CHOOSE(CONTROL!$C$22, $C$13, 100%, $E$13)</f>
        <v>7.7</v>
      </c>
      <c r="F426" s="64">
        <f>7.7 * CHOOSE(CONTROL!$C$22, $C$13, 100%, $E$13)</f>
        <v>7.7</v>
      </c>
      <c r="G426" s="64">
        <f>7.7015 * CHOOSE(CONTROL!$C$22, $C$13, 100%, $E$13)</f>
        <v>7.7015000000000002</v>
      </c>
      <c r="H426" s="64">
        <f>13.2305* CHOOSE(CONTROL!$C$22, $C$13, 100%, $E$13)</f>
        <v>13.230499999999999</v>
      </c>
      <c r="I426" s="64">
        <f>13.232 * CHOOSE(CONTROL!$C$22, $C$13, 100%, $E$13)</f>
        <v>13.231999999999999</v>
      </c>
      <c r="J426" s="64">
        <f>7.7 * CHOOSE(CONTROL!$C$22, $C$13, 100%, $E$13)</f>
        <v>7.7</v>
      </c>
      <c r="K426" s="64">
        <f>7.7015 * CHOOSE(CONTROL!$C$22, $C$13, 100%, $E$13)</f>
        <v>7.7015000000000002</v>
      </c>
    </row>
    <row r="427" spans="1:11" ht="15">
      <c r="A427" s="13">
        <v>54636</v>
      </c>
      <c r="B427" s="63">
        <f>6.6016 * CHOOSE(CONTROL!$C$22, $C$13, 100%, $E$13)</f>
        <v>6.6016000000000004</v>
      </c>
      <c r="C427" s="63">
        <f>6.6016 * CHOOSE(CONTROL!$C$22, $C$13, 100%, $E$13)</f>
        <v>6.6016000000000004</v>
      </c>
      <c r="D427" s="63">
        <f>6.6247 * CHOOSE(CONTROL!$C$22, $C$13, 100%, $E$13)</f>
        <v>6.6246999999999998</v>
      </c>
      <c r="E427" s="64">
        <f>7.6266 * CHOOSE(CONTROL!$C$22, $C$13, 100%, $E$13)</f>
        <v>7.6265999999999998</v>
      </c>
      <c r="F427" s="64">
        <f>7.6266 * CHOOSE(CONTROL!$C$22, $C$13, 100%, $E$13)</f>
        <v>7.6265999999999998</v>
      </c>
      <c r="G427" s="64">
        <f>7.6281 * CHOOSE(CONTROL!$C$22, $C$13, 100%, $E$13)</f>
        <v>7.6280999999999999</v>
      </c>
      <c r="H427" s="64">
        <f>13.2581* CHOOSE(CONTROL!$C$22, $C$13, 100%, $E$13)</f>
        <v>13.258100000000001</v>
      </c>
      <c r="I427" s="64">
        <f>13.2596 * CHOOSE(CONTROL!$C$22, $C$13, 100%, $E$13)</f>
        <v>13.259600000000001</v>
      </c>
      <c r="J427" s="64">
        <f>7.6266 * CHOOSE(CONTROL!$C$22, $C$13, 100%, $E$13)</f>
        <v>7.6265999999999998</v>
      </c>
      <c r="K427" s="64">
        <f>7.6281 * CHOOSE(CONTROL!$C$22, $C$13, 100%, $E$13)</f>
        <v>7.6280999999999999</v>
      </c>
    </row>
    <row r="428" spans="1:11" ht="15">
      <c r="A428" s="13">
        <v>54667</v>
      </c>
      <c r="B428" s="63">
        <f>6.5985 * CHOOSE(CONTROL!$C$22, $C$13, 100%, $E$13)</f>
        <v>6.5984999999999996</v>
      </c>
      <c r="C428" s="63">
        <f>6.5985 * CHOOSE(CONTROL!$C$22, $C$13, 100%, $E$13)</f>
        <v>6.5984999999999996</v>
      </c>
      <c r="D428" s="63">
        <f>6.6217 * CHOOSE(CONTROL!$C$22, $C$13, 100%, $E$13)</f>
        <v>6.6216999999999997</v>
      </c>
      <c r="E428" s="64">
        <f>7.6159 * CHOOSE(CONTROL!$C$22, $C$13, 100%, $E$13)</f>
        <v>7.6158999999999999</v>
      </c>
      <c r="F428" s="64">
        <f>7.6159 * CHOOSE(CONTROL!$C$22, $C$13, 100%, $E$13)</f>
        <v>7.6158999999999999</v>
      </c>
      <c r="G428" s="64">
        <f>7.6173 * CHOOSE(CONTROL!$C$22, $C$13, 100%, $E$13)</f>
        <v>7.6173000000000002</v>
      </c>
      <c r="H428" s="64">
        <f>13.2857* CHOOSE(CONTROL!$C$22, $C$13, 100%, $E$13)</f>
        <v>13.2857</v>
      </c>
      <c r="I428" s="64">
        <f>13.2872 * CHOOSE(CONTROL!$C$22, $C$13, 100%, $E$13)</f>
        <v>13.2872</v>
      </c>
      <c r="J428" s="64">
        <f>7.6159 * CHOOSE(CONTROL!$C$22, $C$13, 100%, $E$13)</f>
        <v>7.6158999999999999</v>
      </c>
      <c r="K428" s="64">
        <f>7.6173 * CHOOSE(CONTROL!$C$22, $C$13, 100%, $E$13)</f>
        <v>7.6173000000000002</v>
      </c>
    </row>
    <row r="429" spans="1:11" ht="15">
      <c r="A429" s="13">
        <v>54697</v>
      </c>
      <c r="B429" s="63">
        <f>6.6025 * CHOOSE(CONTROL!$C$22, $C$13, 100%, $E$13)</f>
        <v>6.6025</v>
      </c>
      <c r="C429" s="63">
        <f>6.6025 * CHOOSE(CONTROL!$C$22, $C$13, 100%, $E$13)</f>
        <v>6.6025</v>
      </c>
      <c r="D429" s="63">
        <f>6.6141 * CHOOSE(CONTROL!$C$22, $C$13, 100%, $E$13)</f>
        <v>6.6140999999999996</v>
      </c>
      <c r="E429" s="64">
        <f>7.6371 * CHOOSE(CONTROL!$C$22, $C$13, 100%, $E$13)</f>
        <v>7.6371000000000002</v>
      </c>
      <c r="F429" s="64">
        <f>7.6371 * CHOOSE(CONTROL!$C$22, $C$13, 100%, $E$13)</f>
        <v>7.6371000000000002</v>
      </c>
      <c r="G429" s="64">
        <f>7.6373 * CHOOSE(CONTROL!$C$22, $C$13, 100%, $E$13)</f>
        <v>7.6372999999999998</v>
      </c>
      <c r="H429" s="64">
        <f>13.3134* CHOOSE(CONTROL!$C$22, $C$13, 100%, $E$13)</f>
        <v>13.3134</v>
      </c>
      <c r="I429" s="64">
        <f>13.3136 * CHOOSE(CONTROL!$C$22, $C$13, 100%, $E$13)</f>
        <v>13.313599999999999</v>
      </c>
      <c r="J429" s="64">
        <f>7.6371 * CHOOSE(CONTROL!$C$22, $C$13, 100%, $E$13)</f>
        <v>7.6371000000000002</v>
      </c>
      <c r="K429" s="64">
        <f>7.6373 * CHOOSE(CONTROL!$C$22, $C$13, 100%, $E$13)</f>
        <v>7.6372999999999998</v>
      </c>
    </row>
    <row r="430" spans="1:11" ht="15">
      <c r="A430" s="13">
        <v>54728</v>
      </c>
      <c r="B430" s="63">
        <f>6.6056 * CHOOSE(CONTROL!$C$22, $C$13, 100%, $E$13)</f>
        <v>6.6055999999999999</v>
      </c>
      <c r="C430" s="63">
        <f>6.6056 * CHOOSE(CONTROL!$C$22, $C$13, 100%, $E$13)</f>
        <v>6.6055999999999999</v>
      </c>
      <c r="D430" s="63">
        <f>6.6171 * CHOOSE(CONTROL!$C$22, $C$13, 100%, $E$13)</f>
        <v>6.6170999999999998</v>
      </c>
      <c r="E430" s="64">
        <f>7.6566 * CHOOSE(CONTROL!$C$22, $C$13, 100%, $E$13)</f>
        <v>7.6566000000000001</v>
      </c>
      <c r="F430" s="64">
        <f>7.6566 * CHOOSE(CONTROL!$C$22, $C$13, 100%, $E$13)</f>
        <v>7.6566000000000001</v>
      </c>
      <c r="G430" s="64">
        <f>7.6568 * CHOOSE(CONTROL!$C$22, $C$13, 100%, $E$13)</f>
        <v>7.6567999999999996</v>
      </c>
      <c r="H430" s="64">
        <f>13.3411* CHOOSE(CONTROL!$C$22, $C$13, 100%, $E$13)</f>
        <v>13.341100000000001</v>
      </c>
      <c r="I430" s="64">
        <f>13.3413 * CHOOSE(CONTROL!$C$22, $C$13, 100%, $E$13)</f>
        <v>13.3413</v>
      </c>
      <c r="J430" s="64">
        <f>7.6566 * CHOOSE(CONTROL!$C$22, $C$13, 100%, $E$13)</f>
        <v>7.6566000000000001</v>
      </c>
      <c r="K430" s="64">
        <f>7.6568 * CHOOSE(CONTROL!$C$22, $C$13, 100%, $E$13)</f>
        <v>7.6567999999999996</v>
      </c>
    </row>
    <row r="431" spans="1:11" ht="15">
      <c r="A431" s="13">
        <v>54758</v>
      </c>
      <c r="B431" s="63">
        <f>6.6056 * CHOOSE(CONTROL!$C$22, $C$13, 100%, $E$13)</f>
        <v>6.6055999999999999</v>
      </c>
      <c r="C431" s="63">
        <f>6.6056 * CHOOSE(CONTROL!$C$22, $C$13, 100%, $E$13)</f>
        <v>6.6055999999999999</v>
      </c>
      <c r="D431" s="63">
        <f>6.6171 * CHOOSE(CONTROL!$C$22, $C$13, 100%, $E$13)</f>
        <v>6.6170999999999998</v>
      </c>
      <c r="E431" s="64">
        <f>7.6132 * CHOOSE(CONTROL!$C$22, $C$13, 100%, $E$13)</f>
        <v>7.6132</v>
      </c>
      <c r="F431" s="64">
        <f>7.6132 * CHOOSE(CONTROL!$C$22, $C$13, 100%, $E$13)</f>
        <v>7.6132</v>
      </c>
      <c r="G431" s="64">
        <f>7.6134 * CHOOSE(CONTROL!$C$22, $C$13, 100%, $E$13)</f>
        <v>7.6134000000000004</v>
      </c>
      <c r="H431" s="64">
        <f>13.3689* CHOOSE(CONTROL!$C$22, $C$13, 100%, $E$13)</f>
        <v>13.3689</v>
      </c>
      <c r="I431" s="64">
        <f>13.3691 * CHOOSE(CONTROL!$C$22, $C$13, 100%, $E$13)</f>
        <v>13.3691</v>
      </c>
      <c r="J431" s="64">
        <f>7.6132 * CHOOSE(CONTROL!$C$22, $C$13, 100%, $E$13)</f>
        <v>7.6132</v>
      </c>
      <c r="K431" s="64">
        <f>7.6134 * CHOOSE(CONTROL!$C$22, $C$13, 100%, $E$13)</f>
        <v>7.6134000000000004</v>
      </c>
    </row>
    <row r="432" spans="1:11" ht="15">
      <c r="A432" s="13">
        <v>54789</v>
      </c>
      <c r="B432" s="63">
        <f>6.6648 * CHOOSE(CONTROL!$C$22, $C$13, 100%, $E$13)</f>
        <v>6.6647999999999996</v>
      </c>
      <c r="C432" s="63">
        <f>6.6648 * CHOOSE(CONTROL!$C$22, $C$13, 100%, $E$13)</f>
        <v>6.6647999999999996</v>
      </c>
      <c r="D432" s="63">
        <f>6.6764 * CHOOSE(CONTROL!$C$22, $C$13, 100%, $E$13)</f>
        <v>6.6764000000000001</v>
      </c>
      <c r="E432" s="64">
        <f>7.713 * CHOOSE(CONTROL!$C$22, $C$13, 100%, $E$13)</f>
        <v>7.7130000000000001</v>
      </c>
      <c r="F432" s="64">
        <f>7.713 * CHOOSE(CONTROL!$C$22, $C$13, 100%, $E$13)</f>
        <v>7.7130000000000001</v>
      </c>
      <c r="G432" s="64">
        <f>7.7132 * CHOOSE(CONTROL!$C$22, $C$13, 100%, $E$13)</f>
        <v>7.7131999999999996</v>
      </c>
      <c r="H432" s="64">
        <f>13.3968* CHOOSE(CONTROL!$C$22, $C$13, 100%, $E$13)</f>
        <v>13.396800000000001</v>
      </c>
      <c r="I432" s="64">
        <f>13.3969 * CHOOSE(CONTROL!$C$22, $C$13, 100%, $E$13)</f>
        <v>13.3969</v>
      </c>
      <c r="J432" s="64">
        <f>7.713 * CHOOSE(CONTROL!$C$22, $C$13, 100%, $E$13)</f>
        <v>7.7130000000000001</v>
      </c>
      <c r="K432" s="64">
        <f>7.7132 * CHOOSE(CONTROL!$C$22, $C$13, 100%, $E$13)</f>
        <v>7.7131999999999996</v>
      </c>
    </row>
    <row r="433" spans="1:11" ht="15">
      <c r="A433" s="13">
        <v>54820</v>
      </c>
      <c r="B433" s="63">
        <f>6.6618 * CHOOSE(CONTROL!$C$22, $C$13, 100%, $E$13)</f>
        <v>6.6618000000000004</v>
      </c>
      <c r="C433" s="63">
        <f>6.6618 * CHOOSE(CONTROL!$C$22, $C$13, 100%, $E$13)</f>
        <v>6.6618000000000004</v>
      </c>
      <c r="D433" s="63">
        <f>6.6734 * CHOOSE(CONTROL!$C$22, $C$13, 100%, $E$13)</f>
        <v>6.6734</v>
      </c>
      <c r="E433" s="64">
        <f>7.6267 * CHOOSE(CONTROL!$C$22, $C$13, 100%, $E$13)</f>
        <v>7.6266999999999996</v>
      </c>
      <c r="F433" s="64">
        <f>7.6267 * CHOOSE(CONTROL!$C$22, $C$13, 100%, $E$13)</f>
        <v>7.6266999999999996</v>
      </c>
      <c r="G433" s="64">
        <f>7.6268 * CHOOSE(CONTROL!$C$22, $C$13, 100%, $E$13)</f>
        <v>7.6268000000000002</v>
      </c>
      <c r="H433" s="64">
        <f>13.4247* CHOOSE(CONTROL!$C$22, $C$13, 100%, $E$13)</f>
        <v>13.4247</v>
      </c>
      <c r="I433" s="64">
        <f>13.4248 * CHOOSE(CONTROL!$C$22, $C$13, 100%, $E$13)</f>
        <v>13.424799999999999</v>
      </c>
      <c r="J433" s="64">
        <f>7.6267 * CHOOSE(CONTROL!$C$22, $C$13, 100%, $E$13)</f>
        <v>7.6266999999999996</v>
      </c>
      <c r="K433" s="64">
        <f>7.6268 * CHOOSE(CONTROL!$C$22, $C$13, 100%, $E$13)</f>
        <v>7.6268000000000002</v>
      </c>
    </row>
    <row r="434" spans="1:11" ht="15">
      <c r="A434" s="13">
        <v>54848</v>
      </c>
      <c r="B434" s="63">
        <f>6.6588 * CHOOSE(CONTROL!$C$22, $C$13, 100%, $E$13)</f>
        <v>6.6588000000000003</v>
      </c>
      <c r="C434" s="63">
        <f>6.6588 * CHOOSE(CONTROL!$C$22, $C$13, 100%, $E$13)</f>
        <v>6.6588000000000003</v>
      </c>
      <c r="D434" s="63">
        <f>6.6703 * CHOOSE(CONTROL!$C$22, $C$13, 100%, $E$13)</f>
        <v>6.6703000000000001</v>
      </c>
      <c r="E434" s="64">
        <f>7.691 * CHOOSE(CONTROL!$C$22, $C$13, 100%, $E$13)</f>
        <v>7.6909999999999998</v>
      </c>
      <c r="F434" s="64">
        <f>7.691 * CHOOSE(CONTROL!$C$22, $C$13, 100%, $E$13)</f>
        <v>7.6909999999999998</v>
      </c>
      <c r="G434" s="64">
        <f>7.6911 * CHOOSE(CONTROL!$C$22, $C$13, 100%, $E$13)</f>
        <v>7.6910999999999996</v>
      </c>
      <c r="H434" s="64">
        <f>13.4526* CHOOSE(CONTROL!$C$22, $C$13, 100%, $E$13)</f>
        <v>13.4526</v>
      </c>
      <c r="I434" s="64">
        <f>13.4528 * CHOOSE(CONTROL!$C$22, $C$13, 100%, $E$13)</f>
        <v>13.4528</v>
      </c>
      <c r="J434" s="64">
        <f>7.691 * CHOOSE(CONTROL!$C$22, $C$13, 100%, $E$13)</f>
        <v>7.6909999999999998</v>
      </c>
      <c r="K434" s="64">
        <f>7.6911 * CHOOSE(CONTROL!$C$22, $C$13, 100%, $E$13)</f>
        <v>7.6910999999999996</v>
      </c>
    </row>
    <row r="435" spans="1:11" ht="15">
      <c r="A435" s="13">
        <v>54879</v>
      </c>
      <c r="B435" s="63">
        <f>6.6588 * CHOOSE(CONTROL!$C$22, $C$13, 100%, $E$13)</f>
        <v>6.6588000000000003</v>
      </c>
      <c r="C435" s="63">
        <f>6.6588 * CHOOSE(CONTROL!$C$22, $C$13, 100%, $E$13)</f>
        <v>6.6588000000000003</v>
      </c>
      <c r="D435" s="63">
        <f>6.6703 * CHOOSE(CONTROL!$C$22, $C$13, 100%, $E$13)</f>
        <v>6.6703000000000001</v>
      </c>
      <c r="E435" s="64">
        <f>7.758 * CHOOSE(CONTROL!$C$22, $C$13, 100%, $E$13)</f>
        <v>7.758</v>
      </c>
      <c r="F435" s="64">
        <f>7.758 * CHOOSE(CONTROL!$C$22, $C$13, 100%, $E$13)</f>
        <v>7.758</v>
      </c>
      <c r="G435" s="64">
        <f>7.7582 * CHOOSE(CONTROL!$C$22, $C$13, 100%, $E$13)</f>
        <v>7.7582000000000004</v>
      </c>
      <c r="H435" s="64">
        <f>13.4807* CHOOSE(CONTROL!$C$22, $C$13, 100%, $E$13)</f>
        <v>13.480700000000001</v>
      </c>
      <c r="I435" s="64">
        <f>13.4808 * CHOOSE(CONTROL!$C$22, $C$13, 100%, $E$13)</f>
        <v>13.4808</v>
      </c>
      <c r="J435" s="64">
        <f>7.758 * CHOOSE(CONTROL!$C$22, $C$13, 100%, $E$13)</f>
        <v>7.758</v>
      </c>
      <c r="K435" s="64">
        <f>7.7582 * CHOOSE(CONTROL!$C$22, $C$13, 100%, $E$13)</f>
        <v>7.7582000000000004</v>
      </c>
    </row>
    <row r="436" spans="1:11" ht="15">
      <c r="A436" s="13">
        <v>54909</v>
      </c>
      <c r="B436" s="63">
        <f>6.6588 * CHOOSE(CONTROL!$C$22, $C$13, 100%, $E$13)</f>
        <v>6.6588000000000003</v>
      </c>
      <c r="C436" s="63">
        <f>6.6588 * CHOOSE(CONTROL!$C$22, $C$13, 100%, $E$13)</f>
        <v>6.6588000000000003</v>
      </c>
      <c r="D436" s="63">
        <f>6.6819 * CHOOSE(CONTROL!$C$22, $C$13, 100%, $E$13)</f>
        <v>6.6818999999999997</v>
      </c>
      <c r="E436" s="64">
        <f>7.7848 * CHOOSE(CONTROL!$C$22, $C$13, 100%, $E$13)</f>
        <v>7.7847999999999997</v>
      </c>
      <c r="F436" s="64">
        <f>7.7848 * CHOOSE(CONTROL!$C$22, $C$13, 100%, $E$13)</f>
        <v>7.7847999999999997</v>
      </c>
      <c r="G436" s="64">
        <f>7.7863 * CHOOSE(CONTROL!$C$22, $C$13, 100%, $E$13)</f>
        <v>7.7862999999999998</v>
      </c>
      <c r="H436" s="64">
        <f>13.5087* CHOOSE(CONTROL!$C$22, $C$13, 100%, $E$13)</f>
        <v>13.508699999999999</v>
      </c>
      <c r="I436" s="64">
        <f>13.5102 * CHOOSE(CONTROL!$C$22, $C$13, 100%, $E$13)</f>
        <v>13.510199999999999</v>
      </c>
      <c r="J436" s="64">
        <f>7.7848 * CHOOSE(CONTROL!$C$22, $C$13, 100%, $E$13)</f>
        <v>7.7847999999999997</v>
      </c>
      <c r="K436" s="64">
        <f>7.7863 * CHOOSE(CONTROL!$C$22, $C$13, 100%, $E$13)</f>
        <v>7.7862999999999998</v>
      </c>
    </row>
    <row r="437" spans="1:11" ht="15">
      <c r="A437" s="13">
        <v>54940</v>
      </c>
      <c r="B437" s="63">
        <f>6.6649 * CHOOSE(CONTROL!$C$22, $C$13, 100%, $E$13)</f>
        <v>6.6649000000000003</v>
      </c>
      <c r="C437" s="63">
        <f>6.6649 * CHOOSE(CONTROL!$C$22, $C$13, 100%, $E$13)</f>
        <v>6.6649000000000003</v>
      </c>
      <c r="D437" s="63">
        <f>6.688 * CHOOSE(CONTROL!$C$22, $C$13, 100%, $E$13)</f>
        <v>6.6879999999999997</v>
      </c>
      <c r="E437" s="64">
        <f>7.7623 * CHOOSE(CONTROL!$C$22, $C$13, 100%, $E$13)</f>
        <v>7.7622999999999998</v>
      </c>
      <c r="F437" s="64">
        <f>7.7623 * CHOOSE(CONTROL!$C$22, $C$13, 100%, $E$13)</f>
        <v>7.7622999999999998</v>
      </c>
      <c r="G437" s="64">
        <f>7.7638 * CHOOSE(CONTROL!$C$22, $C$13, 100%, $E$13)</f>
        <v>7.7637999999999998</v>
      </c>
      <c r="H437" s="64">
        <f>13.5369* CHOOSE(CONTROL!$C$22, $C$13, 100%, $E$13)</f>
        <v>13.536899999999999</v>
      </c>
      <c r="I437" s="64">
        <f>13.5384 * CHOOSE(CONTROL!$C$22, $C$13, 100%, $E$13)</f>
        <v>13.538399999999999</v>
      </c>
      <c r="J437" s="64">
        <f>7.7623 * CHOOSE(CONTROL!$C$22, $C$13, 100%, $E$13)</f>
        <v>7.7622999999999998</v>
      </c>
      <c r="K437" s="64">
        <f>7.7638 * CHOOSE(CONTROL!$C$22, $C$13, 100%, $E$13)</f>
        <v>7.7637999999999998</v>
      </c>
    </row>
    <row r="438" spans="1:11" ht="15">
      <c r="A438" s="13">
        <v>54970</v>
      </c>
      <c r="B438" s="63">
        <f>6.7747 * CHOOSE(CONTROL!$C$22, $C$13, 100%, $E$13)</f>
        <v>6.7747000000000002</v>
      </c>
      <c r="C438" s="63">
        <f>6.7747 * CHOOSE(CONTROL!$C$22, $C$13, 100%, $E$13)</f>
        <v>6.7747000000000002</v>
      </c>
      <c r="D438" s="63">
        <f>6.7978 * CHOOSE(CONTROL!$C$22, $C$13, 100%, $E$13)</f>
        <v>6.7977999999999996</v>
      </c>
      <c r="E438" s="64">
        <f>7.9154 * CHOOSE(CONTROL!$C$22, $C$13, 100%, $E$13)</f>
        <v>7.9154</v>
      </c>
      <c r="F438" s="64">
        <f>7.9154 * CHOOSE(CONTROL!$C$22, $C$13, 100%, $E$13)</f>
        <v>7.9154</v>
      </c>
      <c r="G438" s="64">
        <f>7.9169 * CHOOSE(CONTROL!$C$22, $C$13, 100%, $E$13)</f>
        <v>7.9169</v>
      </c>
      <c r="H438" s="64">
        <f>13.5651* CHOOSE(CONTROL!$C$22, $C$13, 100%, $E$13)</f>
        <v>13.565099999999999</v>
      </c>
      <c r="I438" s="64">
        <f>13.5666 * CHOOSE(CONTROL!$C$22, $C$13, 100%, $E$13)</f>
        <v>13.566599999999999</v>
      </c>
      <c r="J438" s="64">
        <f>7.9154 * CHOOSE(CONTROL!$C$22, $C$13, 100%, $E$13)</f>
        <v>7.9154</v>
      </c>
      <c r="K438" s="64">
        <f>7.9169 * CHOOSE(CONTROL!$C$22, $C$13, 100%, $E$13)</f>
        <v>7.9169</v>
      </c>
    </row>
    <row r="439" spans="1:11" ht="15">
      <c r="A439" s="13">
        <v>55001</v>
      </c>
      <c r="B439" s="63">
        <f>6.7813 * CHOOSE(CONTROL!$C$22, $C$13, 100%, $E$13)</f>
        <v>6.7812999999999999</v>
      </c>
      <c r="C439" s="63">
        <f>6.7813 * CHOOSE(CONTROL!$C$22, $C$13, 100%, $E$13)</f>
        <v>6.7812999999999999</v>
      </c>
      <c r="D439" s="63">
        <f>6.8044 * CHOOSE(CONTROL!$C$22, $C$13, 100%, $E$13)</f>
        <v>6.8044000000000002</v>
      </c>
      <c r="E439" s="64">
        <f>7.8398 * CHOOSE(CONTROL!$C$22, $C$13, 100%, $E$13)</f>
        <v>7.8398000000000003</v>
      </c>
      <c r="F439" s="64">
        <f>7.8398 * CHOOSE(CONTROL!$C$22, $C$13, 100%, $E$13)</f>
        <v>7.8398000000000003</v>
      </c>
      <c r="G439" s="64">
        <f>7.8413 * CHOOSE(CONTROL!$C$22, $C$13, 100%, $E$13)</f>
        <v>7.8413000000000004</v>
      </c>
      <c r="H439" s="64">
        <f>13.5934* CHOOSE(CONTROL!$C$22, $C$13, 100%, $E$13)</f>
        <v>13.593400000000001</v>
      </c>
      <c r="I439" s="64">
        <f>13.5948 * CHOOSE(CONTROL!$C$22, $C$13, 100%, $E$13)</f>
        <v>13.594799999999999</v>
      </c>
      <c r="J439" s="64">
        <f>7.8398 * CHOOSE(CONTROL!$C$22, $C$13, 100%, $E$13)</f>
        <v>7.8398000000000003</v>
      </c>
      <c r="K439" s="64">
        <f>7.8413 * CHOOSE(CONTROL!$C$22, $C$13, 100%, $E$13)</f>
        <v>7.8413000000000004</v>
      </c>
    </row>
    <row r="440" spans="1:11" ht="15">
      <c r="A440" s="13">
        <v>55032</v>
      </c>
      <c r="B440" s="63">
        <f>6.7783 * CHOOSE(CONTROL!$C$22, $C$13, 100%, $E$13)</f>
        <v>6.7782999999999998</v>
      </c>
      <c r="C440" s="63">
        <f>6.7783 * CHOOSE(CONTROL!$C$22, $C$13, 100%, $E$13)</f>
        <v>6.7782999999999998</v>
      </c>
      <c r="D440" s="63">
        <f>6.8014 * CHOOSE(CONTROL!$C$22, $C$13, 100%, $E$13)</f>
        <v>6.8014000000000001</v>
      </c>
      <c r="E440" s="64">
        <f>7.8288 * CHOOSE(CONTROL!$C$22, $C$13, 100%, $E$13)</f>
        <v>7.8288000000000002</v>
      </c>
      <c r="F440" s="64">
        <f>7.8288 * CHOOSE(CONTROL!$C$22, $C$13, 100%, $E$13)</f>
        <v>7.8288000000000002</v>
      </c>
      <c r="G440" s="64">
        <f>7.8302 * CHOOSE(CONTROL!$C$22, $C$13, 100%, $E$13)</f>
        <v>7.8301999999999996</v>
      </c>
      <c r="H440" s="64">
        <f>13.6217* CHOOSE(CONTROL!$C$22, $C$13, 100%, $E$13)</f>
        <v>13.621700000000001</v>
      </c>
      <c r="I440" s="64">
        <f>13.6232 * CHOOSE(CONTROL!$C$22, $C$13, 100%, $E$13)</f>
        <v>13.623200000000001</v>
      </c>
      <c r="J440" s="64">
        <f>7.8288 * CHOOSE(CONTROL!$C$22, $C$13, 100%, $E$13)</f>
        <v>7.8288000000000002</v>
      </c>
      <c r="K440" s="64">
        <f>7.8302 * CHOOSE(CONTROL!$C$22, $C$13, 100%, $E$13)</f>
        <v>7.8301999999999996</v>
      </c>
    </row>
    <row r="441" spans="1:11" ht="15">
      <c r="A441" s="13">
        <v>55062</v>
      </c>
      <c r="B441" s="63">
        <f>6.7829 * CHOOSE(CONTROL!$C$22, $C$13, 100%, $E$13)</f>
        <v>6.7828999999999997</v>
      </c>
      <c r="C441" s="63">
        <f>6.7829 * CHOOSE(CONTROL!$C$22, $C$13, 100%, $E$13)</f>
        <v>6.7828999999999997</v>
      </c>
      <c r="D441" s="63">
        <f>6.7944 * CHOOSE(CONTROL!$C$22, $C$13, 100%, $E$13)</f>
        <v>6.7944000000000004</v>
      </c>
      <c r="E441" s="64">
        <f>7.851 * CHOOSE(CONTROL!$C$22, $C$13, 100%, $E$13)</f>
        <v>7.851</v>
      </c>
      <c r="F441" s="64">
        <f>7.851 * CHOOSE(CONTROL!$C$22, $C$13, 100%, $E$13)</f>
        <v>7.851</v>
      </c>
      <c r="G441" s="64">
        <f>7.8512 * CHOOSE(CONTROL!$C$22, $C$13, 100%, $E$13)</f>
        <v>7.8512000000000004</v>
      </c>
      <c r="H441" s="64">
        <f>13.6501* CHOOSE(CONTROL!$C$22, $C$13, 100%, $E$13)</f>
        <v>13.6501</v>
      </c>
      <c r="I441" s="64">
        <f>13.6502 * CHOOSE(CONTROL!$C$22, $C$13, 100%, $E$13)</f>
        <v>13.6502</v>
      </c>
      <c r="J441" s="64">
        <f>7.851 * CHOOSE(CONTROL!$C$22, $C$13, 100%, $E$13)</f>
        <v>7.851</v>
      </c>
      <c r="K441" s="64">
        <f>7.8512 * CHOOSE(CONTROL!$C$22, $C$13, 100%, $E$13)</f>
        <v>7.8512000000000004</v>
      </c>
    </row>
    <row r="442" spans="1:11" ht="15">
      <c r="A442" s="13">
        <v>55093</v>
      </c>
      <c r="B442" s="63">
        <f>6.7859 * CHOOSE(CONTROL!$C$22, $C$13, 100%, $E$13)</f>
        <v>6.7858999999999998</v>
      </c>
      <c r="C442" s="63">
        <f>6.7859 * CHOOSE(CONTROL!$C$22, $C$13, 100%, $E$13)</f>
        <v>6.7858999999999998</v>
      </c>
      <c r="D442" s="63">
        <f>6.7975 * CHOOSE(CONTROL!$C$22, $C$13, 100%, $E$13)</f>
        <v>6.7975000000000003</v>
      </c>
      <c r="E442" s="64">
        <f>7.8709 * CHOOSE(CONTROL!$C$22, $C$13, 100%, $E$13)</f>
        <v>7.8708999999999998</v>
      </c>
      <c r="F442" s="64">
        <f>7.8709 * CHOOSE(CONTROL!$C$22, $C$13, 100%, $E$13)</f>
        <v>7.8708999999999998</v>
      </c>
      <c r="G442" s="64">
        <f>7.8711 * CHOOSE(CONTROL!$C$22, $C$13, 100%, $E$13)</f>
        <v>7.8711000000000002</v>
      </c>
      <c r="H442" s="64">
        <f>13.6785* CHOOSE(CONTROL!$C$22, $C$13, 100%, $E$13)</f>
        <v>13.6785</v>
      </c>
      <c r="I442" s="64">
        <f>13.6787 * CHOOSE(CONTROL!$C$22, $C$13, 100%, $E$13)</f>
        <v>13.678699999999999</v>
      </c>
      <c r="J442" s="64">
        <f>7.8709 * CHOOSE(CONTROL!$C$22, $C$13, 100%, $E$13)</f>
        <v>7.8708999999999998</v>
      </c>
      <c r="K442" s="64">
        <f>7.8711 * CHOOSE(CONTROL!$C$22, $C$13, 100%, $E$13)</f>
        <v>7.8711000000000002</v>
      </c>
    </row>
    <row r="443" spans="1:11" ht="15">
      <c r="A443" s="13">
        <v>55123</v>
      </c>
      <c r="B443" s="63">
        <f>6.7859 * CHOOSE(CONTROL!$C$22, $C$13, 100%, $E$13)</f>
        <v>6.7858999999999998</v>
      </c>
      <c r="C443" s="63">
        <f>6.7859 * CHOOSE(CONTROL!$C$22, $C$13, 100%, $E$13)</f>
        <v>6.7858999999999998</v>
      </c>
      <c r="D443" s="63">
        <f>6.7975 * CHOOSE(CONTROL!$C$22, $C$13, 100%, $E$13)</f>
        <v>6.7975000000000003</v>
      </c>
      <c r="E443" s="64">
        <f>7.8264 * CHOOSE(CONTROL!$C$22, $C$13, 100%, $E$13)</f>
        <v>7.8263999999999996</v>
      </c>
      <c r="F443" s="64">
        <f>7.8264 * CHOOSE(CONTROL!$C$22, $C$13, 100%, $E$13)</f>
        <v>7.8263999999999996</v>
      </c>
      <c r="G443" s="64">
        <f>7.8265 * CHOOSE(CONTROL!$C$22, $C$13, 100%, $E$13)</f>
        <v>7.8265000000000002</v>
      </c>
      <c r="H443" s="64">
        <f>13.707* CHOOSE(CONTROL!$C$22, $C$13, 100%, $E$13)</f>
        <v>13.707000000000001</v>
      </c>
      <c r="I443" s="64">
        <f>13.7072 * CHOOSE(CONTROL!$C$22, $C$13, 100%, $E$13)</f>
        <v>13.7072</v>
      </c>
      <c r="J443" s="64">
        <f>7.8264 * CHOOSE(CONTROL!$C$22, $C$13, 100%, $E$13)</f>
        <v>7.8263999999999996</v>
      </c>
      <c r="K443" s="64">
        <f>7.8265 * CHOOSE(CONTROL!$C$22, $C$13, 100%, $E$13)</f>
        <v>7.8265000000000002</v>
      </c>
    </row>
    <row r="444" spans="1:11" ht="15">
      <c r="A444" s="13">
        <v>55154</v>
      </c>
      <c r="B444" s="63">
        <f>6.8467 * CHOOSE(CONTROL!$C$22, $C$13, 100%, $E$13)</f>
        <v>6.8467000000000002</v>
      </c>
      <c r="C444" s="63">
        <f>6.8467 * CHOOSE(CONTROL!$C$22, $C$13, 100%, $E$13)</f>
        <v>6.8467000000000002</v>
      </c>
      <c r="D444" s="63">
        <f>6.8582 * CHOOSE(CONTROL!$C$22, $C$13, 100%, $E$13)</f>
        <v>6.8582000000000001</v>
      </c>
      <c r="E444" s="64">
        <f>7.9289 * CHOOSE(CONTROL!$C$22, $C$13, 100%, $E$13)</f>
        <v>7.9288999999999996</v>
      </c>
      <c r="F444" s="64">
        <f>7.9289 * CHOOSE(CONTROL!$C$22, $C$13, 100%, $E$13)</f>
        <v>7.9288999999999996</v>
      </c>
      <c r="G444" s="64">
        <f>7.929 * CHOOSE(CONTROL!$C$22, $C$13, 100%, $E$13)</f>
        <v>7.9290000000000003</v>
      </c>
      <c r="H444" s="64">
        <f>13.7355* CHOOSE(CONTROL!$C$22, $C$13, 100%, $E$13)</f>
        <v>13.7355</v>
      </c>
      <c r="I444" s="64">
        <f>13.7357 * CHOOSE(CONTROL!$C$22, $C$13, 100%, $E$13)</f>
        <v>13.7357</v>
      </c>
      <c r="J444" s="64">
        <f>7.9289 * CHOOSE(CONTROL!$C$22, $C$13, 100%, $E$13)</f>
        <v>7.9288999999999996</v>
      </c>
      <c r="K444" s="64">
        <f>7.929 * CHOOSE(CONTROL!$C$22, $C$13, 100%, $E$13)</f>
        <v>7.9290000000000003</v>
      </c>
    </row>
    <row r="445" spans="1:11" ht="15">
      <c r="A445" s="13">
        <v>55185</v>
      </c>
      <c r="B445" s="63">
        <f>6.8437 * CHOOSE(CONTROL!$C$22, $C$13, 100%, $E$13)</f>
        <v>6.8437000000000001</v>
      </c>
      <c r="C445" s="63">
        <f>6.8437 * CHOOSE(CONTROL!$C$22, $C$13, 100%, $E$13)</f>
        <v>6.8437000000000001</v>
      </c>
      <c r="D445" s="63">
        <f>6.8552 * CHOOSE(CONTROL!$C$22, $C$13, 100%, $E$13)</f>
        <v>6.8552</v>
      </c>
      <c r="E445" s="64">
        <f>7.8401 * CHOOSE(CONTROL!$C$22, $C$13, 100%, $E$13)</f>
        <v>7.8400999999999996</v>
      </c>
      <c r="F445" s="64">
        <f>7.8401 * CHOOSE(CONTROL!$C$22, $C$13, 100%, $E$13)</f>
        <v>7.8400999999999996</v>
      </c>
      <c r="G445" s="64">
        <f>7.8403 * CHOOSE(CONTROL!$C$22, $C$13, 100%, $E$13)</f>
        <v>7.8403</v>
      </c>
      <c r="H445" s="64">
        <f>13.7642* CHOOSE(CONTROL!$C$22, $C$13, 100%, $E$13)</f>
        <v>13.764200000000001</v>
      </c>
      <c r="I445" s="64">
        <f>13.7643 * CHOOSE(CONTROL!$C$22, $C$13, 100%, $E$13)</f>
        <v>13.7643</v>
      </c>
      <c r="J445" s="64">
        <f>7.8401 * CHOOSE(CONTROL!$C$22, $C$13, 100%, $E$13)</f>
        <v>7.8400999999999996</v>
      </c>
      <c r="K445" s="64">
        <f>7.8403 * CHOOSE(CONTROL!$C$22, $C$13, 100%, $E$13)</f>
        <v>7.8403</v>
      </c>
    </row>
    <row r="446" spans="1:11" ht="15">
      <c r="A446" s="13">
        <v>55213</v>
      </c>
      <c r="B446" s="63">
        <f>6.8406 * CHOOSE(CONTROL!$C$22, $C$13, 100%, $E$13)</f>
        <v>6.8406000000000002</v>
      </c>
      <c r="C446" s="63">
        <f>6.8406 * CHOOSE(CONTROL!$C$22, $C$13, 100%, $E$13)</f>
        <v>6.8406000000000002</v>
      </c>
      <c r="D446" s="63">
        <f>6.8522 * CHOOSE(CONTROL!$C$22, $C$13, 100%, $E$13)</f>
        <v>6.8521999999999998</v>
      </c>
      <c r="E446" s="64">
        <f>7.9063 * CHOOSE(CONTROL!$C$22, $C$13, 100%, $E$13)</f>
        <v>7.9062999999999999</v>
      </c>
      <c r="F446" s="64">
        <f>7.9063 * CHOOSE(CONTROL!$C$22, $C$13, 100%, $E$13)</f>
        <v>7.9062999999999999</v>
      </c>
      <c r="G446" s="64">
        <f>7.9065 * CHOOSE(CONTROL!$C$22, $C$13, 100%, $E$13)</f>
        <v>7.9065000000000003</v>
      </c>
      <c r="H446" s="64">
        <f>13.7928* CHOOSE(CONTROL!$C$22, $C$13, 100%, $E$13)</f>
        <v>13.7928</v>
      </c>
      <c r="I446" s="64">
        <f>13.793 * CHOOSE(CONTROL!$C$22, $C$13, 100%, $E$13)</f>
        <v>13.792999999999999</v>
      </c>
      <c r="J446" s="64">
        <f>7.9063 * CHOOSE(CONTROL!$C$22, $C$13, 100%, $E$13)</f>
        <v>7.9062999999999999</v>
      </c>
      <c r="K446" s="64">
        <f>7.9065 * CHOOSE(CONTROL!$C$22, $C$13, 100%, $E$13)</f>
        <v>7.9065000000000003</v>
      </c>
    </row>
    <row r="447" spans="1:11" ht="15">
      <c r="A447" s="13">
        <v>55244</v>
      </c>
      <c r="B447" s="63">
        <f>6.8408 * CHOOSE(CONTROL!$C$22, $C$13, 100%, $E$13)</f>
        <v>6.8407999999999998</v>
      </c>
      <c r="C447" s="63">
        <f>6.8408 * CHOOSE(CONTROL!$C$22, $C$13, 100%, $E$13)</f>
        <v>6.8407999999999998</v>
      </c>
      <c r="D447" s="63">
        <f>6.8523 * CHOOSE(CONTROL!$C$22, $C$13, 100%, $E$13)</f>
        <v>6.8522999999999996</v>
      </c>
      <c r="E447" s="64">
        <f>7.9754 * CHOOSE(CONTROL!$C$22, $C$13, 100%, $E$13)</f>
        <v>7.9753999999999996</v>
      </c>
      <c r="F447" s="64">
        <f>7.9754 * CHOOSE(CONTROL!$C$22, $C$13, 100%, $E$13)</f>
        <v>7.9753999999999996</v>
      </c>
      <c r="G447" s="64">
        <f>7.9756 * CHOOSE(CONTROL!$C$22, $C$13, 100%, $E$13)</f>
        <v>7.9756</v>
      </c>
      <c r="H447" s="64">
        <f>13.8216* CHOOSE(CONTROL!$C$22, $C$13, 100%, $E$13)</f>
        <v>13.8216</v>
      </c>
      <c r="I447" s="64">
        <f>13.8217 * CHOOSE(CONTROL!$C$22, $C$13, 100%, $E$13)</f>
        <v>13.8217</v>
      </c>
      <c r="J447" s="64">
        <f>7.9754 * CHOOSE(CONTROL!$C$22, $C$13, 100%, $E$13)</f>
        <v>7.9753999999999996</v>
      </c>
      <c r="K447" s="64">
        <f>7.9756 * CHOOSE(CONTROL!$C$22, $C$13, 100%, $E$13)</f>
        <v>7.9756</v>
      </c>
    </row>
    <row r="448" spans="1:11" ht="15">
      <c r="A448" s="13">
        <v>55274</v>
      </c>
      <c r="B448" s="63">
        <f>6.8408 * CHOOSE(CONTROL!$C$22, $C$13, 100%, $E$13)</f>
        <v>6.8407999999999998</v>
      </c>
      <c r="C448" s="63">
        <f>6.8408 * CHOOSE(CONTROL!$C$22, $C$13, 100%, $E$13)</f>
        <v>6.8407999999999998</v>
      </c>
      <c r="D448" s="63">
        <f>6.8639 * CHOOSE(CONTROL!$C$22, $C$13, 100%, $E$13)</f>
        <v>6.8639000000000001</v>
      </c>
      <c r="E448" s="64">
        <f>8.0029 * CHOOSE(CONTROL!$C$22, $C$13, 100%, $E$13)</f>
        <v>8.0029000000000003</v>
      </c>
      <c r="F448" s="64">
        <f>8.0029 * CHOOSE(CONTROL!$C$22, $C$13, 100%, $E$13)</f>
        <v>8.0029000000000003</v>
      </c>
      <c r="G448" s="64">
        <f>8.0044 * CHOOSE(CONTROL!$C$22, $C$13, 100%, $E$13)</f>
        <v>8.0044000000000004</v>
      </c>
      <c r="H448" s="64">
        <f>13.8504* CHOOSE(CONTROL!$C$22, $C$13, 100%, $E$13)</f>
        <v>13.8504</v>
      </c>
      <c r="I448" s="64">
        <f>13.8519 * CHOOSE(CONTROL!$C$22, $C$13, 100%, $E$13)</f>
        <v>13.851900000000001</v>
      </c>
      <c r="J448" s="64">
        <f>8.0029 * CHOOSE(CONTROL!$C$22, $C$13, 100%, $E$13)</f>
        <v>8.0029000000000003</v>
      </c>
      <c r="K448" s="64">
        <f>8.0044 * CHOOSE(CONTROL!$C$22, $C$13, 100%, $E$13)</f>
        <v>8.0044000000000004</v>
      </c>
    </row>
    <row r="449" spans="1:11" ht="15">
      <c r="A449" s="13">
        <v>55305</v>
      </c>
      <c r="B449" s="63">
        <f>6.8469 * CHOOSE(CONTROL!$C$22, $C$13, 100%, $E$13)</f>
        <v>6.8468999999999998</v>
      </c>
      <c r="C449" s="63">
        <f>6.8469 * CHOOSE(CONTROL!$C$22, $C$13, 100%, $E$13)</f>
        <v>6.8468999999999998</v>
      </c>
      <c r="D449" s="63">
        <f>6.87 * CHOOSE(CONTROL!$C$22, $C$13, 100%, $E$13)</f>
        <v>6.87</v>
      </c>
      <c r="E449" s="64">
        <f>7.9796 * CHOOSE(CONTROL!$C$22, $C$13, 100%, $E$13)</f>
        <v>7.9795999999999996</v>
      </c>
      <c r="F449" s="64">
        <f>7.9796 * CHOOSE(CONTROL!$C$22, $C$13, 100%, $E$13)</f>
        <v>7.9795999999999996</v>
      </c>
      <c r="G449" s="64">
        <f>7.9811 * CHOOSE(CONTROL!$C$22, $C$13, 100%, $E$13)</f>
        <v>7.9810999999999996</v>
      </c>
      <c r="H449" s="64">
        <f>13.8792* CHOOSE(CONTROL!$C$22, $C$13, 100%, $E$13)</f>
        <v>13.879200000000001</v>
      </c>
      <c r="I449" s="64">
        <f>13.8807 * CHOOSE(CONTROL!$C$22, $C$13, 100%, $E$13)</f>
        <v>13.880699999999999</v>
      </c>
      <c r="J449" s="64">
        <f>7.9796 * CHOOSE(CONTROL!$C$22, $C$13, 100%, $E$13)</f>
        <v>7.9795999999999996</v>
      </c>
      <c r="K449" s="64">
        <f>7.9811 * CHOOSE(CONTROL!$C$22, $C$13, 100%, $E$13)</f>
        <v>7.9810999999999996</v>
      </c>
    </row>
    <row r="450" spans="1:11" ht="15">
      <c r="A450" s="13">
        <v>55335</v>
      </c>
      <c r="B450" s="63">
        <f>6.9594 * CHOOSE(CONTROL!$C$22, $C$13, 100%, $E$13)</f>
        <v>6.9593999999999996</v>
      </c>
      <c r="C450" s="63">
        <f>6.9594 * CHOOSE(CONTROL!$C$22, $C$13, 100%, $E$13)</f>
        <v>6.9593999999999996</v>
      </c>
      <c r="D450" s="63">
        <f>6.9825 * CHOOSE(CONTROL!$C$22, $C$13, 100%, $E$13)</f>
        <v>6.9824999999999999</v>
      </c>
      <c r="E450" s="64">
        <f>8.1367 * CHOOSE(CONTROL!$C$22, $C$13, 100%, $E$13)</f>
        <v>8.1366999999999994</v>
      </c>
      <c r="F450" s="64">
        <f>8.1367 * CHOOSE(CONTROL!$C$22, $C$13, 100%, $E$13)</f>
        <v>8.1366999999999994</v>
      </c>
      <c r="G450" s="64">
        <f>8.1382 * CHOOSE(CONTROL!$C$22, $C$13, 100%, $E$13)</f>
        <v>8.1381999999999994</v>
      </c>
      <c r="H450" s="64">
        <f>13.9081* CHOOSE(CONTROL!$C$22, $C$13, 100%, $E$13)</f>
        <v>13.908099999999999</v>
      </c>
      <c r="I450" s="64">
        <f>13.9096 * CHOOSE(CONTROL!$C$22, $C$13, 100%, $E$13)</f>
        <v>13.909599999999999</v>
      </c>
      <c r="J450" s="64">
        <f>8.1367 * CHOOSE(CONTROL!$C$22, $C$13, 100%, $E$13)</f>
        <v>8.1366999999999994</v>
      </c>
      <c r="K450" s="64">
        <f>8.1382 * CHOOSE(CONTROL!$C$22, $C$13, 100%, $E$13)</f>
        <v>8.1381999999999994</v>
      </c>
    </row>
    <row r="451" spans="1:11" ht="15">
      <c r="A451" s="13">
        <v>55366</v>
      </c>
      <c r="B451" s="63">
        <f>6.9661 * CHOOSE(CONTROL!$C$22, $C$13, 100%, $E$13)</f>
        <v>6.9661</v>
      </c>
      <c r="C451" s="63">
        <f>6.9661 * CHOOSE(CONTROL!$C$22, $C$13, 100%, $E$13)</f>
        <v>6.9661</v>
      </c>
      <c r="D451" s="63">
        <f>6.9892 * CHOOSE(CONTROL!$C$22, $C$13, 100%, $E$13)</f>
        <v>6.9892000000000003</v>
      </c>
      <c r="E451" s="64">
        <f>8.0589 * CHOOSE(CONTROL!$C$22, $C$13, 100%, $E$13)</f>
        <v>8.0588999999999995</v>
      </c>
      <c r="F451" s="64">
        <f>8.0589 * CHOOSE(CONTROL!$C$22, $C$13, 100%, $E$13)</f>
        <v>8.0588999999999995</v>
      </c>
      <c r="G451" s="64">
        <f>8.0604 * CHOOSE(CONTROL!$C$22, $C$13, 100%, $E$13)</f>
        <v>8.0603999999999996</v>
      </c>
      <c r="H451" s="64">
        <f>13.9371* CHOOSE(CONTROL!$C$22, $C$13, 100%, $E$13)</f>
        <v>13.937099999999999</v>
      </c>
      <c r="I451" s="64">
        <f>13.9386 * CHOOSE(CONTROL!$C$22, $C$13, 100%, $E$13)</f>
        <v>13.938599999999999</v>
      </c>
      <c r="J451" s="64">
        <f>8.0589 * CHOOSE(CONTROL!$C$22, $C$13, 100%, $E$13)</f>
        <v>8.0588999999999995</v>
      </c>
      <c r="K451" s="64">
        <f>8.0604 * CHOOSE(CONTROL!$C$22, $C$13, 100%, $E$13)</f>
        <v>8.0603999999999996</v>
      </c>
    </row>
    <row r="452" spans="1:11" ht="15">
      <c r="A452" s="13">
        <v>55397</v>
      </c>
      <c r="B452" s="63">
        <f>6.963 * CHOOSE(CONTROL!$C$22, $C$13, 100%, $E$13)</f>
        <v>6.9630000000000001</v>
      </c>
      <c r="C452" s="63">
        <f>6.963 * CHOOSE(CONTROL!$C$22, $C$13, 100%, $E$13)</f>
        <v>6.9630000000000001</v>
      </c>
      <c r="D452" s="63">
        <f>6.9861 * CHOOSE(CONTROL!$C$22, $C$13, 100%, $E$13)</f>
        <v>6.9861000000000004</v>
      </c>
      <c r="E452" s="64">
        <f>8.0476 * CHOOSE(CONTROL!$C$22, $C$13, 100%, $E$13)</f>
        <v>8.0475999999999992</v>
      </c>
      <c r="F452" s="64">
        <f>8.0476 * CHOOSE(CONTROL!$C$22, $C$13, 100%, $E$13)</f>
        <v>8.0475999999999992</v>
      </c>
      <c r="G452" s="64">
        <f>8.0491 * CHOOSE(CONTROL!$C$22, $C$13, 100%, $E$13)</f>
        <v>8.0490999999999993</v>
      </c>
      <c r="H452" s="64">
        <f>13.9661* CHOOSE(CONTROL!$C$22, $C$13, 100%, $E$13)</f>
        <v>13.966100000000001</v>
      </c>
      <c r="I452" s="64">
        <f>13.9676 * CHOOSE(CONTROL!$C$22, $C$13, 100%, $E$13)</f>
        <v>13.967599999999999</v>
      </c>
      <c r="J452" s="64">
        <f>8.0476 * CHOOSE(CONTROL!$C$22, $C$13, 100%, $E$13)</f>
        <v>8.0475999999999992</v>
      </c>
      <c r="K452" s="64">
        <f>8.0491 * CHOOSE(CONTROL!$C$22, $C$13, 100%, $E$13)</f>
        <v>8.0490999999999993</v>
      </c>
    </row>
    <row r="453" spans="1:11" ht="15">
      <c r="A453" s="13">
        <v>55427</v>
      </c>
      <c r="B453" s="63">
        <f>6.9682 * CHOOSE(CONTROL!$C$22, $C$13, 100%, $E$13)</f>
        <v>6.9682000000000004</v>
      </c>
      <c r="C453" s="63">
        <f>6.9682 * CHOOSE(CONTROL!$C$22, $C$13, 100%, $E$13)</f>
        <v>6.9682000000000004</v>
      </c>
      <c r="D453" s="63">
        <f>6.9797 * CHOOSE(CONTROL!$C$22, $C$13, 100%, $E$13)</f>
        <v>6.9797000000000002</v>
      </c>
      <c r="E453" s="64">
        <f>8.0709 * CHOOSE(CONTROL!$C$22, $C$13, 100%, $E$13)</f>
        <v>8.0709</v>
      </c>
      <c r="F453" s="64">
        <f>8.0709 * CHOOSE(CONTROL!$C$22, $C$13, 100%, $E$13)</f>
        <v>8.0709</v>
      </c>
      <c r="G453" s="64">
        <f>8.071 * CHOOSE(CONTROL!$C$22, $C$13, 100%, $E$13)</f>
        <v>8.0709999999999997</v>
      </c>
      <c r="H453" s="64">
        <f>13.9952* CHOOSE(CONTROL!$C$22, $C$13, 100%, $E$13)</f>
        <v>13.995200000000001</v>
      </c>
      <c r="I453" s="64">
        <f>13.9954 * CHOOSE(CONTROL!$C$22, $C$13, 100%, $E$13)</f>
        <v>13.9954</v>
      </c>
      <c r="J453" s="64">
        <f>8.0709 * CHOOSE(CONTROL!$C$22, $C$13, 100%, $E$13)</f>
        <v>8.0709</v>
      </c>
      <c r="K453" s="64">
        <f>8.071 * CHOOSE(CONTROL!$C$22, $C$13, 100%, $E$13)</f>
        <v>8.0709999999999997</v>
      </c>
    </row>
    <row r="454" spans="1:11" ht="15">
      <c r="A454" s="13">
        <v>55458</v>
      </c>
      <c r="B454" s="63">
        <f>6.9712 * CHOOSE(CONTROL!$C$22, $C$13, 100%, $E$13)</f>
        <v>6.9711999999999996</v>
      </c>
      <c r="C454" s="63">
        <f>6.9712 * CHOOSE(CONTROL!$C$22, $C$13, 100%, $E$13)</f>
        <v>6.9711999999999996</v>
      </c>
      <c r="D454" s="63">
        <f>6.9828 * CHOOSE(CONTROL!$C$22, $C$13, 100%, $E$13)</f>
        <v>6.9828000000000001</v>
      </c>
      <c r="E454" s="64">
        <f>8.0913 * CHOOSE(CONTROL!$C$22, $C$13, 100%, $E$13)</f>
        <v>8.0913000000000004</v>
      </c>
      <c r="F454" s="64">
        <f>8.0913 * CHOOSE(CONTROL!$C$22, $C$13, 100%, $E$13)</f>
        <v>8.0913000000000004</v>
      </c>
      <c r="G454" s="64">
        <f>8.0915 * CHOOSE(CONTROL!$C$22, $C$13, 100%, $E$13)</f>
        <v>8.0914999999999999</v>
      </c>
      <c r="H454" s="64">
        <f>14.0244* CHOOSE(CONTROL!$C$22, $C$13, 100%, $E$13)</f>
        <v>14.0244</v>
      </c>
      <c r="I454" s="64">
        <f>14.0246 * CHOOSE(CONTROL!$C$22, $C$13, 100%, $E$13)</f>
        <v>14.0246</v>
      </c>
      <c r="J454" s="64">
        <f>8.0913 * CHOOSE(CONTROL!$C$22, $C$13, 100%, $E$13)</f>
        <v>8.0913000000000004</v>
      </c>
      <c r="K454" s="64">
        <f>8.0915 * CHOOSE(CONTROL!$C$22, $C$13, 100%, $E$13)</f>
        <v>8.0914999999999999</v>
      </c>
    </row>
    <row r="455" spans="1:11" ht="15">
      <c r="A455" s="13">
        <v>55488</v>
      </c>
      <c r="B455" s="63">
        <f>6.9712 * CHOOSE(CONTROL!$C$22, $C$13, 100%, $E$13)</f>
        <v>6.9711999999999996</v>
      </c>
      <c r="C455" s="63">
        <f>6.9712 * CHOOSE(CONTROL!$C$22, $C$13, 100%, $E$13)</f>
        <v>6.9711999999999996</v>
      </c>
      <c r="D455" s="63">
        <f>6.9828 * CHOOSE(CONTROL!$C$22, $C$13, 100%, $E$13)</f>
        <v>6.9828000000000001</v>
      </c>
      <c r="E455" s="64">
        <f>8.0455 * CHOOSE(CONTROL!$C$22, $C$13, 100%, $E$13)</f>
        <v>8.0455000000000005</v>
      </c>
      <c r="F455" s="64">
        <f>8.0455 * CHOOSE(CONTROL!$C$22, $C$13, 100%, $E$13)</f>
        <v>8.0455000000000005</v>
      </c>
      <c r="G455" s="64">
        <f>8.0456 * CHOOSE(CONTROL!$C$22, $C$13, 100%, $E$13)</f>
        <v>8.0456000000000003</v>
      </c>
      <c r="H455" s="64">
        <f>14.0536* CHOOSE(CONTROL!$C$22, $C$13, 100%, $E$13)</f>
        <v>14.053599999999999</v>
      </c>
      <c r="I455" s="64">
        <f>14.0538 * CHOOSE(CONTROL!$C$22, $C$13, 100%, $E$13)</f>
        <v>14.053800000000001</v>
      </c>
      <c r="J455" s="64">
        <f>8.0455 * CHOOSE(CONTROL!$C$22, $C$13, 100%, $E$13)</f>
        <v>8.0455000000000005</v>
      </c>
      <c r="K455" s="64">
        <f>8.0456 * CHOOSE(CONTROL!$C$22, $C$13, 100%, $E$13)</f>
        <v>8.0456000000000003</v>
      </c>
    </row>
    <row r="456" spans="1:11" ht="15">
      <c r="A456" s="13">
        <v>55519</v>
      </c>
      <c r="B456" s="63">
        <f>7.0336 * CHOOSE(CONTROL!$C$22, $C$13, 100%, $E$13)</f>
        <v>7.0335999999999999</v>
      </c>
      <c r="C456" s="63">
        <f>7.0336 * CHOOSE(CONTROL!$C$22, $C$13, 100%, $E$13)</f>
        <v>7.0335999999999999</v>
      </c>
      <c r="D456" s="63">
        <f>7.0451 * CHOOSE(CONTROL!$C$22, $C$13, 100%, $E$13)</f>
        <v>7.0450999999999997</v>
      </c>
      <c r="E456" s="64">
        <f>8.1507 * CHOOSE(CONTROL!$C$22, $C$13, 100%, $E$13)</f>
        <v>8.1507000000000005</v>
      </c>
      <c r="F456" s="64">
        <f>8.1507 * CHOOSE(CONTROL!$C$22, $C$13, 100%, $E$13)</f>
        <v>8.1507000000000005</v>
      </c>
      <c r="G456" s="64">
        <f>8.1509 * CHOOSE(CONTROL!$C$22, $C$13, 100%, $E$13)</f>
        <v>8.1509</v>
      </c>
      <c r="H456" s="64">
        <f>14.0829* CHOOSE(CONTROL!$C$22, $C$13, 100%, $E$13)</f>
        <v>14.0829</v>
      </c>
      <c r="I456" s="64">
        <f>14.0831 * CHOOSE(CONTROL!$C$22, $C$13, 100%, $E$13)</f>
        <v>14.0831</v>
      </c>
      <c r="J456" s="64">
        <f>8.1507 * CHOOSE(CONTROL!$C$22, $C$13, 100%, $E$13)</f>
        <v>8.1507000000000005</v>
      </c>
      <c r="K456" s="64">
        <f>8.1509 * CHOOSE(CONTROL!$C$22, $C$13, 100%, $E$13)</f>
        <v>8.1509</v>
      </c>
    </row>
    <row r="457" spans="1:11" ht="15">
      <c r="A457" s="13">
        <v>55550</v>
      </c>
      <c r="B457" s="63">
        <f>7.0305 * CHOOSE(CONTROL!$C$22, $C$13, 100%, $E$13)</f>
        <v>7.0305</v>
      </c>
      <c r="C457" s="63">
        <f>7.0305 * CHOOSE(CONTROL!$C$22, $C$13, 100%, $E$13)</f>
        <v>7.0305</v>
      </c>
      <c r="D457" s="63">
        <f>7.0421 * CHOOSE(CONTROL!$C$22, $C$13, 100%, $E$13)</f>
        <v>7.0420999999999996</v>
      </c>
      <c r="E457" s="64">
        <f>8.0596 * CHOOSE(CONTROL!$C$22, $C$13, 100%, $E$13)</f>
        <v>8.0595999999999997</v>
      </c>
      <c r="F457" s="64">
        <f>8.0596 * CHOOSE(CONTROL!$C$22, $C$13, 100%, $E$13)</f>
        <v>8.0595999999999997</v>
      </c>
      <c r="G457" s="64">
        <f>8.0598 * CHOOSE(CONTROL!$C$22, $C$13, 100%, $E$13)</f>
        <v>8.0597999999999992</v>
      </c>
      <c r="H457" s="64">
        <f>14.1122* CHOOSE(CONTROL!$C$22, $C$13, 100%, $E$13)</f>
        <v>14.1122</v>
      </c>
      <c r="I457" s="64">
        <f>14.1124 * CHOOSE(CONTROL!$C$22, $C$13, 100%, $E$13)</f>
        <v>14.112399999999999</v>
      </c>
      <c r="J457" s="64">
        <f>8.0596 * CHOOSE(CONTROL!$C$22, $C$13, 100%, $E$13)</f>
        <v>8.0595999999999997</v>
      </c>
      <c r="K457" s="64">
        <f>8.0598 * CHOOSE(CONTROL!$C$22, $C$13, 100%, $E$13)</f>
        <v>8.0597999999999992</v>
      </c>
    </row>
    <row r="458" spans="1:11" ht="15">
      <c r="A458" s="13">
        <v>55579</v>
      </c>
      <c r="B458" s="63">
        <f>7.0275 * CHOOSE(CONTROL!$C$22, $C$13, 100%, $E$13)</f>
        <v>7.0274999999999999</v>
      </c>
      <c r="C458" s="63">
        <f>7.0275 * CHOOSE(CONTROL!$C$22, $C$13, 100%, $E$13)</f>
        <v>7.0274999999999999</v>
      </c>
      <c r="D458" s="63">
        <f>7.039 * CHOOSE(CONTROL!$C$22, $C$13, 100%, $E$13)</f>
        <v>7.0389999999999997</v>
      </c>
      <c r="E458" s="64">
        <f>8.1277 * CHOOSE(CONTROL!$C$22, $C$13, 100%, $E$13)</f>
        <v>8.1277000000000008</v>
      </c>
      <c r="F458" s="64">
        <f>8.1277 * CHOOSE(CONTROL!$C$22, $C$13, 100%, $E$13)</f>
        <v>8.1277000000000008</v>
      </c>
      <c r="G458" s="64">
        <f>8.1278 * CHOOSE(CONTROL!$C$22, $C$13, 100%, $E$13)</f>
        <v>8.1278000000000006</v>
      </c>
      <c r="H458" s="64">
        <f>14.1416* CHOOSE(CONTROL!$C$22, $C$13, 100%, $E$13)</f>
        <v>14.1416</v>
      </c>
      <c r="I458" s="64">
        <f>14.1418 * CHOOSE(CONTROL!$C$22, $C$13, 100%, $E$13)</f>
        <v>14.1418</v>
      </c>
      <c r="J458" s="64">
        <f>8.1277 * CHOOSE(CONTROL!$C$22, $C$13, 100%, $E$13)</f>
        <v>8.1277000000000008</v>
      </c>
      <c r="K458" s="64">
        <f>8.1278 * CHOOSE(CONTROL!$C$22, $C$13, 100%, $E$13)</f>
        <v>8.1278000000000006</v>
      </c>
    </row>
    <row r="459" spans="1:11" ht="15">
      <c r="A459" s="13">
        <v>55610</v>
      </c>
      <c r="B459" s="63">
        <f>7.0278 * CHOOSE(CONTROL!$C$22, $C$13, 100%, $E$13)</f>
        <v>7.0278</v>
      </c>
      <c r="C459" s="63">
        <f>7.0278 * CHOOSE(CONTROL!$C$22, $C$13, 100%, $E$13)</f>
        <v>7.0278</v>
      </c>
      <c r="D459" s="63">
        <f>7.0394 * CHOOSE(CONTROL!$C$22, $C$13, 100%, $E$13)</f>
        <v>7.0393999999999997</v>
      </c>
      <c r="E459" s="64">
        <f>8.1988 * CHOOSE(CONTROL!$C$22, $C$13, 100%, $E$13)</f>
        <v>8.1988000000000003</v>
      </c>
      <c r="F459" s="64">
        <f>8.1988 * CHOOSE(CONTROL!$C$22, $C$13, 100%, $E$13)</f>
        <v>8.1988000000000003</v>
      </c>
      <c r="G459" s="64">
        <f>8.199 * CHOOSE(CONTROL!$C$22, $C$13, 100%, $E$13)</f>
        <v>8.1989999999999998</v>
      </c>
      <c r="H459" s="64">
        <f>14.1711* CHOOSE(CONTROL!$C$22, $C$13, 100%, $E$13)</f>
        <v>14.171099999999999</v>
      </c>
      <c r="I459" s="64">
        <f>14.1713 * CHOOSE(CONTROL!$C$22, $C$13, 100%, $E$13)</f>
        <v>14.1713</v>
      </c>
      <c r="J459" s="64">
        <f>8.1988 * CHOOSE(CONTROL!$C$22, $C$13, 100%, $E$13)</f>
        <v>8.1988000000000003</v>
      </c>
      <c r="K459" s="64">
        <f>8.199 * CHOOSE(CONTROL!$C$22, $C$13, 100%, $E$13)</f>
        <v>8.1989999999999998</v>
      </c>
    </row>
    <row r="460" spans="1:11" ht="15">
      <c r="A460" s="13">
        <v>55640</v>
      </c>
      <c r="B460" s="63">
        <f>7.0278 * CHOOSE(CONTROL!$C$22, $C$13, 100%, $E$13)</f>
        <v>7.0278</v>
      </c>
      <c r="C460" s="63">
        <f>7.0278 * CHOOSE(CONTROL!$C$22, $C$13, 100%, $E$13)</f>
        <v>7.0278</v>
      </c>
      <c r="D460" s="63">
        <f>7.0509 * CHOOSE(CONTROL!$C$22, $C$13, 100%, $E$13)</f>
        <v>7.0509000000000004</v>
      </c>
      <c r="E460" s="64">
        <f>8.2271 * CHOOSE(CONTROL!$C$22, $C$13, 100%, $E$13)</f>
        <v>8.2271000000000001</v>
      </c>
      <c r="F460" s="64">
        <f>8.2271 * CHOOSE(CONTROL!$C$22, $C$13, 100%, $E$13)</f>
        <v>8.2271000000000001</v>
      </c>
      <c r="G460" s="64">
        <f>8.2286 * CHOOSE(CONTROL!$C$22, $C$13, 100%, $E$13)</f>
        <v>8.2286000000000001</v>
      </c>
      <c r="H460" s="64">
        <f>14.2006* CHOOSE(CONTROL!$C$22, $C$13, 100%, $E$13)</f>
        <v>14.2006</v>
      </c>
      <c r="I460" s="64">
        <f>14.2021 * CHOOSE(CONTROL!$C$22, $C$13, 100%, $E$13)</f>
        <v>14.2021</v>
      </c>
      <c r="J460" s="64">
        <f>8.2271 * CHOOSE(CONTROL!$C$22, $C$13, 100%, $E$13)</f>
        <v>8.2271000000000001</v>
      </c>
      <c r="K460" s="64">
        <f>8.2286 * CHOOSE(CONTROL!$C$22, $C$13, 100%, $E$13)</f>
        <v>8.2286000000000001</v>
      </c>
    </row>
    <row r="461" spans="1:11" ht="15">
      <c r="A461" s="13">
        <v>55671</v>
      </c>
      <c r="B461" s="63">
        <f>7.0339 * CHOOSE(CONTROL!$C$22, $C$13, 100%, $E$13)</f>
        <v>7.0339</v>
      </c>
      <c r="C461" s="63">
        <f>7.0339 * CHOOSE(CONTROL!$C$22, $C$13, 100%, $E$13)</f>
        <v>7.0339</v>
      </c>
      <c r="D461" s="63">
        <f>7.057 * CHOOSE(CONTROL!$C$22, $C$13, 100%, $E$13)</f>
        <v>7.0570000000000004</v>
      </c>
      <c r="E461" s="64">
        <f>8.203 * CHOOSE(CONTROL!$C$22, $C$13, 100%, $E$13)</f>
        <v>8.2029999999999994</v>
      </c>
      <c r="F461" s="64">
        <f>8.203 * CHOOSE(CONTROL!$C$22, $C$13, 100%, $E$13)</f>
        <v>8.2029999999999994</v>
      </c>
      <c r="G461" s="64">
        <f>8.2045 * CHOOSE(CONTROL!$C$22, $C$13, 100%, $E$13)</f>
        <v>8.2044999999999995</v>
      </c>
      <c r="H461" s="64">
        <f>14.2302* CHOOSE(CONTROL!$C$22, $C$13, 100%, $E$13)</f>
        <v>14.2302</v>
      </c>
      <c r="I461" s="64">
        <f>14.2317 * CHOOSE(CONTROL!$C$22, $C$13, 100%, $E$13)</f>
        <v>14.2317</v>
      </c>
      <c r="J461" s="64">
        <f>8.203 * CHOOSE(CONTROL!$C$22, $C$13, 100%, $E$13)</f>
        <v>8.2029999999999994</v>
      </c>
      <c r="K461" s="64">
        <f>8.2045 * CHOOSE(CONTROL!$C$22, $C$13, 100%, $E$13)</f>
        <v>8.2044999999999995</v>
      </c>
    </row>
    <row r="462" spans="1:11" ht="15">
      <c r="A462" s="13">
        <v>55701</v>
      </c>
      <c r="B462" s="63">
        <f>7.1492 * CHOOSE(CONTROL!$C$22, $C$13, 100%, $E$13)</f>
        <v>7.1492000000000004</v>
      </c>
      <c r="C462" s="63">
        <f>7.1492 * CHOOSE(CONTROL!$C$22, $C$13, 100%, $E$13)</f>
        <v>7.1492000000000004</v>
      </c>
      <c r="D462" s="63">
        <f>7.1723 * CHOOSE(CONTROL!$C$22, $C$13, 100%, $E$13)</f>
        <v>7.1722999999999999</v>
      </c>
      <c r="E462" s="64">
        <f>8.3643 * CHOOSE(CONTROL!$C$22, $C$13, 100%, $E$13)</f>
        <v>8.3643000000000001</v>
      </c>
      <c r="F462" s="64">
        <f>8.3643 * CHOOSE(CONTROL!$C$22, $C$13, 100%, $E$13)</f>
        <v>8.3643000000000001</v>
      </c>
      <c r="G462" s="64">
        <f>8.3658 * CHOOSE(CONTROL!$C$22, $C$13, 100%, $E$13)</f>
        <v>8.3658000000000001</v>
      </c>
      <c r="H462" s="64">
        <f>14.2598* CHOOSE(CONTROL!$C$22, $C$13, 100%, $E$13)</f>
        <v>14.2598</v>
      </c>
      <c r="I462" s="64">
        <f>14.2613 * CHOOSE(CONTROL!$C$22, $C$13, 100%, $E$13)</f>
        <v>14.2613</v>
      </c>
      <c r="J462" s="64">
        <f>8.3643 * CHOOSE(CONTROL!$C$22, $C$13, 100%, $E$13)</f>
        <v>8.3643000000000001</v>
      </c>
      <c r="K462" s="64">
        <f>8.3658 * CHOOSE(CONTROL!$C$22, $C$13, 100%, $E$13)</f>
        <v>8.3658000000000001</v>
      </c>
    </row>
    <row r="463" spans="1:11" ht="15">
      <c r="A463" s="13">
        <v>55732</v>
      </c>
      <c r="B463" s="63">
        <f>7.1559 * CHOOSE(CONTROL!$C$22, $C$13, 100%, $E$13)</f>
        <v>7.1558999999999999</v>
      </c>
      <c r="C463" s="63">
        <f>7.1559 * CHOOSE(CONTROL!$C$22, $C$13, 100%, $E$13)</f>
        <v>7.1558999999999999</v>
      </c>
      <c r="D463" s="63">
        <f>7.179 * CHOOSE(CONTROL!$C$22, $C$13, 100%, $E$13)</f>
        <v>7.1790000000000003</v>
      </c>
      <c r="E463" s="64">
        <f>8.2841 * CHOOSE(CONTROL!$C$22, $C$13, 100%, $E$13)</f>
        <v>8.2841000000000005</v>
      </c>
      <c r="F463" s="64">
        <f>8.2841 * CHOOSE(CONTROL!$C$22, $C$13, 100%, $E$13)</f>
        <v>8.2841000000000005</v>
      </c>
      <c r="G463" s="64">
        <f>8.2856 * CHOOSE(CONTROL!$C$22, $C$13, 100%, $E$13)</f>
        <v>8.2856000000000005</v>
      </c>
      <c r="H463" s="64">
        <f>14.2896* CHOOSE(CONTROL!$C$22, $C$13, 100%, $E$13)</f>
        <v>14.2896</v>
      </c>
      <c r="I463" s="64">
        <f>14.291 * CHOOSE(CONTROL!$C$22, $C$13, 100%, $E$13)</f>
        <v>14.291</v>
      </c>
      <c r="J463" s="64">
        <f>8.2841 * CHOOSE(CONTROL!$C$22, $C$13, 100%, $E$13)</f>
        <v>8.2841000000000005</v>
      </c>
      <c r="K463" s="64">
        <f>8.2856 * CHOOSE(CONTROL!$C$22, $C$13, 100%, $E$13)</f>
        <v>8.2856000000000005</v>
      </c>
    </row>
    <row r="464" spans="1:11" ht="15">
      <c r="A464" s="13">
        <v>55763</v>
      </c>
      <c r="B464" s="63">
        <f>7.1528 * CHOOSE(CONTROL!$C$22, $C$13, 100%, $E$13)</f>
        <v>7.1528</v>
      </c>
      <c r="C464" s="63">
        <f>7.1528 * CHOOSE(CONTROL!$C$22, $C$13, 100%, $E$13)</f>
        <v>7.1528</v>
      </c>
      <c r="D464" s="63">
        <f>7.1759 * CHOOSE(CONTROL!$C$22, $C$13, 100%, $E$13)</f>
        <v>7.1759000000000004</v>
      </c>
      <c r="E464" s="64">
        <f>8.2726 * CHOOSE(CONTROL!$C$22, $C$13, 100%, $E$13)</f>
        <v>8.2726000000000006</v>
      </c>
      <c r="F464" s="64">
        <f>8.2726 * CHOOSE(CONTROL!$C$22, $C$13, 100%, $E$13)</f>
        <v>8.2726000000000006</v>
      </c>
      <c r="G464" s="64">
        <f>8.2741 * CHOOSE(CONTROL!$C$22, $C$13, 100%, $E$13)</f>
        <v>8.2741000000000007</v>
      </c>
      <c r="H464" s="64">
        <f>14.3193* CHOOSE(CONTROL!$C$22, $C$13, 100%, $E$13)</f>
        <v>14.3193</v>
      </c>
      <c r="I464" s="64">
        <f>14.3208 * CHOOSE(CONTROL!$C$22, $C$13, 100%, $E$13)</f>
        <v>14.3208</v>
      </c>
      <c r="J464" s="64">
        <f>8.2726 * CHOOSE(CONTROL!$C$22, $C$13, 100%, $E$13)</f>
        <v>8.2726000000000006</v>
      </c>
      <c r="K464" s="64">
        <f>8.2741 * CHOOSE(CONTROL!$C$22, $C$13, 100%, $E$13)</f>
        <v>8.2741000000000007</v>
      </c>
    </row>
    <row r="465" spans="1:11" ht="15">
      <c r="A465" s="13">
        <v>55793</v>
      </c>
      <c r="B465" s="63">
        <f>7.1586 * CHOOSE(CONTROL!$C$22, $C$13, 100%, $E$13)</f>
        <v>7.1585999999999999</v>
      </c>
      <c r="C465" s="63">
        <f>7.1586 * CHOOSE(CONTROL!$C$22, $C$13, 100%, $E$13)</f>
        <v>7.1585999999999999</v>
      </c>
      <c r="D465" s="63">
        <f>7.1702 * CHOOSE(CONTROL!$C$22, $C$13, 100%, $E$13)</f>
        <v>7.1702000000000004</v>
      </c>
      <c r="E465" s="64">
        <f>8.2969 * CHOOSE(CONTROL!$C$22, $C$13, 100%, $E$13)</f>
        <v>8.2969000000000008</v>
      </c>
      <c r="F465" s="64">
        <f>8.2969 * CHOOSE(CONTROL!$C$22, $C$13, 100%, $E$13)</f>
        <v>8.2969000000000008</v>
      </c>
      <c r="G465" s="64">
        <f>8.297 * CHOOSE(CONTROL!$C$22, $C$13, 100%, $E$13)</f>
        <v>8.2970000000000006</v>
      </c>
      <c r="H465" s="64">
        <f>14.3492* CHOOSE(CONTROL!$C$22, $C$13, 100%, $E$13)</f>
        <v>14.3492</v>
      </c>
      <c r="I465" s="64">
        <f>14.3493 * CHOOSE(CONTROL!$C$22, $C$13, 100%, $E$13)</f>
        <v>14.349299999999999</v>
      </c>
      <c r="J465" s="64">
        <f>8.2969 * CHOOSE(CONTROL!$C$22, $C$13, 100%, $E$13)</f>
        <v>8.2969000000000008</v>
      </c>
      <c r="K465" s="64">
        <f>8.297 * CHOOSE(CONTROL!$C$22, $C$13, 100%, $E$13)</f>
        <v>8.2970000000000006</v>
      </c>
    </row>
    <row r="466" spans="1:11" ht="15">
      <c r="A466" s="13">
        <v>55824</v>
      </c>
      <c r="B466" s="63">
        <f>7.1616 * CHOOSE(CONTROL!$C$22, $C$13, 100%, $E$13)</f>
        <v>7.1616</v>
      </c>
      <c r="C466" s="63">
        <f>7.1616 * CHOOSE(CONTROL!$C$22, $C$13, 100%, $E$13)</f>
        <v>7.1616</v>
      </c>
      <c r="D466" s="63">
        <f>7.1732 * CHOOSE(CONTROL!$C$22, $C$13, 100%, $E$13)</f>
        <v>7.1731999999999996</v>
      </c>
      <c r="E466" s="64">
        <f>8.3178 * CHOOSE(CONTROL!$C$22, $C$13, 100%, $E$13)</f>
        <v>8.3178000000000001</v>
      </c>
      <c r="F466" s="64">
        <f>8.3178 * CHOOSE(CONTROL!$C$22, $C$13, 100%, $E$13)</f>
        <v>8.3178000000000001</v>
      </c>
      <c r="G466" s="64">
        <f>8.318 * CHOOSE(CONTROL!$C$22, $C$13, 100%, $E$13)</f>
        <v>8.3179999999999996</v>
      </c>
      <c r="H466" s="64">
        <f>14.3791* CHOOSE(CONTROL!$C$22, $C$13, 100%, $E$13)</f>
        <v>14.379099999999999</v>
      </c>
      <c r="I466" s="64">
        <f>14.3792 * CHOOSE(CONTROL!$C$22, $C$13, 100%, $E$13)</f>
        <v>14.379200000000001</v>
      </c>
      <c r="J466" s="64">
        <f>8.3178 * CHOOSE(CONTROL!$C$22, $C$13, 100%, $E$13)</f>
        <v>8.3178000000000001</v>
      </c>
      <c r="K466" s="64">
        <f>8.318 * CHOOSE(CONTROL!$C$22, $C$13, 100%, $E$13)</f>
        <v>8.3179999999999996</v>
      </c>
    </row>
    <row r="467" spans="1:11" ht="15">
      <c r="A467" s="13">
        <v>55854</v>
      </c>
      <c r="B467" s="63">
        <f>7.1616 * CHOOSE(CONTROL!$C$22, $C$13, 100%, $E$13)</f>
        <v>7.1616</v>
      </c>
      <c r="C467" s="63">
        <f>7.1616 * CHOOSE(CONTROL!$C$22, $C$13, 100%, $E$13)</f>
        <v>7.1616</v>
      </c>
      <c r="D467" s="63">
        <f>7.1732 * CHOOSE(CONTROL!$C$22, $C$13, 100%, $E$13)</f>
        <v>7.1731999999999996</v>
      </c>
      <c r="E467" s="64">
        <f>8.2707 * CHOOSE(CONTROL!$C$22, $C$13, 100%, $E$13)</f>
        <v>8.2706999999999997</v>
      </c>
      <c r="F467" s="64">
        <f>8.2707 * CHOOSE(CONTROL!$C$22, $C$13, 100%, $E$13)</f>
        <v>8.2706999999999997</v>
      </c>
      <c r="G467" s="64">
        <f>8.2709 * CHOOSE(CONTROL!$C$22, $C$13, 100%, $E$13)</f>
        <v>8.2708999999999993</v>
      </c>
      <c r="H467" s="64">
        <f>14.409* CHOOSE(CONTROL!$C$22, $C$13, 100%, $E$13)</f>
        <v>14.409000000000001</v>
      </c>
      <c r="I467" s="64">
        <f>14.4092 * CHOOSE(CONTROL!$C$22, $C$13, 100%, $E$13)</f>
        <v>14.4092</v>
      </c>
      <c r="J467" s="64">
        <f>8.2707 * CHOOSE(CONTROL!$C$22, $C$13, 100%, $E$13)</f>
        <v>8.2706999999999997</v>
      </c>
      <c r="K467" s="64">
        <f>8.2709 * CHOOSE(CONTROL!$C$22, $C$13, 100%, $E$13)</f>
        <v>8.2708999999999993</v>
      </c>
    </row>
    <row r="468" spans="1:11" ht="15">
      <c r="A468" s="13">
        <v>55885</v>
      </c>
      <c r="B468" s="63">
        <f>7.2256 * CHOOSE(CONTROL!$C$22, $C$13, 100%, $E$13)</f>
        <v>7.2256</v>
      </c>
      <c r="C468" s="63">
        <f>7.2256 * CHOOSE(CONTROL!$C$22, $C$13, 100%, $E$13)</f>
        <v>7.2256</v>
      </c>
      <c r="D468" s="63">
        <f>7.2371 * CHOOSE(CONTROL!$C$22, $C$13, 100%, $E$13)</f>
        <v>7.2370999999999999</v>
      </c>
      <c r="E468" s="64">
        <f>8.3788 * CHOOSE(CONTROL!$C$22, $C$13, 100%, $E$13)</f>
        <v>8.3788</v>
      </c>
      <c r="F468" s="64">
        <f>8.3788 * CHOOSE(CONTROL!$C$22, $C$13, 100%, $E$13)</f>
        <v>8.3788</v>
      </c>
      <c r="G468" s="64">
        <f>8.379 * CHOOSE(CONTROL!$C$22, $C$13, 100%, $E$13)</f>
        <v>8.3789999999999996</v>
      </c>
      <c r="H468" s="64">
        <f>14.439* CHOOSE(CONTROL!$C$22, $C$13, 100%, $E$13)</f>
        <v>14.439</v>
      </c>
      <c r="I468" s="64">
        <f>14.4392 * CHOOSE(CONTROL!$C$22, $C$13, 100%, $E$13)</f>
        <v>14.4392</v>
      </c>
      <c r="J468" s="64">
        <f>8.3788 * CHOOSE(CONTROL!$C$22, $C$13, 100%, $E$13)</f>
        <v>8.3788</v>
      </c>
      <c r="K468" s="64">
        <f>8.379 * CHOOSE(CONTROL!$C$22, $C$13, 100%, $E$13)</f>
        <v>8.3789999999999996</v>
      </c>
    </row>
    <row r="469" spans="1:11" ht="15">
      <c r="A469" s="13">
        <v>55916</v>
      </c>
      <c r="B469" s="63">
        <f>7.2225 * CHOOSE(CONTROL!$C$22, $C$13, 100%, $E$13)</f>
        <v>7.2225000000000001</v>
      </c>
      <c r="C469" s="63">
        <f>7.2225 * CHOOSE(CONTROL!$C$22, $C$13, 100%, $E$13)</f>
        <v>7.2225000000000001</v>
      </c>
      <c r="D469" s="63">
        <f>7.2341 * CHOOSE(CONTROL!$C$22, $C$13, 100%, $E$13)</f>
        <v>7.2340999999999998</v>
      </c>
      <c r="E469" s="64">
        <f>8.2852 * CHOOSE(CONTROL!$C$22, $C$13, 100%, $E$13)</f>
        <v>8.2851999999999997</v>
      </c>
      <c r="F469" s="64">
        <f>8.2852 * CHOOSE(CONTROL!$C$22, $C$13, 100%, $E$13)</f>
        <v>8.2851999999999997</v>
      </c>
      <c r="G469" s="64">
        <f>8.2854 * CHOOSE(CONTROL!$C$22, $C$13, 100%, $E$13)</f>
        <v>8.2853999999999992</v>
      </c>
      <c r="H469" s="64">
        <f>14.4691* CHOOSE(CONTROL!$C$22, $C$13, 100%, $E$13)</f>
        <v>14.469099999999999</v>
      </c>
      <c r="I469" s="64">
        <f>14.4693 * CHOOSE(CONTROL!$C$22, $C$13, 100%, $E$13)</f>
        <v>14.4693</v>
      </c>
      <c r="J469" s="64">
        <f>8.2852 * CHOOSE(CONTROL!$C$22, $C$13, 100%, $E$13)</f>
        <v>8.2851999999999997</v>
      </c>
      <c r="K469" s="64">
        <f>8.2854 * CHOOSE(CONTROL!$C$22, $C$13, 100%, $E$13)</f>
        <v>8.2853999999999992</v>
      </c>
    </row>
    <row r="470" spans="1:11" ht="15">
      <c r="A470" s="13">
        <v>55944</v>
      </c>
      <c r="B470" s="63">
        <f>7.2195 * CHOOSE(CONTROL!$C$22, $C$13, 100%, $E$13)</f>
        <v>7.2195</v>
      </c>
      <c r="C470" s="63">
        <f>7.2195 * CHOOSE(CONTROL!$C$22, $C$13, 100%, $E$13)</f>
        <v>7.2195</v>
      </c>
      <c r="D470" s="63">
        <f>7.231 * CHOOSE(CONTROL!$C$22, $C$13, 100%, $E$13)</f>
        <v>7.2309999999999999</v>
      </c>
      <c r="E470" s="64">
        <f>8.3552 * CHOOSE(CONTROL!$C$22, $C$13, 100%, $E$13)</f>
        <v>8.3552</v>
      </c>
      <c r="F470" s="64">
        <f>8.3552 * CHOOSE(CONTROL!$C$22, $C$13, 100%, $E$13)</f>
        <v>8.3552</v>
      </c>
      <c r="G470" s="64">
        <f>8.3554 * CHOOSE(CONTROL!$C$22, $C$13, 100%, $E$13)</f>
        <v>8.3553999999999995</v>
      </c>
      <c r="H470" s="64">
        <f>14.4993* CHOOSE(CONTROL!$C$22, $C$13, 100%, $E$13)</f>
        <v>14.4993</v>
      </c>
      <c r="I470" s="64">
        <f>14.4994 * CHOOSE(CONTROL!$C$22, $C$13, 100%, $E$13)</f>
        <v>14.4994</v>
      </c>
      <c r="J470" s="64">
        <f>8.3552 * CHOOSE(CONTROL!$C$22, $C$13, 100%, $E$13)</f>
        <v>8.3552</v>
      </c>
      <c r="K470" s="64">
        <f>8.3554 * CHOOSE(CONTROL!$C$22, $C$13, 100%, $E$13)</f>
        <v>8.3553999999999995</v>
      </c>
    </row>
    <row r="471" spans="1:11" ht="15">
      <c r="A471" s="13">
        <v>55975</v>
      </c>
      <c r="B471" s="63">
        <f>7.22 * CHOOSE(CONTROL!$C$22, $C$13, 100%, $E$13)</f>
        <v>7.22</v>
      </c>
      <c r="C471" s="63">
        <f>7.22 * CHOOSE(CONTROL!$C$22, $C$13, 100%, $E$13)</f>
        <v>7.22</v>
      </c>
      <c r="D471" s="63">
        <f>7.2315 * CHOOSE(CONTROL!$C$22, $C$13, 100%, $E$13)</f>
        <v>7.2314999999999996</v>
      </c>
      <c r="E471" s="64">
        <f>8.4285 * CHOOSE(CONTROL!$C$22, $C$13, 100%, $E$13)</f>
        <v>8.4284999999999997</v>
      </c>
      <c r="F471" s="64">
        <f>8.4285 * CHOOSE(CONTROL!$C$22, $C$13, 100%, $E$13)</f>
        <v>8.4284999999999997</v>
      </c>
      <c r="G471" s="64">
        <f>8.4287 * CHOOSE(CONTROL!$C$22, $C$13, 100%, $E$13)</f>
        <v>8.4286999999999992</v>
      </c>
      <c r="H471" s="64">
        <f>14.5295* CHOOSE(CONTROL!$C$22, $C$13, 100%, $E$13)</f>
        <v>14.529500000000001</v>
      </c>
      <c r="I471" s="64">
        <f>14.5296 * CHOOSE(CONTROL!$C$22, $C$13, 100%, $E$13)</f>
        <v>14.5296</v>
      </c>
      <c r="J471" s="64">
        <f>8.4285 * CHOOSE(CONTROL!$C$22, $C$13, 100%, $E$13)</f>
        <v>8.4284999999999997</v>
      </c>
      <c r="K471" s="64">
        <f>8.4287 * CHOOSE(CONTROL!$C$22, $C$13, 100%, $E$13)</f>
        <v>8.4286999999999992</v>
      </c>
    </row>
    <row r="472" spans="1:11" ht="15">
      <c r="A472" s="13">
        <v>56005</v>
      </c>
      <c r="B472" s="63">
        <f>7.22 * CHOOSE(CONTROL!$C$22, $C$13, 100%, $E$13)</f>
        <v>7.22</v>
      </c>
      <c r="C472" s="63">
        <f>7.22 * CHOOSE(CONTROL!$C$22, $C$13, 100%, $E$13)</f>
        <v>7.22</v>
      </c>
      <c r="D472" s="63">
        <f>7.2431 * CHOOSE(CONTROL!$C$22, $C$13, 100%, $E$13)</f>
        <v>7.2431000000000001</v>
      </c>
      <c r="E472" s="64">
        <f>8.4576 * CHOOSE(CONTROL!$C$22, $C$13, 100%, $E$13)</f>
        <v>8.4575999999999993</v>
      </c>
      <c r="F472" s="64">
        <f>8.4576 * CHOOSE(CONTROL!$C$22, $C$13, 100%, $E$13)</f>
        <v>8.4575999999999993</v>
      </c>
      <c r="G472" s="64">
        <f>8.459 * CHOOSE(CONTROL!$C$22, $C$13, 100%, $E$13)</f>
        <v>8.4589999999999996</v>
      </c>
      <c r="H472" s="64">
        <f>14.5597* CHOOSE(CONTROL!$C$22, $C$13, 100%, $E$13)</f>
        <v>14.559699999999999</v>
      </c>
      <c r="I472" s="64">
        <f>14.5612 * CHOOSE(CONTROL!$C$22, $C$13, 100%, $E$13)</f>
        <v>14.561199999999999</v>
      </c>
      <c r="J472" s="64">
        <f>8.4576 * CHOOSE(CONTROL!$C$22, $C$13, 100%, $E$13)</f>
        <v>8.4575999999999993</v>
      </c>
      <c r="K472" s="64">
        <f>8.459 * CHOOSE(CONTROL!$C$22, $C$13, 100%, $E$13)</f>
        <v>8.4589999999999996</v>
      </c>
    </row>
    <row r="473" spans="1:11" ht="15">
      <c r="A473" s="13">
        <v>56036</v>
      </c>
      <c r="B473" s="63">
        <f>7.2261 * CHOOSE(CONTROL!$C$22, $C$13, 100%, $E$13)</f>
        <v>7.2260999999999997</v>
      </c>
      <c r="C473" s="63">
        <f>7.2261 * CHOOSE(CONTROL!$C$22, $C$13, 100%, $E$13)</f>
        <v>7.2260999999999997</v>
      </c>
      <c r="D473" s="63">
        <f>7.2492 * CHOOSE(CONTROL!$C$22, $C$13, 100%, $E$13)</f>
        <v>7.2492000000000001</v>
      </c>
      <c r="E473" s="64">
        <f>8.4327 * CHOOSE(CONTROL!$C$22, $C$13, 100%, $E$13)</f>
        <v>8.4327000000000005</v>
      </c>
      <c r="F473" s="64">
        <f>8.4327 * CHOOSE(CONTROL!$C$22, $C$13, 100%, $E$13)</f>
        <v>8.4327000000000005</v>
      </c>
      <c r="G473" s="64">
        <f>8.4342 * CHOOSE(CONTROL!$C$22, $C$13, 100%, $E$13)</f>
        <v>8.4342000000000006</v>
      </c>
      <c r="H473" s="64">
        <f>14.5901* CHOOSE(CONTROL!$C$22, $C$13, 100%, $E$13)</f>
        <v>14.5901</v>
      </c>
      <c r="I473" s="64">
        <f>14.5916 * CHOOSE(CONTROL!$C$22, $C$13, 100%, $E$13)</f>
        <v>14.5916</v>
      </c>
      <c r="J473" s="64">
        <f>8.4327 * CHOOSE(CONTROL!$C$22, $C$13, 100%, $E$13)</f>
        <v>8.4327000000000005</v>
      </c>
      <c r="K473" s="64">
        <f>8.4342 * CHOOSE(CONTROL!$C$22, $C$13, 100%, $E$13)</f>
        <v>8.4342000000000006</v>
      </c>
    </row>
    <row r="474" spans="1:11" ht="15">
      <c r="A474" s="13">
        <v>56066</v>
      </c>
      <c r="B474" s="63">
        <f>7.3442 * CHOOSE(CONTROL!$C$22, $C$13, 100%, $E$13)</f>
        <v>7.3441999999999998</v>
      </c>
      <c r="C474" s="63">
        <f>7.3442 * CHOOSE(CONTROL!$C$22, $C$13, 100%, $E$13)</f>
        <v>7.3441999999999998</v>
      </c>
      <c r="D474" s="63">
        <f>7.3673 * CHOOSE(CONTROL!$C$22, $C$13, 100%, $E$13)</f>
        <v>7.3673000000000002</v>
      </c>
      <c r="E474" s="64">
        <f>8.5982 * CHOOSE(CONTROL!$C$22, $C$13, 100%, $E$13)</f>
        <v>8.5982000000000003</v>
      </c>
      <c r="F474" s="64">
        <f>8.5982 * CHOOSE(CONTROL!$C$22, $C$13, 100%, $E$13)</f>
        <v>8.5982000000000003</v>
      </c>
      <c r="G474" s="64">
        <f>8.5997 * CHOOSE(CONTROL!$C$22, $C$13, 100%, $E$13)</f>
        <v>8.5997000000000003</v>
      </c>
      <c r="H474" s="64">
        <f>14.6205* CHOOSE(CONTROL!$C$22, $C$13, 100%, $E$13)</f>
        <v>14.6205</v>
      </c>
      <c r="I474" s="64">
        <f>14.6219 * CHOOSE(CONTROL!$C$22, $C$13, 100%, $E$13)</f>
        <v>14.6219</v>
      </c>
      <c r="J474" s="64">
        <f>8.5982 * CHOOSE(CONTROL!$C$22, $C$13, 100%, $E$13)</f>
        <v>8.5982000000000003</v>
      </c>
      <c r="K474" s="64">
        <f>8.5997 * CHOOSE(CONTROL!$C$22, $C$13, 100%, $E$13)</f>
        <v>8.5997000000000003</v>
      </c>
    </row>
    <row r="475" spans="1:11" ht="15">
      <c r="A475" s="13">
        <v>56097</v>
      </c>
      <c r="B475" s="63">
        <f>7.3509 * CHOOSE(CONTROL!$C$22, $C$13, 100%, $E$13)</f>
        <v>7.3509000000000002</v>
      </c>
      <c r="C475" s="63">
        <f>7.3509 * CHOOSE(CONTROL!$C$22, $C$13, 100%, $E$13)</f>
        <v>7.3509000000000002</v>
      </c>
      <c r="D475" s="63">
        <f>7.374 * CHOOSE(CONTROL!$C$22, $C$13, 100%, $E$13)</f>
        <v>7.3739999999999997</v>
      </c>
      <c r="E475" s="64">
        <f>8.5157 * CHOOSE(CONTROL!$C$22, $C$13, 100%, $E$13)</f>
        <v>8.5157000000000007</v>
      </c>
      <c r="F475" s="64">
        <f>8.5157 * CHOOSE(CONTROL!$C$22, $C$13, 100%, $E$13)</f>
        <v>8.5157000000000007</v>
      </c>
      <c r="G475" s="64">
        <f>8.5172 * CHOOSE(CONTROL!$C$22, $C$13, 100%, $E$13)</f>
        <v>8.5172000000000008</v>
      </c>
      <c r="H475" s="64">
        <f>14.6509* CHOOSE(CONTROL!$C$22, $C$13, 100%, $E$13)</f>
        <v>14.6509</v>
      </c>
      <c r="I475" s="64">
        <f>14.6524 * CHOOSE(CONTROL!$C$22, $C$13, 100%, $E$13)</f>
        <v>14.6524</v>
      </c>
      <c r="J475" s="64">
        <f>8.5157 * CHOOSE(CONTROL!$C$22, $C$13, 100%, $E$13)</f>
        <v>8.5157000000000007</v>
      </c>
      <c r="K475" s="64">
        <f>8.5172 * CHOOSE(CONTROL!$C$22, $C$13, 100%, $E$13)</f>
        <v>8.5172000000000008</v>
      </c>
    </row>
    <row r="476" spans="1:11" ht="15">
      <c r="A476" s="13">
        <v>56128</v>
      </c>
      <c r="B476" s="63">
        <f>7.3479 * CHOOSE(CONTROL!$C$22, $C$13, 100%, $E$13)</f>
        <v>7.3479000000000001</v>
      </c>
      <c r="C476" s="63">
        <f>7.3479 * CHOOSE(CONTROL!$C$22, $C$13, 100%, $E$13)</f>
        <v>7.3479000000000001</v>
      </c>
      <c r="D476" s="63">
        <f>7.371 * CHOOSE(CONTROL!$C$22, $C$13, 100%, $E$13)</f>
        <v>7.3710000000000004</v>
      </c>
      <c r="E476" s="64">
        <f>8.5039 * CHOOSE(CONTROL!$C$22, $C$13, 100%, $E$13)</f>
        <v>8.5038999999999998</v>
      </c>
      <c r="F476" s="64">
        <f>8.5039 * CHOOSE(CONTROL!$C$22, $C$13, 100%, $E$13)</f>
        <v>8.5038999999999998</v>
      </c>
      <c r="G476" s="64">
        <f>8.5053 * CHOOSE(CONTROL!$C$22, $C$13, 100%, $E$13)</f>
        <v>8.5053000000000001</v>
      </c>
      <c r="H476" s="64">
        <f>14.6814* CHOOSE(CONTROL!$C$22, $C$13, 100%, $E$13)</f>
        <v>14.6814</v>
      </c>
      <c r="I476" s="64">
        <f>14.6829 * CHOOSE(CONTROL!$C$22, $C$13, 100%, $E$13)</f>
        <v>14.6829</v>
      </c>
      <c r="J476" s="64">
        <f>8.5039 * CHOOSE(CONTROL!$C$22, $C$13, 100%, $E$13)</f>
        <v>8.5038999999999998</v>
      </c>
      <c r="K476" s="64">
        <f>8.5053 * CHOOSE(CONTROL!$C$22, $C$13, 100%, $E$13)</f>
        <v>8.5053000000000001</v>
      </c>
    </row>
    <row r="477" spans="1:11" ht="15">
      <c r="A477" s="13">
        <v>56158</v>
      </c>
      <c r="B477" s="63">
        <f>7.3543 * CHOOSE(CONTROL!$C$22, $C$13, 100%, $E$13)</f>
        <v>7.3543000000000003</v>
      </c>
      <c r="C477" s="63">
        <f>7.3543 * CHOOSE(CONTROL!$C$22, $C$13, 100%, $E$13)</f>
        <v>7.3543000000000003</v>
      </c>
      <c r="D477" s="63">
        <f>7.3658 * CHOOSE(CONTROL!$C$22, $C$13, 100%, $E$13)</f>
        <v>7.3658000000000001</v>
      </c>
      <c r="E477" s="64">
        <f>8.5292 * CHOOSE(CONTROL!$C$22, $C$13, 100%, $E$13)</f>
        <v>8.5291999999999994</v>
      </c>
      <c r="F477" s="64">
        <f>8.5292 * CHOOSE(CONTROL!$C$22, $C$13, 100%, $E$13)</f>
        <v>8.5291999999999994</v>
      </c>
      <c r="G477" s="64">
        <f>8.5294 * CHOOSE(CONTROL!$C$22, $C$13, 100%, $E$13)</f>
        <v>8.5294000000000008</v>
      </c>
      <c r="H477" s="64">
        <f>14.712* CHOOSE(CONTROL!$C$22, $C$13, 100%, $E$13)</f>
        <v>14.712</v>
      </c>
      <c r="I477" s="64">
        <f>14.7122 * CHOOSE(CONTROL!$C$22, $C$13, 100%, $E$13)</f>
        <v>14.712199999999999</v>
      </c>
      <c r="J477" s="64">
        <f>8.5292 * CHOOSE(CONTROL!$C$22, $C$13, 100%, $E$13)</f>
        <v>8.5291999999999994</v>
      </c>
      <c r="K477" s="64">
        <f>8.5294 * CHOOSE(CONTROL!$C$22, $C$13, 100%, $E$13)</f>
        <v>8.5294000000000008</v>
      </c>
    </row>
    <row r="478" spans="1:11" ht="15">
      <c r="A478" s="13">
        <v>56189</v>
      </c>
      <c r="B478" s="63">
        <f>7.3573 * CHOOSE(CONTROL!$C$22, $C$13, 100%, $E$13)</f>
        <v>7.3573000000000004</v>
      </c>
      <c r="C478" s="63">
        <f>7.3573 * CHOOSE(CONTROL!$C$22, $C$13, 100%, $E$13)</f>
        <v>7.3573000000000004</v>
      </c>
      <c r="D478" s="63">
        <f>7.3689 * CHOOSE(CONTROL!$C$22, $C$13, 100%, $E$13)</f>
        <v>7.3689</v>
      </c>
      <c r="E478" s="64">
        <f>8.5507 * CHOOSE(CONTROL!$C$22, $C$13, 100%, $E$13)</f>
        <v>8.5507000000000009</v>
      </c>
      <c r="F478" s="64">
        <f>8.5507 * CHOOSE(CONTROL!$C$22, $C$13, 100%, $E$13)</f>
        <v>8.5507000000000009</v>
      </c>
      <c r="G478" s="64">
        <f>8.5509 * CHOOSE(CONTROL!$C$22, $C$13, 100%, $E$13)</f>
        <v>8.5509000000000004</v>
      </c>
      <c r="H478" s="64">
        <f>14.7427* CHOOSE(CONTROL!$C$22, $C$13, 100%, $E$13)</f>
        <v>14.742699999999999</v>
      </c>
      <c r="I478" s="64">
        <f>14.7429 * CHOOSE(CONTROL!$C$22, $C$13, 100%, $E$13)</f>
        <v>14.742900000000001</v>
      </c>
      <c r="J478" s="64">
        <f>8.5507 * CHOOSE(CONTROL!$C$22, $C$13, 100%, $E$13)</f>
        <v>8.5507000000000009</v>
      </c>
      <c r="K478" s="64">
        <f>8.5509 * CHOOSE(CONTROL!$C$22, $C$13, 100%, $E$13)</f>
        <v>8.5509000000000004</v>
      </c>
    </row>
    <row r="479" spans="1:11" ht="15">
      <c r="A479" s="13">
        <v>56219</v>
      </c>
      <c r="B479" s="63">
        <f>7.3573 * CHOOSE(CONTROL!$C$22, $C$13, 100%, $E$13)</f>
        <v>7.3573000000000004</v>
      </c>
      <c r="C479" s="63">
        <f>7.3573 * CHOOSE(CONTROL!$C$22, $C$13, 100%, $E$13)</f>
        <v>7.3573000000000004</v>
      </c>
      <c r="D479" s="63">
        <f>7.3689 * CHOOSE(CONTROL!$C$22, $C$13, 100%, $E$13)</f>
        <v>7.3689</v>
      </c>
      <c r="E479" s="64">
        <f>8.5022 * CHOOSE(CONTROL!$C$22, $C$13, 100%, $E$13)</f>
        <v>8.5022000000000002</v>
      </c>
      <c r="F479" s="64">
        <f>8.5022 * CHOOSE(CONTROL!$C$22, $C$13, 100%, $E$13)</f>
        <v>8.5022000000000002</v>
      </c>
      <c r="G479" s="64">
        <f>8.5024 * CHOOSE(CONTROL!$C$22, $C$13, 100%, $E$13)</f>
        <v>8.5023999999999997</v>
      </c>
      <c r="H479" s="64">
        <f>14.7734* CHOOSE(CONTROL!$C$22, $C$13, 100%, $E$13)</f>
        <v>14.773400000000001</v>
      </c>
      <c r="I479" s="64">
        <f>14.7736 * CHOOSE(CONTROL!$C$22, $C$13, 100%, $E$13)</f>
        <v>14.7736</v>
      </c>
      <c r="J479" s="64">
        <f>8.5022 * CHOOSE(CONTROL!$C$22, $C$13, 100%, $E$13)</f>
        <v>8.5022000000000002</v>
      </c>
      <c r="K479" s="64">
        <f>8.5024 * CHOOSE(CONTROL!$C$22, $C$13, 100%, $E$13)</f>
        <v>8.5023999999999997</v>
      </c>
    </row>
    <row r="480" spans="1:11" ht="15">
      <c r="A480" s="13">
        <v>56250</v>
      </c>
      <c r="B480" s="63">
        <f>7.4229 * CHOOSE(CONTROL!$C$22, $C$13, 100%, $E$13)</f>
        <v>7.4229000000000003</v>
      </c>
      <c r="C480" s="63">
        <f>7.4229 * CHOOSE(CONTROL!$C$22, $C$13, 100%, $E$13)</f>
        <v>7.4229000000000003</v>
      </c>
      <c r="D480" s="63">
        <f>7.4344 * CHOOSE(CONTROL!$C$22, $C$13, 100%, $E$13)</f>
        <v>7.4344000000000001</v>
      </c>
      <c r="E480" s="64">
        <f>8.6133 * CHOOSE(CONTROL!$C$22, $C$13, 100%, $E$13)</f>
        <v>8.6133000000000006</v>
      </c>
      <c r="F480" s="64">
        <f>8.6133 * CHOOSE(CONTROL!$C$22, $C$13, 100%, $E$13)</f>
        <v>8.6133000000000006</v>
      </c>
      <c r="G480" s="64">
        <f>8.6135 * CHOOSE(CONTROL!$C$22, $C$13, 100%, $E$13)</f>
        <v>8.6135000000000002</v>
      </c>
      <c r="H480" s="64">
        <f>14.8042* CHOOSE(CONTROL!$C$22, $C$13, 100%, $E$13)</f>
        <v>14.8042</v>
      </c>
      <c r="I480" s="64">
        <f>14.8043 * CHOOSE(CONTROL!$C$22, $C$13, 100%, $E$13)</f>
        <v>14.8043</v>
      </c>
      <c r="J480" s="64">
        <f>8.6133 * CHOOSE(CONTROL!$C$22, $C$13, 100%, $E$13)</f>
        <v>8.6133000000000006</v>
      </c>
      <c r="K480" s="64">
        <f>8.6135 * CHOOSE(CONTROL!$C$22, $C$13, 100%, $E$13)</f>
        <v>8.6135000000000002</v>
      </c>
    </row>
    <row r="481" spans="1:11" ht="15">
      <c r="A481" s="13">
        <v>56281</v>
      </c>
      <c r="B481" s="63">
        <f>7.4198 * CHOOSE(CONTROL!$C$22, $C$13, 100%, $E$13)</f>
        <v>7.4198000000000004</v>
      </c>
      <c r="C481" s="63">
        <f>7.4198 * CHOOSE(CONTROL!$C$22, $C$13, 100%, $E$13)</f>
        <v>7.4198000000000004</v>
      </c>
      <c r="D481" s="63">
        <f>7.4314 * CHOOSE(CONTROL!$C$22, $C$13, 100%, $E$13)</f>
        <v>7.4314</v>
      </c>
      <c r="E481" s="64">
        <f>8.5171 * CHOOSE(CONTROL!$C$22, $C$13, 100%, $E$13)</f>
        <v>8.5170999999999992</v>
      </c>
      <c r="F481" s="64">
        <f>8.5171 * CHOOSE(CONTROL!$C$22, $C$13, 100%, $E$13)</f>
        <v>8.5170999999999992</v>
      </c>
      <c r="G481" s="64">
        <f>8.5173 * CHOOSE(CONTROL!$C$22, $C$13, 100%, $E$13)</f>
        <v>8.5173000000000005</v>
      </c>
      <c r="H481" s="64">
        <f>14.835* CHOOSE(CONTROL!$C$22, $C$13, 100%, $E$13)</f>
        <v>14.835000000000001</v>
      </c>
      <c r="I481" s="64">
        <f>14.8352 * CHOOSE(CONTROL!$C$22, $C$13, 100%, $E$13)</f>
        <v>14.8352</v>
      </c>
      <c r="J481" s="64">
        <f>8.5171 * CHOOSE(CONTROL!$C$22, $C$13, 100%, $E$13)</f>
        <v>8.5170999999999992</v>
      </c>
      <c r="K481" s="64">
        <f>8.5173 * CHOOSE(CONTROL!$C$22, $C$13, 100%, $E$13)</f>
        <v>8.5173000000000005</v>
      </c>
    </row>
    <row r="482" spans="1:11" ht="15">
      <c r="A482" s="13">
        <v>56309</v>
      </c>
      <c r="B482" s="63">
        <f>7.4168 * CHOOSE(CONTROL!$C$22, $C$13, 100%, $E$13)</f>
        <v>7.4168000000000003</v>
      </c>
      <c r="C482" s="63">
        <f>7.4168 * CHOOSE(CONTROL!$C$22, $C$13, 100%, $E$13)</f>
        <v>7.4168000000000003</v>
      </c>
      <c r="D482" s="63">
        <f>7.4283 * CHOOSE(CONTROL!$C$22, $C$13, 100%, $E$13)</f>
        <v>7.4283000000000001</v>
      </c>
      <c r="E482" s="64">
        <f>8.5892 * CHOOSE(CONTROL!$C$22, $C$13, 100%, $E$13)</f>
        <v>8.5891999999999999</v>
      </c>
      <c r="F482" s="64">
        <f>8.5892 * CHOOSE(CONTROL!$C$22, $C$13, 100%, $E$13)</f>
        <v>8.5891999999999999</v>
      </c>
      <c r="G482" s="64">
        <f>8.5893 * CHOOSE(CONTROL!$C$22, $C$13, 100%, $E$13)</f>
        <v>8.5892999999999997</v>
      </c>
      <c r="H482" s="64">
        <f>14.8659* CHOOSE(CONTROL!$C$22, $C$13, 100%, $E$13)</f>
        <v>14.8659</v>
      </c>
      <c r="I482" s="64">
        <f>14.8661 * CHOOSE(CONTROL!$C$22, $C$13, 100%, $E$13)</f>
        <v>14.866099999999999</v>
      </c>
      <c r="J482" s="64">
        <f>8.5892 * CHOOSE(CONTROL!$C$22, $C$13, 100%, $E$13)</f>
        <v>8.5891999999999999</v>
      </c>
      <c r="K482" s="64">
        <f>8.5893 * CHOOSE(CONTROL!$C$22, $C$13, 100%, $E$13)</f>
        <v>8.5892999999999997</v>
      </c>
    </row>
    <row r="483" spans="1:11" ht="15">
      <c r="A483" s="13">
        <v>56340</v>
      </c>
      <c r="B483" s="63">
        <f>7.4175 * CHOOSE(CONTROL!$C$22, $C$13, 100%, $E$13)</f>
        <v>7.4175000000000004</v>
      </c>
      <c r="C483" s="63">
        <f>7.4175 * CHOOSE(CONTROL!$C$22, $C$13, 100%, $E$13)</f>
        <v>7.4175000000000004</v>
      </c>
      <c r="D483" s="63">
        <f>7.429 * CHOOSE(CONTROL!$C$22, $C$13, 100%, $E$13)</f>
        <v>7.4290000000000003</v>
      </c>
      <c r="E483" s="64">
        <f>8.6646 * CHOOSE(CONTROL!$C$22, $C$13, 100%, $E$13)</f>
        <v>8.6646000000000001</v>
      </c>
      <c r="F483" s="64">
        <f>8.6646 * CHOOSE(CONTROL!$C$22, $C$13, 100%, $E$13)</f>
        <v>8.6646000000000001</v>
      </c>
      <c r="G483" s="64">
        <f>8.6648 * CHOOSE(CONTROL!$C$22, $C$13, 100%, $E$13)</f>
        <v>8.6647999999999996</v>
      </c>
      <c r="H483" s="64">
        <f>14.8969* CHOOSE(CONTROL!$C$22, $C$13, 100%, $E$13)</f>
        <v>14.8969</v>
      </c>
      <c r="I483" s="64">
        <f>14.8971 * CHOOSE(CONTROL!$C$22, $C$13, 100%, $E$13)</f>
        <v>14.8971</v>
      </c>
      <c r="J483" s="64">
        <f>8.6646 * CHOOSE(CONTROL!$C$22, $C$13, 100%, $E$13)</f>
        <v>8.6646000000000001</v>
      </c>
      <c r="K483" s="64">
        <f>8.6648 * CHOOSE(CONTROL!$C$22, $C$13, 100%, $E$13)</f>
        <v>8.6647999999999996</v>
      </c>
    </row>
    <row r="484" spans="1:11" ht="15">
      <c r="A484" s="13">
        <v>56370</v>
      </c>
      <c r="B484" s="63">
        <f>7.4175 * CHOOSE(CONTROL!$C$22, $C$13, 100%, $E$13)</f>
        <v>7.4175000000000004</v>
      </c>
      <c r="C484" s="63">
        <f>7.4175 * CHOOSE(CONTROL!$C$22, $C$13, 100%, $E$13)</f>
        <v>7.4175000000000004</v>
      </c>
      <c r="D484" s="63">
        <f>7.4406 * CHOOSE(CONTROL!$C$22, $C$13, 100%, $E$13)</f>
        <v>7.4405999999999999</v>
      </c>
      <c r="E484" s="64">
        <f>8.6945 * CHOOSE(CONTROL!$C$22, $C$13, 100%, $E$13)</f>
        <v>8.6944999999999997</v>
      </c>
      <c r="F484" s="64">
        <f>8.6945 * CHOOSE(CONTROL!$C$22, $C$13, 100%, $E$13)</f>
        <v>8.6944999999999997</v>
      </c>
      <c r="G484" s="64">
        <f>8.696 * CHOOSE(CONTROL!$C$22, $C$13, 100%, $E$13)</f>
        <v>8.6959999999999997</v>
      </c>
      <c r="H484" s="64">
        <f>14.9279* CHOOSE(CONTROL!$C$22, $C$13, 100%, $E$13)</f>
        <v>14.927899999999999</v>
      </c>
      <c r="I484" s="64">
        <f>14.9294 * CHOOSE(CONTROL!$C$22, $C$13, 100%, $E$13)</f>
        <v>14.929399999999999</v>
      </c>
      <c r="J484" s="64">
        <f>8.6945 * CHOOSE(CONTROL!$C$22, $C$13, 100%, $E$13)</f>
        <v>8.6944999999999997</v>
      </c>
      <c r="K484" s="64">
        <f>8.696 * CHOOSE(CONTROL!$C$22, $C$13, 100%, $E$13)</f>
        <v>8.6959999999999997</v>
      </c>
    </row>
    <row r="485" spans="1:11" ht="15">
      <c r="A485" s="13">
        <v>56401</v>
      </c>
      <c r="B485" s="63">
        <f>7.4235 * CHOOSE(CONTROL!$C$22, $C$13, 100%, $E$13)</f>
        <v>7.4234999999999998</v>
      </c>
      <c r="C485" s="63">
        <f>7.4235 * CHOOSE(CONTROL!$C$22, $C$13, 100%, $E$13)</f>
        <v>7.4234999999999998</v>
      </c>
      <c r="D485" s="63">
        <f>7.4466 * CHOOSE(CONTROL!$C$22, $C$13, 100%, $E$13)</f>
        <v>7.4466000000000001</v>
      </c>
      <c r="E485" s="64">
        <f>8.6688 * CHOOSE(CONTROL!$C$22, $C$13, 100%, $E$13)</f>
        <v>8.6687999999999992</v>
      </c>
      <c r="F485" s="64">
        <f>8.6688 * CHOOSE(CONTROL!$C$22, $C$13, 100%, $E$13)</f>
        <v>8.6687999999999992</v>
      </c>
      <c r="G485" s="64">
        <f>8.6703 * CHOOSE(CONTROL!$C$22, $C$13, 100%, $E$13)</f>
        <v>8.6702999999999992</v>
      </c>
      <c r="H485" s="64">
        <f>14.959* CHOOSE(CONTROL!$C$22, $C$13, 100%, $E$13)</f>
        <v>14.959</v>
      </c>
      <c r="I485" s="64">
        <f>14.9605 * CHOOSE(CONTROL!$C$22, $C$13, 100%, $E$13)</f>
        <v>14.9605</v>
      </c>
      <c r="J485" s="64">
        <f>8.6688 * CHOOSE(CONTROL!$C$22, $C$13, 100%, $E$13)</f>
        <v>8.6687999999999992</v>
      </c>
      <c r="K485" s="64">
        <f>8.6703 * CHOOSE(CONTROL!$C$22, $C$13, 100%, $E$13)</f>
        <v>8.6702999999999992</v>
      </c>
    </row>
    <row r="486" spans="1:11" ht="15">
      <c r="A486" s="13">
        <v>56431</v>
      </c>
      <c r="B486" s="63">
        <f>7.5446 * CHOOSE(CONTROL!$C$22, $C$13, 100%, $E$13)</f>
        <v>7.5446</v>
      </c>
      <c r="C486" s="63">
        <f>7.5446 * CHOOSE(CONTROL!$C$22, $C$13, 100%, $E$13)</f>
        <v>7.5446</v>
      </c>
      <c r="D486" s="63">
        <f>7.5677 * CHOOSE(CONTROL!$C$22, $C$13, 100%, $E$13)</f>
        <v>7.5677000000000003</v>
      </c>
      <c r="E486" s="64">
        <f>8.8387 * CHOOSE(CONTROL!$C$22, $C$13, 100%, $E$13)</f>
        <v>8.8386999999999993</v>
      </c>
      <c r="F486" s="64">
        <f>8.8387 * CHOOSE(CONTROL!$C$22, $C$13, 100%, $E$13)</f>
        <v>8.8386999999999993</v>
      </c>
      <c r="G486" s="64">
        <f>8.8401 * CHOOSE(CONTROL!$C$22, $C$13, 100%, $E$13)</f>
        <v>8.8400999999999996</v>
      </c>
      <c r="H486" s="64">
        <f>14.9902* CHOOSE(CONTROL!$C$22, $C$13, 100%, $E$13)</f>
        <v>14.9902</v>
      </c>
      <c r="I486" s="64">
        <f>14.9917 * CHOOSE(CONTROL!$C$22, $C$13, 100%, $E$13)</f>
        <v>14.9917</v>
      </c>
      <c r="J486" s="64">
        <f>8.8387 * CHOOSE(CONTROL!$C$22, $C$13, 100%, $E$13)</f>
        <v>8.8386999999999993</v>
      </c>
      <c r="K486" s="64">
        <f>8.8401 * CHOOSE(CONTROL!$C$22, $C$13, 100%, $E$13)</f>
        <v>8.8400999999999996</v>
      </c>
    </row>
    <row r="487" spans="1:11" ht="15">
      <c r="A487" s="13">
        <v>56462</v>
      </c>
      <c r="B487" s="63">
        <f>7.5513 * CHOOSE(CONTROL!$C$22, $C$13, 100%, $E$13)</f>
        <v>7.5513000000000003</v>
      </c>
      <c r="C487" s="63">
        <f>7.5513 * CHOOSE(CONTROL!$C$22, $C$13, 100%, $E$13)</f>
        <v>7.5513000000000003</v>
      </c>
      <c r="D487" s="63">
        <f>7.5744 * CHOOSE(CONTROL!$C$22, $C$13, 100%, $E$13)</f>
        <v>7.5743999999999998</v>
      </c>
      <c r="E487" s="64">
        <f>8.7537 * CHOOSE(CONTROL!$C$22, $C$13, 100%, $E$13)</f>
        <v>8.7537000000000003</v>
      </c>
      <c r="F487" s="64">
        <f>8.7537 * CHOOSE(CONTROL!$C$22, $C$13, 100%, $E$13)</f>
        <v>8.7537000000000003</v>
      </c>
      <c r="G487" s="64">
        <f>8.7552 * CHOOSE(CONTROL!$C$22, $C$13, 100%, $E$13)</f>
        <v>8.7552000000000003</v>
      </c>
      <c r="H487" s="64">
        <f>15.0214* CHOOSE(CONTROL!$C$22, $C$13, 100%, $E$13)</f>
        <v>15.0214</v>
      </c>
      <c r="I487" s="64">
        <f>15.0229 * CHOOSE(CONTROL!$C$22, $C$13, 100%, $E$13)</f>
        <v>15.0229</v>
      </c>
      <c r="J487" s="64">
        <f>8.7537 * CHOOSE(CONTROL!$C$22, $C$13, 100%, $E$13)</f>
        <v>8.7537000000000003</v>
      </c>
      <c r="K487" s="64">
        <f>8.7552 * CHOOSE(CONTROL!$C$22, $C$13, 100%, $E$13)</f>
        <v>8.7552000000000003</v>
      </c>
    </row>
    <row r="488" spans="1:11" ht="15">
      <c r="A488" s="13">
        <v>56493</v>
      </c>
      <c r="B488" s="63">
        <f>7.5483 * CHOOSE(CONTROL!$C$22, $C$13, 100%, $E$13)</f>
        <v>7.5483000000000002</v>
      </c>
      <c r="C488" s="63">
        <f>7.5483 * CHOOSE(CONTROL!$C$22, $C$13, 100%, $E$13)</f>
        <v>7.5483000000000002</v>
      </c>
      <c r="D488" s="63">
        <f>7.5714 * CHOOSE(CONTROL!$C$22, $C$13, 100%, $E$13)</f>
        <v>7.5713999999999997</v>
      </c>
      <c r="E488" s="64">
        <f>8.7416 * CHOOSE(CONTROL!$C$22, $C$13, 100%, $E$13)</f>
        <v>8.7416</v>
      </c>
      <c r="F488" s="64">
        <f>8.7416 * CHOOSE(CONTROL!$C$22, $C$13, 100%, $E$13)</f>
        <v>8.7416</v>
      </c>
      <c r="G488" s="64">
        <f>8.7431 * CHOOSE(CONTROL!$C$22, $C$13, 100%, $E$13)</f>
        <v>8.7431000000000001</v>
      </c>
      <c r="H488" s="64">
        <f>15.0527* CHOOSE(CONTROL!$C$22, $C$13, 100%, $E$13)</f>
        <v>15.0527</v>
      </c>
      <c r="I488" s="64">
        <f>15.0542 * CHOOSE(CONTROL!$C$22, $C$13, 100%, $E$13)</f>
        <v>15.0542</v>
      </c>
      <c r="J488" s="64">
        <f>8.7416 * CHOOSE(CONTROL!$C$22, $C$13, 100%, $E$13)</f>
        <v>8.7416</v>
      </c>
      <c r="K488" s="64">
        <f>8.7431 * CHOOSE(CONTROL!$C$22, $C$13, 100%, $E$13)</f>
        <v>8.7431000000000001</v>
      </c>
    </row>
    <row r="489" spans="1:11" ht="15">
      <c r="A489" s="13">
        <v>56523</v>
      </c>
      <c r="B489" s="63">
        <f>7.5554 * CHOOSE(CONTROL!$C$22, $C$13, 100%, $E$13)</f>
        <v>7.5553999999999997</v>
      </c>
      <c r="C489" s="63">
        <f>7.5554 * CHOOSE(CONTROL!$C$22, $C$13, 100%, $E$13)</f>
        <v>7.5553999999999997</v>
      </c>
      <c r="D489" s="63">
        <f>7.5669 * CHOOSE(CONTROL!$C$22, $C$13, 100%, $E$13)</f>
        <v>7.5669000000000004</v>
      </c>
      <c r="E489" s="64">
        <f>8.768 * CHOOSE(CONTROL!$C$22, $C$13, 100%, $E$13)</f>
        <v>8.7680000000000007</v>
      </c>
      <c r="F489" s="64">
        <f>8.768 * CHOOSE(CONTROL!$C$22, $C$13, 100%, $E$13)</f>
        <v>8.7680000000000007</v>
      </c>
      <c r="G489" s="64">
        <f>8.7682 * CHOOSE(CONTROL!$C$22, $C$13, 100%, $E$13)</f>
        <v>8.7682000000000002</v>
      </c>
      <c r="H489" s="64">
        <f>15.0841* CHOOSE(CONTROL!$C$22, $C$13, 100%, $E$13)</f>
        <v>15.084099999999999</v>
      </c>
      <c r="I489" s="64">
        <f>15.0842 * CHOOSE(CONTROL!$C$22, $C$13, 100%, $E$13)</f>
        <v>15.084199999999999</v>
      </c>
      <c r="J489" s="64">
        <f>8.768 * CHOOSE(CONTROL!$C$22, $C$13, 100%, $E$13)</f>
        <v>8.7680000000000007</v>
      </c>
      <c r="K489" s="64">
        <f>8.7682 * CHOOSE(CONTROL!$C$22, $C$13, 100%, $E$13)</f>
        <v>8.7682000000000002</v>
      </c>
    </row>
    <row r="490" spans="1:11" ht="15">
      <c r="A490" s="13">
        <v>56554</v>
      </c>
      <c r="B490" s="63">
        <f>7.5584 * CHOOSE(CONTROL!$C$22, $C$13, 100%, $E$13)</f>
        <v>7.5583999999999998</v>
      </c>
      <c r="C490" s="63">
        <f>7.5584 * CHOOSE(CONTROL!$C$22, $C$13, 100%, $E$13)</f>
        <v>7.5583999999999998</v>
      </c>
      <c r="D490" s="63">
        <f>7.5699 * CHOOSE(CONTROL!$C$22, $C$13, 100%, $E$13)</f>
        <v>7.5698999999999996</v>
      </c>
      <c r="E490" s="64">
        <f>8.7901 * CHOOSE(CONTROL!$C$22, $C$13, 100%, $E$13)</f>
        <v>8.7901000000000007</v>
      </c>
      <c r="F490" s="64">
        <f>8.7901 * CHOOSE(CONTROL!$C$22, $C$13, 100%, $E$13)</f>
        <v>8.7901000000000007</v>
      </c>
      <c r="G490" s="64">
        <f>8.7902 * CHOOSE(CONTROL!$C$22, $C$13, 100%, $E$13)</f>
        <v>8.7902000000000005</v>
      </c>
      <c r="H490" s="64">
        <f>15.1155* CHOOSE(CONTROL!$C$22, $C$13, 100%, $E$13)</f>
        <v>15.115500000000001</v>
      </c>
      <c r="I490" s="64">
        <f>15.1157 * CHOOSE(CONTROL!$C$22, $C$13, 100%, $E$13)</f>
        <v>15.1157</v>
      </c>
      <c r="J490" s="64">
        <f>8.7901 * CHOOSE(CONTROL!$C$22, $C$13, 100%, $E$13)</f>
        <v>8.7901000000000007</v>
      </c>
      <c r="K490" s="64">
        <f>8.7902 * CHOOSE(CONTROL!$C$22, $C$13, 100%, $E$13)</f>
        <v>8.7902000000000005</v>
      </c>
    </row>
    <row r="491" spans="1:11" ht="15">
      <c r="A491" s="13">
        <v>56584</v>
      </c>
      <c r="B491" s="63">
        <f>7.5584 * CHOOSE(CONTROL!$C$22, $C$13, 100%, $E$13)</f>
        <v>7.5583999999999998</v>
      </c>
      <c r="C491" s="63">
        <f>7.5584 * CHOOSE(CONTROL!$C$22, $C$13, 100%, $E$13)</f>
        <v>7.5583999999999998</v>
      </c>
      <c r="D491" s="63">
        <f>7.5699 * CHOOSE(CONTROL!$C$22, $C$13, 100%, $E$13)</f>
        <v>7.5698999999999996</v>
      </c>
      <c r="E491" s="64">
        <f>8.7403 * CHOOSE(CONTROL!$C$22, $C$13, 100%, $E$13)</f>
        <v>8.7402999999999995</v>
      </c>
      <c r="F491" s="64">
        <f>8.7403 * CHOOSE(CONTROL!$C$22, $C$13, 100%, $E$13)</f>
        <v>8.7402999999999995</v>
      </c>
      <c r="G491" s="64">
        <f>8.7404 * CHOOSE(CONTROL!$C$22, $C$13, 100%, $E$13)</f>
        <v>8.7403999999999993</v>
      </c>
      <c r="H491" s="64">
        <f>15.147* CHOOSE(CONTROL!$C$22, $C$13, 100%, $E$13)</f>
        <v>15.147</v>
      </c>
      <c r="I491" s="64">
        <f>15.1472 * CHOOSE(CONTROL!$C$22, $C$13, 100%, $E$13)</f>
        <v>15.1472</v>
      </c>
      <c r="J491" s="64">
        <f>8.7403 * CHOOSE(CONTROL!$C$22, $C$13, 100%, $E$13)</f>
        <v>8.7402999999999995</v>
      </c>
      <c r="K491" s="64">
        <f>8.7404 * CHOOSE(CONTROL!$C$22, $C$13, 100%, $E$13)</f>
        <v>8.7403999999999993</v>
      </c>
    </row>
    <row r="492" spans="1:11" ht="15">
      <c r="A492" s="13">
        <v>56615</v>
      </c>
      <c r="B492" s="63">
        <f>7.6256 * CHOOSE(CONTROL!$C$22, $C$13, 100%, $E$13)</f>
        <v>7.6256000000000004</v>
      </c>
      <c r="C492" s="63">
        <f>7.6256 * CHOOSE(CONTROL!$C$22, $C$13, 100%, $E$13)</f>
        <v>7.6256000000000004</v>
      </c>
      <c r="D492" s="63">
        <f>7.6372 * CHOOSE(CONTROL!$C$22, $C$13, 100%, $E$13)</f>
        <v>7.6372</v>
      </c>
      <c r="E492" s="64">
        <f>8.8543 * CHOOSE(CONTROL!$C$22, $C$13, 100%, $E$13)</f>
        <v>8.8543000000000003</v>
      </c>
      <c r="F492" s="64">
        <f>8.8543 * CHOOSE(CONTROL!$C$22, $C$13, 100%, $E$13)</f>
        <v>8.8543000000000003</v>
      </c>
      <c r="G492" s="64">
        <f>8.8545 * CHOOSE(CONTROL!$C$22, $C$13, 100%, $E$13)</f>
        <v>8.8544999999999998</v>
      </c>
      <c r="H492" s="64">
        <f>15.1785* CHOOSE(CONTROL!$C$22, $C$13, 100%, $E$13)</f>
        <v>15.1785</v>
      </c>
      <c r="I492" s="64">
        <f>15.1787 * CHOOSE(CONTROL!$C$22, $C$13, 100%, $E$13)</f>
        <v>15.178699999999999</v>
      </c>
      <c r="J492" s="64">
        <f>8.8543 * CHOOSE(CONTROL!$C$22, $C$13, 100%, $E$13)</f>
        <v>8.8543000000000003</v>
      </c>
      <c r="K492" s="64">
        <f>8.8545 * CHOOSE(CONTROL!$C$22, $C$13, 100%, $E$13)</f>
        <v>8.8544999999999998</v>
      </c>
    </row>
    <row r="493" spans="1:11" ht="15">
      <c r="A493" s="13">
        <v>56646</v>
      </c>
      <c r="B493" s="63">
        <f>7.6226 * CHOOSE(CONTROL!$C$22, $C$13, 100%, $E$13)</f>
        <v>7.6226000000000003</v>
      </c>
      <c r="C493" s="63">
        <f>7.6226 * CHOOSE(CONTROL!$C$22, $C$13, 100%, $E$13)</f>
        <v>7.6226000000000003</v>
      </c>
      <c r="D493" s="63">
        <f>7.6341 * CHOOSE(CONTROL!$C$22, $C$13, 100%, $E$13)</f>
        <v>7.6341000000000001</v>
      </c>
      <c r="E493" s="64">
        <f>8.7555 * CHOOSE(CONTROL!$C$22, $C$13, 100%, $E$13)</f>
        <v>8.7554999999999996</v>
      </c>
      <c r="F493" s="64">
        <f>8.7555 * CHOOSE(CONTROL!$C$22, $C$13, 100%, $E$13)</f>
        <v>8.7554999999999996</v>
      </c>
      <c r="G493" s="64">
        <f>8.7557 * CHOOSE(CONTROL!$C$22, $C$13, 100%, $E$13)</f>
        <v>8.7556999999999992</v>
      </c>
      <c r="H493" s="64">
        <f>15.2102* CHOOSE(CONTROL!$C$22, $C$13, 100%, $E$13)</f>
        <v>15.2102</v>
      </c>
      <c r="I493" s="64">
        <f>15.2103 * CHOOSE(CONTROL!$C$22, $C$13, 100%, $E$13)</f>
        <v>15.2103</v>
      </c>
      <c r="J493" s="64">
        <f>8.7555 * CHOOSE(CONTROL!$C$22, $C$13, 100%, $E$13)</f>
        <v>8.7554999999999996</v>
      </c>
      <c r="K493" s="64">
        <f>8.7557 * CHOOSE(CONTROL!$C$22, $C$13, 100%, $E$13)</f>
        <v>8.7556999999999992</v>
      </c>
    </row>
    <row r="494" spans="1:11" ht="15">
      <c r="A494" s="13">
        <v>56674</v>
      </c>
      <c r="B494" s="63">
        <f>7.6195 * CHOOSE(CONTROL!$C$22, $C$13, 100%, $E$13)</f>
        <v>7.6195000000000004</v>
      </c>
      <c r="C494" s="63">
        <f>7.6195 * CHOOSE(CONTROL!$C$22, $C$13, 100%, $E$13)</f>
        <v>7.6195000000000004</v>
      </c>
      <c r="D494" s="63">
        <f>7.6311 * CHOOSE(CONTROL!$C$22, $C$13, 100%, $E$13)</f>
        <v>7.6311</v>
      </c>
      <c r="E494" s="64">
        <f>8.8296 * CHOOSE(CONTROL!$C$22, $C$13, 100%, $E$13)</f>
        <v>8.8295999999999992</v>
      </c>
      <c r="F494" s="64">
        <f>8.8296 * CHOOSE(CONTROL!$C$22, $C$13, 100%, $E$13)</f>
        <v>8.8295999999999992</v>
      </c>
      <c r="G494" s="64">
        <f>8.8298 * CHOOSE(CONTROL!$C$22, $C$13, 100%, $E$13)</f>
        <v>8.8298000000000005</v>
      </c>
      <c r="H494" s="64">
        <f>15.2419* CHOOSE(CONTROL!$C$22, $C$13, 100%, $E$13)</f>
        <v>15.241899999999999</v>
      </c>
      <c r="I494" s="64">
        <f>15.242 * CHOOSE(CONTROL!$C$22, $C$13, 100%, $E$13)</f>
        <v>15.242000000000001</v>
      </c>
      <c r="J494" s="64">
        <f>8.8296 * CHOOSE(CONTROL!$C$22, $C$13, 100%, $E$13)</f>
        <v>8.8295999999999992</v>
      </c>
      <c r="K494" s="64">
        <f>8.8298 * CHOOSE(CONTROL!$C$22, $C$13, 100%, $E$13)</f>
        <v>8.8298000000000005</v>
      </c>
    </row>
    <row r="495" spans="1:11" ht="15">
      <c r="A495" s="13">
        <v>56705</v>
      </c>
      <c r="B495" s="63">
        <f>7.6204 * CHOOSE(CONTROL!$C$22, $C$13, 100%, $E$13)</f>
        <v>7.6204000000000001</v>
      </c>
      <c r="C495" s="63">
        <f>7.6204 * CHOOSE(CONTROL!$C$22, $C$13, 100%, $E$13)</f>
        <v>7.6204000000000001</v>
      </c>
      <c r="D495" s="63">
        <f>7.6319 * CHOOSE(CONTROL!$C$22, $C$13, 100%, $E$13)</f>
        <v>7.6318999999999999</v>
      </c>
      <c r="E495" s="64">
        <f>8.9073 * CHOOSE(CONTROL!$C$22, $C$13, 100%, $E$13)</f>
        <v>8.9072999999999993</v>
      </c>
      <c r="F495" s="64">
        <f>8.9073 * CHOOSE(CONTROL!$C$22, $C$13, 100%, $E$13)</f>
        <v>8.9072999999999993</v>
      </c>
      <c r="G495" s="64">
        <f>8.9075 * CHOOSE(CONTROL!$C$22, $C$13, 100%, $E$13)</f>
        <v>8.9075000000000006</v>
      </c>
      <c r="H495" s="64">
        <f>15.2736* CHOOSE(CONTROL!$C$22, $C$13, 100%, $E$13)</f>
        <v>15.2736</v>
      </c>
      <c r="I495" s="64">
        <f>15.2738 * CHOOSE(CONTROL!$C$22, $C$13, 100%, $E$13)</f>
        <v>15.2738</v>
      </c>
      <c r="J495" s="64">
        <f>8.9073 * CHOOSE(CONTROL!$C$22, $C$13, 100%, $E$13)</f>
        <v>8.9072999999999993</v>
      </c>
      <c r="K495" s="64">
        <f>8.9075 * CHOOSE(CONTROL!$C$22, $C$13, 100%, $E$13)</f>
        <v>8.9075000000000006</v>
      </c>
    </row>
    <row r="496" spans="1:11" ht="15">
      <c r="A496" s="13">
        <v>56735</v>
      </c>
      <c r="B496" s="63">
        <f>7.6204 * CHOOSE(CONTROL!$C$22, $C$13, 100%, $E$13)</f>
        <v>7.6204000000000001</v>
      </c>
      <c r="C496" s="63">
        <f>7.6204 * CHOOSE(CONTROL!$C$22, $C$13, 100%, $E$13)</f>
        <v>7.6204000000000001</v>
      </c>
      <c r="D496" s="63">
        <f>7.6435 * CHOOSE(CONTROL!$C$22, $C$13, 100%, $E$13)</f>
        <v>7.6435000000000004</v>
      </c>
      <c r="E496" s="64">
        <f>8.938 * CHOOSE(CONTROL!$C$22, $C$13, 100%, $E$13)</f>
        <v>8.9380000000000006</v>
      </c>
      <c r="F496" s="64">
        <f>8.938 * CHOOSE(CONTROL!$C$22, $C$13, 100%, $E$13)</f>
        <v>8.9380000000000006</v>
      </c>
      <c r="G496" s="64">
        <f>8.9395 * CHOOSE(CONTROL!$C$22, $C$13, 100%, $E$13)</f>
        <v>8.9395000000000007</v>
      </c>
      <c r="H496" s="64">
        <f>15.3054* CHOOSE(CONTROL!$C$22, $C$13, 100%, $E$13)</f>
        <v>15.305400000000001</v>
      </c>
      <c r="I496" s="64">
        <f>15.3069 * CHOOSE(CONTROL!$C$22, $C$13, 100%, $E$13)</f>
        <v>15.306900000000001</v>
      </c>
      <c r="J496" s="64">
        <f>8.938 * CHOOSE(CONTROL!$C$22, $C$13, 100%, $E$13)</f>
        <v>8.9380000000000006</v>
      </c>
      <c r="K496" s="64">
        <f>8.9395 * CHOOSE(CONTROL!$C$22, $C$13, 100%, $E$13)</f>
        <v>8.9395000000000007</v>
      </c>
    </row>
    <row r="497" spans="1:11" ht="15">
      <c r="A497" s="13">
        <v>56766</v>
      </c>
      <c r="B497" s="63">
        <f>7.6264 * CHOOSE(CONTROL!$C$22, $C$13, 100%, $E$13)</f>
        <v>7.6264000000000003</v>
      </c>
      <c r="C497" s="63">
        <f>7.6264 * CHOOSE(CONTROL!$C$22, $C$13, 100%, $E$13)</f>
        <v>7.6264000000000003</v>
      </c>
      <c r="D497" s="63">
        <f>7.6495 * CHOOSE(CONTROL!$C$22, $C$13, 100%, $E$13)</f>
        <v>7.6494999999999997</v>
      </c>
      <c r="E497" s="64">
        <f>8.9115 * CHOOSE(CONTROL!$C$22, $C$13, 100%, $E$13)</f>
        <v>8.9115000000000002</v>
      </c>
      <c r="F497" s="64">
        <f>8.9115 * CHOOSE(CONTROL!$C$22, $C$13, 100%, $E$13)</f>
        <v>8.9115000000000002</v>
      </c>
      <c r="G497" s="64">
        <f>8.913 * CHOOSE(CONTROL!$C$22, $C$13, 100%, $E$13)</f>
        <v>8.9130000000000003</v>
      </c>
      <c r="H497" s="64">
        <f>15.3373* CHOOSE(CONTROL!$C$22, $C$13, 100%, $E$13)</f>
        <v>15.337300000000001</v>
      </c>
      <c r="I497" s="64">
        <f>15.3388 * CHOOSE(CONTROL!$C$22, $C$13, 100%, $E$13)</f>
        <v>15.338800000000001</v>
      </c>
      <c r="J497" s="64">
        <f>8.9115 * CHOOSE(CONTROL!$C$22, $C$13, 100%, $E$13)</f>
        <v>8.9115000000000002</v>
      </c>
      <c r="K497" s="64">
        <f>8.913 * CHOOSE(CONTROL!$C$22, $C$13, 100%, $E$13)</f>
        <v>8.9130000000000003</v>
      </c>
    </row>
    <row r="498" spans="1:11" ht="15">
      <c r="A498" s="13">
        <v>56796</v>
      </c>
      <c r="B498" s="63">
        <f>7.7506 * CHOOSE(CONTROL!$C$22, $C$13, 100%, $E$13)</f>
        <v>7.7506000000000004</v>
      </c>
      <c r="C498" s="63">
        <f>7.7506 * CHOOSE(CONTROL!$C$22, $C$13, 100%, $E$13)</f>
        <v>7.7506000000000004</v>
      </c>
      <c r="D498" s="63">
        <f>7.7737 * CHOOSE(CONTROL!$C$22, $C$13, 100%, $E$13)</f>
        <v>7.7736999999999998</v>
      </c>
      <c r="E498" s="64">
        <f>9.0859 * CHOOSE(CONTROL!$C$22, $C$13, 100%, $E$13)</f>
        <v>9.0859000000000005</v>
      </c>
      <c r="F498" s="64">
        <f>9.0859 * CHOOSE(CONTROL!$C$22, $C$13, 100%, $E$13)</f>
        <v>9.0859000000000005</v>
      </c>
      <c r="G498" s="64">
        <f>9.0873 * CHOOSE(CONTROL!$C$22, $C$13, 100%, $E$13)</f>
        <v>9.0873000000000008</v>
      </c>
      <c r="H498" s="64">
        <f>15.3693* CHOOSE(CONTROL!$C$22, $C$13, 100%, $E$13)</f>
        <v>15.369300000000001</v>
      </c>
      <c r="I498" s="64">
        <f>15.3708 * CHOOSE(CONTROL!$C$22, $C$13, 100%, $E$13)</f>
        <v>15.370799999999999</v>
      </c>
      <c r="J498" s="64">
        <f>9.0859 * CHOOSE(CONTROL!$C$22, $C$13, 100%, $E$13)</f>
        <v>9.0859000000000005</v>
      </c>
      <c r="K498" s="64">
        <f>9.0873 * CHOOSE(CONTROL!$C$22, $C$13, 100%, $E$13)</f>
        <v>9.0873000000000008</v>
      </c>
    </row>
    <row r="499" spans="1:11" ht="15">
      <c r="A499" s="13">
        <v>56827</v>
      </c>
      <c r="B499" s="63">
        <f>7.7573 * CHOOSE(CONTROL!$C$22, $C$13, 100%, $E$13)</f>
        <v>7.7572999999999999</v>
      </c>
      <c r="C499" s="63">
        <f>7.7573 * CHOOSE(CONTROL!$C$22, $C$13, 100%, $E$13)</f>
        <v>7.7572999999999999</v>
      </c>
      <c r="D499" s="63">
        <f>7.7804 * CHOOSE(CONTROL!$C$22, $C$13, 100%, $E$13)</f>
        <v>7.7804000000000002</v>
      </c>
      <c r="E499" s="64">
        <f>8.9984 * CHOOSE(CONTROL!$C$22, $C$13, 100%, $E$13)</f>
        <v>8.9984000000000002</v>
      </c>
      <c r="F499" s="64">
        <f>8.9984 * CHOOSE(CONTROL!$C$22, $C$13, 100%, $E$13)</f>
        <v>8.9984000000000002</v>
      </c>
      <c r="G499" s="64">
        <f>8.9998 * CHOOSE(CONTROL!$C$22, $C$13, 100%, $E$13)</f>
        <v>8.9998000000000005</v>
      </c>
      <c r="H499" s="64">
        <f>15.4013* CHOOSE(CONTROL!$C$22, $C$13, 100%, $E$13)</f>
        <v>15.401300000000001</v>
      </c>
      <c r="I499" s="64">
        <f>15.4028 * CHOOSE(CONTROL!$C$22, $C$13, 100%, $E$13)</f>
        <v>15.402799999999999</v>
      </c>
      <c r="J499" s="64">
        <f>8.9984 * CHOOSE(CONTROL!$C$22, $C$13, 100%, $E$13)</f>
        <v>8.9984000000000002</v>
      </c>
      <c r="K499" s="64">
        <f>8.9998 * CHOOSE(CONTROL!$C$22, $C$13, 100%, $E$13)</f>
        <v>8.9998000000000005</v>
      </c>
    </row>
    <row r="500" spans="1:11" ht="15">
      <c r="A500" s="13">
        <v>56858</v>
      </c>
      <c r="B500" s="63">
        <f>7.7542 * CHOOSE(CONTROL!$C$22, $C$13, 100%, $E$13)</f>
        <v>7.7542</v>
      </c>
      <c r="C500" s="63">
        <f>7.7542 * CHOOSE(CONTROL!$C$22, $C$13, 100%, $E$13)</f>
        <v>7.7542</v>
      </c>
      <c r="D500" s="63">
        <f>7.7773 * CHOOSE(CONTROL!$C$22, $C$13, 100%, $E$13)</f>
        <v>7.7773000000000003</v>
      </c>
      <c r="E500" s="64">
        <f>8.986 * CHOOSE(CONTROL!$C$22, $C$13, 100%, $E$13)</f>
        <v>8.9860000000000007</v>
      </c>
      <c r="F500" s="64">
        <f>8.986 * CHOOSE(CONTROL!$C$22, $C$13, 100%, $E$13)</f>
        <v>8.9860000000000007</v>
      </c>
      <c r="G500" s="64">
        <f>8.9875 * CHOOSE(CONTROL!$C$22, $C$13, 100%, $E$13)</f>
        <v>8.9875000000000007</v>
      </c>
      <c r="H500" s="64">
        <f>15.4334* CHOOSE(CONTROL!$C$22, $C$13, 100%, $E$13)</f>
        <v>15.433400000000001</v>
      </c>
      <c r="I500" s="64">
        <f>15.4349 * CHOOSE(CONTROL!$C$22, $C$13, 100%, $E$13)</f>
        <v>15.434900000000001</v>
      </c>
      <c r="J500" s="64">
        <f>8.986 * CHOOSE(CONTROL!$C$22, $C$13, 100%, $E$13)</f>
        <v>8.9860000000000007</v>
      </c>
      <c r="K500" s="64">
        <f>8.9875 * CHOOSE(CONTROL!$C$22, $C$13, 100%, $E$13)</f>
        <v>8.9875000000000007</v>
      </c>
    </row>
    <row r="501" spans="1:11" ht="15">
      <c r="A501" s="13">
        <v>56888</v>
      </c>
      <c r="B501" s="63">
        <f>7.762 * CHOOSE(CONTROL!$C$22, $C$13, 100%, $E$13)</f>
        <v>7.7619999999999996</v>
      </c>
      <c r="C501" s="63">
        <f>7.762 * CHOOSE(CONTROL!$C$22, $C$13, 100%, $E$13)</f>
        <v>7.7619999999999996</v>
      </c>
      <c r="D501" s="63">
        <f>7.7735 * CHOOSE(CONTROL!$C$22, $C$13, 100%, $E$13)</f>
        <v>7.7735000000000003</v>
      </c>
      <c r="E501" s="64">
        <f>9.0135 * CHOOSE(CONTROL!$C$22, $C$13, 100%, $E$13)</f>
        <v>9.0135000000000005</v>
      </c>
      <c r="F501" s="64">
        <f>9.0135 * CHOOSE(CONTROL!$C$22, $C$13, 100%, $E$13)</f>
        <v>9.0135000000000005</v>
      </c>
      <c r="G501" s="64">
        <f>9.0137 * CHOOSE(CONTROL!$C$22, $C$13, 100%, $E$13)</f>
        <v>9.0137</v>
      </c>
      <c r="H501" s="64">
        <f>15.4655* CHOOSE(CONTROL!$C$22, $C$13, 100%, $E$13)</f>
        <v>15.4655</v>
      </c>
      <c r="I501" s="64">
        <f>15.4657 * CHOOSE(CONTROL!$C$22, $C$13, 100%, $E$13)</f>
        <v>15.4657</v>
      </c>
      <c r="J501" s="64">
        <f>9.0135 * CHOOSE(CONTROL!$C$22, $C$13, 100%, $E$13)</f>
        <v>9.0135000000000005</v>
      </c>
      <c r="K501" s="64">
        <f>9.0137 * CHOOSE(CONTROL!$C$22, $C$13, 100%, $E$13)</f>
        <v>9.0137</v>
      </c>
    </row>
    <row r="502" spans="1:11" ht="15">
      <c r="A502" s="13">
        <v>56919</v>
      </c>
      <c r="B502" s="63">
        <f>7.765 * CHOOSE(CONTROL!$C$22, $C$13, 100%, $E$13)</f>
        <v>7.7649999999999997</v>
      </c>
      <c r="C502" s="63">
        <f>7.765 * CHOOSE(CONTROL!$C$22, $C$13, 100%, $E$13)</f>
        <v>7.7649999999999997</v>
      </c>
      <c r="D502" s="63">
        <f>7.7766 * CHOOSE(CONTROL!$C$22, $C$13, 100%, $E$13)</f>
        <v>7.7766000000000002</v>
      </c>
      <c r="E502" s="64">
        <f>9.0361 * CHOOSE(CONTROL!$C$22, $C$13, 100%, $E$13)</f>
        <v>9.0360999999999994</v>
      </c>
      <c r="F502" s="64">
        <f>9.0361 * CHOOSE(CONTROL!$C$22, $C$13, 100%, $E$13)</f>
        <v>9.0360999999999994</v>
      </c>
      <c r="G502" s="64">
        <f>9.0363 * CHOOSE(CONTROL!$C$22, $C$13, 100%, $E$13)</f>
        <v>9.0363000000000007</v>
      </c>
      <c r="H502" s="64">
        <f>15.4977* CHOOSE(CONTROL!$C$22, $C$13, 100%, $E$13)</f>
        <v>15.4977</v>
      </c>
      <c r="I502" s="64">
        <f>15.4979 * CHOOSE(CONTROL!$C$22, $C$13, 100%, $E$13)</f>
        <v>15.4979</v>
      </c>
      <c r="J502" s="64">
        <f>9.0361 * CHOOSE(CONTROL!$C$22, $C$13, 100%, $E$13)</f>
        <v>9.0360999999999994</v>
      </c>
      <c r="K502" s="64">
        <f>9.0363 * CHOOSE(CONTROL!$C$22, $C$13, 100%, $E$13)</f>
        <v>9.0363000000000007</v>
      </c>
    </row>
    <row r="503" spans="1:11" ht="15">
      <c r="A503" s="13">
        <v>56949</v>
      </c>
      <c r="B503" s="63">
        <f>7.765 * CHOOSE(CONTROL!$C$22, $C$13, 100%, $E$13)</f>
        <v>7.7649999999999997</v>
      </c>
      <c r="C503" s="63">
        <f>7.765 * CHOOSE(CONTROL!$C$22, $C$13, 100%, $E$13)</f>
        <v>7.7649999999999997</v>
      </c>
      <c r="D503" s="63">
        <f>7.7766 * CHOOSE(CONTROL!$C$22, $C$13, 100%, $E$13)</f>
        <v>7.7766000000000002</v>
      </c>
      <c r="E503" s="64">
        <f>8.9849 * CHOOSE(CONTROL!$C$22, $C$13, 100%, $E$13)</f>
        <v>8.9848999999999997</v>
      </c>
      <c r="F503" s="64">
        <f>8.9849 * CHOOSE(CONTROL!$C$22, $C$13, 100%, $E$13)</f>
        <v>8.9848999999999997</v>
      </c>
      <c r="G503" s="64">
        <f>8.9851 * CHOOSE(CONTROL!$C$22, $C$13, 100%, $E$13)</f>
        <v>8.9850999999999992</v>
      </c>
      <c r="H503" s="64">
        <f>15.53* CHOOSE(CONTROL!$C$22, $C$13, 100%, $E$13)</f>
        <v>15.53</v>
      </c>
      <c r="I503" s="64">
        <f>15.5302 * CHOOSE(CONTROL!$C$22, $C$13, 100%, $E$13)</f>
        <v>15.530200000000001</v>
      </c>
      <c r="J503" s="64">
        <f>8.9849 * CHOOSE(CONTROL!$C$22, $C$13, 100%, $E$13)</f>
        <v>8.9848999999999997</v>
      </c>
      <c r="K503" s="64">
        <f>8.9851 * CHOOSE(CONTROL!$C$22, $C$13, 100%, $E$13)</f>
        <v>8.9850999999999992</v>
      </c>
    </row>
    <row r="504" spans="1:11" ht="15">
      <c r="A504" s="13">
        <v>56980</v>
      </c>
      <c r="B504" s="63">
        <f>7.8339 * CHOOSE(CONTROL!$C$22, $C$13, 100%, $E$13)</f>
        <v>7.8338999999999999</v>
      </c>
      <c r="C504" s="63">
        <f>7.8339 * CHOOSE(CONTROL!$C$22, $C$13, 100%, $E$13)</f>
        <v>7.8338999999999999</v>
      </c>
      <c r="D504" s="63">
        <f>7.8455 * CHOOSE(CONTROL!$C$22, $C$13, 100%, $E$13)</f>
        <v>7.8455000000000004</v>
      </c>
      <c r="E504" s="64">
        <f>9.1021 * CHOOSE(CONTROL!$C$22, $C$13, 100%, $E$13)</f>
        <v>9.1021000000000001</v>
      </c>
      <c r="F504" s="64">
        <f>9.1021 * CHOOSE(CONTROL!$C$22, $C$13, 100%, $E$13)</f>
        <v>9.1021000000000001</v>
      </c>
      <c r="G504" s="64">
        <f>9.1023 * CHOOSE(CONTROL!$C$22, $C$13, 100%, $E$13)</f>
        <v>9.1022999999999996</v>
      </c>
      <c r="H504" s="64">
        <f>15.5624* CHOOSE(CONTROL!$C$22, $C$13, 100%, $E$13)</f>
        <v>15.5624</v>
      </c>
      <c r="I504" s="64">
        <f>15.5626 * CHOOSE(CONTROL!$C$22, $C$13, 100%, $E$13)</f>
        <v>15.5626</v>
      </c>
      <c r="J504" s="64">
        <f>9.1021 * CHOOSE(CONTROL!$C$22, $C$13, 100%, $E$13)</f>
        <v>9.1021000000000001</v>
      </c>
      <c r="K504" s="64">
        <f>9.1023 * CHOOSE(CONTROL!$C$22, $C$13, 100%, $E$13)</f>
        <v>9.1022999999999996</v>
      </c>
    </row>
    <row r="505" spans="1:11" ht="15">
      <c r="A505" s="13">
        <v>57011</v>
      </c>
      <c r="B505" s="63">
        <f>7.8309 * CHOOSE(CONTROL!$C$22, $C$13, 100%, $E$13)</f>
        <v>7.8308999999999997</v>
      </c>
      <c r="C505" s="63">
        <f>7.8309 * CHOOSE(CONTROL!$C$22, $C$13, 100%, $E$13)</f>
        <v>7.8308999999999997</v>
      </c>
      <c r="D505" s="63">
        <f>7.8425 * CHOOSE(CONTROL!$C$22, $C$13, 100%, $E$13)</f>
        <v>7.8425000000000002</v>
      </c>
      <c r="E505" s="64">
        <f>9.0005 * CHOOSE(CONTROL!$C$22, $C$13, 100%, $E$13)</f>
        <v>9.0005000000000006</v>
      </c>
      <c r="F505" s="64">
        <f>9.0005 * CHOOSE(CONTROL!$C$22, $C$13, 100%, $E$13)</f>
        <v>9.0005000000000006</v>
      </c>
      <c r="G505" s="64">
        <f>9.0007 * CHOOSE(CONTROL!$C$22, $C$13, 100%, $E$13)</f>
        <v>9.0007000000000001</v>
      </c>
      <c r="H505" s="64">
        <f>15.5948* CHOOSE(CONTROL!$C$22, $C$13, 100%, $E$13)</f>
        <v>15.594799999999999</v>
      </c>
      <c r="I505" s="64">
        <f>15.595 * CHOOSE(CONTROL!$C$22, $C$13, 100%, $E$13)</f>
        <v>15.595000000000001</v>
      </c>
      <c r="J505" s="64">
        <f>9.0005 * CHOOSE(CONTROL!$C$22, $C$13, 100%, $E$13)</f>
        <v>9.0005000000000006</v>
      </c>
      <c r="K505" s="64">
        <f>9.0007 * CHOOSE(CONTROL!$C$22, $C$13, 100%, $E$13)</f>
        <v>9.0007000000000001</v>
      </c>
    </row>
    <row r="506" spans="1:11" ht="15">
      <c r="A506" s="13">
        <v>57040</v>
      </c>
      <c r="B506" s="63">
        <f>7.8279 * CHOOSE(CONTROL!$C$22, $C$13, 100%, $E$13)</f>
        <v>7.8278999999999996</v>
      </c>
      <c r="C506" s="63">
        <f>7.8279 * CHOOSE(CONTROL!$C$22, $C$13, 100%, $E$13)</f>
        <v>7.8278999999999996</v>
      </c>
      <c r="D506" s="63">
        <f>7.8394 * CHOOSE(CONTROL!$C$22, $C$13, 100%, $E$13)</f>
        <v>7.8394000000000004</v>
      </c>
      <c r="E506" s="64">
        <f>9.0768 * CHOOSE(CONTROL!$C$22, $C$13, 100%, $E$13)</f>
        <v>9.0768000000000004</v>
      </c>
      <c r="F506" s="64">
        <f>9.0768 * CHOOSE(CONTROL!$C$22, $C$13, 100%, $E$13)</f>
        <v>9.0768000000000004</v>
      </c>
      <c r="G506" s="64">
        <f>9.077 * CHOOSE(CONTROL!$C$22, $C$13, 100%, $E$13)</f>
        <v>9.077</v>
      </c>
      <c r="H506" s="64">
        <f>15.6273* CHOOSE(CONTROL!$C$22, $C$13, 100%, $E$13)</f>
        <v>15.6273</v>
      </c>
      <c r="I506" s="64">
        <f>15.6275 * CHOOSE(CONTROL!$C$22, $C$13, 100%, $E$13)</f>
        <v>15.6275</v>
      </c>
      <c r="J506" s="64">
        <f>9.0768 * CHOOSE(CONTROL!$C$22, $C$13, 100%, $E$13)</f>
        <v>9.0768000000000004</v>
      </c>
      <c r="K506" s="64">
        <f>9.077 * CHOOSE(CONTROL!$C$22, $C$13, 100%, $E$13)</f>
        <v>9.077</v>
      </c>
    </row>
    <row r="507" spans="1:11" ht="15">
      <c r="A507" s="13">
        <v>57071</v>
      </c>
      <c r="B507" s="63">
        <f>7.8289 * CHOOSE(CONTROL!$C$22, $C$13, 100%, $E$13)</f>
        <v>7.8289</v>
      </c>
      <c r="C507" s="63">
        <f>7.8289 * CHOOSE(CONTROL!$C$22, $C$13, 100%, $E$13)</f>
        <v>7.8289</v>
      </c>
      <c r="D507" s="63">
        <f>7.8404 * CHOOSE(CONTROL!$C$22, $C$13, 100%, $E$13)</f>
        <v>7.8403999999999998</v>
      </c>
      <c r="E507" s="64">
        <f>9.1568 * CHOOSE(CONTROL!$C$22, $C$13, 100%, $E$13)</f>
        <v>9.1568000000000005</v>
      </c>
      <c r="F507" s="64">
        <f>9.1568 * CHOOSE(CONTROL!$C$22, $C$13, 100%, $E$13)</f>
        <v>9.1568000000000005</v>
      </c>
      <c r="G507" s="64">
        <f>9.157 * CHOOSE(CONTROL!$C$22, $C$13, 100%, $E$13)</f>
        <v>9.157</v>
      </c>
      <c r="H507" s="64">
        <f>15.6599* CHOOSE(CONTROL!$C$22, $C$13, 100%, $E$13)</f>
        <v>15.6599</v>
      </c>
      <c r="I507" s="64">
        <f>15.66 * CHOOSE(CONTROL!$C$22, $C$13, 100%, $E$13)</f>
        <v>15.66</v>
      </c>
      <c r="J507" s="64">
        <f>9.1568 * CHOOSE(CONTROL!$C$22, $C$13, 100%, $E$13)</f>
        <v>9.1568000000000005</v>
      </c>
      <c r="K507" s="64">
        <f>9.157 * CHOOSE(CONTROL!$C$22, $C$13, 100%, $E$13)</f>
        <v>9.157</v>
      </c>
    </row>
    <row r="508" spans="1:11" ht="15">
      <c r="A508" s="13">
        <v>57101</v>
      </c>
      <c r="B508" s="63">
        <f>7.8289 * CHOOSE(CONTROL!$C$22, $C$13, 100%, $E$13)</f>
        <v>7.8289</v>
      </c>
      <c r="C508" s="63">
        <f>7.8289 * CHOOSE(CONTROL!$C$22, $C$13, 100%, $E$13)</f>
        <v>7.8289</v>
      </c>
      <c r="D508" s="63">
        <f>7.852 * CHOOSE(CONTROL!$C$22, $C$13, 100%, $E$13)</f>
        <v>7.8520000000000003</v>
      </c>
      <c r="E508" s="64">
        <f>9.1884 * CHOOSE(CONTROL!$C$22, $C$13, 100%, $E$13)</f>
        <v>9.1883999999999997</v>
      </c>
      <c r="F508" s="64">
        <f>9.1884 * CHOOSE(CONTROL!$C$22, $C$13, 100%, $E$13)</f>
        <v>9.1883999999999997</v>
      </c>
      <c r="G508" s="64">
        <f>9.1899 * CHOOSE(CONTROL!$C$22, $C$13, 100%, $E$13)</f>
        <v>9.1898999999999997</v>
      </c>
      <c r="H508" s="64">
        <f>15.6925* CHOOSE(CONTROL!$C$22, $C$13, 100%, $E$13)</f>
        <v>15.692500000000001</v>
      </c>
      <c r="I508" s="64">
        <f>15.694 * CHOOSE(CONTROL!$C$22, $C$13, 100%, $E$13)</f>
        <v>15.694000000000001</v>
      </c>
      <c r="J508" s="64">
        <f>9.1884 * CHOOSE(CONTROL!$C$22, $C$13, 100%, $E$13)</f>
        <v>9.1883999999999997</v>
      </c>
      <c r="K508" s="64">
        <f>9.1899 * CHOOSE(CONTROL!$C$22, $C$13, 100%, $E$13)</f>
        <v>9.1898999999999997</v>
      </c>
    </row>
    <row r="509" spans="1:11" ht="15">
      <c r="A509" s="13">
        <v>57132</v>
      </c>
      <c r="B509" s="63">
        <f>7.835 * CHOOSE(CONTROL!$C$22, $C$13, 100%, $E$13)</f>
        <v>7.835</v>
      </c>
      <c r="C509" s="63">
        <f>7.835 * CHOOSE(CONTROL!$C$22, $C$13, 100%, $E$13)</f>
        <v>7.835</v>
      </c>
      <c r="D509" s="63">
        <f>7.8581 * CHOOSE(CONTROL!$C$22, $C$13, 100%, $E$13)</f>
        <v>7.8581000000000003</v>
      </c>
      <c r="E509" s="64">
        <f>9.1611 * CHOOSE(CONTROL!$C$22, $C$13, 100%, $E$13)</f>
        <v>9.1610999999999994</v>
      </c>
      <c r="F509" s="64">
        <f>9.1611 * CHOOSE(CONTROL!$C$22, $C$13, 100%, $E$13)</f>
        <v>9.1610999999999994</v>
      </c>
      <c r="G509" s="64">
        <f>9.1625 * CHOOSE(CONTROL!$C$22, $C$13, 100%, $E$13)</f>
        <v>9.1624999999999996</v>
      </c>
      <c r="H509" s="64">
        <f>15.7252* CHOOSE(CONTROL!$C$22, $C$13, 100%, $E$13)</f>
        <v>15.725199999999999</v>
      </c>
      <c r="I509" s="64">
        <f>15.7267 * CHOOSE(CONTROL!$C$22, $C$13, 100%, $E$13)</f>
        <v>15.726699999999999</v>
      </c>
      <c r="J509" s="64">
        <f>9.1611 * CHOOSE(CONTROL!$C$22, $C$13, 100%, $E$13)</f>
        <v>9.1610999999999994</v>
      </c>
      <c r="K509" s="64">
        <f>9.1625 * CHOOSE(CONTROL!$C$22, $C$13, 100%, $E$13)</f>
        <v>9.1624999999999996</v>
      </c>
    </row>
    <row r="510" spans="1:11" ht="15">
      <c r="A510" s="13">
        <v>57162</v>
      </c>
      <c r="B510" s="63">
        <f>7.9622 * CHOOSE(CONTROL!$C$22, $C$13, 100%, $E$13)</f>
        <v>7.9622000000000002</v>
      </c>
      <c r="C510" s="63">
        <f>7.9622 * CHOOSE(CONTROL!$C$22, $C$13, 100%, $E$13)</f>
        <v>7.9622000000000002</v>
      </c>
      <c r="D510" s="63">
        <f>7.9853 * CHOOSE(CONTROL!$C$22, $C$13, 100%, $E$13)</f>
        <v>7.9852999999999996</v>
      </c>
      <c r="E510" s="64">
        <f>9.34 * CHOOSE(CONTROL!$C$22, $C$13, 100%, $E$13)</f>
        <v>9.34</v>
      </c>
      <c r="F510" s="64">
        <f>9.34 * CHOOSE(CONTROL!$C$22, $C$13, 100%, $E$13)</f>
        <v>9.34</v>
      </c>
      <c r="G510" s="64">
        <f>9.3415 * CHOOSE(CONTROL!$C$22, $C$13, 100%, $E$13)</f>
        <v>9.3414999999999999</v>
      </c>
      <c r="H510" s="64">
        <f>15.7579* CHOOSE(CONTROL!$C$22, $C$13, 100%, $E$13)</f>
        <v>15.757899999999999</v>
      </c>
      <c r="I510" s="64">
        <f>15.7594 * CHOOSE(CONTROL!$C$22, $C$13, 100%, $E$13)</f>
        <v>15.759399999999999</v>
      </c>
      <c r="J510" s="64">
        <f>9.34 * CHOOSE(CONTROL!$C$22, $C$13, 100%, $E$13)</f>
        <v>9.34</v>
      </c>
      <c r="K510" s="64">
        <f>9.3415 * CHOOSE(CONTROL!$C$22, $C$13, 100%, $E$13)</f>
        <v>9.3414999999999999</v>
      </c>
    </row>
    <row r="511" spans="1:11" ht="15">
      <c r="A511" s="13">
        <v>57193</v>
      </c>
      <c r="B511" s="63">
        <f>7.9689 * CHOOSE(CONTROL!$C$22, $C$13, 100%, $E$13)</f>
        <v>7.9688999999999997</v>
      </c>
      <c r="C511" s="63">
        <f>7.9689 * CHOOSE(CONTROL!$C$22, $C$13, 100%, $E$13)</f>
        <v>7.9688999999999997</v>
      </c>
      <c r="D511" s="63">
        <f>7.992 * CHOOSE(CONTROL!$C$22, $C$13, 100%, $E$13)</f>
        <v>7.992</v>
      </c>
      <c r="E511" s="64">
        <f>9.2499 * CHOOSE(CONTROL!$C$22, $C$13, 100%, $E$13)</f>
        <v>9.2499000000000002</v>
      </c>
      <c r="F511" s="64">
        <f>9.2499 * CHOOSE(CONTROL!$C$22, $C$13, 100%, $E$13)</f>
        <v>9.2499000000000002</v>
      </c>
      <c r="G511" s="64">
        <f>9.2514 * CHOOSE(CONTROL!$C$22, $C$13, 100%, $E$13)</f>
        <v>9.2514000000000003</v>
      </c>
      <c r="H511" s="64">
        <f>15.7908* CHOOSE(CONTROL!$C$22, $C$13, 100%, $E$13)</f>
        <v>15.790800000000001</v>
      </c>
      <c r="I511" s="64">
        <f>15.7922 * CHOOSE(CONTROL!$C$22, $C$13, 100%, $E$13)</f>
        <v>15.792199999999999</v>
      </c>
      <c r="J511" s="64">
        <f>9.2499 * CHOOSE(CONTROL!$C$22, $C$13, 100%, $E$13)</f>
        <v>9.2499000000000002</v>
      </c>
      <c r="K511" s="64">
        <f>9.2514 * CHOOSE(CONTROL!$C$22, $C$13, 100%, $E$13)</f>
        <v>9.2514000000000003</v>
      </c>
    </row>
    <row r="512" spans="1:11" ht="15">
      <c r="A512" s="13">
        <v>57224</v>
      </c>
      <c r="B512" s="63">
        <f>7.9658 * CHOOSE(CONTROL!$C$22, $C$13, 100%, $E$13)</f>
        <v>7.9657999999999998</v>
      </c>
      <c r="C512" s="63">
        <f>7.9658 * CHOOSE(CONTROL!$C$22, $C$13, 100%, $E$13)</f>
        <v>7.9657999999999998</v>
      </c>
      <c r="D512" s="63">
        <f>7.9889 * CHOOSE(CONTROL!$C$22, $C$13, 100%, $E$13)</f>
        <v>7.9889000000000001</v>
      </c>
      <c r="E512" s="64">
        <f>9.2372 * CHOOSE(CONTROL!$C$22, $C$13, 100%, $E$13)</f>
        <v>9.2371999999999996</v>
      </c>
      <c r="F512" s="64">
        <f>9.2372 * CHOOSE(CONTROL!$C$22, $C$13, 100%, $E$13)</f>
        <v>9.2371999999999996</v>
      </c>
      <c r="G512" s="64">
        <f>9.2387 * CHOOSE(CONTROL!$C$22, $C$13, 100%, $E$13)</f>
        <v>9.2386999999999997</v>
      </c>
      <c r="H512" s="64">
        <f>15.8237* CHOOSE(CONTROL!$C$22, $C$13, 100%, $E$13)</f>
        <v>15.823700000000001</v>
      </c>
      <c r="I512" s="64">
        <f>15.8251 * CHOOSE(CONTROL!$C$22, $C$13, 100%, $E$13)</f>
        <v>15.825100000000001</v>
      </c>
      <c r="J512" s="64">
        <f>9.2372 * CHOOSE(CONTROL!$C$22, $C$13, 100%, $E$13)</f>
        <v>9.2371999999999996</v>
      </c>
      <c r="K512" s="64">
        <f>9.2387 * CHOOSE(CONTROL!$C$22, $C$13, 100%, $E$13)</f>
        <v>9.2386999999999997</v>
      </c>
    </row>
    <row r="513" spans="1:11" ht="15">
      <c r="A513" s="13">
        <v>57254</v>
      </c>
      <c r="B513" s="63">
        <f>7.9743 * CHOOSE(CONTROL!$C$22, $C$13, 100%, $E$13)</f>
        <v>7.9743000000000004</v>
      </c>
      <c r="C513" s="63">
        <f>7.9743 * CHOOSE(CONTROL!$C$22, $C$13, 100%, $E$13)</f>
        <v>7.9743000000000004</v>
      </c>
      <c r="D513" s="63">
        <f>7.9858 * CHOOSE(CONTROL!$C$22, $C$13, 100%, $E$13)</f>
        <v>7.9858000000000002</v>
      </c>
      <c r="E513" s="64">
        <f>9.2659 * CHOOSE(CONTROL!$C$22, $C$13, 100%, $E$13)</f>
        <v>9.2659000000000002</v>
      </c>
      <c r="F513" s="64">
        <f>9.2659 * CHOOSE(CONTROL!$C$22, $C$13, 100%, $E$13)</f>
        <v>9.2659000000000002</v>
      </c>
      <c r="G513" s="64">
        <f>9.2661 * CHOOSE(CONTROL!$C$22, $C$13, 100%, $E$13)</f>
        <v>9.2660999999999998</v>
      </c>
      <c r="H513" s="64">
        <f>15.8566* CHOOSE(CONTROL!$C$22, $C$13, 100%, $E$13)</f>
        <v>15.8566</v>
      </c>
      <c r="I513" s="64">
        <f>15.8568 * CHOOSE(CONTROL!$C$22, $C$13, 100%, $E$13)</f>
        <v>15.8568</v>
      </c>
      <c r="J513" s="64">
        <f>9.2659 * CHOOSE(CONTROL!$C$22, $C$13, 100%, $E$13)</f>
        <v>9.2659000000000002</v>
      </c>
      <c r="K513" s="64">
        <f>9.2661 * CHOOSE(CONTROL!$C$22, $C$13, 100%, $E$13)</f>
        <v>9.2660999999999998</v>
      </c>
    </row>
    <row r="514" spans="1:11" ht="15">
      <c r="A514" s="13">
        <v>57285</v>
      </c>
      <c r="B514" s="63">
        <f>7.9773 * CHOOSE(CONTROL!$C$22, $C$13, 100%, $E$13)</f>
        <v>7.9772999999999996</v>
      </c>
      <c r="C514" s="63">
        <f>7.9773 * CHOOSE(CONTROL!$C$22, $C$13, 100%, $E$13)</f>
        <v>7.9772999999999996</v>
      </c>
      <c r="D514" s="63">
        <f>7.9889 * CHOOSE(CONTROL!$C$22, $C$13, 100%, $E$13)</f>
        <v>7.9889000000000001</v>
      </c>
      <c r="E514" s="64">
        <f>9.2891 * CHOOSE(CONTROL!$C$22, $C$13, 100%, $E$13)</f>
        <v>9.2890999999999995</v>
      </c>
      <c r="F514" s="64">
        <f>9.2891 * CHOOSE(CONTROL!$C$22, $C$13, 100%, $E$13)</f>
        <v>9.2890999999999995</v>
      </c>
      <c r="G514" s="64">
        <f>9.2893 * CHOOSE(CONTROL!$C$22, $C$13, 100%, $E$13)</f>
        <v>9.2893000000000008</v>
      </c>
      <c r="H514" s="64">
        <f>15.8897* CHOOSE(CONTROL!$C$22, $C$13, 100%, $E$13)</f>
        <v>15.889699999999999</v>
      </c>
      <c r="I514" s="64">
        <f>15.8898 * CHOOSE(CONTROL!$C$22, $C$13, 100%, $E$13)</f>
        <v>15.889799999999999</v>
      </c>
      <c r="J514" s="64">
        <f>9.2891 * CHOOSE(CONTROL!$C$22, $C$13, 100%, $E$13)</f>
        <v>9.2890999999999995</v>
      </c>
      <c r="K514" s="64">
        <f>9.2893 * CHOOSE(CONTROL!$C$22, $C$13, 100%, $E$13)</f>
        <v>9.2893000000000008</v>
      </c>
    </row>
    <row r="515" spans="1:11" ht="15">
      <c r="A515" s="13">
        <v>57315</v>
      </c>
      <c r="B515" s="63">
        <f>7.9773 * CHOOSE(CONTROL!$C$22, $C$13, 100%, $E$13)</f>
        <v>7.9772999999999996</v>
      </c>
      <c r="C515" s="63">
        <f>7.9773 * CHOOSE(CONTROL!$C$22, $C$13, 100%, $E$13)</f>
        <v>7.9772999999999996</v>
      </c>
      <c r="D515" s="63">
        <f>7.9889 * CHOOSE(CONTROL!$C$22, $C$13, 100%, $E$13)</f>
        <v>7.9889000000000001</v>
      </c>
      <c r="E515" s="64">
        <f>9.2365 * CHOOSE(CONTROL!$C$22, $C$13, 100%, $E$13)</f>
        <v>9.2364999999999995</v>
      </c>
      <c r="F515" s="64">
        <f>9.2365 * CHOOSE(CONTROL!$C$22, $C$13, 100%, $E$13)</f>
        <v>9.2364999999999995</v>
      </c>
      <c r="G515" s="64">
        <f>9.2366 * CHOOSE(CONTROL!$C$22, $C$13, 100%, $E$13)</f>
        <v>9.2365999999999993</v>
      </c>
      <c r="H515" s="64">
        <f>15.9228* CHOOSE(CONTROL!$C$22, $C$13, 100%, $E$13)</f>
        <v>15.922800000000001</v>
      </c>
      <c r="I515" s="64">
        <f>15.9229 * CHOOSE(CONTROL!$C$22, $C$13, 100%, $E$13)</f>
        <v>15.9229</v>
      </c>
      <c r="J515" s="64">
        <f>9.2365 * CHOOSE(CONTROL!$C$22, $C$13, 100%, $E$13)</f>
        <v>9.2364999999999995</v>
      </c>
      <c r="K515" s="64">
        <f>9.2366 * CHOOSE(CONTROL!$C$22, $C$13, 100%, $E$13)</f>
        <v>9.2365999999999993</v>
      </c>
    </row>
    <row r="516" spans="1:11" ht="15">
      <c r="A516" s="13">
        <v>57346</v>
      </c>
      <c r="B516" s="63">
        <f>8.048 * CHOOSE(CONTROL!$C$22, $C$13, 100%, $E$13)</f>
        <v>8.048</v>
      </c>
      <c r="C516" s="63">
        <f>8.048 * CHOOSE(CONTROL!$C$22, $C$13, 100%, $E$13)</f>
        <v>8.048</v>
      </c>
      <c r="D516" s="63">
        <f>8.0596 * CHOOSE(CONTROL!$C$22, $C$13, 100%, $E$13)</f>
        <v>8.0595999999999997</v>
      </c>
      <c r="E516" s="64">
        <f>9.3568 * CHOOSE(CONTROL!$C$22, $C$13, 100%, $E$13)</f>
        <v>9.3567999999999998</v>
      </c>
      <c r="F516" s="64">
        <f>9.3568 * CHOOSE(CONTROL!$C$22, $C$13, 100%, $E$13)</f>
        <v>9.3567999999999998</v>
      </c>
      <c r="G516" s="64">
        <f>9.357 * CHOOSE(CONTROL!$C$22, $C$13, 100%, $E$13)</f>
        <v>9.3569999999999993</v>
      </c>
      <c r="H516" s="64">
        <f>15.9559* CHOOSE(CONTROL!$C$22, $C$13, 100%, $E$13)</f>
        <v>15.9559</v>
      </c>
      <c r="I516" s="64">
        <f>15.9561 * CHOOSE(CONTROL!$C$22, $C$13, 100%, $E$13)</f>
        <v>15.956099999999999</v>
      </c>
      <c r="J516" s="64">
        <f>9.3568 * CHOOSE(CONTROL!$C$22, $C$13, 100%, $E$13)</f>
        <v>9.3567999999999998</v>
      </c>
      <c r="K516" s="64">
        <f>9.357 * CHOOSE(CONTROL!$C$22, $C$13, 100%, $E$13)</f>
        <v>9.3569999999999993</v>
      </c>
    </row>
    <row r="517" spans="1:11" ht="15">
      <c r="A517" s="13">
        <v>57377</v>
      </c>
      <c r="B517" s="63">
        <f>8.045 * CHOOSE(CONTROL!$C$22, $C$13, 100%, $E$13)</f>
        <v>8.0449999999999999</v>
      </c>
      <c r="C517" s="63">
        <f>8.045 * CHOOSE(CONTROL!$C$22, $C$13, 100%, $E$13)</f>
        <v>8.0449999999999999</v>
      </c>
      <c r="D517" s="63">
        <f>8.0565 * CHOOSE(CONTROL!$C$22, $C$13, 100%, $E$13)</f>
        <v>8.0564999999999998</v>
      </c>
      <c r="E517" s="64">
        <f>9.2525 * CHOOSE(CONTROL!$C$22, $C$13, 100%, $E$13)</f>
        <v>9.2524999999999995</v>
      </c>
      <c r="F517" s="64">
        <f>9.2525 * CHOOSE(CONTROL!$C$22, $C$13, 100%, $E$13)</f>
        <v>9.2524999999999995</v>
      </c>
      <c r="G517" s="64">
        <f>9.2526 * CHOOSE(CONTROL!$C$22, $C$13, 100%, $E$13)</f>
        <v>9.2525999999999993</v>
      </c>
      <c r="H517" s="64">
        <f>15.9892* CHOOSE(CONTROL!$C$22, $C$13, 100%, $E$13)</f>
        <v>15.9892</v>
      </c>
      <c r="I517" s="64">
        <f>15.9894 * CHOOSE(CONTROL!$C$22, $C$13, 100%, $E$13)</f>
        <v>15.9894</v>
      </c>
      <c r="J517" s="64">
        <f>9.2525 * CHOOSE(CONTROL!$C$22, $C$13, 100%, $E$13)</f>
        <v>9.2524999999999995</v>
      </c>
      <c r="K517" s="64">
        <f>9.2526 * CHOOSE(CONTROL!$C$22, $C$13, 100%, $E$13)</f>
        <v>9.2525999999999993</v>
      </c>
    </row>
    <row r="518" spans="1:11" ht="15">
      <c r="A518" s="13">
        <v>57405</v>
      </c>
      <c r="B518" s="63">
        <f>8.0419 * CHOOSE(CONTROL!$C$22, $C$13, 100%, $E$13)</f>
        <v>8.0419</v>
      </c>
      <c r="C518" s="63">
        <f>8.0419 * CHOOSE(CONTROL!$C$22, $C$13, 100%, $E$13)</f>
        <v>8.0419</v>
      </c>
      <c r="D518" s="63">
        <f>8.0535 * CHOOSE(CONTROL!$C$22, $C$13, 100%, $E$13)</f>
        <v>8.0534999999999997</v>
      </c>
      <c r="E518" s="64">
        <f>9.331 * CHOOSE(CONTROL!$C$22, $C$13, 100%, $E$13)</f>
        <v>9.3309999999999995</v>
      </c>
      <c r="F518" s="64">
        <f>9.331 * CHOOSE(CONTROL!$C$22, $C$13, 100%, $E$13)</f>
        <v>9.3309999999999995</v>
      </c>
      <c r="G518" s="64">
        <f>9.3311 * CHOOSE(CONTROL!$C$22, $C$13, 100%, $E$13)</f>
        <v>9.3310999999999993</v>
      </c>
      <c r="H518" s="64">
        <f>16.0225* CHOOSE(CONTROL!$C$22, $C$13, 100%, $E$13)</f>
        <v>16.022500000000001</v>
      </c>
      <c r="I518" s="64">
        <f>16.0227 * CHOOSE(CONTROL!$C$22, $C$13, 100%, $E$13)</f>
        <v>16.0227</v>
      </c>
      <c r="J518" s="64">
        <f>9.331 * CHOOSE(CONTROL!$C$22, $C$13, 100%, $E$13)</f>
        <v>9.3309999999999995</v>
      </c>
      <c r="K518" s="64">
        <f>9.3311 * CHOOSE(CONTROL!$C$22, $C$13, 100%, $E$13)</f>
        <v>9.3310999999999993</v>
      </c>
    </row>
    <row r="519" spans="1:11" ht="15">
      <c r="A519" s="13">
        <v>57436</v>
      </c>
      <c r="B519" s="63">
        <f>8.0431 * CHOOSE(CONTROL!$C$22, $C$13, 100%, $E$13)</f>
        <v>8.0431000000000008</v>
      </c>
      <c r="C519" s="63">
        <f>8.0431 * CHOOSE(CONTROL!$C$22, $C$13, 100%, $E$13)</f>
        <v>8.0431000000000008</v>
      </c>
      <c r="D519" s="63">
        <f>8.0547 * CHOOSE(CONTROL!$C$22, $C$13, 100%, $E$13)</f>
        <v>8.0547000000000004</v>
      </c>
      <c r="E519" s="64">
        <f>9.4133 * CHOOSE(CONTROL!$C$22, $C$13, 100%, $E$13)</f>
        <v>9.4132999999999996</v>
      </c>
      <c r="F519" s="64">
        <f>9.4133 * CHOOSE(CONTROL!$C$22, $C$13, 100%, $E$13)</f>
        <v>9.4132999999999996</v>
      </c>
      <c r="G519" s="64">
        <f>9.4135 * CHOOSE(CONTROL!$C$22, $C$13, 100%, $E$13)</f>
        <v>9.4135000000000009</v>
      </c>
      <c r="H519" s="64">
        <f>16.0559* CHOOSE(CONTROL!$C$22, $C$13, 100%, $E$13)</f>
        <v>16.055900000000001</v>
      </c>
      <c r="I519" s="64">
        <f>16.056 * CHOOSE(CONTROL!$C$22, $C$13, 100%, $E$13)</f>
        <v>16.056000000000001</v>
      </c>
      <c r="J519" s="64">
        <f>9.4133 * CHOOSE(CONTROL!$C$22, $C$13, 100%, $E$13)</f>
        <v>9.4132999999999996</v>
      </c>
      <c r="K519" s="64">
        <f>9.4135 * CHOOSE(CONTROL!$C$22, $C$13, 100%, $E$13)</f>
        <v>9.4135000000000009</v>
      </c>
    </row>
    <row r="520" spans="1:11" ht="15">
      <c r="A520" s="13">
        <v>57466</v>
      </c>
      <c r="B520" s="63">
        <f>8.0431 * CHOOSE(CONTROL!$C$22, $C$13, 100%, $E$13)</f>
        <v>8.0431000000000008</v>
      </c>
      <c r="C520" s="63">
        <f>8.0431 * CHOOSE(CONTROL!$C$22, $C$13, 100%, $E$13)</f>
        <v>8.0431000000000008</v>
      </c>
      <c r="D520" s="63">
        <f>8.0662 * CHOOSE(CONTROL!$C$22, $C$13, 100%, $E$13)</f>
        <v>8.0662000000000003</v>
      </c>
      <c r="E520" s="64">
        <f>9.4458 * CHOOSE(CONTROL!$C$22, $C$13, 100%, $E$13)</f>
        <v>9.4458000000000002</v>
      </c>
      <c r="F520" s="64">
        <f>9.4458 * CHOOSE(CONTROL!$C$22, $C$13, 100%, $E$13)</f>
        <v>9.4458000000000002</v>
      </c>
      <c r="G520" s="64">
        <f>9.4473 * CHOOSE(CONTROL!$C$22, $C$13, 100%, $E$13)</f>
        <v>9.4473000000000003</v>
      </c>
      <c r="H520" s="64">
        <f>16.0893* CHOOSE(CONTROL!$C$22, $C$13, 100%, $E$13)</f>
        <v>16.089300000000001</v>
      </c>
      <c r="I520" s="64">
        <f>16.0908 * CHOOSE(CONTROL!$C$22, $C$13, 100%, $E$13)</f>
        <v>16.090800000000002</v>
      </c>
      <c r="J520" s="64">
        <f>9.4458 * CHOOSE(CONTROL!$C$22, $C$13, 100%, $E$13)</f>
        <v>9.4458000000000002</v>
      </c>
      <c r="K520" s="64">
        <f>9.4473 * CHOOSE(CONTROL!$C$22, $C$13, 100%, $E$13)</f>
        <v>9.4473000000000003</v>
      </c>
    </row>
    <row r="521" spans="1:11" ht="15">
      <c r="A521" s="13">
        <v>57497</v>
      </c>
      <c r="B521" s="63">
        <f>8.0492 * CHOOSE(CONTROL!$C$22, $C$13, 100%, $E$13)</f>
        <v>8.0492000000000008</v>
      </c>
      <c r="C521" s="63">
        <f>8.0492 * CHOOSE(CONTROL!$C$22, $C$13, 100%, $E$13)</f>
        <v>8.0492000000000008</v>
      </c>
      <c r="D521" s="63">
        <f>8.0723 * CHOOSE(CONTROL!$C$22, $C$13, 100%, $E$13)</f>
        <v>8.0723000000000003</v>
      </c>
      <c r="E521" s="64">
        <f>9.4175 * CHOOSE(CONTROL!$C$22, $C$13, 100%, $E$13)</f>
        <v>9.4175000000000004</v>
      </c>
      <c r="F521" s="64">
        <f>9.4175 * CHOOSE(CONTROL!$C$22, $C$13, 100%, $E$13)</f>
        <v>9.4175000000000004</v>
      </c>
      <c r="G521" s="64">
        <f>9.419 * CHOOSE(CONTROL!$C$22, $C$13, 100%, $E$13)</f>
        <v>9.4190000000000005</v>
      </c>
      <c r="H521" s="64">
        <f>16.1228* CHOOSE(CONTROL!$C$22, $C$13, 100%, $E$13)</f>
        <v>16.122800000000002</v>
      </c>
      <c r="I521" s="64">
        <f>16.1243 * CHOOSE(CONTROL!$C$22, $C$13, 100%, $E$13)</f>
        <v>16.124300000000002</v>
      </c>
      <c r="J521" s="64">
        <f>9.4175 * CHOOSE(CONTROL!$C$22, $C$13, 100%, $E$13)</f>
        <v>9.4175000000000004</v>
      </c>
      <c r="K521" s="64">
        <f>9.419 * CHOOSE(CONTROL!$C$22, $C$13, 100%, $E$13)</f>
        <v>9.4190000000000005</v>
      </c>
    </row>
    <row r="522" spans="1:11" ht="15">
      <c r="A522" s="13">
        <v>57527</v>
      </c>
      <c r="B522" s="63">
        <f>8.1797 * CHOOSE(CONTROL!$C$22, $C$13, 100%, $E$13)</f>
        <v>8.1797000000000004</v>
      </c>
      <c r="C522" s="63">
        <f>8.1797 * CHOOSE(CONTROL!$C$22, $C$13, 100%, $E$13)</f>
        <v>8.1797000000000004</v>
      </c>
      <c r="D522" s="63">
        <f>8.2028 * CHOOSE(CONTROL!$C$22, $C$13, 100%, $E$13)</f>
        <v>8.2027999999999999</v>
      </c>
      <c r="E522" s="64">
        <f>9.6012 * CHOOSE(CONTROL!$C$22, $C$13, 100%, $E$13)</f>
        <v>9.6012000000000004</v>
      </c>
      <c r="F522" s="64">
        <f>9.6012 * CHOOSE(CONTROL!$C$22, $C$13, 100%, $E$13)</f>
        <v>9.6012000000000004</v>
      </c>
      <c r="G522" s="64">
        <f>9.6027 * CHOOSE(CONTROL!$C$22, $C$13, 100%, $E$13)</f>
        <v>9.6027000000000005</v>
      </c>
      <c r="H522" s="64">
        <f>16.1564* CHOOSE(CONTROL!$C$22, $C$13, 100%, $E$13)</f>
        <v>16.156400000000001</v>
      </c>
      <c r="I522" s="64">
        <f>16.1579 * CHOOSE(CONTROL!$C$22, $C$13, 100%, $E$13)</f>
        <v>16.157900000000001</v>
      </c>
      <c r="J522" s="64">
        <f>9.6012 * CHOOSE(CONTROL!$C$22, $C$13, 100%, $E$13)</f>
        <v>9.6012000000000004</v>
      </c>
      <c r="K522" s="64">
        <f>9.6027 * CHOOSE(CONTROL!$C$22, $C$13, 100%, $E$13)</f>
        <v>9.6027000000000005</v>
      </c>
    </row>
    <row r="523" spans="1:11" ht="15">
      <c r="A523" s="13">
        <v>57558</v>
      </c>
      <c r="B523" s="63">
        <f>8.1863 * CHOOSE(CONTROL!$C$22, $C$13, 100%, $E$13)</f>
        <v>8.1862999999999992</v>
      </c>
      <c r="C523" s="63">
        <f>8.1863 * CHOOSE(CONTROL!$C$22, $C$13, 100%, $E$13)</f>
        <v>8.1862999999999992</v>
      </c>
      <c r="D523" s="63">
        <f>8.2095 * CHOOSE(CONTROL!$C$22, $C$13, 100%, $E$13)</f>
        <v>8.2095000000000002</v>
      </c>
      <c r="E523" s="64">
        <f>9.5085 * CHOOSE(CONTROL!$C$22, $C$13, 100%, $E$13)</f>
        <v>9.5084999999999997</v>
      </c>
      <c r="F523" s="64">
        <f>9.5085 * CHOOSE(CONTROL!$C$22, $C$13, 100%, $E$13)</f>
        <v>9.5084999999999997</v>
      </c>
      <c r="G523" s="64">
        <f>9.5099 * CHOOSE(CONTROL!$C$22, $C$13, 100%, $E$13)</f>
        <v>9.5099</v>
      </c>
      <c r="H523" s="64">
        <f>16.1901* CHOOSE(CONTROL!$C$22, $C$13, 100%, $E$13)</f>
        <v>16.190100000000001</v>
      </c>
      <c r="I523" s="64">
        <f>16.1916 * CHOOSE(CONTROL!$C$22, $C$13, 100%, $E$13)</f>
        <v>16.191600000000001</v>
      </c>
      <c r="J523" s="64">
        <f>9.5085 * CHOOSE(CONTROL!$C$22, $C$13, 100%, $E$13)</f>
        <v>9.5084999999999997</v>
      </c>
      <c r="K523" s="64">
        <f>9.5099 * CHOOSE(CONTROL!$C$22, $C$13, 100%, $E$13)</f>
        <v>9.5099</v>
      </c>
    </row>
    <row r="524" spans="1:11" ht="15">
      <c r="A524" s="13">
        <v>57589</v>
      </c>
      <c r="B524" s="63">
        <f>8.1833 * CHOOSE(CONTROL!$C$22, $C$13, 100%, $E$13)</f>
        <v>8.1832999999999991</v>
      </c>
      <c r="C524" s="63">
        <f>8.1833 * CHOOSE(CONTROL!$C$22, $C$13, 100%, $E$13)</f>
        <v>8.1832999999999991</v>
      </c>
      <c r="D524" s="63">
        <f>8.2064 * CHOOSE(CONTROL!$C$22, $C$13, 100%, $E$13)</f>
        <v>8.2064000000000004</v>
      </c>
      <c r="E524" s="64">
        <f>9.4955 * CHOOSE(CONTROL!$C$22, $C$13, 100%, $E$13)</f>
        <v>9.4954999999999998</v>
      </c>
      <c r="F524" s="64">
        <f>9.4955 * CHOOSE(CONTROL!$C$22, $C$13, 100%, $E$13)</f>
        <v>9.4954999999999998</v>
      </c>
      <c r="G524" s="64">
        <f>9.497 * CHOOSE(CONTROL!$C$22, $C$13, 100%, $E$13)</f>
        <v>9.4969999999999999</v>
      </c>
      <c r="H524" s="64">
        <f>16.2238* CHOOSE(CONTROL!$C$22, $C$13, 100%, $E$13)</f>
        <v>16.223800000000001</v>
      </c>
      <c r="I524" s="64">
        <f>16.2253 * CHOOSE(CONTROL!$C$22, $C$13, 100%, $E$13)</f>
        <v>16.225300000000001</v>
      </c>
      <c r="J524" s="64">
        <f>9.4955 * CHOOSE(CONTROL!$C$22, $C$13, 100%, $E$13)</f>
        <v>9.4954999999999998</v>
      </c>
      <c r="K524" s="64">
        <f>9.497 * CHOOSE(CONTROL!$C$22, $C$13, 100%, $E$13)</f>
        <v>9.4969999999999999</v>
      </c>
    </row>
    <row r="525" spans="1:11" ht="15">
      <c r="A525" s="13">
        <v>57619</v>
      </c>
      <c r="B525" s="63">
        <f>8.1925 * CHOOSE(CONTROL!$C$22, $C$13, 100%, $E$13)</f>
        <v>8.1925000000000008</v>
      </c>
      <c r="C525" s="63">
        <f>8.1925 * CHOOSE(CONTROL!$C$22, $C$13, 100%, $E$13)</f>
        <v>8.1925000000000008</v>
      </c>
      <c r="D525" s="63">
        <f>8.204 * CHOOSE(CONTROL!$C$22, $C$13, 100%, $E$13)</f>
        <v>8.2040000000000006</v>
      </c>
      <c r="E525" s="64">
        <f>9.5254 * CHOOSE(CONTROL!$C$22, $C$13, 100%, $E$13)</f>
        <v>9.5253999999999994</v>
      </c>
      <c r="F525" s="64">
        <f>9.5254 * CHOOSE(CONTROL!$C$22, $C$13, 100%, $E$13)</f>
        <v>9.5253999999999994</v>
      </c>
      <c r="G525" s="64">
        <f>9.5256 * CHOOSE(CONTROL!$C$22, $C$13, 100%, $E$13)</f>
        <v>9.5256000000000007</v>
      </c>
      <c r="H525" s="64">
        <f>16.2576* CHOOSE(CONTROL!$C$22, $C$13, 100%, $E$13)</f>
        <v>16.2576</v>
      </c>
      <c r="I525" s="64">
        <f>16.2578 * CHOOSE(CONTROL!$C$22, $C$13, 100%, $E$13)</f>
        <v>16.2578</v>
      </c>
      <c r="J525" s="64">
        <f>9.5254 * CHOOSE(CONTROL!$C$22, $C$13, 100%, $E$13)</f>
        <v>9.5253999999999994</v>
      </c>
      <c r="K525" s="64">
        <f>9.5256 * CHOOSE(CONTROL!$C$22, $C$13, 100%, $E$13)</f>
        <v>9.5256000000000007</v>
      </c>
    </row>
    <row r="526" spans="1:11" ht="15">
      <c r="A526" s="13">
        <v>57650</v>
      </c>
      <c r="B526" s="63">
        <f>8.1955 * CHOOSE(CONTROL!$C$22, $C$13, 100%, $E$13)</f>
        <v>8.1954999999999991</v>
      </c>
      <c r="C526" s="63">
        <f>8.1955 * CHOOSE(CONTROL!$C$22, $C$13, 100%, $E$13)</f>
        <v>8.1954999999999991</v>
      </c>
      <c r="D526" s="63">
        <f>8.2071 * CHOOSE(CONTROL!$C$22, $C$13, 100%, $E$13)</f>
        <v>8.2071000000000005</v>
      </c>
      <c r="E526" s="64">
        <f>9.5491 * CHOOSE(CONTROL!$C$22, $C$13, 100%, $E$13)</f>
        <v>9.5490999999999993</v>
      </c>
      <c r="F526" s="64">
        <f>9.5491 * CHOOSE(CONTROL!$C$22, $C$13, 100%, $E$13)</f>
        <v>9.5490999999999993</v>
      </c>
      <c r="G526" s="64">
        <f>9.5493 * CHOOSE(CONTROL!$C$22, $C$13, 100%, $E$13)</f>
        <v>9.5493000000000006</v>
      </c>
      <c r="H526" s="64">
        <f>16.2915* CHOOSE(CONTROL!$C$22, $C$13, 100%, $E$13)</f>
        <v>16.291499999999999</v>
      </c>
      <c r="I526" s="64">
        <f>16.2917 * CHOOSE(CONTROL!$C$22, $C$13, 100%, $E$13)</f>
        <v>16.291699999999999</v>
      </c>
      <c r="J526" s="64">
        <f>9.5491 * CHOOSE(CONTROL!$C$22, $C$13, 100%, $E$13)</f>
        <v>9.5490999999999993</v>
      </c>
      <c r="K526" s="64">
        <f>9.5493 * CHOOSE(CONTROL!$C$22, $C$13, 100%, $E$13)</f>
        <v>9.5493000000000006</v>
      </c>
    </row>
    <row r="527" spans="1:11" ht="15">
      <c r="A527" s="13">
        <v>57680</v>
      </c>
      <c r="B527" s="63">
        <f>8.1955 * CHOOSE(CONTROL!$C$22, $C$13, 100%, $E$13)</f>
        <v>8.1954999999999991</v>
      </c>
      <c r="C527" s="63">
        <f>8.1955 * CHOOSE(CONTROL!$C$22, $C$13, 100%, $E$13)</f>
        <v>8.1954999999999991</v>
      </c>
      <c r="D527" s="63">
        <f>8.2071 * CHOOSE(CONTROL!$C$22, $C$13, 100%, $E$13)</f>
        <v>8.2071000000000005</v>
      </c>
      <c r="E527" s="64">
        <f>9.495 * CHOOSE(CONTROL!$C$22, $C$13, 100%, $E$13)</f>
        <v>9.4949999999999992</v>
      </c>
      <c r="F527" s="64">
        <f>9.495 * CHOOSE(CONTROL!$C$22, $C$13, 100%, $E$13)</f>
        <v>9.4949999999999992</v>
      </c>
      <c r="G527" s="64">
        <f>9.4952 * CHOOSE(CONTROL!$C$22, $C$13, 100%, $E$13)</f>
        <v>9.4952000000000005</v>
      </c>
      <c r="H527" s="64">
        <f>16.3254* CHOOSE(CONTROL!$C$22, $C$13, 100%, $E$13)</f>
        <v>16.325399999999998</v>
      </c>
      <c r="I527" s="64">
        <f>16.3256 * CHOOSE(CONTROL!$C$22, $C$13, 100%, $E$13)</f>
        <v>16.325600000000001</v>
      </c>
      <c r="J527" s="64">
        <f>9.495 * CHOOSE(CONTROL!$C$22, $C$13, 100%, $E$13)</f>
        <v>9.4949999999999992</v>
      </c>
      <c r="K527" s="64">
        <f>9.4952 * CHOOSE(CONTROL!$C$22, $C$13, 100%, $E$13)</f>
        <v>9.4952000000000005</v>
      </c>
    </row>
    <row r="528" spans="1:11" ht="15">
      <c r="A528" s="13">
        <v>57711</v>
      </c>
      <c r="B528" s="63">
        <f>8.268 * CHOOSE(CONTROL!$C$22, $C$13, 100%, $E$13)</f>
        <v>8.2680000000000007</v>
      </c>
      <c r="C528" s="63">
        <f>8.268 * CHOOSE(CONTROL!$C$22, $C$13, 100%, $E$13)</f>
        <v>8.2680000000000007</v>
      </c>
      <c r="D528" s="63">
        <f>8.2796 * CHOOSE(CONTROL!$C$22, $C$13, 100%, $E$13)</f>
        <v>8.2796000000000003</v>
      </c>
      <c r="E528" s="64">
        <f>9.6187 * CHOOSE(CONTROL!$C$22, $C$13, 100%, $E$13)</f>
        <v>9.6187000000000005</v>
      </c>
      <c r="F528" s="64">
        <f>9.6187 * CHOOSE(CONTROL!$C$22, $C$13, 100%, $E$13)</f>
        <v>9.6187000000000005</v>
      </c>
      <c r="G528" s="64">
        <f>9.6189 * CHOOSE(CONTROL!$C$22, $C$13, 100%, $E$13)</f>
        <v>9.6189</v>
      </c>
      <c r="H528" s="64">
        <f>16.3594* CHOOSE(CONTROL!$C$22, $C$13, 100%, $E$13)</f>
        <v>16.359400000000001</v>
      </c>
      <c r="I528" s="64">
        <f>16.3596 * CHOOSE(CONTROL!$C$22, $C$13, 100%, $E$13)</f>
        <v>16.3596</v>
      </c>
      <c r="J528" s="64">
        <f>9.6187 * CHOOSE(CONTROL!$C$22, $C$13, 100%, $E$13)</f>
        <v>9.6187000000000005</v>
      </c>
      <c r="K528" s="64">
        <f>9.6189 * CHOOSE(CONTROL!$C$22, $C$13, 100%, $E$13)</f>
        <v>9.6189</v>
      </c>
    </row>
    <row r="529" spans="1:11" ht="15">
      <c r="A529" s="13">
        <v>57742</v>
      </c>
      <c r="B529" s="63">
        <f>8.265 * CHOOSE(CONTROL!$C$22, $C$13, 100%, $E$13)</f>
        <v>8.2650000000000006</v>
      </c>
      <c r="C529" s="63">
        <f>8.265 * CHOOSE(CONTROL!$C$22, $C$13, 100%, $E$13)</f>
        <v>8.2650000000000006</v>
      </c>
      <c r="D529" s="63">
        <f>8.2765 * CHOOSE(CONTROL!$C$22, $C$13, 100%, $E$13)</f>
        <v>8.2765000000000004</v>
      </c>
      <c r="E529" s="64">
        <f>9.5114 * CHOOSE(CONTROL!$C$22, $C$13, 100%, $E$13)</f>
        <v>9.5114000000000001</v>
      </c>
      <c r="F529" s="64">
        <f>9.5114 * CHOOSE(CONTROL!$C$22, $C$13, 100%, $E$13)</f>
        <v>9.5114000000000001</v>
      </c>
      <c r="G529" s="64">
        <f>9.5116 * CHOOSE(CONTROL!$C$22, $C$13, 100%, $E$13)</f>
        <v>9.5115999999999996</v>
      </c>
      <c r="H529" s="64">
        <f>16.3935* CHOOSE(CONTROL!$C$22, $C$13, 100%, $E$13)</f>
        <v>16.3935</v>
      </c>
      <c r="I529" s="64">
        <f>16.3937 * CHOOSE(CONTROL!$C$22, $C$13, 100%, $E$13)</f>
        <v>16.393699999999999</v>
      </c>
      <c r="J529" s="64">
        <f>9.5114 * CHOOSE(CONTROL!$C$22, $C$13, 100%, $E$13)</f>
        <v>9.5114000000000001</v>
      </c>
      <c r="K529" s="64">
        <f>9.5116 * CHOOSE(CONTROL!$C$22, $C$13, 100%, $E$13)</f>
        <v>9.5115999999999996</v>
      </c>
    </row>
    <row r="530" spans="1:11" ht="15">
      <c r="A530" s="13">
        <v>57770</v>
      </c>
      <c r="B530" s="63">
        <f>8.2619 * CHOOSE(CONTROL!$C$22, $C$13, 100%, $E$13)</f>
        <v>8.2619000000000007</v>
      </c>
      <c r="C530" s="63">
        <f>8.2619 * CHOOSE(CONTROL!$C$22, $C$13, 100%, $E$13)</f>
        <v>8.2619000000000007</v>
      </c>
      <c r="D530" s="63">
        <f>8.2735 * CHOOSE(CONTROL!$C$22, $C$13, 100%, $E$13)</f>
        <v>8.2735000000000003</v>
      </c>
      <c r="E530" s="64">
        <f>9.5922 * CHOOSE(CONTROL!$C$22, $C$13, 100%, $E$13)</f>
        <v>9.5922000000000001</v>
      </c>
      <c r="F530" s="64">
        <f>9.5922 * CHOOSE(CONTROL!$C$22, $C$13, 100%, $E$13)</f>
        <v>9.5922000000000001</v>
      </c>
      <c r="G530" s="64">
        <f>9.5924 * CHOOSE(CONTROL!$C$22, $C$13, 100%, $E$13)</f>
        <v>9.5923999999999996</v>
      </c>
      <c r="H530" s="64">
        <f>16.4277* CHOOSE(CONTROL!$C$22, $C$13, 100%, $E$13)</f>
        <v>16.427700000000002</v>
      </c>
      <c r="I530" s="64">
        <f>16.4278 * CHOOSE(CONTROL!$C$22, $C$13, 100%, $E$13)</f>
        <v>16.427800000000001</v>
      </c>
      <c r="J530" s="64">
        <f>9.5922 * CHOOSE(CONTROL!$C$22, $C$13, 100%, $E$13)</f>
        <v>9.5922000000000001</v>
      </c>
      <c r="K530" s="64">
        <f>9.5924 * CHOOSE(CONTROL!$C$22, $C$13, 100%, $E$13)</f>
        <v>9.5923999999999996</v>
      </c>
    </row>
    <row r="531" spans="1:11" ht="15">
      <c r="A531" s="13">
        <v>57801</v>
      </c>
      <c r="B531" s="63">
        <f>8.2633 * CHOOSE(CONTROL!$C$22, $C$13, 100%, $E$13)</f>
        <v>8.2632999999999992</v>
      </c>
      <c r="C531" s="63">
        <f>8.2633 * CHOOSE(CONTROL!$C$22, $C$13, 100%, $E$13)</f>
        <v>8.2632999999999992</v>
      </c>
      <c r="D531" s="63">
        <f>8.2749 * CHOOSE(CONTROL!$C$22, $C$13, 100%, $E$13)</f>
        <v>8.2749000000000006</v>
      </c>
      <c r="E531" s="64">
        <f>9.677 * CHOOSE(CONTROL!$C$22, $C$13, 100%, $E$13)</f>
        <v>9.6769999999999996</v>
      </c>
      <c r="F531" s="64">
        <f>9.677 * CHOOSE(CONTROL!$C$22, $C$13, 100%, $E$13)</f>
        <v>9.6769999999999996</v>
      </c>
      <c r="G531" s="64">
        <f>9.6771 * CHOOSE(CONTROL!$C$22, $C$13, 100%, $E$13)</f>
        <v>9.6770999999999994</v>
      </c>
      <c r="H531" s="64">
        <f>16.4619* CHOOSE(CONTROL!$C$22, $C$13, 100%, $E$13)</f>
        <v>16.4619</v>
      </c>
      <c r="I531" s="64">
        <f>16.4621 * CHOOSE(CONTROL!$C$22, $C$13, 100%, $E$13)</f>
        <v>16.4621</v>
      </c>
      <c r="J531" s="64">
        <f>9.677 * CHOOSE(CONTROL!$C$22, $C$13, 100%, $E$13)</f>
        <v>9.6769999999999996</v>
      </c>
      <c r="K531" s="64">
        <f>9.6771 * CHOOSE(CONTROL!$C$22, $C$13, 100%, $E$13)</f>
        <v>9.6770999999999994</v>
      </c>
    </row>
    <row r="532" spans="1:11" ht="15">
      <c r="A532" s="13">
        <v>57831</v>
      </c>
      <c r="B532" s="63">
        <f>8.2633 * CHOOSE(CONTROL!$C$22, $C$13, 100%, $E$13)</f>
        <v>8.2632999999999992</v>
      </c>
      <c r="C532" s="63">
        <f>8.2633 * CHOOSE(CONTROL!$C$22, $C$13, 100%, $E$13)</f>
        <v>8.2632999999999992</v>
      </c>
      <c r="D532" s="63">
        <f>8.2864 * CHOOSE(CONTROL!$C$22, $C$13, 100%, $E$13)</f>
        <v>8.2864000000000004</v>
      </c>
      <c r="E532" s="64">
        <f>9.7103 * CHOOSE(CONTROL!$C$22, $C$13, 100%, $E$13)</f>
        <v>9.7103000000000002</v>
      </c>
      <c r="F532" s="64">
        <f>9.7103 * CHOOSE(CONTROL!$C$22, $C$13, 100%, $E$13)</f>
        <v>9.7103000000000002</v>
      </c>
      <c r="G532" s="64">
        <f>9.7118 * CHOOSE(CONTROL!$C$22, $C$13, 100%, $E$13)</f>
        <v>9.7118000000000002</v>
      </c>
      <c r="H532" s="64">
        <f>16.4962* CHOOSE(CONTROL!$C$22, $C$13, 100%, $E$13)</f>
        <v>16.496200000000002</v>
      </c>
      <c r="I532" s="64">
        <f>16.4977 * CHOOSE(CONTROL!$C$22, $C$13, 100%, $E$13)</f>
        <v>16.497699999999998</v>
      </c>
      <c r="J532" s="64">
        <f>9.7103 * CHOOSE(CONTROL!$C$22, $C$13, 100%, $E$13)</f>
        <v>9.7103000000000002</v>
      </c>
      <c r="K532" s="64">
        <f>9.7118 * CHOOSE(CONTROL!$C$22, $C$13, 100%, $E$13)</f>
        <v>9.7118000000000002</v>
      </c>
    </row>
    <row r="533" spans="1:11" ht="15">
      <c r="A533" s="13">
        <v>57862</v>
      </c>
      <c r="B533" s="63">
        <f>8.2694 * CHOOSE(CONTROL!$C$22, $C$13, 100%, $E$13)</f>
        <v>8.2693999999999992</v>
      </c>
      <c r="C533" s="63">
        <f>8.2694 * CHOOSE(CONTROL!$C$22, $C$13, 100%, $E$13)</f>
        <v>8.2693999999999992</v>
      </c>
      <c r="D533" s="63">
        <f>8.2925 * CHOOSE(CONTROL!$C$22, $C$13, 100%, $E$13)</f>
        <v>8.2925000000000004</v>
      </c>
      <c r="E533" s="64">
        <f>9.6812 * CHOOSE(CONTROL!$C$22, $C$13, 100%, $E$13)</f>
        <v>9.6812000000000005</v>
      </c>
      <c r="F533" s="64">
        <f>9.6812 * CHOOSE(CONTROL!$C$22, $C$13, 100%, $E$13)</f>
        <v>9.6812000000000005</v>
      </c>
      <c r="G533" s="64">
        <f>9.6827 * CHOOSE(CONTROL!$C$22, $C$13, 100%, $E$13)</f>
        <v>9.6827000000000005</v>
      </c>
      <c r="H533" s="64">
        <f>16.5306* CHOOSE(CONTROL!$C$22, $C$13, 100%, $E$13)</f>
        <v>16.5306</v>
      </c>
      <c r="I533" s="64">
        <f>16.532 * CHOOSE(CONTROL!$C$22, $C$13, 100%, $E$13)</f>
        <v>16.532</v>
      </c>
      <c r="J533" s="64">
        <f>9.6812 * CHOOSE(CONTROL!$C$22, $C$13, 100%, $E$13)</f>
        <v>9.6812000000000005</v>
      </c>
      <c r="K533" s="64">
        <f>9.6827 * CHOOSE(CONTROL!$C$22, $C$13, 100%, $E$13)</f>
        <v>9.6827000000000005</v>
      </c>
    </row>
    <row r="534" spans="1:11" ht="15">
      <c r="A534" s="13">
        <v>57892</v>
      </c>
      <c r="B534" s="63">
        <f>8.4031 * CHOOSE(CONTROL!$C$22, $C$13, 100%, $E$13)</f>
        <v>8.4031000000000002</v>
      </c>
      <c r="C534" s="63">
        <f>8.4031 * CHOOSE(CONTROL!$C$22, $C$13, 100%, $E$13)</f>
        <v>8.4031000000000002</v>
      </c>
      <c r="D534" s="63">
        <f>8.4262 * CHOOSE(CONTROL!$C$22, $C$13, 100%, $E$13)</f>
        <v>8.4261999999999997</v>
      </c>
      <c r="E534" s="64">
        <f>9.8697 * CHOOSE(CONTROL!$C$22, $C$13, 100%, $E$13)</f>
        <v>9.8696999999999999</v>
      </c>
      <c r="F534" s="64">
        <f>9.8697 * CHOOSE(CONTROL!$C$22, $C$13, 100%, $E$13)</f>
        <v>9.8696999999999999</v>
      </c>
      <c r="G534" s="64">
        <f>9.8712 * CHOOSE(CONTROL!$C$22, $C$13, 100%, $E$13)</f>
        <v>9.8712</v>
      </c>
      <c r="H534" s="64">
        <f>16.565* CHOOSE(CONTROL!$C$22, $C$13, 100%, $E$13)</f>
        <v>16.565000000000001</v>
      </c>
      <c r="I534" s="64">
        <f>16.5665 * CHOOSE(CONTROL!$C$22, $C$13, 100%, $E$13)</f>
        <v>16.566500000000001</v>
      </c>
      <c r="J534" s="64">
        <f>9.8697 * CHOOSE(CONTROL!$C$22, $C$13, 100%, $E$13)</f>
        <v>9.8696999999999999</v>
      </c>
      <c r="K534" s="64">
        <f>9.8712 * CHOOSE(CONTROL!$C$22, $C$13, 100%, $E$13)</f>
        <v>9.8712</v>
      </c>
    </row>
    <row r="535" spans="1:11" ht="15">
      <c r="A535" s="13">
        <v>57923</v>
      </c>
      <c r="B535" s="63">
        <f>8.4098 * CHOOSE(CONTROL!$C$22, $C$13, 100%, $E$13)</f>
        <v>8.4098000000000006</v>
      </c>
      <c r="C535" s="63">
        <f>8.4098 * CHOOSE(CONTROL!$C$22, $C$13, 100%, $E$13)</f>
        <v>8.4098000000000006</v>
      </c>
      <c r="D535" s="63">
        <f>8.4329 * CHOOSE(CONTROL!$C$22, $C$13, 100%, $E$13)</f>
        <v>8.4329000000000001</v>
      </c>
      <c r="E535" s="64">
        <f>9.7743 * CHOOSE(CONTROL!$C$22, $C$13, 100%, $E$13)</f>
        <v>9.7743000000000002</v>
      </c>
      <c r="F535" s="64">
        <f>9.7743 * CHOOSE(CONTROL!$C$22, $C$13, 100%, $E$13)</f>
        <v>9.7743000000000002</v>
      </c>
      <c r="G535" s="64">
        <f>9.7757 * CHOOSE(CONTROL!$C$22, $C$13, 100%, $E$13)</f>
        <v>9.7757000000000005</v>
      </c>
      <c r="H535" s="64">
        <f>16.5995* CHOOSE(CONTROL!$C$22, $C$13, 100%, $E$13)</f>
        <v>16.599499999999999</v>
      </c>
      <c r="I535" s="64">
        <f>16.601 * CHOOSE(CONTROL!$C$22, $C$13, 100%, $E$13)</f>
        <v>16.600999999999999</v>
      </c>
      <c r="J535" s="64">
        <f>9.7743 * CHOOSE(CONTROL!$C$22, $C$13, 100%, $E$13)</f>
        <v>9.7743000000000002</v>
      </c>
      <c r="K535" s="64">
        <f>9.7757 * CHOOSE(CONTROL!$C$22, $C$13, 100%, $E$13)</f>
        <v>9.7757000000000005</v>
      </c>
    </row>
    <row r="536" spans="1:11" ht="15">
      <c r="A536" s="13">
        <v>57954</v>
      </c>
      <c r="B536" s="63">
        <f>8.4068 * CHOOSE(CONTROL!$C$22, $C$13, 100%, $E$13)</f>
        <v>8.4068000000000005</v>
      </c>
      <c r="C536" s="63">
        <f>8.4068 * CHOOSE(CONTROL!$C$22, $C$13, 100%, $E$13)</f>
        <v>8.4068000000000005</v>
      </c>
      <c r="D536" s="63">
        <f>8.4299 * CHOOSE(CONTROL!$C$22, $C$13, 100%, $E$13)</f>
        <v>8.4298999999999999</v>
      </c>
      <c r="E536" s="64">
        <f>9.761 * CHOOSE(CONTROL!$C$22, $C$13, 100%, $E$13)</f>
        <v>9.7609999999999992</v>
      </c>
      <c r="F536" s="64">
        <f>9.761 * CHOOSE(CONTROL!$C$22, $C$13, 100%, $E$13)</f>
        <v>9.7609999999999992</v>
      </c>
      <c r="G536" s="64">
        <f>9.7625 * CHOOSE(CONTROL!$C$22, $C$13, 100%, $E$13)</f>
        <v>9.7624999999999993</v>
      </c>
      <c r="H536" s="64">
        <f>16.6341* CHOOSE(CONTROL!$C$22, $C$13, 100%, $E$13)</f>
        <v>16.6341</v>
      </c>
      <c r="I536" s="64">
        <f>16.6356 * CHOOSE(CONTROL!$C$22, $C$13, 100%, $E$13)</f>
        <v>16.6356</v>
      </c>
      <c r="J536" s="64">
        <f>9.761 * CHOOSE(CONTROL!$C$22, $C$13, 100%, $E$13)</f>
        <v>9.7609999999999992</v>
      </c>
      <c r="K536" s="64">
        <f>9.7625 * CHOOSE(CONTROL!$C$22, $C$13, 100%, $E$13)</f>
        <v>9.7624999999999993</v>
      </c>
    </row>
    <row r="537" spans="1:11" ht="15">
      <c r="A537" s="13">
        <v>57984</v>
      </c>
      <c r="B537" s="63">
        <f>8.4167 * CHOOSE(CONTROL!$C$22, $C$13, 100%, $E$13)</f>
        <v>8.4167000000000005</v>
      </c>
      <c r="C537" s="63">
        <f>8.4167 * CHOOSE(CONTROL!$C$22, $C$13, 100%, $E$13)</f>
        <v>8.4167000000000005</v>
      </c>
      <c r="D537" s="63">
        <f>8.4282 * CHOOSE(CONTROL!$C$22, $C$13, 100%, $E$13)</f>
        <v>8.4282000000000004</v>
      </c>
      <c r="E537" s="64">
        <f>9.7921 * CHOOSE(CONTROL!$C$22, $C$13, 100%, $E$13)</f>
        <v>9.7920999999999996</v>
      </c>
      <c r="F537" s="64">
        <f>9.7921 * CHOOSE(CONTROL!$C$22, $C$13, 100%, $E$13)</f>
        <v>9.7920999999999996</v>
      </c>
      <c r="G537" s="64">
        <f>9.7923 * CHOOSE(CONTROL!$C$22, $C$13, 100%, $E$13)</f>
        <v>9.7922999999999991</v>
      </c>
      <c r="H537" s="64">
        <f>16.6687* CHOOSE(CONTROL!$C$22, $C$13, 100%, $E$13)</f>
        <v>16.668700000000001</v>
      </c>
      <c r="I537" s="64">
        <f>16.6689 * CHOOSE(CONTROL!$C$22, $C$13, 100%, $E$13)</f>
        <v>16.668900000000001</v>
      </c>
      <c r="J537" s="64">
        <f>9.7921 * CHOOSE(CONTROL!$C$22, $C$13, 100%, $E$13)</f>
        <v>9.7920999999999996</v>
      </c>
      <c r="K537" s="64">
        <f>9.7923 * CHOOSE(CONTROL!$C$22, $C$13, 100%, $E$13)</f>
        <v>9.7922999999999991</v>
      </c>
    </row>
    <row r="538" spans="1:11" ht="15">
      <c r="A538" s="13">
        <v>58015</v>
      </c>
      <c r="B538" s="63">
        <f>8.4197 * CHOOSE(CONTROL!$C$22, $C$13, 100%, $E$13)</f>
        <v>8.4197000000000006</v>
      </c>
      <c r="C538" s="63">
        <f>8.4197 * CHOOSE(CONTROL!$C$22, $C$13, 100%, $E$13)</f>
        <v>8.4197000000000006</v>
      </c>
      <c r="D538" s="63">
        <f>8.4313 * CHOOSE(CONTROL!$C$22, $C$13, 100%, $E$13)</f>
        <v>8.4313000000000002</v>
      </c>
      <c r="E538" s="64">
        <f>9.8165 * CHOOSE(CONTROL!$C$22, $C$13, 100%, $E$13)</f>
        <v>9.8164999999999996</v>
      </c>
      <c r="F538" s="64">
        <f>9.8165 * CHOOSE(CONTROL!$C$22, $C$13, 100%, $E$13)</f>
        <v>9.8164999999999996</v>
      </c>
      <c r="G538" s="64">
        <f>9.8166 * CHOOSE(CONTROL!$C$22, $C$13, 100%, $E$13)</f>
        <v>9.8165999999999993</v>
      </c>
      <c r="H538" s="64">
        <f>16.7035* CHOOSE(CONTROL!$C$22, $C$13, 100%, $E$13)</f>
        <v>16.703499999999998</v>
      </c>
      <c r="I538" s="64">
        <f>16.7036 * CHOOSE(CONTROL!$C$22, $C$13, 100%, $E$13)</f>
        <v>16.703600000000002</v>
      </c>
      <c r="J538" s="64">
        <f>9.8165 * CHOOSE(CONTROL!$C$22, $C$13, 100%, $E$13)</f>
        <v>9.8164999999999996</v>
      </c>
      <c r="K538" s="64">
        <f>9.8166 * CHOOSE(CONTROL!$C$22, $C$13, 100%, $E$13)</f>
        <v>9.8165999999999993</v>
      </c>
    </row>
    <row r="539" spans="1:11" ht="15">
      <c r="A539" s="13">
        <v>58045</v>
      </c>
      <c r="B539" s="63">
        <f>8.4197 * CHOOSE(CONTROL!$C$22, $C$13, 100%, $E$13)</f>
        <v>8.4197000000000006</v>
      </c>
      <c r="C539" s="63">
        <f>8.4197 * CHOOSE(CONTROL!$C$22, $C$13, 100%, $E$13)</f>
        <v>8.4197000000000006</v>
      </c>
      <c r="D539" s="63">
        <f>8.4313 * CHOOSE(CONTROL!$C$22, $C$13, 100%, $E$13)</f>
        <v>8.4313000000000002</v>
      </c>
      <c r="E539" s="64">
        <f>9.7608 * CHOOSE(CONTROL!$C$22, $C$13, 100%, $E$13)</f>
        <v>9.7607999999999997</v>
      </c>
      <c r="F539" s="64">
        <f>9.7608 * CHOOSE(CONTROL!$C$22, $C$13, 100%, $E$13)</f>
        <v>9.7607999999999997</v>
      </c>
      <c r="G539" s="64">
        <f>9.761 * CHOOSE(CONTROL!$C$22, $C$13, 100%, $E$13)</f>
        <v>9.7609999999999992</v>
      </c>
      <c r="H539" s="64">
        <f>16.7383* CHOOSE(CONTROL!$C$22, $C$13, 100%, $E$13)</f>
        <v>16.738299999999999</v>
      </c>
      <c r="I539" s="64">
        <f>16.7384 * CHOOSE(CONTROL!$C$22, $C$13, 100%, $E$13)</f>
        <v>16.738399999999999</v>
      </c>
      <c r="J539" s="64">
        <f>9.7608 * CHOOSE(CONTROL!$C$22, $C$13, 100%, $E$13)</f>
        <v>9.7607999999999997</v>
      </c>
      <c r="K539" s="64">
        <f>9.761 * CHOOSE(CONTROL!$C$22, $C$13, 100%, $E$13)</f>
        <v>9.7609999999999992</v>
      </c>
    </row>
    <row r="540" spans="1:11" ht="15">
      <c r="A540" s="13">
        <v>58076</v>
      </c>
      <c r="B540" s="63">
        <f>8.4941 * CHOOSE(CONTROL!$C$22, $C$13, 100%, $E$13)</f>
        <v>8.4940999999999995</v>
      </c>
      <c r="C540" s="63">
        <f>8.4941 * CHOOSE(CONTROL!$C$22, $C$13, 100%, $E$13)</f>
        <v>8.4940999999999995</v>
      </c>
      <c r="D540" s="63">
        <f>8.5056 * CHOOSE(CONTROL!$C$22, $C$13, 100%, $E$13)</f>
        <v>8.5055999999999994</v>
      </c>
      <c r="E540" s="64">
        <f>9.8879 * CHOOSE(CONTROL!$C$22, $C$13, 100%, $E$13)</f>
        <v>9.8879000000000001</v>
      </c>
      <c r="F540" s="64">
        <f>9.8879 * CHOOSE(CONTROL!$C$22, $C$13, 100%, $E$13)</f>
        <v>9.8879000000000001</v>
      </c>
      <c r="G540" s="64">
        <f>9.888 * CHOOSE(CONTROL!$C$22, $C$13, 100%, $E$13)</f>
        <v>9.8879999999999999</v>
      </c>
      <c r="H540" s="64">
        <f>16.7731* CHOOSE(CONTROL!$C$22, $C$13, 100%, $E$13)</f>
        <v>16.773099999999999</v>
      </c>
      <c r="I540" s="64">
        <f>16.7733 * CHOOSE(CONTROL!$C$22, $C$13, 100%, $E$13)</f>
        <v>16.773299999999999</v>
      </c>
      <c r="J540" s="64">
        <f>9.8879 * CHOOSE(CONTROL!$C$22, $C$13, 100%, $E$13)</f>
        <v>9.8879000000000001</v>
      </c>
      <c r="K540" s="64">
        <f>9.888 * CHOOSE(CONTROL!$C$22, $C$13, 100%, $E$13)</f>
        <v>9.8879999999999999</v>
      </c>
    </row>
    <row r="541" spans="1:11" ht="15">
      <c r="A541" s="13">
        <v>58107</v>
      </c>
      <c r="B541" s="63">
        <f>8.491 * CHOOSE(CONTROL!$C$22, $C$13, 100%, $E$13)</f>
        <v>8.4909999999999997</v>
      </c>
      <c r="C541" s="63">
        <f>8.491 * CHOOSE(CONTROL!$C$22, $C$13, 100%, $E$13)</f>
        <v>8.4909999999999997</v>
      </c>
      <c r="D541" s="63">
        <f>8.5026 * CHOOSE(CONTROL!$C$22, $C$13, 100%, $E$13)</f>
        <v>8.5025999999999993</v>
      </c>
      <c r="E541" s="64">
        <f>9.7777 * CHOOSE(CONTROL!$C$22, $C$13, 100%, $E$13)</f>
        <v>9.7776999999999994</v>
      </c>
      <c r="F541" s="64">
        <f>9.7777 * CHOOSE(CONTROL!$C$22, $C$13, 100%, $E$13)</f>
        <v>9.7776999999999994</v>
      </c>
      <c r="G541" s="64">
        <f>9.7778 * CHOOSE(CONTROL!$C$22, $C$13, 100%, $E$13)</f>
        <v>9.7777999999999992</v>
      </c>
      <c r="H541" s="64">
        <f>16.8081* CHOOSE(CONTROL!$C$22, $C$13, 100%, $E$13)</f>
        <v>16.8081</v>
      </c>
      <c r="I541" s="64">
        <f>16.8083 * CHOOSE(CONTROL!$C$22, $C$13, 100%, $E$13)</f>
        <v>16.808299999999999</v>
      </c>
      <c r="J541" s="64">
        <f>9.7777 * CHOOSE(CONTROL!$C$22, $C$13, 100%, $E$13)</f>
        <v>9.7776999999999994</v>
      </c>
      <c r="K541" s="64">
        <f>9.7778 * CHOOSE(CONTROL!$C$22, $C$13, 100%, $E$13)</f>
        <v>9.7777999999999992</v>
      </c>
    </row>
    <row r="542" spans="1:11" ht="15">
      <c r="A542" s="13">
        <v>58135</v>
      </c>
      <c r="B542" s="63">
        <f>8.488 * CHOOSE(CONTROL!$C$22, $C$13, 100%, $E$13)</f>
        <v>8.4879999999999995</v>
      </c>
      <c r="C542" s="63">
        <f>8.488 * CHOOSE(CONTROL!$C$22, $C$13, 100%, $E$13)</f>
        <v>8.4879999999999995</v>
      </c>
      <c r="D542" s="63">
        <f>8.4996 * CHOOSE(CONTROL!$C$22, $C$13, 100%, $E$13)</f>
        <v>8.4995999999999992</v>
      </c>
      <c r="E542" s="64">
        <f>9.8608 * CHOOSE(CONTROL!$C$22, $C$13, 100%, $E$13)</f>
        <v>9.8607999999999993</v>
      </c>
      <c r="F542" s="64">
        <f>9.8608 * CHOOSE(CONTROL!$C$22, $C$13, 100%, $E$13)</f>
        <v>9.8607999999999993</v>
      </c>
      <c r="G542" s="64">
        <f>9.8609 * CHOOSE(CONTROL!$C$22, $C$13, 100%, $E$13)</f>
        <v>9.8609000000000009</v>
      </c>
      <c r="H542" s="64">
        <f>16.8431* CHOOSE(CONTROL!$C$22, $C$13, 100%, $E$13)</f>
        <v>16.8431</v>
      </c>
      <c r="I542" s="64">
        <f>16.8433 * CHOOSE(CONTROL!$C$22, $C$13, 100%, $E$13)</f>
        <v>16.843299999999999</v>
      </c>
      <c r="J542" s="64">
        <f>9.8608 * CHOOSE(CONTROL!$C$22, $C$13, 100%, $E$13)</f>
        <v>9.8607999999999993</v>
      </c>
      <c r="K542" s="64">
        <f>9.8609 * CHOOSE(CONTROL!$C$22, $C$13, 100%, $E$13)</f>
        <v>9.8609000000000009</v>
      </c>
    </row>
    <row r="543" spans="1:11" ht="15">
      <c r="A543" s="13">
        <v>58166</v>
      </c>
      <c r="B543" s="63">
        <f>8.4896 * CHOOSE(CONTROL!$C$22, $C$13, 100%, $E$13)</f>
        <v>8.4895999999999994</v>
      </c>
      <c r="C543" s="63">
        <f>8.4896 * CHOOSE(CONTROL!$C$22, $C$13, 100%, $E$13)</f>
        <v>8.4895999999999994</v>
      </c>
      <c r="D543" s="63">
        <f>8.5011 * CHOOSE(CONTROL!$C$22, $C$13, 100%, $E$13)</f>
        <v>8.5010999999999992</v>
      </c>
      <c r="E543" s="64">
        <f>9.948 * CHOOSE(CONTROL!$C$22, $C$13, 100%, $E$13)</f>
        <v>9.9480000000000004</v>
      </c>
      <c r="F543" s="64">
        <f>9.948 * CHOOSE(CONTROL!$C$22, $C$13, 100%, $E$13)</f>
        <v>9.9480000000000004</v>
      </c>
      <c r="G543" s="64">
        <f>9.9482 * CHOOSE(CONTROL!$C$22, $C$13, 100%, $E$13)</f>
        <v>9.9481999999999999</v>
      </c>
      <c r="H543" s="64">
        <f>16.8782* CHOOSE(CONTROL!$C$22, $C$13, 100%, $E$13)</f>
        <v>16.8782</v>
      </c>
      <c r="I543" s="64">
        <f>16.8784 * CHOOSE(CONTROL!$C$22, $C$13, 100%, $E$13)</f>
        <v>16.878399999999999</v>
      </c>
      <c r="J543" s="64">
        <f>9.948 * CHOOSE(CONTROL!$C$22, $C$13, 100%, $E$13)</f>
        <v>9.9480000000000004</v>
      </c>
      <c r="K543" s="64">
        <f>9.9482 * CHOOSE(CONTROL!$C$22, $C$13, 100%, $E$13)</f>
        <v>9.9481999999999999</v>
      </c>
    </row>
    <row r="544" spans="1:11" ht="15">
      <c r="A544" s="13">
        <v>58196</v>
      </c>
      <c r="B544" s="63">
        <f>8.4896 * CHOOSE(CONTROL!$C$22, $C$13, 100%, $E$13)</f>
        <v>8.4895999999999994</v>
      </c>
      <c r="C544" s="63">
        <f>8.4896 * CHOOSE(CONTROL!$C$22, $C$13, 100%, $E$13)</f>
        <v>8.4895999999999994</v>
      </c>
      <c r="D544" s="63">
        <f>8.5127 * CHOOSE(CONTROL!$C$22, $C$13, 100%, $E$13)</f>
        <v>8.5127000000000006</v>
      </c>
      <c r="E544" s="64">
        <f>9.9823 * CHOOSE(CONTROL!$C$22, $C$13, 100%, $E$13)</f>
        <v>9.9823000000000004</v>
      </c>
      <c r="F544" s="64">
        <f>9.9823 * CHOOSE(CONTROL!$C$22, $C$13, 100%, $E$13)</f>
        <v>9.9823000000000004</v>
      </c>
      <c r="G544" s="64">
        <f>9.9838 * CHOOSE(CONTROL!$C$22, $C$13, 100%, $E$13)</f>
        <v>9.9838000000000005</v>
      </c>
      <c r="H544" s="64">
        <f>16.9134* CHOOSE(CONTROL!$C$22, $C$13, 100%, $E$13)</f>
        <v>16.913399999999999</v>
      </c>
      <c r="I544" s="64">
        <f>16.9148 * CHOOSE(CONTROL!$C$22, $C$13, 100%, $E$13)</f>
        <v>16.9148</v>
      </c>
      <c r="J544" s="64">
        <f>9.9823 * CHOOSE(CONTROL!$C$22, $C$13, 100%, $E$13)</f>
        <v>9.9823000000000004</v>
      </c>
      <c r="K544" s="64">
        <f>9.9838 * CHOOSE(CONTROL!$C$22, $C$13, 100%, $E$13)</f>
        <v>9.9838000000000005</v>
      </c>
    </row>
    <row r="545" spans="1:11" ht="15">
      <c r="A545" s="13">
        <v>58227</v>
      </c>
      <c r="B545" s="63">
        <f>8.4957 * CHOOSE(CONTROL!$C$22, $C$13, 100%, $E$13)</f>
        <v>8.4956999999999994</v>
      </c>
      <c r="C545" s="63">
        <f>8.4957 * CHOOSE(CONTROL!$C$22, $C$13, 100%, $E$13)</f>
        <v>8.4956999999999994</v>
      </c>
      <c r="D545" s="63">
        <f>8.5188 * CHOOSE(CONTROL!$C$22, $C$13, 100%, $E$13)</f>
        <v>8.5188000000000006</v>
      </c>
      <c r="E545" s="64">
        <f>9.9523 * CHOOSE(CONTROL!$C$22, $C$13, 100%, $E$13)</f>
        <v>9.9522999999999993</v>
      </c>
      <c r="F545" s="64">
        <f>9.9523 * CHOOSE(CONTROL!$C$22, $C$13, 100%, $E$13)</f>
        <v>9.9522999999999993</v>
      </c>
      <c r="G545" s="64">
        <f>9.9537 * CHOOSE(CONTROL!$C$22, $C$13, 100%, $E$13)</f>
        <v>9.9536999999999995</v>
      </c>
      <c r="H545" s="64">
        <f>16.9486* CHOOSE(CONTROL!$C$22, $C$13, 100%, $E$13)</f>
        <v>16.948599999999999</v>
      </c>
      <c r="I545" s="64">
        <f>16.9501 * CHOOSE(CONTROL!$C$22, $C$13, 100%, $E$13)</f>
        <v>16.950099999999999</v>
      </c>
      <c r="J545" s="64">
        <f>9.9523 * CHOOSE(CONTROL!$C$22, $C$13, 100%, $E$13)</f>
        <v>9.9522999999999993</v>
      </c>
      <c r="K545" s="64">
        <f>9.9537 * CHOOSE(CONTROL!$C$22, $C$13, 100%, $E$13)</f>
        <v>9.9536999999999995</v>
      </c>
    </row>
    <row r="546" spans="1:11" ht="15">
      <c r="A546" s="13">
        <v>58257</v>
      </c>
      <c r="B546" s="63">
        <f>8.6328 * CHOOSE(CONTROL!$C$22, $C$13, 100%, $E$13)</f>
        <v>8.6327999999999996</v>
      </c>
      <c r="C546" s="63">
        <f>8.6328 * CHOOSE(CONTROL!$C$22, $C$13, 100%, $E$13)</f>
        <v>8.6327999999999996</v>
      </c>
      <c r="D546" s="63">
        <f>8.6559 * CHOOSE(CONTROL!$C$22, $C$13, 100%, $E$13)</f>
        <v>8.6559000000000008</v>
      </c>
      <c r="E546" s="64">
        <f>10.1458 * CHOOSE(CONTROL!$C$22, $C$13, 100%, $E$13)</f>
        <v>10.145799999999999</v>
      </c>
      <c r="F546" s="64">
        <f>10.1458 * CHOOSE(CONTROL!$C$22, $C$13, 100%, $E$13)</f>
        <v>10.145799999999999</v>
      </c>
      <c r="G546" s="64">
        <f>10.1473 * CHOOSE(CONTROL!$C$22, $C$13, 100%, $E$13)</f>
        <v>10.1473</v>
      </c>
      <c r="H546" s="64">
        <f>16.9839* CHOOSE(CONTROL!$C$22, $C$13, 100%, $E$13)</f>
        <v>16.983899999999998</v>
      </c>
      <c r="I546" s="64">
        <f>16.9854 * CHOOSE(CONTROL!$C$22, $C$13, 100%, $E$13)</f>
        <v>16.985399999999998</v>
      </c>
      <c r="J546" s="64">
        <f>10.1458 * CHOOSE(CONTROL!$C$22, $C$13, 100%, $E$13)</f>
        <v>10.145799999999999</v>
      </c>
      <c r="K546" s="64">
        <f>10.1473 * CHOOSE(CONTROL!$C$22, $C$13, 100%, $E$13)</f>
        <v>10.1473</v>
      </c>
    </row>
    <row r="547" spans="1:11" ht="15">
      <c r="A547" s="13">
        <v>58288</v>
      </c>
      <c r="B547" s="63">
        <f>8.6395 * CHOOSE(CONTROL!$C$22, $C$13, 100%, $E$13)</f>
        <v>8.6395</v>
      </c>
      <c r="C547" s="63">
        <f>8.6395 * CHOOSE(CONTROL!$C$22, $C$13, 100%, $E$13)</f>
        <v>8.6395</v>
      </c>
      <c r="D547" s="63">
        <f>8.6626 * CHOOSE(CONTROL!$C$22, $C$13, 100%, $E$13)</f>
        <v>8.6625999999999994</v>
      </c>
      <c r="E547" s="64">
        <f>10.0475 * CHOOSE(CONTROL!$C$22, $C$13, 100%, $E$13)</f>
        <v>10.047499999999999</v>
      </c>
      <c r="F547" s="64">
        <f>10.0475 * CHOOSE(CONTROL!$C$22, $C$13, 100%, $E$13)</f>
        <v>10.047499999999999</v>
      </c>
      <c r="G547" s="64">
        <f>10.049 * CHOOSE(CONTROL!$C$22, $C$13, 100%, $E$13)</f>
        <v>10.048999999999999</v>
      </c>
      <c r="H547" s="64">
        <f>17.0193* CHOOSE(CONTROL!$C$22, $C$13, 100%, $E$13)</f>
        <v>17.019300000000001</v>
      </c>
      <c r="I547" s="64">
        <f>17.0208 * CHOOSE(CONTROL!$C$22, $C$13, 100%, $E$13)</f>
        <v>17.020800000000001</v>
      </c>
      <c r="J547" s="64">
        <f>10.0475 * CHOOSE(CONTROL!$C$22, $C$13, 100%, $E$13)</f>
        <v>10.047499999999999</v>
      </c>
      <c r="K547" s="64">
        <f>10.049 * CHOOSE(CONTROL!$C$22, $C$13, 100%, $E$13)</f>
        <v>10.048999999999999</v>
      </c>
    </row>
    <row r="548" spans="1:11" ht="15">
      <c r="A548" s="13">
        <v>58319</v>
      </c>
      <c r="B548" s="63">
        <f>8.6364 * CHOOSE(CONTROL!$C$22, $C$13, 100%, $E$13)</f>
        <v>8.6364000000000001</v>
      </c>
      <c r="C548" s="63">
        <f>8.6364 * CHOOSE(CONTROL!$C$22, $C$13, 100%, $E$13)</f>
        <v>8.6364000000000001</v>
      </c>
      <c r="D548" s="63">
        <f>8.6595 * CHOOSE(CONTROL!$C$22, $C$13, 100%, $E$13)</f>
        <v>8.6594999999999995</v>
      </c>
      <c r="E548" s="64">
        <f>10.0339 * CHOOSE(CONTROL!$C$22, $C$13, 100%, $E$13)</f>
        <v>10.033899999999999</v>
      </c>
      <c r="F548" s="64">
        <f>10.0339 * CHOOSE(CONTROL!$C$22, $C$13, 100%, $E$13)</f>
        <v>10.033899999999999</v>
      </c>
      <c r="G548" s="64">
        <f>10.0354 * CHOOSE(CONTROL!$C$22, $C$13, 100%, $E$13)</f>
        <v>10.035399999999999</v>
      </c>
      <c r="H548" s="64">
        <f>17.0547* CHOOSE(CONTROL!$C$22, $C$13, 100%, $E$13)</f>
        <v>17.0547</v>
      </c>
      <c r="I548" s="64">
        <f>17.0562 * CHOOSE(CONTROL!$C$22, $C$13, 100%, $E$13)</f>
        <v>17.0562</v>
      </c>
      <c r="J548" s="64">
        <f>10.0339 * CHOOSE(CONTROL!$C$22, $C$13, 100%, $E$13)</f>
        <v>10.033899999999999</v>
      </c>
      <c r="K548" s="64">
        <f>10.0354 * CHOOSE(CONTROL!$C$22, $C$13, 100%, $E$13)</f>
        <v>10.035399999999999</v>
      </c>
    </row>
    <row r="549" spans="1:11" ht="15">
      <c r="A549" s="13">
        <v>58349</v>
      </c>
      <c r="B549" s="63">
        <f>8.6471 * CHOOSE(CONTROL!$C$22, $C$13, 100%, $E$13)</f>
        <v>8.6471</v>
      </c>
      <c r="C549" s="63">
        <f>8.6471 * CHOOSE(CONTROL!$C$22, $C$13, 100%, $E$13)</f>
        <v>8.6471</v>
      </c>
      <c r="D549" s="63">
        <f>8.6586 * CHOOSE(CONTROL!$C$22, $C$13, 100%, $E$13)</f>
        <v>8.6585999999999999</v>
      </c>
      <c r="E549" s="64">
        <f>10.0663 * CHOOSE(CONTROL!$C$22, $C$13, 100%, $E$13)</f>
        <v>10.0663</v>
      </c>
      <c r="F549" s="64">
        <f>10.0663 * CHOOSE(CONTROL!$C$22, $C$13, 100%, $E$13)</f>
        <v>10.0663</v>
      </c>
      <c r="G549" s="64">
        <f>10.0665 * CHOOSE(CONTROL!$C$22, $C$13, 100%, $E$13)</f>
        <v>10.0665</v>
      </c>
      <c r="H549" s="64">
        <f>17.0903* CHOOSE(CONTROL!$C$22, $C$13, 100%, $E$13)</f>
        <v>17.090299999999999</v>
      </c>
      <c r="I549" s="64">
        <f>17.0904 * CHOOSE(CONTROL!$C$22, $C$13, 100%, $E$13)</f>
        <v>17.090399999999999</v>
      </c>
      <c r="J549" s="64">
        <f>10.0663 * CHOOSE(CONTROL!$C$22, $C$13, 100%, $E$13)</f>
        <v>10.0663</v>
      </c>
      <c r="K549" s="64">
        <f>10.0665 * CHOOSE(CONTROL!$C$22, $C$13, 100%, $E$13)</f>
        <v>10.0665</v>
      </c>
    </row>
    <row r="550" spans="1:11" ht="15">
      <c r="A550" s="13">
        <v>58380</v>
      </c>
      <c r="B550" s="63">
        <f>8.6501 * CHOOSE(CONTROL!$C$22, $C$13, 100%, $E$13)</f>
        <v>8.6501000000000001</v>
      </c>
      <c r="C550" s="63">
        <f>8.6501 * CHOOSE(CONTROL!$C$22, $C$13, 100%, $E$13)</f>
        <v>8.6501000000000001</v>
      </c>
      <c r="D550" s="63">
        <f>8.6616 * CHOOSE(CONTROL!$C$22, $C$13, 100%, $E$13)</f>
        <v>8.6616</v>
      </c>
      <c r="E550" s="64">
        <f>10.0913 * CHOOSE(CONTROL!$C$22, $C$13, 100%, $E$13)</f>
        <v>10.0913</v>
      </c>
      <c r="F550" s="64">
        <f>10.0913 * CHOOSE(CONTROL!$C$22, $C$13, 100%, $E$13)</f>
        <v>10.0913</v>
      </c>
      <c r="G550" s="64">
        <f>10.0914 * CHOOSE(CONTROL!$C$22, $C$13, 100%, $E$13)</f>
        <v>10.0914</v>
      </c>
      <c r="H550" s="64">
        <f>17.1259* CHOOSE(CONTROL!$C$22, $C$13, 100%, $E$13)</f>
        <v>17.125900000000001</v>
      </c>
      <c r="I550" s="64">
        <f>17.1261 * CHOOSE(CONTROL!$C$22, $C$13, 100%, $E$13)</f>
        <v>17.126100000000001</v>
      </c>
      <c r="J550" s="64">
        <f>10.0913 * CHOOSE(CONTROL!$C$22, $C$13, 100%, $E$13)</f>
        <v>10.0913</v>
      </c>
      <c r="K550" s="64">
        <f>10.0914 * CHOOSE(CONTROL!$C$22, $C$13, 100%, $E$13)</f>
        <v>10.0914</v>
      </c>
    </row>
    <row r="551" spans="1:11" ht="15">
      <c r="A551" s="13">
        <v>58410</v>
      </c>
      <c r="B551" s="63">
        <f>8.6501 * CHOOSE(CONTROL!$C$22, $C$13, 100%, $E$13)</f>
        <v>8.6501000000000001</v>
      </c>
      <c r="C551" s="63">
        <f>8.6501 * CHOOSE(CONTROL!$C$22, $C$13, 100%, $E$13)</f>
        <v>8.6501000000000001</v>
      </c>
      <c r="D551" s="63">
        <f>8.6616 * CHOOSE(CONTROL!$C$22, $C$13, 100%, $E$13)</f>
        <v>8.6616</v>
      </c>
      <c r="E551" s="64">
        <f>10.0341 * CHOOSE(CONTROL!$C$22, $C$13, 100%, $E$13)</f>
        <v>10.0341</v>
      </c>
      <c r="F551" s="64">
        <f>10.0341 * CHOOSE(CONTROL!$C$22, $C$13, 100%, $E$13)</f>
        <v>10.0341</v>
      </c>
      <c r="G551" s="64">
        <f>10.0343 * CHOOSE(CONTROL!$C$22, $C$13, 100%, $E$13)</f>
        <v>10.0343</v>
      </c>
      <c r="H551" s="64">
        <f>17.1616* CHOOSE(CONTROL!$C$22, $C$13, 100%, $E$13)</f>
        <v>17.1616</v>
      </c>
      <c r="I551" s="64">
        <f>17.1617 * CHOOSE(CONTROL!$C$22, $C$13, 100%, $E$13)</f>
        <v>17.1617</v>
      </c>
      <c r="J551" s="64">
        <f>10.0341 * CHOOSE(CONTROL!$C$22, $C$13, 100%, $E$13)</f>
        <v>10.0341</v>
      </c>
      <c r="K551" s="64">
        <f>10.0343 * CHOOSE(CONTROL!$C$22, $C$13, 100%, $E$13)</f>
        <v>10.0343</v>
      </c>
    </row>
    <row r="552" spans="1:11" ht="15">
      <c r="A552" s="13">
        <v>58441</v>
      </c>
      <c r="B552" s="63">
        <f>8.7264 * CHOOSE(CONTROL!$C$22, $C$13, 100%, $E$13)</f>
        <v>8.7263999999999999</v>
      </c>
      <c r="C552" s="63">
        <f>8.7264 * CHOOSE(CONTROL!$C$22, $C$13, 100%, $E$13)</f>
        <v>8.7263999999999999</v>
      </c>
      <c r="D552" s="63">
        <f>8.7379 * CHOOSE(CONTROL!$C$22, $C$13, 100%, $E$13)</f>
        <v>8.7378999999999998</v>
      </c>
      <c r="E552" s="64">
        <f>10.1646 * CHOOSE(CONTROL!$C$22, $C$13, 100%, $E$13)</f>
        <v>10.1646</v>
      </c>
      <c r="F552" s="64">
        <f>10.1646 * CHOOSE(CONTROL!$C$22, $C$13, 100%, $E$13)</f>
        <v>10.1646</v>
      </c>
      <c r="G552" s="64">
        <f>10.1647 * CHOOSE(CONTROL!$C$22, $C$13, 100%, $E$13)</f>
        <v>10.1647</v>
      </c>
      <c r="H552" s="64">
        <f>17.1973* CHOOSE(CONTROL!$C$22, $C$13, 100%, $E$13)</f>
        <v>17.197299999999998</v>
      </c>
      <c r="I552" s="64">
        <f>17.1975 * CHOOSE(CONTROL!$C$22, $C$13, 100%, $E$13)</f>
        <v>17.197500000000002</v>
      </c>
      <c r="J552" s="64">
        <f>10.1646 * CHOOSE(CONTROL!$C$22, $C$13, 100%, $E$13)</f>
        <v>10.1646</v>
      </c>
      <c r="K552" s="64">
        <f>10.1647 * CHOOSE(CONTROL!$C$22, $C$13, 100%, $E$13)</f>
        <v>10.1647</v>
      </c>
    </row>
    <row r="553" spans="1:11" ht="15">
      <c r="A553" s="13">
        <v>58472</v>
      </c>
      <c r="B553" s="63">
        <f>8.7233 * CHOOSE(CONTROL!$C$22, $C$13, 100%, $E$13)</f>
        <v>8.7233000000000001</v>
      </c>
      <c r="C553" s="63">
        <f>8.7233 * CHOOSE(CONTROL!$C$22, $C$13, 100%, $E$13)</f>
        <v>8.7233000000000001</v>
      </c>
      <c r="D553" s="63">
        <f>8.7349 * CHOOSE(CONTROL!$C$22, $C$13, 100%, $E$13)</f>
        <v>8.7348999999999997</v>
      </c>
      <c r="E553" s="64">
        <f>10.0513 * CHOOSE(CONTROL!$C$22, $C$13, 100%, $E$13)</f>
        <v>10.051299999999999</v>
      </c>
      <c r="F553" s="64">
        <f>10.0513 * CHOOSE(CONTROL!$C$22, $C$13, 100%, $E$13)</f>
        <v>10.051299999999999</v>
      </c>
      <c r="G553" s="64">
        <f>10.0515 * CHOOSE(CONTROL!$C$22, $C$13, 100%, $E$13)</f>
        <v>10.051500000000001</v>
      </c>
      <c r="H553" s="64">
        <f>17.2331* CHOOSE(CONTROL!$C$22, $C$13, 100%, $E$13)</f>
        <v>17.2331</v>
      </c>
      <c r="I553" s="64">
        <f>17.2333 * CHOOSE(CONTROL!$C$22, $C$13, 100%, $E$13)</f>
        <v>17.2333</v>
      </c>
      <c r="J553" s="64">
        <f>10.0513 * CHOOSE(CONTROL!$C$22, $C$13, 100%, $E$13)</f>
        <v>10.051299999999999</v>
      </c>
      <c r="K553" s="64">
        <f>10.0515 * CHOOSE(CONTROL!$C$22, $C$13, 100%, $E$13)</f>
        <v>10.051500000000001</v>
      </c>
    </row>
    <row r="554" spans="1:11" ht="15">
      <c r="A554" s="13">
        <v>58501</v>
      </c>
      <c r="B554" s="63">
        <f>8.7203 * CHOOSE(CONTROL!$C$22, $C$13, 100%, $E$13)</f>
        <v>8.7202999999999999</v>
      </c>
      <c r="C554" s="63">
        <f>8.7203 * CHOOSE(CONTROL!$C$22, $C$13, 100%, $E$13)</f>
        <v>8.7202999999999999</v>
      </c>
      <c r="D554" s="63">
        <f>8.7319 * CHOOSE(CONTROL!$C$22, $C$13, 100%, $E$13)</f>
        <v>8.7318999999999996</v>
      </c>
      <c r="E554" s="64">
        <f>10.1368 * CHOOSE(CONTROL!$C$22, $C$13, 100%, $E$13)</f>
        <v>10.136799999999999</v>
      </c>
      <c r="F554" s="64">
        <f>10.1368 * CHOOSE(CONTROL!$C$22, $C$13, 100%, $E$13)</f>
        <v>10.136799999999999</v>
      </c>
      <c r="G554" s="64">
        <f>10.137 * CHOOSE(CONTROL!$C$22, $C$13, 100%, $E$13)</f>
        <v>10.137</v>
      </c>
      <c r="H554" s="64">
        <f>17.269* CHOOSE(CONTROL!$C$22, $C$13, 100%, $E$13)</f>
        <v>17.268999999999998</v>
      </c>
      <c r="I554" s="64">
        <f>17.2692 * CHOOSE(CONTROL!$C$22, $C$13, 100%, $E$13)</f>
        <v>17.269200000000001</v>
      </c>
      <c r="J554" s="64">
        <f>10.1368 * CHOOSE(CONTROL!$C$22, $C$13, 100%, $E$13)</f>
        <v>10.136799999999999</v>
      </c>
      <c r="K554" s="64">
        <f>10.137 * CHOOSE(CONTROL!$C$22, $C$13, 100%, $E$13)</f>
        <v>10.137</v>
      </c>
    </row>
    <row r="555" spans="1:11" ht="15">
      <c r="A555" s="13">
        <v>58532</v>
      </c>
      <c r="B555" s="63">
        <f>8.7221 * CHOOSE(CONTROL!$C$22, $C$13, 100%, $E$13)</f>
        <v>8.7220999999999993</v>
      </c>
      <c r="C555" s="63">
        <f>8.7221 * CHOOSE(CONTROL!$C$22, $C$13, 100%, $E$13)</f>
        <v>8.7220999999999993</v>
      </c>
      <c r="D555" s="63">
        <f>8.7336 * CHOOSE(CONTROL!$C$22, $C$13, 100%, $E$13)</f>
        <v>8.7335999999999991</v>
      </c>
      <c r="E555" s="64">
        <f>10.2266 * CHOOSE(CONTROL!$C$22, $C$13, 100%, $E$13)</f>
        <v>10.226599999999999</v>
      </c>
      <c r="F555" s="64">
        <f>10.2266 * CHOOSE(CONTROL!$C$22, $C$13, 100%, $E$13)</f>
        <v>10.226599999999999</v>
      </c>
      <c r="G555" s="64">
        <f>10.2268 * CHOOSE(CONTROL!$C$22, $C$13, 100%, $E$13)</f>
        <v>10.226800000000001</v>
      </c>
      <c r="H555" s="64">
        <f>17.305* CHOOSE(CONTROL!$C$22, $C$13, 100%, $E$13)</f>
        <v>17.305</v>
      </c>
      <c r="I555" s="64">
        <f>17.3052 * CHOOSE(CONTROL!$C$22, $C$13, 100%, $E$13)</f>
        <v>17.305199999999999</v>
      </c>
      <c r="J555" s="64">
        <f>10.2266 * CHOOSE(CONTROL!$C$22, $C$13, 100%, $E$13)</f>
        <v>10.226599999999999</v>
      </c>
      <c r="K555" s="64">
        <f>10.2268 * CHOOSE(CONTROL!$C$22, $C$13, 100%, $E$13)</f>
        <v>10.226800000000001</v>
      </c>
    </row>
    <row r="556" spans="1:11" ht="15">
      <c r="A556" s="13">
        <v>58562</v>
      </c>
      <c r="B556" s="63">
        <f>8.7221 * CHOOSE(CONTROL!$C$22, $C$13, 100%, $E$13)</f>
        <v>8.7220999999999993</v>
      </c>
      <c r="C556" s="63">
        <f>8.7221 * CHOOSE(CONTROL!$C$22, $C$13, 100%, $E$13)</f>
        <v>8.7220999999999993</v>
      </c>
      <c r="D556" s="63">
        <f>8.7452 * CHOOSE(CONTROL!$C$22, $C$13, 100%, $E$13)</f>
        <v>8.7452000000000005</v>
      </c>
      <c r="E556" s="64">
        <f>10.2619 * CHOOSE(CONTROL!$C$22, $C$13, 100%, $E$13)</f>
        <v>10.261900000000001</v>
      </c>
      <c r="F556" s="64">
        <f>10.2619 * CHOOSE(CONTROL!$C$22, $C$13, 100%, $E$13)</f>
        <v>10.261900000000001</v>
      </c>
      <c r="G556" s="64">
        <f>10.2634 * CHOOSE(CONTROL!$C$22, $C$13, 100%, $E$13)</f>
        <v>10.263400000000001</v>
      </c>
      <c r="H556" s="64">
        <f>17.3411* CHOOSE(CONTROL!$C$22, $C$13, 100%, $E$13)</f>
        <v>17.341100000000001</v>
      </c>
      <c r="I556" s="64">
        <f>17.3426 * CHOOSE(CONTROL!$C$22, $C$13, 100%, $E$13)</f>
        <v>17.342600000000001</v>
      </c>
      <c r="J556" s="64">
        <f>10.2619 * CHOOSE(CONTROL!$C$22, $C$13, 100%, $E$13)</f>
        <v>10.261900000000001</v>
      </c>
      <c r="K556" s="64">
        <f>10.2634 * CHOOSE(CONTROL!$C$22, $C$13, 100%, $E$13)</f>
        <v>10.263400000000001</v>
      </c>
    </row>
    <row r="557" spans="1:11" ht="15">
      <c r="A557" s="13">
        <v>58593</v>
      </c>
      <c r="B557" s="63">
        <f>8.7282 * CHOOSE(CONTROL!$C$22, $C$13, 100%, $E$13)</f>
        <v>8.7281999999999993</v>
      </c>
      <c r="C557" s="63">
        <f>8.7282 * CHOOSE(CONTROL!$C$22, $C$13, 100%, $E$13)</f>
        <v>8.7281999999999993</v>
      </c>
      <c r="D557" s="63">
        <f>8.7513 * CHOOSE(CONTROL!$C$22, $C$13, 100%, $E$13)</f>
        <v>8.7513000000000005</v>
      </c>
      <c r="E557" s="64">
        <f>10.2309 * CHOOSE(CONTROL!$C$22, $C$13, 100%, $E$13)</f>
        <v>10.2309</v>
      </c>
      <c r="F557" s="64">
        <f>10.2309 * CHOOSE(CONTROL!$C$22, $C$13, 100%, $E$13)</f>
        <v>10.2309</v>
      </c>
      <c r="G557" s="64">
        <f>10.2324 * CHOOSE(CONTROL!$C$22, $C$13, 100%, $E$13)</f>
        <v>10.2324</v>
      </c>
      <c r="H557" s="64">
        <f>17.3772* CHOOSE(CONTROL!$C$22, $C$13, 100%, $E$13)</f>
        <v>17.377199999999998</v>
      </c>
      <c r="I557" s="64">
        <f>17.3787 * CHOOSE(CONTROL!$C$22, $C$13, 100%, $E$13)</f>
        <v>17.378699999999998</v>
      </c>
      <c r="J557" s="64">
        <f>10.2309 * CHOOSE(CONTROL!$C$22, $C$13, 100%, $E$13)</f>
        <v>10.2309</v>
      </c>
      <c r="K557" s="64">
        <f>10.2324 * CHOOSE(CONTROL!$C$22, $C$13, 100%, $E$13)</f>
        <v>10.2324</v>
      </c>
    </row>
    <row r="558" spans="1:11" ht="15">
      <c r="A558" s="13">
        <v>58623</v>
      </c>
      <c r="B558" s="63">
        <f>8.8688 * CHOOSE(CONTROL!$C$22, $C$13, 100%, $E$13)</f>
        <v>8.8688000000000002</v>
      </c>
      <c r="C558" s="63">
        <f>8.8688 * CHOOSE(CONTROL!$C$22, $C$13, 100%, $E$13)</f>
        <v>8.8688000000000002</v>
      </c>
      <c r="D558" s="63">
        <f>8.8919 * CHOOSE(CONTROL!$C$22, $C$13, 100%, $E$13)</f>
        <v>8.8918999999999997</v>
      </c>
      <c r="E558" s="64">
        <f>10.4296 * CHOOSE(CONTROL!$C$22, $C$13, 100%, $E$13)</f>
        <v>10.429600000000001</v>
      </c>
      <c r="F558" s="64">
        <f>10.4296 * CHOOSE(CONTROL!$C$22, $C$13, 100%, $E$13)</f>
        <v>10.429600000000001</v>
      </c>
      <c r="G558" s="64">
        <f>10.431 * CHOOSE(CONTROL!$C$22, $C$13, 100%, $E$13)</f>
        <v>10.430999999999999</v>
      </c>
      <c r="H558" s="64">
        <f>17.4134* CHOOSE(CONTROL!$C$22, $C$13, 100%, $E$13)</f>
        <v>17.413399999999999</v>
      </c>
      <c r="I558" s="64">
        <f>17.4149 * CHOOSE(CONTROL!$C$22, $C$13, 100%, $E$13)</f>
        <v>17.414899999999999</v>
      </c>
      <c r="J558" s="64">
        <f>10.4296 * CHOOSE(CONTROL!$C$22, $C$13, 100%, $E$13)</f>
        <v>10.429600000000001</v>
      </c>
      <c r="K558" s="64">
        <f>10.431 * CHOOSE(CONTROL!$C$22, $C$13, 100%, $E$13)</f>
        <v>10.430999999999999</v>
      </c>
    </row>
    <row r="559" spans="1:11" ht="15">
      <c r="A559" s="13">
        <v>58654</v>
      </c>
      <c r="B559" s="63">
        <f>8.8755 * CHOOSE(CONTROL!$C$22, $C$13, 100%, $E$13)</f>
        <v>8.8755000000000006</v>
      </c>
      <c r="C559" s="63">
        <f>8.8755 * CHOOSE(CONTROL!$C$22, $C$13, 100%, $E$13)</f>
        <v>8.8755000000000006</v>
      </c>
      <c r="D559" s="63">
        <f>8.8986 * CHOOSE(CONTROL!$C$22, $C$13, 100%, $E$13)</f>
        <v>8.8986000000000001</v>
      </c>
      <c r="E559" s="64">
        <f>10.3284 * CHOOSE(CONTROL!$C$22, $C$13, 100%, $E$13)</f>
        <v>10.3284</v>
      </c>
      <c r="F559" s="64">
        <f>10.3284 * CHOOSE(CONTROL!$C$22, $C$13, 100%, $E$13)</f>
        <v>10.3284</v>
      </c>
      <c r="G559" s="64">
        <f>10.3299 * CHOOSE(CONTROL!$C$22, $C$13, 100%, $E$13)</f>
        <v>10.3299</v>
      </c>
      <c r="H559" s="64">
        <f>17.4497* CHOOSE(CONTROL!$C$22, $C$13, 100%, $E$13)</f>
        <v>17.4497</v>
      </c>
      <c r="I559" s="64">
        <f>17.4512 * CHOOSE(CONTROL!$C$22, $C$13, 100%, $E$13)</f>
        <v>17.4512</v>
      </c>
      <c r="J559" s="64">
        <f>10.3284 * CHOOSE(CONTROL!$C$22, $C$13, 100%, $E$13)</f>
        <v>10.3284</v>
      </c>
      <c r="K559" s="64">
        <f>10.3299 * CHOOSE(CONTROL!$C$22, $C$13, 100%, $E$13)</f>
        <v>10.3299</v>
      </c>
    </row>
    <row r="560" spans="1:11" ht="15">
      <c r="A560" s="13">
        <v>58685</v>
      </c>
      <c r="B560" s="63">
        <f>8.8724 * CHOOSE(CONTROL!$C$22, $C$13, 100%, $E$13)</f>
        <v>8.8724000000000007</v>
      </c>
      <c r="C560" s="63">
        <f>8.8724 * CHOOSE(CONTROL!$C$22, $C$13, 100%, $E$13)</f>
        <v>8.8724000000000007</v>
      </c>
      <c r="D560" s="63">
        <f>8.8955 * CHOOSE(CONTROL!$C$22, $C$13, 100%, $E$13)</f>
        <v>8.8955000000000002</v>
      </c>
      <c r="E560" s="64">
        <f>10.3145 * CHOOSE(CONTROL!$C$22, $C$13, 100%, $E$13)</f>
        <v>10.314500000000001</v>
      </c>
      <c r="F560" s="64">
        <f>10.3145 * CHOOSE(CONTROL!$C$22, $C$13, 100%, $E$13)</f>
        <v>10.314500000000001</v>
      </c>
      <c r="G560" s="64">
        <f>10.316 * CHOOSE(CONTROL!$C$22, $C$13, 100%, $E$13)</f>
        <v>10.316000000000001</v>
      </c>
      <c r="H560" s="64">
        <f>17.486* CHOOSE(CONTROL!$C$22, $C$13, 100%, $E$13)</f>
        <v>17.486000000000001</v>
      </c>
      <c r="I560" s="64">
        <f>17.4875 * CHOOSE(CONTROL!$C$22, $C$13, 100%, $E$13)</f>
        <v>17.487500000000001</v>
      </c>
      <c r="J560" s="64">
        <f>10.3145 * CHOOSE(CONTROL!$C$22, $C$13, 100%, $E$13)</f>
        <v>10.314500000000001</v>
      </c>
      <c r="K560" s="64">
        <f>10.316 * CHOOSE(CONTROL!$C$22, $C$13, 100%, $E$13)</f>
        <v>10.316000000000001</v>
      </c>
    </row>
    <row r="561" spans="1:11" ht="15">
      <c r="A561" s="13">
        <v>58715</v>
      </c>
      <c r="B561" s="63">
        <f>8.8838 * CHOOSE(CONTROL!$C$22, $C$13, 100%, $E$13)</f>
        <v>8.8838000000000008</v>
      </c>
      <c r="C561" s="63">
        <f>8.8838 * CHOOSE(CONTROL!$C$22, $C$13, 100%, $E$13)</f>
        <v>8.8838000000000008</v>
      </c>
      <c r="D561" s="63">
        <f>8.8954 * CHOOSE(CONTROL!$C$22, $C$13, 100%, $E$13)</f>
        <v>8.8954000000000004</v>
      </c>
      <c r="E561" s="64">
        <f>10.3481 * CHOOSE(CONTROL!$C$22, $C$13, 100%, $E$13)</f>
        <v>10.348100000000001</v>
      </c>
      <c r="F561" s="64">
        <f>10.3481 * CHOOSE(CONTROL!$C$22, $C$13, 100%, $E$13)</f>
        <v>10.348100000000001</v>
      </c>
      <c r="G561" s="64">
        <f>10.3483 * CHOOSE(CONTROL!$C$22, $C$13, 100%, $E$13)</f>
        <v>10.3483</v>
      </c>
      <c r="H561" s="64">
        <f>17.5225* CHOOSE(CONTROL!$C$22, $C$13, 100%, $E$13)</f>
        <v>17.522500000000001</v>
      </c>
      <c r="I561" s="64">
        <f>17.5226 * CHOOSE(CONTROL!$C$22, $C$13, 100%, $E$13)</f>
        <v>17.522600000000001</v>
      </c>
      <c r="J561" s="64">
        <f>10.3481 * CHOOSE(CONTROL!$C$22, $C$13, 100%, $E$13)</f>
        <v>10.348100000000001</v>
      </c>
      <c r="K561" s="64">
        <f>10.3483 * CHOOSE(CONTROL!$C$22, $C$13, 100%, $E$13)</f>
        <v>10.3483</v>
      </c>
    </row>
    <row r="562" spans="1:11" ht="15">
      <c r="A562" s="13">
        <v>58746</v>
      </c>
      <c r="B562" s="63">
        <f>8.8868 * CHOOSE(CONTROL!$C$22, $C$13, 100%, $E$13)</f>
        <v>8.8867999999999991</v>
      </c>
      <c r="C562" s="63">
        <f>8.8868 * CHOOSE(CONTROL!$C$22, $C$13, 100%, $E$13)</f>
        <v>8.8867999999999991</v>
      </c>
      <c r="D562" s="63">
        <f>8.8984 * CHOOSE(CONTROL!$C$22, $C$13, 100%, $E$13)</f>
        <v>8.8984000000000005</v>
      </c>
      <c r="E562" s="64">
        <f>10.3738 * CHOOSE(CONTROL!$C$22, $C$13, 100%, $E$13)</f>
        <v>10.373799999999999</v>
      </c>
      <c r="F562" s="64">
        <f>10.3738 * CHOOSE(CONTROL!$C$22, $C$13, 100%, $E$13)</f>
        <v>10.373799999999999</v>
      </c>
      <c r="G562" s="64">
        <f>10.3739 * CHOOSE(CONTROL!$C$22, $C$13, 100%, $E$13)</f>
        <v>10.373900000000001</v>
      </c>
      <c r="H562" s="64">
        <f>17.559* CHOOSE(CONTROL!$C$22, $C$13, 100%, $E$13)</f>
        <v>17.559000000000001</v>
      </c>
      <c r="I562" s="64">
        <f>17.5591 * CHOOSE(CONTROL!$C$22, $C$13, 100%, $E$13)</f>
        <v>17.559100000000001</v>
      </c>
      <c r="J562" s="64">
        <f>10.3738 * CHOOSE(CONTROL!$C$22, $C$13, 100%, $E$13)</f>
        <v>10.373799999999999</v>
      </c>
      <c r="K562" s="64">
        <f>10.3739 * CHOOSE(CONTROL!$C$22, $C$13, 100%, $E$13)</f>
        <v>10.373900000000001</v>
      </c>
    </row>
    <row r="563" spans="1:11" ht="15">
      <c r="A563" s="13">
        <v>58776</v>
      </c>
      <c r="B563" s="63">
        <f>8.8868 * CHOOSE(CONTROL!$C$22, $C$13, 100%, $E$13)</f>
        <v>8.8867999999999991</v>
      </c>
      <c r="C563" s="63">
        <f>8.8868 * CHOOSE(CONTROL!$C$22, $C$13, 100%, $E$13)</f>
        <v>8.8867999999999991</v>
      </c>
      <c r="D563" s="63">
        <f>8.8984 * CHOOSE(CONTROL!$C$22, $C$13, 100%, $E$13)</f>
        <v>8.8984000000000005</v>
      </c>
      <c r="E563" s="64">
        <f>10.315 * CHOOSE(CONTROL!$C$22, $C$13, 100%, $E$13)</f>
        <v>10.315</v>
      </c>
      <c r="F563" s="64">
        <f>10.315 * CHOOSE(CONTROL!$C$22, $C$13, 100%, $E$13)</f>
        <v>10.315</v>
      </c>
      <c r="G563" s="64">
        <f>10.3151 * CHOOSE(CONTROL!$C$22, $C$13, 100%, $E$13)</f>
        <v>10.315099999999999</v>
      </c>
      <c r="H563" s="64">
        <f>17.5955* CHOOSE(CONTROL!$C$22, $C$13, 100%, $E$13)</f>
        <v>17.595500000000001</v>
      </c>
      <c r="I563" s="64">
        <f>17.5957 * CHOOSE(CONTROL!$C$22, $C$13, 100%, $E$13)</f>
        <v>17.595700000000001</v>
      </c>
      <c r="J563" s="64">
        <f>10.315 * CHOOSE(CONTROL!$C$22, $C$13, 100%, $E$13)</f>
        <v>10.315</v>
      </c>
      <c r="K563" s="64">
        <f>10.3151 * CHOOSE(CONTROL!$C$22, $C$13, 100%, $E$13)</f>
        <v>10.315099999999999</v>
      </c>
    </row>
    <row r="564" spans="1:11" ht="15">
      <c r="A564" s="13">
        <v>58807</v>
      </c>
      <c r="B564" s="63">
        <f>8.9651 * CHOOSE(CONTROL!$C$22, $C$13, 100%, $E$13)</f>
        <v>8.9650999999999996</v>
      </c>
      <c r="C564" s="63">
        <f>8.9651 * CHOOSE(CONTROL!$C$22, $C$13, 100%, $E$13)</f>
        <v>8.9650999999999996</v>
      </c>
      <c r="D564" s="63">
        <f>8.9767 * CHOOSE(CONTROL!$C$22, $C$13, 100%, $E$13)</f>
        <v>8.9766999999999992</v>
      </c>
      <c r="E564" s="64">
        <f>10.449 * CHOOSE(CONTROL!$C$22, $C$13, 100%, $E$13)</f>
        <v>10.449</v>
      </c>
      <c r="F564" s="64">
        <f>10.449 * CHOOSE(CONTROL!$C$22, $C$13, 100%, $E$13)</f>
        <v>10.449</v>
      </c>
      <c r="G564" s="64">
        <f>10.4492 * CHOOSE(CONTROL!$C$22, $C$13, 100%, $E$13)</f>
        <v>10.449199999999999</v>
      </c>
      <c r="H564" s="64">
        <f>17.6322* CHOOSE(CONTROL!$C$22, $C$13, 100%, $E$13)</f>
        <v>17.632200000000001</v>
      </c>
      <c r="I564" s="64">
        <f>17.6324 * CHOOSE(CONTROL!$C$22, $C$13, 100%, $E$13)</f>
        <v>17.632400000000001</v>
      </c>
      <c r="J564" s="64">
        <f>10.449 * CHOOSE(CONTROL!$C$22, $C$13, 100%, $E$13)</f>
        <v>10.449</v>
      </c>
      <c r="K564" s="64">
        <f>10.4492 * CHOOSE(CONTROL!$C$22, $C$13, 100%, $E$13)</f>
        <v>10.449199999999999</v>
      </c>
    </row>
    <row r="565" spans="1:11" ht="15">
      <c r="A565" s="13">
        <v>58838</v>
      </c>
      <c r="B565" s="63">
        <f>8.9621 * CHOOSE(CONTROL!$C$22, $C$13, 100%, $E$13)</f>
        <v>8.9620999999999995</v>
      </c>
      <c r="C565" s="63">
        <f>8.9621 * CHOOSE(CONTROL!$C$22, $C$13, 100%, $E$13)</f>
        <v>8.9620999999999995</v>
      </c>
      <c r="D565" s="63">
        <f>8.9736 * CHOOSE(CONTROL!$C$22, $C$13, 100%, $E$13)</f>
        <v>8.9735999999999994</v>
      </c>
      <c r="E565" s="64">
        <f>10.3327 * CHOOSE(CONTROL!$C$22, $C$13, 100%, $E$13)</f>
        <v>10.332700000000001</v>
      </c>
      <c r="F565" s="64">
        <f>10.3327 * CHOOSE(CONTROL!$C$22, $C$13, 100%, $E$13)</f>
        <v>10.332700000000001</v>
      </c>
      <c r="G565" s="64">
        <f>10.3328 * CHOOSE(CONTROL!$C$22, $C$13, 100%, $E$13)</f>
        <v>10.332800000000001</v>
      </c>
      <c r="H565" s="64">
        <f>17.6689* CHOOSE(CONTROL!$C$22, $C$13, 100%, $E$13)</f>
        <v>17.668900000000001</v>
      </c>
      <c r="I565" s="64">
        <f>17.6691 * CHOOSE(CONTROL!$C$22, $C$13, 100%, $E$13)</f>
        <v>17.6691</v>
      </c>
      <c r="J565" s="64">
        <f>10.3327 * CHOOSE(CONTROL!$C$22, $C$13, 100%, $E$13)</f>
        <v>10.332700000000001</v>
      </c>
      <c r="K565" s="64">
        <f>10.3328 * CHOOSE(CONTROL!$C$22, $C$13, 100%, $E$13)</f>
        <v>10.332800000000001</v>
      </c>
    </row>
    <row r="566" spans="1:11" ht="15">
      <c r="A566" s="13">
        <v>58866</v>
      </c>
      <c r="B566" s="63">
        <f>8.959 * CHOOSE(CONTROL!$C$22, $C$13, 100%, $E$13)</f>
        <v>8.9589999999999996</v>
      </c>
      <c r="C566" s="63">
        <f>8.959 * CHOOSE(CONTROL!$C$22, $C$13, 100%, $E$13)</f>
        <v>8.9589999999999996</v>
      </c>
      <c r="D566" s="63">
        <f>8.9706 * CHOOSE(CONTROL!$C$22, $C$13, 100%, $E$13)</f>
        <v>8.9705999999999992</v>
      </c>
      <c r="E566" s="64">
        <f>10.4206 * CHOOSE(CONTROL!$C$22, $C$13, 100%, $E$13)</f>
        <v>10.4206</v>
      </c>
      <c r="F566" s="64">
        <f>10.4206 * CHOOSE(CONTROL!$C$22, $C$13, 100%, $E$13)</f>
        <v>10.4206</v>
      </c>
      <c r="G566" s="64">
        <f>10.4208 * CHOOSE(CONTROL!$C$22, $C$13, 100%, $E$13)</f>
        <v>10.4208</v>
      </c>
      <c r="H566" s="64">
        <f>17.7057* CHOOSE(CONTROL!$C$22, $C$13, 100%, $E$13)</f>
        <v>17.7057</v>
      </c>
      <c r="I566" s="64">
        <f>17.7059 * CHOOSE(CONTROL!$C$22, $C$13, 100%, $E$13)</f>
        <v>17.7059</v>
      </c>
      <c r="J566" s="64">
        <f>10.4206 * CHOOSE(CONTROL!$C$22, $C$13, 100%, $E$13)</f>
        <v>10.4206</v>
      </c>
      <c r="K566" s="64">
        <f>10.4208 * CHOOSE(CONTROL!$C$22, $C$13, 100%, $E$13)</f>
        <v>10.4208</v>
      </c>
    </row>
    <row r="567" spans="1:11" ht="15">
      <c r="A567" s="13">
        <v>58897</v>
      </c>
      <c r="B567" s="63">
        <f>8.961 * CHOOSE(CONTROL!$C$22, $C$13, 100%, $E$13)</f>
        <v>8.9610000000000003</v>
      </c>
      <c r="C567" s="63">
        <f>8.961 * CHOOSE(CONTROL!$C$22, $C$13, 100%, $E$13)</f>
        <v>8.9610000000000003</v>
      </c>
      <c r="D567" s="63">
        <f>8.9726 * CHOOSE(CONTROL!$C$22, $C$13, 100%, $E$13)</f>
        <v>8.9725999999999999</v>
      </c>
      <c r="E567" s="64">
        <f>10.5131 * CHOOSE(CONTROL!$C$22, $C$13, 100%, $E$13)</f>
        <v>10.5131</v>
      </c>
      <c r="F567" s="64">
        <f>10.5131 * CHOOSE(CONTROL!$C$22, $C$13, 100%, $E$13)</f>
        <v>10.5131</v>
      </c>
      <c r="G567" s="64">
        <f>10.5133 * CHOOSE(CONTROL!$C$22, $C$13, 100%, $E$13)</f>
        <v>10.513299999999999</v>
      </c>
      <c r="H567" s="64">
        <f>17.7426* CHOOSE(CONTROL!$C$22, $C$13, 100%, $E$13)</f>
        <v>17.742599999999999</v>
      </c>
      <c r="I567" s="64">
        <f>17.7428 * CHOOSE(CONTROL!$C$22, $C$13, 100%, $E$13)</f>
        <v>17.742799999999999</v>
      </c>
      <c r="J567" s="64">
        <f>10.5131 * CHOOSE(CONTROL!$C$22, $C$13, 100%, $E$13)</f>
        <v>10.5131</v>
      </c>
      <c r="K567" s="64">
        <f>10.5133 * CHOOSE(CONTROL!$C$22, $C$13, 100%, $E$13)</f>
        <v>10.513299999999999</v>
      </c>
    </row>
    <row r="568" spans="1:11" ht="15">
      <c r="A568" s="13">
        <v>58927</v>
      </c>
      <c r="B568" s="63">
        <f>8.961 * CHOOSE(CONTROL!$C$22, $C$13, 100%, $E$13)</f>
        <v>8.9610000000000003</v>
      </c>
      <c r="C568" s="63">
        <f>8.961 * CHOOSE(CONTROL!$C$22, $C$13, 100%, $E$13)</f>
        <v>8.9610000000000003</v>
      </c>
      <c r="D568" s="63">
        <f>8.9841 * CHOOSE(CONTROL!$C$22, $C$13, 100%, $E$13)</f>
        <v>8.9840999999999998</v>
      </c>
      <c r="E568" s="64">
        <f>10.5493 * CHOOSE(CONTROL!$C$22, $C$13, 100%, $E$13)</f>
        <v>10.549300000000001</v>
      </c>
      <c r="F568" s="64">
        <f>10.5493 * CHOOSE(CONTROL!$C$22, $C$13, 100%, $E$13)</f>
        <v>10.549300000000001</v>
      </c>
      <c r="G568" s="64">
        <f>10.5508 * CHOOSE(CONTROL!$C$22, $C$13, 100%, $E$13)</f>
        <v>10.550800000000001</v>
      </c>
      <c r="H568" s="64">
        <f>17.7796* CHOOSE(CONTROL!$C$22, $C$13, 100%, $E$13)</f>
        <v>17.779599999999999</v>
      </c>
      <c r="I568" s="64">
        <f>17.7811 * CHOOSE(CONTROL!$C$22, $C$13, 100%, $E$13)</f>
        <v>17.781099999999999</v>
      </c>
      <c r="J568" s="64">
        <f>10.5493 * CHOOSE(CONTROL!$C$22, $C$13, 100%, $E$13)</f>
        <v>10.549300000000001</v>
      </c>
      <c r="K568" s="64">
        <f>10.5508 * CHOOSE(CONTROL!$C$22, $C$13, 100%, $E$13)</f>
        <v>10.550800000000001</v>
      </c>
    </row>
    <row r="569" spans="1:11" ht="15">
      <c r="A569" s="13">
        <v>58958</v>
      </c>
      <c r="B569" s="63">
        <f>8.9671 * CHOOSE(CONTROL!$C$22, $C$13, 100%, $E$13)</f>
        <v>8.9671000000000003</v>
      </c>
      <c r="C569" s="63">
        <f>8.9671 * CHOOSE(CONTROL!$C$22, $C$13, 100%, $E$13)</f>
        <v>8.9671000000000003</v>
      </c>
      <c r="D569" s="63">
        <f>8.9902 * CHOOSE(CONTROL!$C$22, $C$13, 100%, $E$13)</f>
        <v>8.9901999999999997</v>
      </c>
      <c r="E569" s="64">
        <f>10.5173 * CHOOSE(CONTROL!$C$22, $C$13, 100%, $E$13)</f>
        <v>10.517300000000001</v>
      </c>
      <c r="F569" s="64">
        <f>10.5173 * CHOOSE(CONTROL!$C$22, $C$13, 100%, $E$13)</f>
        <v>10.517300000000001</v>
      </c>
      <c r="G569" s="64">
        <f>10.5188 * CHOOSE(CONTROL!$C$22, $C$13, 100%, $E$13)</f>
        <v>10.518800000000001</v>
      </c>
      <c r="H569" s="64">
        <f>17.8166* CHOOSE(CONTROL!$C$22, $C$13, 100%, $E$13)</f>
        <v>17.816600000000001</v>
      </c>
      <c r="I569" s="64">
        <f>17.8181 * CHOOSE(CONTROL!$C$22, $C$13, 100%, $E$13)</f>
        <v>17.818100000000001</v>
      </c>
      <c r="J569" s="64">
        <f>10.5173 * CHOOSE(CONTROL!$C$22, $C$13, 100%, $E$13)</f>
        <v>10.517300000000001</v>
      </c>
      <c r="K569" s="64">
        <f>10.5188 * CHOOSE(CONTROL!$C$22, $C$13, 100%, $E$13)</f>
        <v>10.518800000000001</v>
      </c>
    </row>
    <row r="570" spans="1:11" ht="15">
      <c r="A570" s="13">
        <v>58988</v>
      </c>
      <c r="B570" s="63">
        <f>9.1113 * CHOOSE(CONTROL!$C$22, $C$13, 100%, $E$13)</f>
        <v>9.1113</v>
      </c>
      <c r="C570" s="63">
        <f>9.1113 * CHOOSE(CONTROL!$C$22, $C$13, 100%, $E$13)</f>
        <v>9.1113</v>
      </c>
      <c r="D570" s="63">
        <f>9.1344 * CHOOSE(CONTROL!$C$22, $C$13, 100%, $E$13)</f>
        <v>9.1343999999999994</v>
      </c>
      <c r="E570" s="64">
        <f>10.7213 * CHOOSE(CONTROL!$C$22, $C$13, 100%, $E$13)</f>
        <v>10.721299999999999</v>
      </c>
      <c r="F570" s="64">
        <f>10.7213 * CHOOSE(CONTROL!$C$22, $C$13, 100%, $E$13)</f>
        <v>10.721299999999999</v>
      </c>
      <c r="G570" s="64">
        <f>10.7228 * CHOOSE(CONTROL!$C$22, $C$13, 100%, $E$13)</f>
        <v>10.722799999999999</v>
      </c>
      <c r="H570" s="64">
        <f>17.8538* CHOOSE(CONTROL!$C$22, $C$13, 100%, $E$13)</f>
        <v>17.8538</v>
      </c>
      <c r="I570" s="64">
        <f>17.8552 * CHOOSE(CONTROL!$C$22, $C$13, 100%, $E$13)</f>
        <v>17.8552</v>
      </c>
      <c r="J570" s="64">
        <f>10.7213 * CHOOSE(CONTROL!$C$22, $C$13, 100%, $E$13)</f>
        <v>10.721299999999999</v>
      </c>
      <c r="K570" s="64">
        <f>10.7228 * CHOOSE(CONTROL!$C$22, $C$13, 100%, $E$13)</f>
        <v>10.722799999999999</v>
      </c>
    </row>
    <row r="571" spans="1:11" ht="15">
      <c r="A571" s="13">
        <v>59019</v>
      </c>
      <c r="B571" s="63">
        <f>9.118 * CHOOSE(CONTROL!$C$22, $C$13, 100%, $E$13)</f>
        <v>9.1180000000000003</v>
      </c>
      <c r="C571" s="63">
        <f>9.118 * CHOOSE(CONTROL!$C$22, $C$13, 100%, $E$13)</f>
        <v>9.1180000000000003</v>
      </c>
      <c r="D571" s="63">
        <f>9.1411 * CHOOSE(CONTROL!$C$22, $C$13, 100%, $E$13)</f>
        <v>9.1410999999999998</v>
      </c>
      <c r="E571" s="64">
        <f>10.6171 * CHOOSE(CONTROL!$C$22, $C$13, 100%, $E$13)</f>
        <v>10.617100000000001</v>
      </c>
      <c r="F571" s="64">
        <f>10.6171 * CHOOSE(CONTROL!$C$22, $C$13, 100%, $E$13)</f>
        <v>10.617100000000001</v>
      </c>
      <c r="G571" s="64">
        <f>10.6186 * CHOOSE(CONTROL!$C$22, $C$13, 100%, $E$13)</f>
        <v>10.618600000000001</v>
      </c>
      <c r="H571" s="64">
        <f>17.8909* CHOOSE(CONTROL!$C$22, $C$13, 100%, $E$13)</f>
        <v>17.890899999999998</v>
      </c>
      <c r="I571" s="64">
        <f>17.8924 * CHOOSE(CONTROL!$C$22, $C$13, 100%, $E$13)</f>
        <v>17.892399999999999</v>
      </c>
      <c r="J571" s="64">
        <f>10.6171 * CHOOSE(CONTROL!$C$22, $C$13, 100%, $E$13)</f>
        <v>10.617100000000001</v>
      </c>
      <c r="K571" s="64">
        <f>10.6186 * CHOOSE(CONTROL!$C$22, $C$13, 100%, $E$13)</f>
        <v>10.618600000000001</v>
      </c>
    </row>
    <row r="572" spans="1:11" ht="15">
      <c r="A572" s="13">
        <v>59050</v>
      </c>
      <c r="B572" s="63">
        <f>9.1149 * CHOOSE(CONTROL!$C$22, $C$13, 100%, $E$13)</f>
        <v>9.1149000000000004</v>
      </c>
      <c r="C572" s="63">
        <f>9.1149 * CHOOSE(CONTROL!$C$22, $C$13, 100%, $E$13)</f>
        <v>9.1149000000000004</v>
      </c>
      <c r="D572" s="63">
        <f>9.138 * CHOOSE(CONTROL!$C$22, $C$13, 100%, $E$13)</f>
        <v>9.1379999999999999</v>
      </c>
      <c r="E572" s="64">
        <f>10.6029 * CHOOSE(CONTROL!$C$22, $C$13, 100%, $E$13)</f>
        <v>10.6029</v>
      </c>
      <c r="F572" s="64">
        <f>10.6029 * CHOOSE(CONTROL!$C$22, $C$13, 100%, $E$13)</f>
        <v>10.6029</v>
      </c>
      <c r="G572" s="64">
        <f>10.6044 * CHOOSE(CONTROL!$C$22, $C$13, 100%, $E$13)</f>
        <v>10.6044</v>
      </c>
      <c r="H572" s="64">
        <f>17.9282* CHOOSE(CONTROL!$C$22, $C$13, 100%, $E$13)</f>
        <v>17.9282</v>
      </c>
      <c r="I572" s="64">
        <f>17.9297 * CHOOSE(CONTROL!$C$22, $C$13, 100%, $E$13)</f>
        <v>17.9297</v>
      </c>
      <c r="J572" s="64">
        <f>10.6029 * CHOOSE(CONTROL!$C$22, $C$13, 100%, $E$13)</f>
        <v>10.6029</v>
      </c>
      <c r="K572" s="64">
        <f>10.6044 * CHOOSE(CONTROL!$C$22, $C$13, 100%, $E$13)</f>
        <v>10.6044</v>
      </c>
    </row>
    <row r="573" spans="1:11" ht="15">
      <c r="A573" s="13">
        <v>59080</v>
      </c>
      <c r="B573" s="63">
        <f>9.1271 * CHOOSE(CONTROL!$C$22, $C$13, 100%, $E$13)</f>
        <v>9.1271000000000004</v>
      </c>
      <c r="C573" s="63">
        <f>9.1271 * CHOOSE(CONTROL!$C$22, $C$13, 100%, $E$13)</f>
        <v>9.1271000000000004</v>
      </c>
      <c r="D573" s="63">
        <f>9.1387 * CHOOSE(CONTROL!$C$22, $C$13, 100%, $E$13)</f>
        <v>9.1387</v>
      </c>
      <c r="E573" s="64">
        <f>10.6379 * CHOOSE(CONTROL!$C$22, $C$13, 100%, $E$13)</f>
        <v>10.6379</v>
      </c>
      <c r="F573" s="64">
        <f>10.6379 * CHOOSE(CONTROL!$C$22, $C$13, 100%, $E$13)</f>
        <v>10.6379</v>
      </c>
      <c r="G573" s="64">
        <f>10.638 * CHOOSE(CONTROL!$C$22, $C$13, 100%, $E$13)</f>
        <v>10.638</v>
      </c>
      <c r="H573" s="64">
        <f>17.9656* CHOOSE(CONTROL!$C$22, $C$13, 100%, $E$13)</f>
        <v>17.965599999999998</v>
      </c>
      <c r="I573" s="64">
        <f>17.9657 * CHOOSE(CONTROL!$C$22, $C$13, 100%, $E$13)</f>
        <v>17.965699999999998</v>
      </c>
      <c r="J573" s="64">
        <f>10.6379 * CHOOSE(CONTROL!$C$22, $C$13, 100%, $E$13)</f>
        <v>10.6379</v>
      </c>
      <c r="K573" s="64">
        <f>10.638 * CHOOSE(CONTROL!$C$22, $C$13, 100%, $E$13)</f>
        <v>10.638</v>
      </c>
    </row>
    <row r="574" spans="1:11" ht="15">
      <c r="A574" s="13">
        <v>59111</v>
      </c>
      <c r="B574" s="63">
        <f>9.1301 * CHOOSE(CONTROL!$C$22, $C$13, 100%, $E$13)</f>
        <v>9.1301000000000005</v>
      </c>
      <c r="C574" s="63">
        <f>9.1301 * CHOOSE(CONTROL!$C$22, $C$13, 100%, $E$13)</f>
        <v>9.1301000000000005</v>
      </c>
      <c r="D574" s="63">
        <f>9.1417 * CHOOSE(CONTROL!$C$22, $C$13, 100%, $E$13)</f>
        <v>9.1417000000000002</v>
      </c>
      <c r="E574" s="64">
        <f>10.6642 * CHOOSE(CONTROL!$C$22, $C$13, 100%, $E$13)</f>
        <v>10.664199999999999</v>
      </c>
      <c r="F574" s="64">
        <f>10.6642 * CHOOSE(CONTROL!$C$22, $C$13, 100%, $E$13)</f>
        <v>10.664199999999999</v>
      </c>
      <c r="G574" s="64">
        <f>10.6643 * CHOOSE(CONTROL!$C$22, $C$13, 100%, $E$13)</f>
        <v>10.664300000000001</v>
      </c>
      <c r="H574" s="64">
        <f>18.003* CHOOSE(CONTROL!$C$22, $C$13, 100%, $E$13)</f>
        <v>18.003</v>
      </c>
      <c r="I574" s="64">
        <f>18.0032 * CHOOSE(CONTROL!$C$22, $C$13, 100%, $E$13)</f>
        <v>18.0032</v>
      </c>
      <c r="J574" s="64">
        <f>10.6642 * CHOOSE(CONTROL!$C$22, $C$13, 100%, $E$13)</f>
        <v>10.664199999999999</v>
      </c>
      <c r="K574" s="64">
        <f>10.6643 * CHOOSE(CONTROL!$C$22, $C$13, 100%, $E$13)</f>
        <v>10.664300000000001</v>
      </c>
    </row>
    <row r="575" spans="1:11" ht="15">
      <c r="A575" s="13">
        <v>59141</v>
      </c>
      <c r="B575" s="63">
        <f>9.1301 * CHOOSE(CONTROL!$C$22, $C$13, 100%, $E$13)</f>
        <v>9.1301000000000005</v>
      </c>
      <c r="C575" s="63">
        <f>9.1301 * CHOOSE(CONTROL!$C$22, $C$13, 100%, $E$13)</f>
        <v>9.1301000000000005</v>
      </c>
      <c r="D575" s="63">
        <f>9.1417 * CHOOSE(CONTROL!$C$22, $C$13, 100%, $E$13)</f>
        <v>9.1417000000000002</v>
      </c>
      <c r="E575" s="64">
        <f>10.6037 * CHOOSE(CONTROL!$C$22, $C$13, 100%, $E$13)</f>
        <v>10.6037</v>
      </c>
      <c r="F575" s="64">
        <f>10.6037 * CHOOSE(CONTROL!$C$22, $C$13, 100%, $E$13)</f>
        <v>10.6037</v>
      </c>
      <c r="G575" s="64">
        <f>10.6039 * CHOOSE(CONTROL!$C$22, $C$13, 100%, $E$13)</f>
        <v>10.603899999999999</v>
      </c>
      <c r="H575" s="64">
        <f>18.0405* CHOOSE(CONTROL!$C$22, $C$13, 100%, $E$13)</f>
        <v>18.040500000000002</v>
      </c>
      <c r="I575" s="64">
        <f>18.0407 * CHOOSE(CONTROL!$C$22, $C$13, 100%, $E$13)</f>
        <v>18.040700000000001</v>
      </c>
      <c r="J575" s="64">
        <f>10.6037 * CHOOSE(CONTROL!$C$22, $C$13, 100%, $E$13)</f>
        <v>10.6037</v>
      </c>
      <c r="K575" s="64">
        <f>10.6039 * CHOOSE(CONTROL!$C$22, $C$13, 100%, $E$13)</f>
        <v>10.603899999999999</v>
      </c>
    </row>
    <row r="576" spans="1:11" ht="15">
      <c r="A576" s="13">
        <v>59172</v>
      </c>
      <c r="B576" s="63">
        <f>9.2104 * CHOOSE(CONTROL!$C$22, $C$13, 100%, $E$13)</f>
        <v>9.2103999999999999</v>
      </c>
      <c r="C576" s="63">
        <f>9.2104 * CHOOSE(CONTROL!$C$22, $C$13, 100%, $E$13)</f>
        <v>9.2103999999999999</v>
      </c>
      <c r="D576" s="63">
        <f>9.222 * CHOOSE(CONTROL!$C$22, $C$13, 100%, $E$13)</f>
        <v>9.2219999999999995</v>
      </c>
      <c r="E576" s="64">
        <f>10.7414 * CHOOSE(CONTROL!$C$22, $C$13, 100%, $E$13)</f>
        <v>10.741400000000001</v>
      </c>
      <c r="F576" s="64">
        <f>10.7414 * CHOOSE(CONTROL!$C$22, $C$13, 100%, $E$13)</f>
        <v>10.741400000000001</v>
      </c>
      <c r="G576" s="64">
        <f>10.7416 * CHOOSE(CONTROL!$C$22, $C$13, 100%, $E$13)</f>
        <v>10.7416</v>
      </c>
      <c r="H576" s="64">
        <f>18.0781* CHOOSE(CONTROL!$C$22, $C$13, 100%, $E$13)</f>
        <v>18.078099999999999</v>
      </c>
      <c r="I576" s="64">
        <f>18.0783 * CHOOSE(CONTROL!$C$22, $C$13, 100%, $E$13)</f>
        <v>18.078299999999999</v>
      </c>
      <c r="J576" s="64">
        <f>10.7414 * CHOOSE(CONTROL!$C$22, $C$13, 100%, $E$13)</f>
        <v>10.741400000000001</v>
      </c>
      <c r="K576" s="64">
        <f>10.7416 * CHOOSE(CONTROL!$C$22, $C$13, 100%, $E$13)</f>
        <v>10.7416</v>
      </c>
    </row>
    <row r="577" spans="1:11" ht="15">
      <c r="A577" s="13">
        <v>59203</v>
      </c>
      <c r="B577" s="63">
        <f>9.2074 * CHOOSE(CONTROL!$C$22, $C$13, 100%, $E$13)</f>
        <v>9.2073999999999998</v>
      </c>
      <c r="C577" s="63">
        <f>9.2074 * CHOOSE(CONTROL!$C$22, $C$13, 100%, $E$13)</f>
        <v>9.2073999999999998</v>
      </c>
      <c r="D577" s="63">
        <f>9.2189 * CHOOSE(CONTROL!$C$22, $C$13, 100%, $E$13)</f>
        <v>9.2188999999999997</v>
      </c>
      <c r="E577" s="64">
        <f>10.6219 * CHOOSE(CONTROL!$C$22, $C$13, 100%, $E$13)</f>
        <v>10.6219</v>
      </c>
      <c r="F577" s="64">
        <f>10.6219 * CHOOSE(CONTROL!$C$22, $C$13, 100%, $E$13)</f>
        <v>10.6219</v>
      </c>
      <c r="G577" s="64">
        <f>10.6221 * CHOOSE(CONTROL!$C$22, $C$13, 100%, $E$13)</f>
        <v>10.6221</v>
      </c>
      <c r="H577" s="64">
        <f>18.1158* CHOOSE(CONTROL!$C$22, $C$13, 100%, $E$13)</f>
        <v>18.1158</v>
      </c>
      <c r="I577" s="64">
        <f>18.1159 * CHOOSE(CONTROL!$C$22, $C$13, 100%, $E$13)</f>
        <v>18.1159</v>
      </c>
      <c r="J577" s="64">
        <f>10.6219 * CHOOSE(CONTROL!$C$22, $C$13, 100%, $E$13)</f>
        <v>10.6219</v>
      </c>
      <c r="K577" s="64">
        <f>10.6221 * CHOOSE(CONTROL!$C$22, $C$13, 100%, $E$13)</f>
        <v>10.6221</v>
      </c>
    </row>
    <row r="578" spans="1:11" ht="15">
      <c r="A578" s="13">
        <v>59231</v>
      </c>
      <c r="B578" s="63">
        <f>9.2043 * CHOOSE(CONTROL!$C$22, $C$13, 100%, $E$13)</f>
        <v>9.2042999999999999</v>
      </c>
      <c r="C578" s="63">
        <f>9.2043 * CHOOSE(CONTROL!$C$22, $C$13, 100%, $E$13)</f>
        <v>9.2042999999999999</v>
      </c>
      <c r="D578" s="63">
        <f>9.2159 * CHOOSE(CONTROL!$C$22, $C$13, 100%, $E$13)</f>
        <v>9.2158999999999995</v>
      </c>
      <c r="E578" s="64">
        <f>10.7123 * CHOOSE(CONTROL!$C$22, $C$13, 100%, $E$13)</f>
        <v>10.712300000000001</v>
      </c>
      <c r="F578" s="64">
        <f>10.7123 * CHOOSE(CONTROL!$C$22, $C$13, 100%, $E$13)</f>
        <v>10.712300000000001</v>
      </c>
      <c r="G578" s="64">
        <f>10.7125 * CHOOSE(CONTROL!$C$22, $C$13, 100%, $E$13)</f>
        <v>10.7125</v>
      </c>
      <c r="H578" s="64">
        <f>18.1535* CHOOSE(CONTROL!$C$22, $C$13, 100%, $E$13)</f>
        <v>18.153500000000001</v>
      </c>
      <c r="I578" s="64">
        <f>18.1537 * CHOOSE(CONTROL!$C$22, $C$13, 100%, $E$13)</f>
        <v>18.153700000000001</v>
      </c>
      <c r="J578" s="64">
        <f>10.7123 * CHOOSE(CONTROL!$C$22, $C$13, 100%, $E$13)</f>
        <v>10.712300000000001</v>
      </c>
      <c r="K578" s="64">
        <f>10.7125 * CHOOSE(CONTROL!$C$22, $C$13, 100%, $E$13)</f>
        <v>10.7125</v>
      </c>
    </row>
    <row r="579" spans="1:11" ht="15">
      <c r="A579" s="13">
        <v>59262</v>
      </c>
      <c r="B579" s="63">
        <f>9.2065 * CHOOSE(CONTROL!$C$22, $C$13, 100%, $E$13)</f>
        <v>9.2065000000000001</v>
      </c>
      <c r="C579" s="63">
        <f>9.2065 * CHOOSE(CONTROL!$C$22, $C$13, 100%, $E$13)</f>
        <v>9.2065000000000001</v>
      </c>
      <c r="D579" s="63">
        <f>9.2181 * CHOOSE(CONTROL!$C$22, $C$13, 100%, $E$13)</f>
        <v>9.2180999999999997</v>
      </c>
      <c r="E579" s="64">
        <f>10.8075 * CHOOSE(CONTROL!$C$22, $C$13, 100%, $E$13)</f>
        <v>10.807499999999999</v>
      </c>
      <c r="F579" s="64">
        <f>10.8075 * CHOOSE(CONTROL!$C$22, $C$13, 100%, $E$13)</f>
        <v>10.807499999999999</v>
      </c>
      <c r="G579" s="64">
        <f>10.8077 * CHOOSE(CONTROL!$C$22, $C$13, 100%, $E$13)</f>
        <v>10.807700000000001</v>
      </c>
      <c r="H579" s="64">
        <f>18.1913* CHOOSE(CONTROL!$C$22, $C$13, 100%, $E$13)</f>
        <v>18.191299999999998</v>
      </c>
      <c r="I579" s="64">
        <f>18.1915 * CHOOSE(CONTROL!$C$22, $C$13, 100%, $E$13)</f>
        <v>18.191500000000001</v>
      </c>
      <c r="J579" s="64">
        <f>10.8075 * CHOOSE(CONTROL!$C$22, $C$13, 100%, $E$13)</f>
        <v>10.807499999999999</v>
      </c>
      <c r="K579" s="64">
        <f>10.8077 * CHOOSE(CONTROL!$C$22, $C$13, 100%, $E$13)</f>
        <v>10.807700000000001</v>
      </c>
    </row>
    <row r="580" spans="1:11" ht="15">
      <c r="A580" s="13">
        <v>59292</v>
      </c>
      <c r="B580" s="63">
        <f>9.2065 * CHOOSE(CONTROL!$C$22, $C$13, 100%, $E$13)</f>
        <v>9.2065000000000001</v>
      </c>
      <c r="C580" s="63">
        <f>9.2065 * CHOOSE(CONTROL!$C$22, $C$13, 100%, $E$13)</f>
        <v>9.2065000000000001</v>
      </c>
      <c r="D580" s="63">
        <f>9.2296 * CHOOSE(CONTROL!$C$22, $C$13, 100%, $E$13)</f>
        <v>9.2295999999999996</v>
      </c>
      <c r="E580" s="64">
        <f>10.8448 * CHOOSE(CONTROL!$C$22, $C$13, 100%, $E$13)</f>
        <v>10.844799999999999</v>
      </c>
      <c r="F580" s="64">
        <f>10.8448 * CHOOSE(CONTROL!$C$22, $C$13, 100%, $E$13)</f>
        <v>10.844799999999999</v>
      </c>
      <c r="G580" s="64">
        <f>10.8463 * CHOOSE(CONTROL!$C$22, $C$13, 100%, $E$13)</f>
        <v>10.846299999999999</v>
      </c>
      <c r="H580" s="64">
        <f>18.2292* CHOOSE(CONTROL!$C$22, $C$13, 100%, $E$13)</f>
        <v>18.229199999999999</v>
      </c>
      <c r="I580" s="64">
        <f>18.2307 * CHOOSE(CONTROL!$C$22, $C$13, 100%, $E$13)</f>
        <v>18.230699999999999</v>
      </c>
      <c r="J580" s="64">
        <f>10.8448 * CHOOSE(CONTROL!$C$22, $C$13, 100%, $E$13)</f>
        <v>10.844799999999999</v>
      </c>
      <c r="K580" s="64">
        <f>10.8463 * CHOOSE(CONTROL!$C$22, $C$13, 100%, $E$13)</f>
        <v>10.846299999999999</v>
      </c>
    </row>
    <row r="581" spans="1:11" ht="15">
      <c r="A581" s="13">
        <v>59323</v>
      </c>
      <c r="B581" s="63">
        <f>9.2126 * CHOOSE(CONTROL!$C$22, $C$13, 100%, $E$13)</f>
        <v>9.2126000000000001</v>
      </c>
      <c r="C581" s="63">
        <f>9.2126 * CHOOSE(CONTROL!$C$22, $C$13, 100%, $E$13)</f>
        <v>9.2126000000000001</v>
      </c>
      <c r="D581" s="63">
        <f>9.2357 * CHOOSE(CONTROL!$C$22, $C$13, 100%, $E$13)</f>
        <v>9.2356999999999996</v>
      </c>
      <c r="E581" s="64">
        <f>10.8118 * CHOOSE(CONTROL!$C$22, $C$13, 100%, $E$13)</f>
        <v>10.8118</v>
      </c>
      <c r="F581" s="64">
        <f>10.8118 * CHOOSE(CONTROL!$C$22, $C$13, 100%, $E$13)</f>
        <v>10.8118</v>
      </c>
      <c r="G581" s="64">
        <f>10.8133 * CHOOSE(CONTROL!$C$22, $C$13, 100%, $E$13)</f>
        <v>10.8133</v>
      </c>
      <c r="H581" s="64">
        <f>18.2672* CHOOSE(CONTROL!$C$22, $C$13, 100%, $E$13)</f>
        <v>18.267199999999999</v>
      </c>
      <c r="I581" s="64">
        <f>18.2687 * CHOOSE(CONTROL!$C$22, $C$13, 100%, $E$13)</f>
        <v>18.268699999999999</v>
      </c>
      <c r="J581" s="64">
        <f>10.8118 * CHOOSE(CONTROL!$C$22, $C$13, 100%, $E$13)</f>
        <v>10.8118</v>
      </c>
      <c r="K581" s="64">
        <f>10.8133 * CHOOSE(CONTROL!$C$22, $C$13, 100%, $E$13)</f>
        <v>10.8133</v>
      </c>
    </row>
    <row r="582" spans="1:11" ht="15">
      <c r="A582" s="13">
        <v>59353</v>
      </c>
      <c r="B582" s="63">
        <f>9.3605 * CHOOSE(CONTROL!$C$22, $C$13, 100%, $E$13)</f>
        <v>9.3605</v>
      </c>
      <c r="C582" s="63">
        <f>9.3605 * CHOOSE(CONTROL!$C$22, $C$13, 100%, $E$13)</f>
        <v>9.3605</v>
      </c>
      <c r="D582" s="63">
        <f>9.3836 * CHOOSE(CONTROL!$C$22, $C$13, 100%, $E$13)</f>
        <v>9.3835999999999995</v>
      </c>
      <c r="E582" s="64">
        <f>11.0212 * CHOOSE(CONTROL!$C$22, $C$13, 100%, $E$13)</f>
        <v>11.0212</v>
      </c>
      <c r="F582" s="64">
        <f>11.0212 * CHOOSE(CONTROL!$C$22, $C$13, 100%, $E$13)</f>
        <v>11.0212</v>
      </c>
      <c r="G582" s="64">
        <f>11.0226 * CHOOSE(CONTROL!$C$22, $C$13, 100%, $E$13)</f>
        <v>11.022600000000001</v>
      </c>
      <c r="H582" s="64">
        <f>18.3052* CHOOSE(CONTROL!$C$22, $C$13, 100%, $E$13)</f>
        <v>18.305199999999999</v>
      </c>
      <c r="I582" s="64">
        <f>18.3067 * CHOOSE(CONTROL!$C$22, $C$13, 100%, $E$13)</f>
        <v>18.306699999999999</v>
      </c>
      <c r="J582" s="64">
        <f>11.0212 * CHOOSE(CONTROL!$C$22, $C$13, 100%, $E$13)</f>
        <v>11.0212</v>
      </c>
      <c r="K582" s="64">
        <f>11.0226 * CHOOSE(CONTROL!$C$22, $C$13, 100%, $E$13)</f>
        <v>11.022600000000001</v>
      </c>
    </row>
    <row r="583" spans="1:11" ht="15">
      <c r="A583" s="13">
        <v>59384</v>
      </c>
      <c r="B583" s="63">
        <f>9.3672 * CHOOSE(CONTROL!$C$22, $C$13, 100%, $E$13)</f>
        <v>9.3672000000000004</v>
      </c>
      <c r="C583" s="63">
        <f>9.3672 * CHOOSE(CONTROL!$C$22, $C$13, 100%, $E$13)</f>
        <v>9.3672000000000004</v>
      </c>
      <c r="D583" s="63">
        <f>9.3903 * CHOOSE(CONTROL!$C$22, $C$13, 100%, $E$13)</f>
        <v>9.3902999999999999</v>
      </c>
      <c r="E583" s="64">
        <f>10.914 * CHOOSE(CONTROL!$C$22, $C$13, 100%, $E$13)</f>
        <v>10.914</v>
      </c>
      <c r="F583" s="64">
        <f>10.914 * CHOOSE(CONTROL!$C$22, $C$13, 100%, $E$13)</f>
        <v>10.914</v>
      </c>
      <c r="G583" s="64">
        <f>10.9155 * CHOOSE(CONTROL!$C$22, $C$13, 100%, $E$13)</f>
        <v>10.9155</v>
      </c>
      <c r="H583" s="64">
        <f>18.3434* CHOOSE(CONTROL!$C$22, $C$13, 100%, $E$13)</f>
        <v>18.343399999999999</v>
      </c>
      <c r="I583" s="64">
        <f>18.3449 * CHOOSE(CONTROL!$C$22, $C$13, 100%, $E$13)</f>
        <v>18.344899999999999</v>
      </c>
      <c r="J583" s="64">
        <f>10.914 * CHOOSE(CONTROL!$C$22, $C$13, 100%, $E$13)</f>
        <v>10.914</v>
      </c>
      <c r="K583" s="64">
        <f>10.9155 * CHOOSE(CONTROL!$C$22, $C$13, 100%, $E$13)</f>
        <v>10.9155</v>
      </c>
    </row>
    <row r="584" spans="1:11" ht="15">
      <c r="A584" s="13">
        <v>59415</v>
      </c>
      <c r="B584" s="63">
        <f>9.3641 * CHOOSE(CONTROL!$C$22, $C$13, 100%, $E$13)</f>
        <v>9.3641000000000005</v>
      </c>
      <c r="C584" s="63">
        <f>9.3641 * CHOOSE(CONTROL!$C$22, $C$13, 100%, $E$13)</f>
        <v>9.3641000000000005</v>
      </c>
      <c r="D584" s="63">
        <f>9.3872 * CHOOSE(CONTROL!$C$22, $C$13, 100%, $E$13)</f>
        <v>9.3872</v>
      </c>
      <c r="E584" s="64">
        <f>10.8994 * CHOOSE(CONTROL!$C$22, $C$13, 100%, $E$13)</f>
        <v>10.8994</v>
      </c>
      <c r="F584" s="64">
        <f>10.8994 * CHOOSE(CONTROL!$C$22, $C$13, 100%, $E$13)</f>
        <v>10.8994</v>
      </c>
      <c r="G584" s="64">
        <f>10.9009 * CHOOSE(CONTROL!$C$22, $C$13, 100%, $E$13)</f>
        <v>10.9009</v>
      </c>
      <c r="H584" s="64">
        <f>18.3816* CHOOSE(CONTROL!$C$22, $C$13, 100%, $E$13)</f>
        <v>18.381599999999999</v>
      </c>
      <c r="I584" s="64">
        <f>18.3831 * CHOOSE(CONTROL!$C$22, $C$13, 100%, $E$13)</f>
        <v>18.383099999999999</v>
      </c>
      <c r="J584" s="64">
        <f>10.8994 * CHOOSE(CONTROL!$C$22, $C$13, 100%, $E$13)</f>
        <v>10.8994</v>
      </c>
      <c r="K584" s="64">
        <f>10.9009 * CHOOSE(CONTROL!$C$22, $C$13, 100%, $E$13)</f>
        <v>10.9009</v>
      </c>
    </row>
    <row r="585" spans="1:11" ht="15">
      <c r="A585" s="13">
        <v>59445</v>
      </c>
      <c r="B585" s="63">
        <f>9.3771 * CHOOSE(CONTROL!$C$22, $C$13, 100%, $E$13)</f>
        <v>9.3771000000000004</v>
      </c>
      <c r="C585" s="63">
        <f>9.3771 * CHOOSE(CONTROL!$C$22, $C$13, 100%, $E$13)</f>
        <v>9.3771000000000004</v>
      </c>
      <c r="D585" s="63">
        <f>9.3887 * CHOOSE(CONTROL!$C$22, $C$13, 100%, $E$13)</f>
        <v>9.3887</v>
      </c>
      <c r="E585" s="64">
        <f>10.9357 * CHOOSE(CONTROL!$C$22, $C$13, 100%, $E$13)</f>
        <v>10.935700000000001</v>
      </c>
      <c r="F585" s="64">
        <f>10.9357 * CHOOSE(CONTROL!$C$22, $C$13, 100%, $E$13)</f>
        <v>10.935700000000001</v>
      </c>
      <c r="G585" s="64">
        <f>10.9359 * CHOOSE(CONTROL!$C$22, $C$13, 100%, $E$13)</f>
        <v>10.9359</v>
      </c>
      <c r="H585" s="64">
        <f>18.4199* CHOOSE(CONTROL!$C$22, $C$13, 100%, $E$13)</f>
        <v>18.419899999999998</v>
      </c>
      <c r="I585" s="64">
        <f>18.4201 * CHOOSE(CONTROL!$C$22, $C$13, 100%, $E$13)</f>
        <v>18.420100000000001</v>
      </c>
      <c r="J585" s="64">
        <f>10.9357 * CHOOSE(CONTROL!$C$22, $C$13, 100%, $E$13)</f>
        <v>10.935700000000001</v>
      </c>
      <c r="K585" s="64">
        <f>10.9359 * CHOOSE(CONTROL!$C$22, $C$13, 100%, $E$13)</f>
        <v>10.9359</v>
      </c>
    </row>
    <row r="586" spans="1:11" ht="15">
      <c r="A586" s="13">
        <v>59476</v>
      </c>
      <c r="B586" s="63">
        <f>9.3802 * CHOOSE(CONTROL!$C$22, $C$13, 100%, $E$13)</f>
        <v>9.3802000000000003</v>
      </c>
      <c r="C586" s="63">
        <f>9.3802 * CHOOSE(CONTROL!$C$22, $C$13, 100%, $E$13)</f>
        <v>9.3802000000000003</v>
      </c>
      <c r="D586" s="63">
        <f>9.3917 * CHOOSE(CONTROL!$C$22, $C$13, 100%, $E$13)</f>
        <v>9.3917000000000002</v>
      </c>
      <c r="E586" s="64">
        <f>10.9627 * CHOOSE(CONTROL!$C$22, $C$13, 100%, $E$13)</f>
        <v>10.9627</v>
      </c>
      <c r="F586" s="64">
        <f>10.9627 * CHOOSE(CONTROL!$C$22, $C$13, 100%, $E$13)</f>
        <v>10.9627</v>
      </c>
      <c r="G586" s="64">
        <f>10.9629 * CHOOSE(CONTROL!$C$22, $C$13, 100%, $E$13)</f>
        <v>10.962899999999999</v>
      </c>
      <c r="H586" s="64">
        <f>18.4583* CHOOSE(CONTROL!$C$22, $C$13, 100%, $E$13)</f>
        <v>18.458300000000001</v>
      </c>
      <c r="I586" s="64">
        <f>18.4584 * CHOOSE(CONTROL!$C$22, $C$13, 100%, $E$13)</f>
        <v>18.458400000000001</v>
      </c>
      <c r="J586" s="64">
        <f>10.9627 * CHOOSE(CONTROL!$C$22, $C$13, 100%, $E$13)</f>
        <v>10.9627</v>
      </c>
      <c r="K586" s="64">
        <f>10.9629 * CHOOSE(CONTROL!$C$22, $C$13, 100%, $E$13)</f>
        <v>10.962899999999999</v>
      </c>
    </row>
    <row r="587" spans="1:11" ht="15">
      <c r="A587" s="13">
        <v>59506</v>
      </c>
      <c r="B587" s="63">
        <f>9.3802 * CHOOSE(CONTROL!$C$22, $C$13, 100%, $E$13)</f>
        <v>9.3802000000000003</v>
      </c>
      <c r="C587" s="63">
        <f>9.3802 * CHOOSE(CONTROL!$C$22, $C$13, 100%, $E$13)</f>
        <v>9.3802000000000003</v>
      </c>
      <c r="D587" s="63">
        <f>9.3917 * CHOOSE(CONTROL!$C$22, $C$13, 100%, $E$13)</f>
        <v>9.3917000000000002</v>
      </c>
      <c r="E587" s="64">
        <f>10.9005 * CHOOSE(CONTROL!$C$22, $C$13, 100%, $E$13)</f>
        <v>10.900499999999999</v>
      </c>
      <c r="F587" s="64">
        <f>10.9005 * CHOOSE(CONTROL!$C$22, $C$13, 100%, $E$13)</f>
        <v>10.900499999999999</v>
      </c>
      <c r="G587" s="64">
        <f>10.9007 * CHOOSE(CONTROL!$C$22, $C$13, 100%, $E$13)</f>
        <v>10.900700000000001</v>
      </c>
      <c r="H587" s="64">
        <f>18.4967* CHOOSE(CONTROL!$C$22, $C$13, 100%, $E$13)</f>
        <v>18.496700000000001</v>
      </c>
      <c r="I587" s="64">
        <f>18.4969 * CHOOSE(CONTROL!$C$22, $C$13, 100%, $E$13)</f>
        <v>18.4969</v>
      </c>
      <c r="J587" s="64">
        <f>10.9005 * CHOOSE(CONTROL!$C$22, $C$13, 100%, $E$13)</f>
        <v>10.900499999999999</v>
      </c>
      <c r="K587" s="64">
        <f>10.9007 * CHOOSE(CONTROL!$C$22, $C$13, 100%, $E$13)</f>
        <v>10.900700000000001</v>
      </c>
    </row>
    <row r="588" spans="1:11" ht="15">
      <c r="A588" s="13">
        <v>59537</v>
      </c>
      <c r="B588" s="63">
        <f>9.4557 * CHOOSE(CONTROL!$C$22, $C$13, 100%, $E$13)</f>
        <v>9.4557000000000002</v>
      </c>
      <c r="C588" s="63">
        <f>9.4557 * CHOOSE(CONTROL!$C$22, $C$13, 100%, $E$13)</f>
        <v>9.4557000000000002</v>
      </c>
      <c r="D588" s="63">
        <f>9.4673 * CHOOSE(CONTROL!$C$22, $C$13, 100%, $E$13)</f>
        <v>9.4672999999999998</v>
      </c>
      <c r="E588" s="64">
        <f>11.0338 * CHOOSE(CONTROL!$C$22, $C$13, 100%, $E$13)</f>
        <v>11.033799999999999</v>
      </c>
      <c r="F588" s="64">
        <f>11.0338 * CHOOSE(CONTROL!$C$22, $C$13, 100%, $E$13)</f>
        <v>11.033799999999999</v>
      </c>
      <c r="G588" s="64">
        <f>11.034 * CHOOSE(CONTROL!$C$22, $C$13, 100%, $E$13)</f>
        <v>11.034000000000001</v>
      </c>
      <c r="H588" s="64">
        <f>18.524* CHOOSE(CONTROL!$C$22, $C$13, 100%, $E$13)</f>
        <v>18.524000000000001</v>
      </c>
      <c r="I588" s="64">
        <f>18.5242 * CHOOSE(CONTROL!$C$22, $C$13, 100%, $E$13)</f>
        <v>18.5242</v>
      </c>
      <c r="J588" s="64">
        <f>11.0338 * CHOOSE(CONTROL!$C$22, $C$13, 100%, $E$13)</f>
        <v>11.033799999999999</v>
      </c>
      <c r="K588" s="64">
        <f>11.034 * CHOOSE(CONTROL!$C$22, $C$13, 100%, $E$13)</f>
        <v>11.034000000000001</v>
      </c>
    </row>
    <row r="589" spans="1:11" ht="15">
      <c r="A589" s="13">
        <v>59568</v>
      </c>
      <c r="B589" s="63">
        <f>9.4527 * CHOOSE(CONTROL!$C$22, $C$13, 100%, $E$13)</f>
        <v>9.4527000000000001</v>
      </c>
      <c r="C589" s="63">
        <f>9.4527 * CHOOSE(CONTROL!$C$22, $C$13, 100%, $E$13)</f>
        <v>9.4527000000000001</v>
      </c>
      <c r="D589" s="63">
        <f>9.4643 * CHOOSE(CONTROL!$C$22, $C$13, 100%, $E$13)</f>
        <v>9.4642999999999997</v>
      </c>
      <c r="E589" s="64">
        <f>10.9111 * CHOOSE(CONTROL!$C$22, $C$13, 100%, $E$13)</f>
        <v>10.911099999999999</v>
      </c>
      <c r="F589" s="64">
        <f>10.9111 * CHOOSE(CONTROL!$C$22, $C$13, 100%, $E$13)</f>
        <v>10.911099999999999</v>
      </c>
      <c r="G589" s="64">
        <f>10.9113 * CHOOSE(CONTROL!$C$22, $C$13, 100%, $E$13)</f>
        <v>10.911300000000001</v>
      </c>
      <c r="H589" s="64">
        <f>18.5626* CHOOSE(CONTROL!$C$22, $C$13, 100%, $E$13)</f>
        <v>18.5626</v>
      </c>
      <c r="I589" s="64">
        <f>18.5628 * CHOOSE(CONTROL!$C$22, $C$13, 100%, $E$13)</f>
        <v>18.562799999999999</v>
      </c>
      <c r="J589" s="64">
        <f>10.9111 * CHOOSE(CONTROL!$C$22, $C$13, 100%, $E$13)</f>
        <v>10.911099999999999</v>
      </c>
      <c r="K589" s="64">
        <f>10.9113 * CHOOSE(CONTROL!$C$22, $C$13, 100%, $E$13)</f>
        <v>10.911300000000001</v>
      </c>
    </row>
    <row r="590" spans="1:11" ht="15">
      <c r="A590" s="13">
        <v>59596</v>
      </c>
      <c r="B590" s="63">
        <f>9.4497 * CHOOSE(CONTROL!$C$22, $C$13, 100%, $E$13)</f>
        <v>9.4497</v>
      </c>
      <c r="C590" s="63">
        <f>9.4497 * CHOOSE(CONTROL!$C$22, $C$13, 100%, $E$13)</f>
        <v>9.4497</v>
      </c>
      <c r="D590" s="63">
        <f>9.4612 * CHOOSE(CONTROL!$C$22, $C$13, 100%, $E$13)</f>
        <v>9.4611999999999998</v>
      </c>
      <c r="E590" s="64">
        <f>11.0041 * CHOOSE(CONTROL!$C$22, $C$13, 100%, $E$13)</f>
        <v>11.004099999999999</v>
      </c>
      <c r="F590" s="64">
        <f>11.0041 * CHOOSE(CONTROL!$C$22, $C$13, 100%, $E$13)</f>
        <v>11.004099999999999</v>
      </c>
      <c r="G590" s="64">
        <f>11.0042 * CHOOSE(CONTROL!$C$22, $C$13, 100%, $E$13)</f>
        <v>11.004200000000001</v>
      </c>
      <c r="H590" s="64">
        <f>18.6012* CHOOSE(CONTROL!$C$22, $C$13, 100%, $E$13)</f>
        <v>18.601199999999999</v>
      </c>
      <c r="I590" s="64">
        <f>18.6014 * CHOOSE(CONTROL!$C$22, $C$13, 100%, $E$13)</f>
        <v>18.601400000000002</v>
      </c>
      <c r="J590" s="64">
        <f>11.0041 * CHOOSE(CONTROL!$C$22, $C$13, 100%, $E$13)</f>
        <v>11.004099999999999</v>
      </c>
      <c r="K590" s="64">
        <f>11.0042 * CHOOSE(CONTROL!$C$22, $C$13, 100%, $E$13)</f>
        <v>11.004200000000001</v>
      </c>
    </row>
    <row r="591" spans="1:11" ht="15">
      <c r="A591" s="13">
        <v>59627</v>
      </c>
      <c r="B591" s="63">
        <f>9.452 * CHOOSE(CONTROL!$C$22, $C$13, 100%, $E$13)</f>
        <v>9.452</v>
      </c>
      <c r="C591" s="63">
        <f>9.452 * CHOOSE(CONTROL!$C$22, $C$13, 100%, $E$13)</f>
        <v>9.452</v>
      </c>
      <c r="D591" s="63">
        <f>9.4636 * CHOOSE(CONTROL!$C$22, $C$13, 100%, $E$13)</f>
        <v>9.4635999999999996</v>
      </c>
      <c r="E591" s="64">
        <f>11.102 * CHOOSE(CONTROL!$C$22, $C$13, 100%, $E$13)</f>
        <v>11.102</v>
      </c>
      <c r="F591" s="64">
        <f>11.102 * CHOOSE(CONTROL!$C$22, $C$13, 100%, $E$13)</f>
        <v>11.102</v>
      </c>
      <c r="G591" s="64">
        <f>11.1022 * CHOOSE(CONTROL!$C$22, $C$13, 100%, $E$13)</f>
        <v>11.1022</v>
      </c>
      <c r="H591" s="64">
        <f>18.64* CHOOSE(CONTROL!$C$22, $C$13, 100%, $E$13)</f>
        <v>18.64</v>
      </c>
      <c r="I591" s="64">
        <f>18.6402 * CHOOSE(CONTROL!$C$22, $C$13, 100%, $E$13)</f>
        <v>18.6402</v>
      </c>
      <c r="J591" s="64">
        <f>11.102 * CHOOSE(CONTROL!$C$22, $C$13, 100%, $E$13)</f>
        <v>11.102</v>
      </c>
      <c r="K591" s="64">
        <f>11.1022 * CHOOSE(CONTROL!$C$22, $C$13, 100%, $E$13)</f>
        <v>11.1022</v>
      </c>
    </row>
    <row r="592" spans="1:11" ht="15">
      <c r="A592" s="13">
        <v>59657</v>
      </c>
      <c r="B592" s="63">
        <f>9.452 * CHOOSE(CONTROL!$C$22, $C$13, 100%, $E$13)</f>
        <v>9.452</v>
      </c>
      <c r="C592" s="63">
        <f>9.452 * CHOOSE(CONTROL!$C$22, $C$13, 100%, $E$13)</f>
        <v>9.452</v>
      </c>
      <c r="D592" s="63">
        <f>9.4752 * CHOOSE(CONTROL!$C$22, $C$13, 100%, $E$13)</f>
        <v>9.4751999999999992</v>
      </c>
      <c r="E592" s="64">
        <f>11.1403 * CHOOSE(CONTROL!$C$22, $C$13, 100%, $E$13)</f>
        <v>11.1403</v>
      </c>
      <c r="F592" s="64">
        <f>11.1403 * CHOOSE(CONTROL!$C$22, $C$13, 100%, $E$13)</f>
        <v>11.1403</v>
      </c>
      <c r="G592" s="64">
        <f>11.1418 * CHOOSE(CONTROL!$C$22, $C$13, 100%, $E$13)</f>
        <v>11.1418</v>
      </c>
      <c r="H592" s="64">
        <f>18.6788* CHOOSE(CONTROL!$C$22, $C$13, 100%, $E$13)</f>
        <v>18.678799999999999</v>
      </c>
      <c r="I592" s="64">
        <f>18.6803 * CHOOSE(CONTROL!$C$22, $C$13, 100%, $E$13)</f>
        <v>18.680299999999999</v>
      </c>
      <c r="J592" s="64">
        <f>11.1403 * CHOOSE(CONTROL!$C$22, $C$13, 100%, $E$13)</f>
        <v>11.1403</v>
      </c>
      <c r="K592" s="64">
        <f>11.1418 * CHOOSE(CONTROL!$C$22, $C$13, 100%, $E$13)</f>
        <v>11.1418</v>
      </c>
    </row>
    <row r="593" spans="1:11" ht="15">
      <c r="A593" s="13">
        <v>59688</v>
      </c>
      <c r="B593" s="63">
        <f>9.4581 * CHOOSE(CONTROL!$C$22, $C$13, 100%, $E$13)</f>
        <v>9.4581</v>
      </c>
      <c r="C593" s="63">
        <f>9.4581 * CHOOSE(CONTROL!$C$22, $C$13, 100%, $E$13)</f>
        <v>9.4581</v>
      </c>
      <c r="D593" s="63">
        <f>9.4812 * CHOOSE(CONTROL!$C$22, $C$13, 100%, $E$13)</f>
        <v>9.4811999999999994</v>
      </c>
      <c r="E593" s="64">
        <f>11.1062 * CHOOSE(CONTROL!$C$22, $C$13, 100%, $E$13)</f>
        <v>11.106199999999999</v>
      </c>
      <c r="F593" s="64">
        <f>11.1062 * CHOOSE(CONTROL!$C$22, $C$13, 100%, $E$13)</f>
        <v>11.106199999999999</v>
      </c>
      <c r="G593" s="64">
        <f>11.1077 * CHOOSE(CONTROL!$C$22, $C$13, 100%, $E$13)</f>
        <v>11.107699999999999</v>
      </c>
      <c r="H593" s="64">
        <f>18.7177* CHOOSE(CONTROL!$C$22, $C$13, 100%, $E$13)</f>
        <v>18.717700000000001</v>
      </c>
      <c r="I593" s="64">
        <f>18.7192 * CHOOSE(CONTROL!$C$22, $C$13, 100%, $E$13)</f>
        <v>18.719200000000001</v>
      </c>
      <c r="J593" s="64">
        <f>11.1062 * CHOOSE(CONTROL!$C$22, $C$13, 100%, $E$13)</f>
        <v>11.106199999999999</v>
      </c>
      <c r="K593" s="64">
        <f>11.1077 * CHOOSE(CONTROL!$C$22, $C$13, 100%, $E$13)</f>
        <v>11.107699999999999</v>
      </c>
    </row>
    <row r="594" spans="1:11" ht="15">
      <c r="A594" s="13">
        <v>59718</v>
      </c>
      <c r="B594" s="63">
        <f>9.6097 * CHOOSE(CONTROL!$C$22, $C$13, 100%, $E$13)</f>
        <v>9.6097000000000001</v>
      </c>
      <c r="C594" s="63">
        <f>9.6097 * CHOOSE(CONTROL!$C$22, $C$13, 100%, $E$13)</f>
        <v>9.6097000000000001</v>
      </c>
      <c r="D594" s="63">
        <f>9.6328 * CHOOSE(CONTROL!$C$22, $C$13, 100%, $E$13)</f>
        <v>9.6327999999999996</v>
      </c>
      <c r="E594" s="64">
        <f>11.321 * CHOOSE(CONTROL!$C$22, $C$13, 100%, $E$13)</f>
        <v>11.321</v>
      </c>
      <c r="F594" s="64">
        <f>11.321 * CHOOSE(CONTROL!$C$22, $C$13, 100%, $E$13)</f>
        <v>11.321</v>
      </c>
      <c r="G594" s="64">
        <f>11.3225 * CHOOSE(CONTROL!$C$22, $C$13, 100%, $E$13)</f>
        <v>11.3225</v>
      </c>
      <c r="H594" s="64">
        <f>18.7567* CHOOSE(CONTROL!$C$22, $C$13, 100%, $E$13)</f>
        <v>18.756699999999999</v>
      </c>
      <c r="I594" s="64">
        <f>18.7582 * CHOOSE(CONTROL!$C$22, $C$13, 100%, $E$13)</f>
        <v>18.758199999999999</v>
      </c>
      <c r="J594" s="64">
        <f>11.321 * CHOOSE(CONTROL!$C$22, $C$13, 100%, $E$13)</f>
        <v>11.321</v>
      </c>
      <c r="K594" s="64">
        <f>11.3225 * CHOOSE(CONTROL!$C$22, $C$13, 100%, $E$13)</f>
        <v>11.3225</v>
      </c>
    </row>
    <row r="595" spans="1:11" ht="15">
      <c r="A595" s="13">
        <v>59749</v>
      </c>
      <c r="B595" s="63">
        <f>9.6164 * CHOOSE(CONTROL!$C$22, $C$13, 100%, $E$13)</f>
        <v>9.6164000000000005</v>
      </c>
      <c r="C595" s="63">
        <f>9.6164 * CHOOSE(CONTROL!$C$22, $C$13, 100%, $E$13)</f>
        <v>9.6164000000000005</v>
      </c>
      <c r="D595" s="63">
        <f>9.6395 * CHOOSE(CONTROL!$C$22, $C$13, 100%, $E$13)</f>
        <v>9.6395</v>
      </c>
      <c r="E595" s="64">
        <f>11.2108 * CHOOSE(CONTROL!$C$22, $C$13, 100%, $E$13)</f>
        <v>11.210800000000001</v>
      </c>
      <c r="F595" s="64">
        <f>11.2108 * CHOOSE(CONTROL!$C$22, $C$13, 100%, $E$13)</f>
        <v>11.210800000000001</v>
      </c>
      <c r="G595" s="64">
        <f>11.2123 * CHOOSE(CONTROL!$C$22, $C$13, 100%, $E$13)</f>
        <v>11.212300000000001</v>
      </c>
      <c r="H595" s="64">
        <f>18.7958* CHOOSE(CONTROL!$C$22, $C$13, 100%, $E$13)</f>
        <v>18.7958</v>
      </c>
      <c r="I595" s="64">
        <f>18.7973 * CHOOSE(CONTROL!$C$22, $C$13, 100%, $E$13)</f>
        <v>18.7973</v>
      </c>
      <c r="J595" s="64">
        <f>11.2108 * CHOOSE(CONTROL!$C$22, $C$13, 100%, $E$13)</f>
        <v>11.210800000000001</v>
      </c>
      <c r="K595" s="64">
        <f>11.2123 * CHOOSE(CONTROL!$C$22, $C$13, 100%, $E$13)</f>
        <v>11.212300000000001</v>
      </c>
    </row>
    <row r="596" spans="1:11" ht="15">
      <c r="A596" s="13">
        <v>59780</v>
      </c>
      <c r="B596" s="63">
        <f>9.6134 * CHOOSE(CONTROL!$C$22, $C$13, 100%, $E$13)</f>
        <v>9.6134000000000004</v>
      </c>
      <c r="C596" s="63">
        <f>9.6134 * CHOOSE(CONTROL!$C$22, $C$13, 100%, $E$13)</f>
        <v>9.6134000000000004</v>
      </c>
      <c r="D596" s="63">
        <f>9.6365 * CHOOSE(CONTROL!$C$22, $C$13, 100%, $E$13)</f>
        <v>9.6364999999999998</v>
      </c>
      <c r="E596" s="64">
        <f>11.1959 * CHOOSE(CONTROL!$C$22, $C$13, 100%, $E$13)</f>
        <v>11.1959</v>
      </c>
      <c r="F596" s="64">
        <f>11.1959 * CHOOSE(CONTROL!$C$22, $C$13, 100%, $E$13)</f>
        <v>11.1959</v>
      </c>
      <c r="G596" s="64">
        <f>11.1974 * CHOOSE(CONTROL!$C$22, $C$13, 100%, $E$13)</f>
        <v>11.1974</v>
      </c>
      <c r="H596" s="64">
        <f>18.835* CHOOSE(CONTROL!$C$22, $C$13, 100%, $E$13)</f>
        <v>18.835000000000001</v>
      </c>
      <c r="I596" s="64">
        <f>18.8365 * CHOOSE(CONTROL!$C$22, $C$13, 100%, $E$13)</f>
        <v>18.836500000000001</v>
      </c>
      <c r="J596" s="64">
        <f>11.1959 * CHOOSE(CONTROL!$C$22, $C$13, 100%, $E$13)</f>
        <v>11.1959</v>
      </c>
      <c r="K596" s="64">
        <f>11.1974 * CHOOSE(CONTROL!$C$22, $C$13, 100%, $E$13)</f>
        <v>11.1974</v>
      </c>
    </row>
    <row r="597" spans="1:11" ht="15">
      <c r="A597" s="13">
        <v>59810</v>
      </c>
      <c r="B597" s="63">
        <f>9.6271 * CHOOSE(CONTROL!$C$22, $C$13, 100%, $E$13)</f>
        <v>9.6271000000000004</v>
      </c>
      <c r="C597" s="63">
        <f>9.6271 * CHOOSE(CONTROL!$C$22, $C$13, 100%, $E$13)</f>
        <v>9.6271000000000004</v>
      </c>
      <c r="D597" s="63">
        <f>9.6387 * CHOOSE(CONTROL!$C$22, $C$13, 100%, $E$13)</f>
        <v>9.6387</v>
      </c>
      <c r="E597" s="64">
        <f>11.2336 * CHOOSE(CONTROL!$C$22, $C$13, 100%, $E$13)</f>
        <v>11.233599999999999</v>
      </c>
      <c r="F597" s="64">
        <f>11.2336 * CHOOSE(CONTROL!$C$22, $C$13, 100%, $E$13)</f>
        <v>11.233599999999999</v>
      </c>
      <c r="G597" s="64">
        <f>11.2337 * CHOOSE(CONTROL!$C$22, $C$13, 100%, $E$13)</f>
        <v>11.233700000000001</v>
      </c>
      <c r="H597" s="64">
        <f>18.8742* CHOOSE(CONTROL!$C$22, $C$13, 100%, $E$13)</f>
        <v>18.874199999999998</v>
      </c>
      <c r="I597" s="64">
        <f>18.8744 * CHOOSE(CONTROL!$C$22, $C$13, 100%, $E$13)</f>
        <v>18.874400000000001</v>
      </c>
      <c r="J597" s="64">
        <f>11.2336 * CHOOSE(CONTROL!$C$22, $C$13, 100%, $E$13)</f>
        <v>11.233599999999999</v>
      </c>
      <c r="K597" s="64">
        <f>11.2337 * CHOOSE(CONTROL!$C$22, $C$13, 100%, $E$13)</f>
        <v>11.233700000000001</v>
      </c>
    </row>
    <row r="598" spans="1:11" ht="15">
      <c r="A598" s="13">
        <v>59841</v>
      </c>
      <c r="B598" s="63">
        <f>9.6302 * CHOOSE(CONTROL!$C$22, $C$13, 100%, $E$13)</f>
        <v>9.6302000000000003</v>
      </c>
      <c r="C598" s="63">
        <f>9.6302 * CHOOSE(CONTROL!$C$22, $C$13, 100%, $E$13)</f>
        <v>9.6302000000000003</v>
      </c>
      <c r="D598" s="63">
        <f>9.6417 * CHOOSE(CONTROL!$C$22, $C$13, 100%, $E$13)</f>
        <v>9.6417000000000002</v>
      </c>
      <c r="E598" s="64">
        <f>11.2612 * CHOOSE(CONTROL!$C$22, $C$13, 100%, $E$13)</f>
        <v>11.261200000000001</v>
      </c>
      <c r="F598" s="64">
        <f>11.2612 * CHOOSE(CONTROL!$C$22, $C$13, 100%, $E$13)</f>
        <v>11.261200000000001</v>
      </c>
      <c r="G598" s="64">
        <f>11.2614 * CHOOSE(CONTROL!$C$22, $C$13, 100%, $E$13)</f>
        <v>11.2614</v>
      </c>
      <c r="H598" s="64">
        <f>18.9135* CHOOSE(CONTROL!$C$22, $C$13, 100%, $E$13)</f>
        <v>18.913499999999999</v>
      </c>
      <c r="I598" s="64">
        <f>18.9137 * CHOOSE(CONTROL!$C$22, $C$13, 100%, $E$13)</f>
        <v>18.913699999999999</v>
      </c>
      <c r="J598" s="64">
        <f>11.2612 * CHOOSE(CONTROL!$C$22, $C$13, 100%, $E$13)</f>
        <v>11.261200000000001</v>
      </c>
      <c r="K598" s="64">
        <f>11.2614 * CHOOSE(CONTROL!$C$22, $C$13, 100%, $E$13)</f>
        <v>11.2614</v>
      </c>
    </row>
    <row r="599" spans="1:11" ht="15">
      <c r="A599" s="13">
        <v>59871</v>
      </c>
      <c r="B599" s="63">
        <f>9.6302 * CHOOSE(CONTROL!$C$22, $C$13, 100%, $E$13)</f>
        <v>9.6302000000000003</v>
      </c>
      <c r="C599" s="63">
        <f>9.6302 * CHOOSE(CONTROL!$C$22, $C$13, 100%, $E$13)</f>
        <v>9.6302000000000003</v>
      </c>
      <c r="D599" s="63">
        <f>9.6417 * CHOOSE(CONTROL!$C$22, $C$13, 100%, $E$13)</f>
        <v>9.6417000000000002</v>
      </c>
      <c r="E599" s="64">
        <f>11.1974 * CHOOSE(CONTROL!$C$22, $C$13, 100%, $E$13)</f>
        <v>11.1974</v>
      </c>
      <c r="F599" s="64">
        <f>11.1974 * CHOOSE(CONTROL!$C$22, $C$13, 100%, $E$13)</f>
        <v>11.1974</v>
      </c>
      <c r="G599" s="64">
        <f>11.1976 * CHOOSE(CONTROL!$C$22, $C$13, 100%, $E$13)</f>
        <v>11.1976</v>
      </c>
      <c r="H599" s="64">
        <f>18.9529* CHOOSE(CONTROL!$C$22, $C$13, 100%, $E$13)</f>
        <v>18.9529</v>
      </c>
      <c r="I599" s="64">
        <f>18.9531 * CHOOSE(CONTROL!$C$22, $C$13, 100%, $E$13)</f>
        <v>18.953099999999999</v>
      </c>
      <c r="J599" s="64">
        <f>11.1974 * CHOOSE(CONTROL!$C$22, $C$13, 100%, $E$13)</f>
        <v>11.1974</v>
      </c>
      <c r="K599" s="64">
        <f>11.1976 * CHOOSE(CONTROL!$C$22, $C$13, 100%, $E$13)</f>
        <v>11.1976</v>
      </c>
    </row>
    <row r="600" spans="1:11" ht="15">
      <c r="A600" s="13">
        <v>59902</v>
      </c>
      <c r="B600" s="63">
        <f>9.7011 * CHOOSE(CONTROL!$C$22, $C$13, 100%, $E$13)</f>
        <v>9.7011000000000003</v>
      </c>
      <c r="C600" s="63">
        <f>9.7011 * CHOOSE(CONTROL!$C$22, $C$13, 100%, $E$13)</f>
        <v>9.7011000000000003</v>
      </c>
      <c r="D600" s="63">
        <f>9.7126 * CHOOSE(CONTROL!$C$22, $C$13, 100%, $E$13)</f>
        <v>9.7126000000000001</v>
      </c>
      <c r="E600" s="64">
        <f>11.3263 * CHOOSE(CONTROL!$C$22, $C$13, 100%, $E$13)</f>
        <v>11.3263</v>
      </c>
      <c r="F600" s="64">
        <f>11.3263 * CHOOSE(CONTROL!$C$22, $C$13, 100%, $E$13)</f>
        <v>11.3263</v>
      </c>
      <c r="G600" s="64">
        <f>11.3264 * CHOOSE(CONTROL!$C$22, $C$13, 100%, $E$13)</f>
        <v>11.3264</v>
      </c>
      <c r="H600" s="64">
        <f>18.9699* CHOOSE(CONTROL!$C$22, $C$13, 100%, $E$13)</f>
        <v>18.969899999999999</v>
      </c>
      <c r="I600" s="64">
        <f>18.97 * CHOOSE(CONTROL!$C$22, $C$13, 100%, $E$13)</f>
        <v>18.97</v>
      </c>
      <c r="J600" s="64">
        <f>11.3263 * CHOOSE(CONTROL!$C$22, $C$13, 100%, $E$13)</f>
        <v>11.3263</v>
      </c>
      <c r="K600" s="64">
        <f>11.3264 * CHOOSE(CONTROL!$C$22, $C$13, 100%, $E$13)</f>
        <v>11.3264</v>
      </c>
    </row>
    <row r="601" spans="1:11" ht="15">
      <c r="A601" s="13">
        <v>59933</v>
      </c>
      <c r="B601" s="63">
        <f>9.698 * CHOOSE(CONTROL!$C$22, $C$13, 100%, $E$13)</f>
        <v>9.6980000000000004</v>
      </c>
      <c r="C601" s="63">
        <f>9.698 * CHOOSE(CONTROL!$C$22, $C$13, 100%, $E$13)</f>
        <v>9.6980000000000004</v>
      </c>
      <c r="D601" s="63">
        <f>9.7096 * CHOOSE(CONTROL!$C$22, $C$13, 100%, $E$13)</f>
        <v>9.7096</v>
      </c>
      <c r="E601" s="64">
        <f>11.2003 * CHOOSE(CONTROL!$C$22, $C$13, 100%, $E$13)</f>
        <v>11.2003</v>
      </c>
      <c r="F601" s="64">
        <f>11.2003 * CHOOSE(CONTROL!$C$22, $C$13, 100%, $E$13)</f>
        <v>11.2003</v>
      </c>
      <c r="G601" s="64">
        <f>11.2005 * CHOOSE(CONTROL!$C$22, $C$13, 100%, $E$13)</f>
        <v>11.2005</v>
      </c>
      <c r="H601" s="64">
        <f>19.0094* CHOOSE(CONTROL!$C$22, $C$13, 100%, $E$13)</f>
        <v>19.009399999999999</v>
      </c>
      <c r="I601" s="64">
        <f>19.0096 * CHOOSE(CONTROL!$C$22, $C$13, 100%, $E$13)</f>
        <v>19.009599999999999</v>
      </c>
      <c r="J601" s="64">
        <f>11.2003 * CHOOSE(CONTROL!$C$22, $C$13, 100%, $E$13)</f>
        <v>11.2003</v>
      </c>
      <c r="K601" s="64">
        <f>11.2005 * CHOOSE(CONTROL!$C$22, $C$13, 100%, $E$13)</f>
        <v>11.2005</v>
      </c>
    </row>
    <row r="602" spans="1:11" ht="15">
      <c r="A602" s="13">
        <v>59962</v>
      </c>
      <c r="B602" s="63">
        <f>9.695 * CHOOSE(CONTROL!$C$22, $C$13, 100%, $E$13)</f>
        <v>9.6950000000000003</v>
      </c>
      <c r="C602" s="63">
        <f>9.695 * CHOOSE(CONTROL!$C$22, $C$13, 100%, $E$13)</f>
        <v>9.6950000000000003</v>
      </c>
      <c r="D602" s="63">
        <f>9.7065 * CHOOSE(CONTROL!$C$22, $C$13, 100%, $E$13)</f>
        <v>9.7065000000000001</v>
      </c>
      <c r="E602" s="64">
        <f>11.2958 * CHOOSE(CONTROL!$C$22, $C$13, 100%, $E$13)</f>
        <v>11.2958</v>
      </c>
      <c r="F602" s="64">
        <f>11.2958 * CHOOSE(CONTROL!$C$22, $C$13, 100%, $E$13)</f>
        <v>11.2958</v>
      </c>
      <c r="G602" s="64">
        <f>11.296 * CHOOSE(CONTROL!$C$22, $C$13, 100%, $E$13)</f>
        <v>11.295999999999999</v>
      </c>
      <c r="H602" s="64">
        <f>19.049* CHOOSE(CONTROL!$C$22, $C$13, 100%, $E$13)</f>
        <v>19.048999999999999</v>
      </c>
      <c r="I602" s="64">
        <f>19.0492 * CHOOSE(CONTROL!$C$22, $C$13, 100%, $E$13)</f>
        <v>19.049199999999999</v>
      </c>
      <c r="J602" s="64">
        <f>11.2958 * CHOOSE(CONTROL!$C$22, $C$13, 100%, $E$13)</f>
        <v>11.2958</v>
      </c>
      <c r="K602" s="64">
        <f>11.296 * CHOOSE(CONTROL!$C$22, $C$13, 100%, $E$13)</f>
        <v>11.295999999999999</v>
      </c>
    </row>
    <row r="603" spans="1:11" ht="15">
      <c r="A603" s="13">
        <v>59993</v>
      </c>
      <c r="B603" s="63">
        <f>9.6976 * CHOOSE(CONTROL!$C$22, $C$13, 100%, $E$13)</f>
        <v>9.6975999999999996</v>
      </c>
      <c r="C603" s="63">
        <f>9.6976 * CHOOSE(CONTROL!$C$22, $C$13, 100%, $E$13)</f>
        <v>9.6975999999999996</v>
      </c>
      <c r="D603" s="63">
        <f>9.7091 * CHOOSE(CONTROL!$C$22, $C$13, 100%, $E$13)</f>
        <v>9.7090999999999994</v>
      </c>
      <c r="E603" s="64">
        <f>11.3964 * CHOOSE(CONTROL!$C$22, $C$13, 100%, $E$13)</f>
        <v>11.3964</v>
      </c>
      <c r="F603" s="64">
        <f>11.3964 * CHOOSE(CONTROL!$C$22, $C$13, 100%, $E$13)</f>
        <v>11.3964</v>
      </c>
      <c r="G603" s="64">
        <f>11.3966 * CHOOSE(CONTROL!$C$22, $C$13, 100%, $E$13)</f>
        <v>11.396599999999999</v>
      </c>
      <c r="H603" s="64">
        <f>19.0887* CHOOSE(CONTROL!$C$22, $C$13, 100%, $E$13)</f>
        <v>19.088699999999999</v>
      </c>
      <c r="I603" s="64">
        <f>19.0889 * CHOOSE(CONTROL!$C$22, $C$13, 100%, $E$13)</f>
        <v>19.088899999999999</v>
      </c>
      <c r="J603" s="64">
        <f>11.3964 * CHOOSE(CONTROL!$C$22, $C$13, 100%, $E$13)</f>
        <v>11.3964</v>
      </c>
      <c r="K603" s="64">
        <f>11.3966 * CHOOSE(CONTROL!$C$22, $C$13, 100%, $E$13)</f>
        <v>11.396599999999999</v>
      </c>
    </row>
    <row r="604" spans="1:11" ht="15">
      <c r="A604" s="13">
        <v>60023</v>
      </c>
      <c r="B604" s="63">
        <f>9.6976 * CHOOSE(CONTROL!$C$22, $C$13, 100%, $E$13)</f>
        <v>9.6975999999999996</v>
      </c>
      <c r="C604" s="63">
        <f>9.6976 * CHOOSE(CONTROL!$C$22, $C$13, 100%, $E$13)</f>
        <v>9.6975999999999996</v>
      </c>
      <c r="D604" s="63">
        <f>9.7207 * CHOOSE(CONTROL!$C$22, $C$13, 100%, $E$13)</f>
        <v>9.7207000000000008</v>
      </c>
      <c r="E604" s="64">
        <f>11.4357 * CHOOSE(CONTROL!$C$22, $C$13, 100%, $E$13)</f>
        <v>11.435700000000001</v>
      </c>
      <c r="F604" s="64">
        <f>11.4357 * CHOOSE(CONTROL!$C$22, $C$13, 100%, $E$13)</f>
        <v>11.435700000000001</v>
      </c>
      <c r="G604" s="64">
        <f>11.4372 * CHOOSE(CONTROL!$C$22, $C$13, 100%, $E$13)</f>
        <v>11.437200000000001</v>
      </c>
      <c r="H604" s="64">
        <f>19.1284* CHOOSE(CONTROL!$C$22, $C$13, 100%, $E$13)</f>
        <v>19.128399999999999</v>
      </c>
      <c r="I604" s="64">
        <f>19.1299 * CHOOSE(CONTROL!$C$22, $C$13, 100%, $E$13)</f>
        <v>19.129899999999999</v>
      </c>
      <c r="J604" s="64">
        <f>11.4357 * CHOOSE(CONTROL!$C$22, $C$13, 100%, $E$13)</f>
        <v>11.435700000000001</v>
      </c>
      <c r="K604" s="64">
        <f>11.4372 * CHOOSE(CONTROL!$C$22, $C$13, 100%, $E$13)</f>
        <v>11.437200000000001</v>
      </c>
    </row>
    <row r="605" spans="1:11" ht="15">
      <c r="A605" s="13">
        <v>60054</v>
      </c>
      <c r="B605" s="63">
        <f>9.7037 * CHOOSE(CONTROL!$C$22, $C$13, 100%, $E$13)</f>
        <v>9.7036999999999995</v>
      </c>
      <c r="C605" s="63">
        <f>9.7037 * CHOOSE(CONTROL!$C$22, $C$13, 100%, $E$13)</f>
        <v>9.7036999999999995</v>
      </c>
      <c r="D605" s="63">
        <f>9.7268 * CHOOSE(CONTROL!$C$22, $C$13, 100%, $E$13)</f>
        <v>9.7268000000000008</v>
      </c>
      <c r="E605" s="64">
        <f>11.4007 * CHOOSE(CONTROL!$C$22, $C$13, 100%, $E$13)</f>
        <v>11.400700000000001</v>
      </c>
      <c r="F605" s="64">
        <f>11.4007 * CHOOSE(CONTROL!$C$22, $C$13, 100%, $E$13)</f>
        <v>11.400700000000001</v>
      </c>
      <c r="G605" s="64">
        <f>11.4021 * CHOOSE(CONTROL!$C$22, $C$13, 100%, $E$13)</f>
        <v>11.402100000000001</v>
      </c>
      <c r="H605" s="64">
        <f>19.1683* CHOOSE(CONTROL!$C$22, $C$13, 100%, $E$13)</f>
        <v>19.168299999999999</v>
      </c>
      <c r="I605" s="64">
        <f>19.1698 * CHOOSE(CONTROL!$C$22, $C$13, 100%, $E$13)</f>
        <v>19.169799999999999</v>
      </c>
      <c r="J605" s="64">
        <f>11.4007 * CHOOSE(CONTROL!$C$22, $C$13, 100%, $E$13)</f>
        <v>11.400700000000001</v>
      </c>
      <c r="K605" s="64">
        <f>11.4021 * CHOOSE(CONTROL!$C$22, $C$13, 100%, $E$13)</f>
        <v>11.402100000000001</v>
      </c>
    </row>
    <row r="606" spans="1:11" ht="15">
      <c r="A606" s="13">
        <v>60084</v>
      </c>
      <c r="B606" s="63">
        <f>9.8589 * CHOOSE(CONTROL!$C$22, $C$13, 100%, $E$13)</f>
        <v>9.8589000000000002</v>
      </c>
      <c r="C606" s="63">
        <f>9.8589 * CHOOSE(CONTROL!$C$22, $C$13, 100%, $E$13)</f>
        <v>9.8589000000000002</v>
      </c>
      <c r="D606" s="63">
        <f>9.882 * CHOOSE(CONTROL!$C$22, $C$13, 100%, $E$13)</f>
        <v>9.8819999999999997</v>
      </c>
      <c r="E606" s="64">
        <f>11.6209 * CHOOSE(CONTROL!$C$22, $C$13, 100%, $E$13)</f>
        <v>11.620900000000001</v>
      </c>
      <c r="F606" s="64">
        <f>11.6209 * CHOOSE(CONTROL!$C$22, $C$13, 100%, $E$13)</f>
        <v>11.620900000000001</v>
      </c>
      <c r="G606" s="64">
        <f>11.6224 * CHOOSE(CONTROL!$C$22, $C$13, 100%, $E$13)</f>
        <v>11.622400000000001</v>
      </c>
      <c r="H606" s="64">
        <f>19.2082* CHOOSE(CONTROL!$C$22, $C$13, 100%, $E$13)</f>
        <v>19.208200000000001</v>
      </c>
      <c r="I606" s="64">
        <f>19.2097 * CHOOSE(CONTROL!$C$22, $C$13, 100%, $E$13)</f>
        <v>19.209700000000002</v>
      </c>
      <c r="J606" s="64">
        <f>11.6209 * CHOOSE(CONTROL!$C$22, $C$13, 100%, $E$13)</f>
        <v>11.620900000000001</v>
      </c>
      <c r="K606" s="64">
        <f>11.6224 * CHOOSE(CONTROL!$C$22, $C$13, 100%, $E$13)</f>
        <v>11.622400000000001</v>
      </c>
    </row>
    <row r="607" spans="1:11" ht="15">
      <c r="A607" s="13">
        <v>60115</v>
      </c>
      <c r="B607" s="63">
        <f>9.8656 * CHOOSE(CONTROL!$C$22, $C$13, 100%, $E$13)</f>
        <v>9.8656000000000006</v>
      </c>
      <c r="C607" s="63">
        <f>9.8656 * CHOOSE(CONTROL!$C$22, $C$13, 100%, $E$13)</f>
        <v>9.8656000000000006</v>
      </c>
      <c r="D607" s="63">
        <f>9.8887 * CHOOSE(CONTROL!$C$22, $C$13, 100%, $E$13)</f>
        <v>9.8887</v>
      </c>
      <c r="E607" s="64">
        <f>11.5076 * CHOOSE(CONTROL!$C$22, $C$13, 100%, $E$13)</f>
        <v>11.5076</v>
      </c>
      <c r="F607" s="64">
        <f>11.5076 * CHOOSE(CONTROL!$C$22, $C$13, 100%, $E$13)</f>
        <v>11.5076</v>
      </c>
      <c r="G607" s="64">
        <f>11.5091 * CHOOSE(CONTROL!$C$22, $C$13, 100%, $E$13)</f>
        <v>11.5091</v>
      </c>
      <c r="H607" s="64">
        <f>19.2483* CHOOSE(CONTROL!$C$22, $C$13, 100%, $E$13)</f>
        <v>19.2483</v>
      </c>
      <c r="I607" s="64">
        <f>19.2497 * CHOOSE(CONTROL!$C$22, $C$13, 100%, $E$13)</f>
        <v>19.249700000000001</v>
      </c>
      <c r="J607" s="64">
        <f>11.5076 * CHOOSE(CONTROL!$C$22, $C$13, 100%, $E$13)</f>
        <v>11.5076</v>
      </c>
      <c r="K607" s="64">
        <f>11.5091 * CHOOSE(CONTROL!$C$22, $C$13, 100%, $E$13)</f>
        <v>11.5091</v>
      </c>
    </row>
    <row r="608" spans="1:11" ht="15">
      <c r="A608" s="13">
        <v>60146</v>
      </c>
      <c r="B608" s="63">
        <f>9.8626 * CHOOSE(CONTROL!$C$22, $C$13, 100%, $E$13)</f>
        <v>9.8626000000000005</v>
      </c>
      <c r="C608" s="63">
        <f>9.8626 * CHOOSE(CONTROL!$C$22, $C$13, 100%, $E$13)</f>
        <v>9.8626000000000005</v>
      </c>
      <c r="D608" s="63">
        <f>9.8857 * CHOOSE(CONTROL!$C$22, $C$13, 100%, $E$13)</f>
        <v>9.8856999999999999</v>
      </c>
      <c r="E608" s="64">
        <f>11.4924 * CHOOSE(CONTROL!$C$22, $C$13, 100%, $E$13)</f>
        <v>11.4924</v>
      </c>
      <c r="F608" s="64">
        <f>11.4924 * CHOOSE(CONTROL!$C$22, $C$13, 100%, $E$13)</f>
        <v>11.4924</v>
      </c>
      <c r="G608" s="64">
        <f>11.4939 * CHOOSE(CONTROL!$C$22, $C$13, 100%, $E$13)</f>
        <v>11.4939</v>
      </c>
      <c r="H608" s="64">
        <f>19.2884* CHOOSE(CONTROL!$C$22, $C$13, 100%, $E$13)</f>
        <v>19.288399999999999</v>
      </c>
      <c r="I608" s="64">
        <f>19.2898 * CHOOSE(CONTROL!$C$22, $C$13, 100%, $E$13)</f>
        <v>19.2898</v>
      </c>
      <c r="J608" s="64">
        <f>11.4924 * CHOOSE(CONTROL!$C$22, $C$13, 100%, $E$13)</f>
        <v>11.4924</v>
      </c>
      <c r="K608" s="64">
        <f>11.4939 * CHOOSE(CONTROL!$C$22, $C$13, 100%, $E$13)</f>
        <v>11.4939</v>
      </c>
    </row>
    <row r="609" spans="1:11" ht="15">
      <c r="A609" s="13">
        <v>60176</v>
      </c>
      <c r="B609" s="63">
        <f>9.8772 * CHOOSE(CONTROL!$C$22, $C$13, 100%, $E$13)</f>
        <v>9.8772000000000002</v>
      </c>
      <c r="C609" s="63">
        <f>9.8772 * CHOOSE(CONTROL!$C$22, $C$13, 100%, $E$13)</f>
        <v>9.8772000000000002</v>
      </c>
      <c r="D609" s="63">
        <f>9.8887 * CHOOSE(CONTROL!$C$22, $C$13, 100%, $E$13)</f>
        <v>9.8887</v>
      </c>
      <c r="E609" s="64">
        <f>11.5314 * CHOOSE(CONTROL!$C$22, $C$13, 100%, $E$13)</f>
        <v>11.5314</v>
      </c>
      <c r="F609" s="64">
        <f>11.5314 * CHOOSE(CONTROL!$C$22, $C$13, 100%, $E$13)</f>
        <v>11.5314</v>
      </c>
      <c r="G609" s="64">
        <f>11.5316 * CHOOSE(CONTROL!$C$22, $C$13, 100%, $E$13)</f>
        <v>11.531599999999999</v>
      </c>
      <c r="H609" s="64">
        <f>19.3285* CHOOSE(CONTROL!$C$22, $C$13, 100%, $E$13)</f>
        <v>19.328499999999998</v>
      </c>
      <c r="I609" s="64">
        <f>19.3287 * CHOOSE(CONTROL!$C$22, $C$13, 100%, $E$13)</f>
        <v>19.328700000000001</v>
      </c>
      <c r="J609" s="64">
        <f>11.5314 * CHOOSE(CONTROL!$C$22, $C$13, 100%, $E$13)</f>
        <v>11.5314</v>
      </c>
      <c r="K609" s="64">
        <f>11.5316 * CHOOSE(CONTROL!$C$22, $C$13, 100%, $E$13)</f>
        <v>11.531599999999999</v>
      </c>
    </row>
    <row r="610" spans="1:11" ht="15">
      <c r="A610" s="13">
        <v>60207</v>
      </c>
      <c r="B610" s="63">
        <f>9.8802 * CHOOSE(CONTROL!$C$22, $C$13, 100%, $E$13)</f>
        <v>9.8802000000000003</v>
      </c>
      <c r="C610" s="63">
        <f>9.8802 * CHOOSE(CONTROL!$C$22, $C$13, 100%, $E$13)</f>
        <v>9.8802000000000003</v>
      </c>
      <c r="D610" s="63">
        <f>9.8917 * CHOOSE(CONTROL!$C$22, $C$13, 100%, $E$13)</f>
        <v>9.8917000000000002</v>
      </c>
      <c r="E610" s="64">
        <f>11.5597 * CHOOSE(CONTROL!$C$22, $C$13, 100%, $E$13)</f>
        <v>11.559699999999999</v>
      </c>
      <c r="F610" s="64">
        <f>11.5597 * CHOOSE(CONTROL!$C$22, $C$13, 100%, $E$13)</f>
        <v>11.559699999999999</v>
      </c>
      <c r="G610" s="64">
        <f>11.5599 * CHOOSE(CONTROL!$C$22, $C$13, 100%, $E$13)</f>
        <v>11.559900000000001</v>
      </c>
      <c r="H610" s="64">
        <f>19.3688* CHOOSE(CONTROL!$C$22, $C$13, 100%, $E$13)</f>
        <v>19.3688</v>
      </c>
      <c r="I610" s="64">
        <f>19.369 * CHOOSE(CONTROL!$C$22, $C$13, 100%, $E$13)</f>
        <v>19.369</v>
      </c>
      <c r="J610" s="64">
        <f>11.5597 * CHOOSE(CONTROL!$C$22, $C$13, 100%, $E$13)</f>
        <v>11.559699999999999</v>
      </c>
      <c r="K610" s="64">
        <f>11.5599 * CHOOSE(CONTROL!$C$22, $C$13, 100%, $E$13)</f>
        <v>11.559900000000001</v>
      </c>
    </row>
    <row r="611" spans="1:11" ht="15">
      <c r="A611" s="13">
        <v>60237</v>
      </c>
      <c r="B611" s="63">
        <f>9.8802 * CHOOSE(CONTROL!$C$22, $C$13, 100%, $E$13)</f>
        <v>9.8802000000000003</v>
      </c>
      <c r="C611" s="63">
        <f>9.8802 * CHOOSE(CONTROL!$C$22, $C$13, 100%, $E$13)</f>
        <v>9.8802000000000003</v>
      </c>
      <c r="D611" s="63">
        <f>9.8917 * CHOOSE(CONTROL!$C$22, $C$13, 100%, $E$13)</f>
        <v>9.8917000000000002</v>
      </c>
      <c r="E611" s="64">
        <f>11.4942 * CHOOSE(CONTROL!$C$22, $C$13, 100%, $E$13)</f>
        <v>11.494199999999999</v>
      </c>
      <c r="F611" s="64">
        <f>11.4942 * CHOOSE(CONTROL!$C$22, $C$13, 100%, $E$13)</f>
        <v>11.494199999999999</v>
      </c>
      <c r="G611" s="64">
        <f>11.4944 * CHOOSE(CONTROL!$C$22, $C$13, 100%, $E$13)</f>
        <v>11.494400000000001</v>
      </c>
      <c r="H611" s="64">
        <f>19.4092* CHOOSE(CONTROL!$C$22, $C$13, 100%, $E$13)</f>
        <v>19.409199999999998</v>
      </c>
      <c r="I611" s="64">
        <f>19.4093 * CHOOSE(CONTROL!$C$22, $C$13, 100%, $E$13)</f>
        <v>19.409300000000002</v>
      </c>
      <c r="J611" s="64">
        <f>11.4942 * CHOOSE(CONTROL!$C$22, $C$13, 100%, $E$13)</f>
        <v>11.494199999999999</v>
      </c>
      <c r="K611" s="64">
        <f>11.4944 * CHOOSE(CONTROL!$C$22, $C$13, 100%, $E$13)</f>
        <v>11.494400000000001</v>
      </c>
    </row>
    <row r="612" spans="1:11" ht="15">
      <c r="A612" s="13">
        <v>60268</v>
      </c>
      <c r="B612" s="63">
        <f>9.9464 * CHOOSE(CONTROL!$C$22, $C$13, 100%, $E$13)</f>
        <v>9.9464000000000006</v>
      </c>
      <c r="C612" s="63">
        <f>9.9464 * CHOOSE(CONTROL!$C$22, $C$13, 100%, $E$13)</f>
        <v>9.9464000000000006</v>
      </c>
      <c r="D612" s="63">
        <f>9.9579 * CHOOSE(CONTROL!$C$22, $C$13, 100%, $E$13)</f>
        <v>9.9579000000000004</v>
      </c>
      <c r="E612" s="64">
        <f>11.6187 * CHOOSE(CONTROL!$C$22, $C$13, 100%, $E$13)</f>
        <v>11.6187</v>
      </c>
      <c r="F612" s="64">
        <f>11.6187 * CHOOSE(CONTROL!$C$22, $C$13, 100%, $E$13)</f>
        <v>11.6187</v>
      </c>
      <c r="G612" s="64">
        <f>11.6188 * CHOOSE(CONTROL!$C$22, $C$13, 100%, $E$13)</f>
        <v>11.6188</v>
      </c>
      <c r="H612" s="64">
        <f>19.4158* CHOOSE(CONTROL!$C$22, $C$13, 100%, $E$13)</f>
        <v>19.415800000000001</v>
      </c>
      <c r="I612" s="64">
        <f>19.4159 * CHOOSE(CONTROL!$C$22, $C$13, 100%, $E$13)</f>
        <v>19.415900000000001</v>
      </c>
      <c r="J612" s="64">
        <f>11.6187 * CHOOSE(CONTROL!$C$22, $C$13, 100%, $E$13)</f>
        <v>11.6187</v>
      </c>
      <c r="K612" s="64">
        <f>11.6188 * CHOOSE(CONTROL!$C$22, $C$13, 100%, $E$13)</f>
        <v>11.6188</v>
      </c>
    </row>
    <row r="613" spans="1:11" ht="15">
      <c r="A613" s="13">
        <v>60299</v>
      </c>
      <c r="B613" s="63">
        <f>9.9433 * CHOOSE(CONTROL!$C$22, $C$13, 100%, $E$13)</f>
        <v>9.9433000000000007</v>
      </c>
      <c r="C613" s="63">
        <f>9.9433 * CHOOSE(CONTROL!$C$22, $C$13, 100%, $E$13)</f>
        <v>9.9433000000000007</v>
      </c>
      <c r="D613" s="63">
        <f>9.9549 * CHOOSE(CONTROL!$C$22, $C$13, 100%, $E$13)</f>
        <v>9.9549000000000003</v>
      </c>
      <c r="E613" s="64">
        <f>11.4895 * CHOOSE(CONTROL!$C$22, $C$13, 100%, $E$13)</f>
        <v>11.4895</v>
      </c>
      <c r="F613" s="64">
        <f>11.4895 * CHOOSE(CONTROL!$C$22, $C$13, 100%, $E$13)</f>
        <v>11.4895</v>
      </c>
      <c r="G613" s="64">
        <f>11.4897 * CHOOSE(CONTROL!$C$22, $C$13, 100%, $E$13)</f>
        <v>11.489699999999999</v>
      </c>
      <c r="H613" s="64">
        <f>19.4562* CHOOSE(CONTROL!$C$22, $C$13, 100%, $E$13)</f>
        <v>19.456199999999999</v>
      </c>
      <c r="I613" s="64">
        <f>19.4564 * CHOOSE(CONTROL!$C$22, $C$13, 100%, $E$13)</f>
        <v>19.456399999999999</v>
      </c>
      <c r="J613" s="64">
        <f>11.4895 * CHOOSE(CONTROL!$C$22, $C$13, 100%, $E$13)</f>
        <v>11.4895</v>
      </c>
      <c r="K613" s="64">
        <f>11.4897 * CHOOSE(CONTROL!$C$22, $C$13, 100%, $E$13)</f>
        <v>11.489699999999999</v>
      </c>
    </row>
    <row r="614" spans="1:11" ht="15">
      <c r="A614" s="13">
        <v>60327</v>
      </c>
      <c r="B614" s="63">
        <f>9.9403 * CHOOSE(CONTROL!$C$22, $C$13, 100%, $E$13)</f>
        <v>9.9403000000000006</v>
      </c>
      <c r="C614" s="63">
        <f>9.9403 * CHOOSE(CONTROL!$C$22, $C$13, 100%, $E$13)</f>
        <v>9.9403000000000006</v>
      </c>
      <c r="D614" s="63">
        <f>9.9519 * CHOOSE(CONTROL!$C$22, $C$13, 100%, $E$13)</f>
        <v>9.9519000000000002</v>
      </c>
      <c r="E614" s="64">
        <f>11.5875 * CHOOSE(CONTROL!$C$22, $C$13, 100%, $E$13)</f>
        <v>11.5875</v>
      </c>
      <c r="F614" s="64">
        <f>11.5875 * CHOOSE(CONTROL!$C$22, $C$13, 100%, $E$13)</f>
        <v>11.5875</v>
      </c>
      <c r="G614" s="64">
        <f>11.5877 * CHOOSE(CONTROL!$C$22, $C$13, 100%, $E$13)</f>
        <v>11.5877</v>
      </c>
      <c r="H614" s="64">
        <f>19.4967* CHOOSE(CONTROL!$C$22, $C$13, 100%, $E$13)</f>
        <v>19.496700000000001</v>
      </c>
      <c r="I614" s="64">
        <f>19.4969 * CHOOSE(CONTROL!$C$22, $C$13, 100%, $E$13)</f>
        <v>19.4969</v>
      </c>
      <c r="J614" s="64">
        <f>11.5875 * CHOOSE(CONTROL!$C$22, $C$13, 100%, $E$13)</f>
        <v>11.5875</v>
      </c>
      <c r="K614" s="64">
        <f>11.5877 * CHOOSE(CONTROL!$C$22, $C$13, 100%, $E$13)</f>
        <v>11.5877</v>
      </c>
    </row>
    <row r="615" spans="1:11" ht="15">
      <c r="A615" s="13">
        <v>60358</v>
      </c>
      <c r="B615" s="63">
        <f>9.9431 * CHOOSE(CONTROL!$C$22, $C$13, 100%, $E$13)</f>
        <v>9.9430999999999994</v>
      </c>
      <c r="C615" s="63">
        <f>9.9431 * CHOOSE(CONTROL!$C$22, $C$13, 100%, $E$13)</f>
        <v>9.9430999999999994</v>
      </c>
      <c r="D615" s="63">
        <f>9.9547 * CHOOSE(CONTROL!$C$22, $C$13, 100%, $E$13)</f>
        <v>9.9547000000000008</v>
      </c>
      <c r="E615" s="64">
        <f>11.6909 * CHOOSE(CONTROL!$C$22, $C$13, 100%, $E$13)</f>
        <v>11.690899999999999</v>
      </c>
      <c r="F615" s="64">
        <f>11.6909 * CHOOSE(CONTROL!$C$22, $C$13, 100%, $E$13)</f>
        <v>11.690899999999999</v>
      </c>
      <c r="G615" s="64">
        <f>11.691 * CHOOSE(CONTROL!$C$22, $C$13, 100%, $E$13)</f>
        <v>11.691000000000001</v>
      </c>
      <c r="H615" s="64">
        <f>19.5374* CHOOSE(CONTROL!$C$22, $C$13, 100%, $E$13)</f>
        <v>19.537400000000002</v>
      </c>
      <c r="I615" s="64">
        <f>19.5375 * CHOOSE(CONTROL!$C$22, $C$13, 100%, $E$13)</f>
        <v>19.537500000000001</v>
      </c>
      <c r="J615" s="64">
        <f>11.6909 * CHOOSE(CONTROL!$C$22, $C$13, 100%, $E$13)</f>
        <v>11.690899999999999</v>
      </c>
      <c r="K615" s="64">
        <f>11.691 * CHOOSE(CONTROL!$C$22, $C$13, 100%, $E$13)</f>
        <v>11.691000000000001</v>
      </c>
    </row>
    <row r="616" spans="1:11" ht="15">
      <c r="A616" s="13">
        <v>60388</v>
      </c>
      <c r="B616" s="63">
        <f>9.9431 * CHOOSE(CONTROL!$C$22, $C$13, 100%, $E$13)</f>
        <v>9.9430999999999994</v>
      </c>
      <c r="C616" s="63">
        <f>9.9431 * CHOOSE(CONTROL!$C$22, $C$13, 100%, $E$13)</f>
        <v>9.9430999999999994</v>
      </c>
      <c r="D616" s="63">
        <f>9.9662 * CHOOSE(CONTROL!$C$22, $C$13, 100%, $E$13)</f>
        <v>9.9662000000000006</v>
      </c>
      <c r="E616" s="64">
        <f>11.7312 * CHOOSE(CONTROL!$C$22, $C$13, 100%, $E$13)</f>
        <v>11.731199999999999</v>
      </c>
      <c r="F616" s="64">
        <f>11.7312 * CHOOSE(CONTROL!$C$22, $C$13, 100%, $E$13)</f>
        <v>11.731199999999999</v>
      </c>
      <c r="G616" s="64">
        <f>11.7327 * CHOOSE(CONTROL!$C$22, $C$13, 100%, $E$13)</f>
        <v>11.732699999999999</v>
      </c>
      <c r="H616" s="64">
        <f>19.5781* CHOOSE(CONTROL!$C$22, $C$13, 100%, $E$13)</f>
        <v>19.578099999999999</v>
      </c>
      <c r="I616" s="64">
        <f>19.5796 * CHOOSE(CONTROL!$C$22, $C$13, 100%, $E$13)</f>
        <v>19.579599999999999</v>
      </c>
      <c r="J616" s="64">
        <f>11.7312 * CHOOSE(CONTROL!$C$22, $C$13, 100%, $E$13)</f>
        <v>11.731199999999999</v>
      </c>
      <c r="K616" s="64">
        <f>11.7327 * CHOOSE(CONTROL!$C$22, $C$13, 100%, $E$13)</f>
        <v>11.732699999999999</v>
      </c>
    </row>
    <row r="617" spans="1:11" ht="15">
      <c r="A617" s="13">
        <v>60419</v>
      </c>
      <c r="B617" s="63">
        <f>9.9492 * CHOOSE(CONTROL!$C$22, $C$13, 100%, $E$13)</f>
        <v>9.9491999999999994</v>
      </c>
      <c r="C617" s="63">
        <f>9.9492 * CHOOSE(CONTROL!$C$22, $C$13, 100%, $E$13)</f>
        <v>9.9491999999999994</v>
      </c>
      <c r="D617" s="63">
        <f>9.9723 * CHOOSE(CONTROL!$C$22, $C$13, 100%, $E$13)</f>
        <v>9.9723000000000006</v>
      </c>
      <c r="E617" s="64">
        <f>11.6951 * CHOOSE(CONTROL!$C$22, $C$13, 100%, $E$13)</f>
        <v>11.6951</v>
      </c>
      <c r="F617" s="64">
        <f>11.6951 * CHOOSE(CONTROL!$C$22, $C$13, 100%, $E$13)</f>
        <v>11.6951</v>
      </c>
      <c r="G617" s="64">
        <f>11.6966 * CHOOSE(CONTROL!$C$22, $C$13, 100%, $E$13)</f>
        <v>11.6966</v>
      </c>
      <c r="H617" s="64">
        <f>19.6189* CHOOSE(CONTROL!$C$22, $C$13, 100%, $E$13)</f>
        <v>19.6189</v>
      </c>
      <c r="I617" s="64">
        <f>19.6203 * CHOOSE(CONTROL!$C$22, $C$13, 100%, $E$13)</f>
        <v>19.6203</v>
      </c>
      <c r="J617" s="64">
        <f>11.6951 * CHOOSE(CONTROL!$C$22, $C$13, 100%, $E$13)</f>
        <v>11.6951</v>
      </c>
      <c r="K617" s="64">
        <f>11.6966 * CHOOSE(CONTROL!$C$22, $C$13, 100%, $E$13)</f>
        <v>11.6966</v>
      </c>
    </row>
    <row r="618" spans="1:11" ht="15">
      <c r="A618" s="13">
        <v>60449</v>
      </c>
      <c r="B618" s="63">
        <f>10.1081 * CHOOSE(CONTROL!$C$22, $C$13, 100%, $E$13)</f>
        <v>10.1081</v>
      </c>
      <c r="C618" s="63">
        <f>10.1081 * CHOOSE(CONTROL!$C$22, $C$13, 100%, $E$13)</f>
        <v>10.1081</v>
      </c>
      <c r="D618" s="63">
        <f>10.1312 * CHOOSE(CONTROL!$C$22, $C$13, 100%, $E$13)</f>
        <v>10.1312</v>
      </c>
      <c r="E618" s="64">
        <f>11.9208 * CHOOSE(CONTROL!$C$22, $C$13, 100%, $E$13)</f>
        <v>11.9208</v>
      </c>
      <c r="F618" s="64">
        <f>11.9208 * CHOOSE(CONTROL!$C$22, $C$13, 100%, $E$13)</f>
        <v>11.9208</v>
      </c>
      <c r="G618" s="64">
        <f>11.9223 * CHOOSE(CONTROL!$C$22, $C$13, 100%, $E$13)</f>
        <v>11.9223</v>
      </c>
      <c r="H618" s="64">
        <f>19.6597* CHOOSE(CONTROL!$C$22, $C$13, 100%, $E$13)</f>
        <v>19.659700000000001</v>
      </c>
      <c r="I618" s="64">
        <f>19.6612 * CHOOSE(CONTROL!$C$22, $C$13, 100%, $E$13)</f>
        <v>19.661200000000001</v>
      </c>
      <c r="J618" s="64">
        <f>11.9208 * CHOOSE(CONTROL!$C$22, $C$13, 100%, $E$13)</f>
        <v>11.9208</v>
      </c>
      <c r="K618" s="64">
        <f>11.9223 * CHOOSE(CONTROL!$C$22, $C$13, 100%, $E$13)</f>
        <v>11.9223</v>
      </c>
    </row>
    <row r="619" spans="1:11" ht="15">
      <c r="A619" s="13">
        <v>60480</v>
      </c>
      <c r="B619" s="63">
        <f>10.1148 * CHOOSE(CONTROL!$C$22, $C$13, 100%, $E$13)</f>
        <v>10.114800000000001</v>
      </c>
      <c r="C619" s="63">
        <f>10.1148 * CHOOSE(CONTROL!$C$22, $C$13, 100%, $E$13)</f>
        <v>10.114800000000001</v>
      </c>
      <c r="D619" s="63">
        <f>10.1379 * CHOOSE(CONTROL!$C$22, $C$13, 100%, $E$13)</f>
        <v>10.1379</v>
      </c>
      <c r="E619" s="64">
        <f>11.8045 * CHOOSE(CONTROL!$C$22, $C$13, 100%, $E$13)</f>
        <v>11.804500000000001</v>
      </c>
      <c r="F619" s="64">
        <f>11.8045 * CHOOSE(CONTROL!$C$22, $C$13, 100%, $E$13)</f>
        <v>11.804500000000001</v>
      </c>
      <c r="G619" s="64">
        <f>11.8059 * CHOOSE(CONTROL!$C$22, $C$13, 100%, $E$13)</f>
        <v>11.805899999999999</v>
      </c>
      <c r="H619" s="64">
        <f>19.7007* CHOOSE(CONTROL!$C$22, $C$13, 100%, $E$13)</f>
        <v>19.700700000000001</v>
      </c>
      <c r="I619" s="64">
        <f>19.7022 * CHOOSE(CONTROL!$C$22, $C$13, 100%, $E$13)</f>
        <v>19.702200000000001</v>
      </c>
      <c r="J619" s="64">
        <f>11.8045 * CHOOSE(CONTROL!$C$22, $C$13, 100%, $E$13)</f>
        <v>11.804500000000001</v>
      </c>
      <c r="K619" s="64">
        <f>11.8059 * CHOOSE(CONTROL!$C$22, $C$13, 100%, $E$13)</f>
        <v>11.805899999999999</v>
      </c>
    </row>
    <row r="620" spans="1:11" ht="15">
      <c r="A620" s="13">
        <v>60511</v>
      </c>
      <c r="B620" s="63">
        <f>10.1118 * CHOOSE(CONTROL!$C$22, $C$13, 100%, $E$13)</f>
        <v>10.111800000000001</v>
      </c>
      <c r="C620" s="63">
        <f>10.1118 * CHOOSE(CONTROL!$C$22, $C$13, 100%, $E$13)</f>
        <v>10.111800000000001</v>
      </c>
      <c r="D620" s="63">
        <f>10.1349 * CHOOSE(CONTROL!$C$22, $C$13, 100%, $E$13)</f>
        <v>10.1349</v>
      </c>
      <c r="E620" s="64">
        <f>11.7889 * CHOOSE(CONTROL!$C$22, $C$13, 100%, $E$13)</f>
        <v>11.7889</v>
      </c>
      <c r="F620" s="64">
        <f>11.7889 * CHOOSE(CONTROL!$C$22, $C$13, 100%, $E$13)</f>
        <v>11.7889</v>
      </c>
      <c r="G620" s="64">
        <f>11.7904 * CHOOSE(CONTROL!$C$22, $C$13, 100%, $E$13)</f>
        <v>11.7904</v>
      </c>
      <c r="H620" s="64">
        <f>19.7417* CHOOSE(CONTROL!$C$22, $C$13, 100%, $E$13)</f>
        <v>19.741700000000002</v>
      </c>
      <c r="I620" s="64">
        <f>19.7432 * CHOOSE(CONTROL!$C$22, $C$13, 100%, $E$13)</f>
        <v>19.743200000000002</v>
      </c>
      <c r="J620" s="64">
        <f>11.7889 * CHOOSE(CONTROL!$C$22, $C$13, 100%, $E$13)</f>
        <v>11.7889</v>
      </c>
      <c r="K620" s="64">
        <f>11.7904 * CHOOSE(CONTROL!$C$22, $C$13, 100%, $E$13)</f>
        <v>11.7904</v>
      </c>
    </row>
    <row r="621" spans="1:11" ht="15">
      <c r="A621" s="13">
        <v>60541</v>
      </c>
      <c r="B621" s="63">
        <f>10.1272 * CHOOSE(CONTROL!$C$22, $C$13, 100%, $E$13)</f>
        <v>10.1272</v>
      </c>
      <c r="C621" s="63">
        <f>10.1272 * CHOOSE(CONTROL!$C$22, $C$13, 100%, $E$13)</f>
        <v>10.1272</v>
      </c>
      <c r="D621" s="63">
        <f>10.1387 * CHOOSE(CONTROL!$C$22, $C$13, 100%, $E$13)</f>
        <v>10.1387</v>
      </c>
      <c r="E621" s="64">
        <f>11.8293 * CHOOSE(CONTROL!$C$22, $C$13, 100%, $E$13)</f>
        <v>11.8293</v>
      </c>
      <c r="F621" s="64">
        <f>11.8293 * CHOOSE(CONTROL!$C$22, $C$13, 100%, $E$13)</f>
        <v>11.8293</v>
      </c>
      <c r="G621" s="64">
        <f>11.8294 * CHOOSE(CONTROL!$C$22, $C$13, 100%, $E$13)</f>
        <v>11.8294</v>
      </c>
      <c r="H621" s="64">
        <f>19.7829* CHOOSE(CONTROL!$C$22, $C$13, 100%, $E$13)</f>
        <v>19.782900000000001</v>
      </c>
      <c r="I621" s="64">
        <f>19.783 * CHOOSE(CONTROL!$C$22, $C$13, 100%, $E$13)</f>
        <v>19.783000000000001</v>
      </c>
      <c r="J621" s="64">
        <f>11.8293 * CHOOSE(CONTROL!$C$22, $C$13, 100%, $E$13)</f>
        <v>11.8293</v>
      </c>
      <c r="K621" s="64">
        <f>11.8294 * CHOOSE(CONTROL!$C$22, $C$13, 100%, $E$13)</f>
        <v>11.8294</v>
      </c>
    </row>
    <row r="622" spans="1:11" ht="15">
      <c r="A622" s="13">
        <v>60572</v>
      </c>
      <c r="B622" s="63">
        <f>10.1302 * CHOOSE(CONTROL!$C$22, $C$13, 100%, $E$13)</f>
        <v>10.1302</v>
      </c>
      <c r="C622" s="63">
        <f>10.1302 * CHOOSE(CONTROL!$C$22, $C$13, 100%, $E$13)</f>
        <v>10.1302</v>
      </c>
      <c r="D622" s="63">
        <f>10.1418 * CHOOSE(CONTROL!$C$22, $C$13, 100%, $E$13)</f>
        <v>10.1418</v>
      </c>
      <c r="E622" s="64">
        <f>11.8583 * CHOOSE(CONTROL!$C$22, $C$13, 100%, $E$13)</f>
        <v>11.8583</v>
      </c>
      <c r="F622" s="64">
        <f>11.8583 * CHOOSE(CONTROL!$C$22, $C$13, 100%, $E$13)</f>
        <v>11.8583</v>
      </c>
      <c r="G622" s="64">
        <f>11.8584 * CHOOSE(CONTROL!$C$22, $C$13, 100%, $E$13)</f>
        <v>11.8584</v>
      </c>
      <c r="H622" s="64">
        <f>19.8241* CHOOSE(CONTROL!$C$22, $C$13, 100%, $E$13)</f>
        <v>19.824100000000001</v>
      </c>
      <c r="I622" s="64">
        <f>19.8242 * CHOOSE(CONTROL!$C$22, $C$13, 100%, $E$13)</f>
        <v>19.824200000000001</v>
      </c>
      <c r="J622" s="64">
        <f>11.8583 * CHOOSE(CONTROL!$C$22, $C$13, 100%, $E$13)</f>
        <v>11.8583</v>
      </c>
      <c r="K622" s="64">
        <f>11.8584 * CHOOSE(CONTROL!$C$22, $C$13, 100%, $E$13)</f>
        <v>11.8584</v>
      </c>
    </row>
    <row r="623" spans="1:11" ht="15">
      <c r="A623" s="13">
        <v>60602</v>
      </c>
      <c r="B623" s="63">
        <f>10.1302 * CHOOSE(CONTROL!$C$22, $C$13, 100%, $E$13)</f>
        <v>10.1302</v>
      </c>
      <c r="C623" s="63">
        <f>10.1302 * CHOOSE(CONTROL!$C$22, $C$13, 100%, $E$13)</f>
        <v>10.1302</v>
      </c>
      <c r="D623" s="63">
        <f>10.1418 * CHOOSE(CONTROL!$C$22, $C$13, 100%, $E$13)</f>
        <v>10.1418</v>
      </c>
      <c r="E623" s="64">
        <f>11.791 * CHOOSE(CONTROL!$C$22, $C$13, 100%, $E$13)</f>
        <v>11.791</v>
      </c>
      <c r="F623" s="64">
        <f>11.791 * CHOOSE(CONTROL!$C$22, $C$13, 100%, $E$13)</f>
        <v>11.791</v>
      </c>
      <c r="G623" s="64">
        <f>11.7912 * CHOOSE(CONTROL!$C$22, $C$13, 100%, $E$13)</f>
        <v>11.7912</v>
      </c>
      <c r="H623" s="64">
        <f>19.8654* CHOOSE(CONTROL!$C$22, $C$13, 100%, $E$13)</f>
        <v>19.865400000000001</v>
      </c>
      <c r="I623" s="64">
        <f>19.8655 * CHOOSE(CONTROL!$C$22, $C$13, 100%, $E$13)</f>
        <v>19.865500000000001</v>
      </c>
      <c r="J623" s="64">
        <f>11.791 * CHOOSE(CONTROL!$C$22, $C$13, 100%, $E$13)</f>
        <v>11.791</v>
      </c>
      <c r="K623" s="64">
        <f>11.7912 * CHOOSE(CONTROL!$C$22, $C$13, 100%, $E$13)</f>
        <v>11.7912</v>
      </c>
    </row>
    <row r="624" spans="1:11" ht="15">
      <c r="A624" s="13">
        <v>60633</v>
      </c>
      <c r="B624" s="63">
        <f>10.1917 * CHOOSE(CONTROL!$C$22, $C$13, 100%, $E$13)</f>
        <v>10.191700000000001</v>
      </c>
      <c r="C624" s="63">
        <f>10.1917 * CHOOSE(CONTROL!$C$22, $C$13, 100%, $E$13)</f>
        <v>10.191700000000001</v>
      </c>
      <c r="D624" s="63">
        <f>10.2033 * CHOOSE(CONTROL!$C$22, $C$13, 100%, $E$13)</f>
        <v>10.2033</v>
      </c>
      <c r="E624" s="64">
        <f>11.9111 * CHOOSE(CONTROL!$C$22, $C$13, 100%, $E$13)</f>
        <v>11.911099999999999</v>
      </c>
      <c r="F624" s="64">
        <f>11.9111 * CHOOSE(CONTROL!$C$22, $C$13, 100%, $E$13)</f>
        <v>11.911099999999999</v>
      </c>
      <c r="G624" s="64">
        <f>11.9113 * CHOOSE(CONTROL!$C$22, $C$13, 100%, $E$13)</f>
        <v>11.911300000000001</v>
      </c>
      <c r="H624" s="64">
        <f>19.8617* CHOOSE(CONTROL!$C$22, $C$13, 100%, $E$13)</f>
        <v>19.861699999999999</v>
      </c>
      <c r="I624" s="64">
        <f>19.8618 * CHOOSE(CONTROL!$C$22, $C$13, 100%, $E$13)</f>
        <v>19.861799999999999</v>
      </c>
      <c r="J624" s="64">
        <f>11.9111 * CHOOSE(CONTROL!$C$22, $C$13, 100%, $E$13)</f>
        <v>11.911099999999999</v>
      </c>
      <c r="K624" s="64">
        <f>11.9113 * CHOOSE(CONTROL!$C$22, $C$13, 100%, $E$13)</f>
        <v>11.911300000000001</v>
      </c>
    </row>
    <row r="625" spans="1:11" ht="15">
      <c r="A625" s="13">
        <v>60664</v>
      </c>
      <c r="B625" s="63">
        <f>10.1887 * CHOOSE(CONTROL!$C$22, $C$13, 100%, $E$13)</f>
        <v>10.188700000000001</v>
      </c>
      <c r="C625" s="63">
        <f>10.1887 * CHOOSE(CONTROL!$C$22, $C$13, 100%, $E$13)</f>
        <v>10.188700000000001</v>
      </c>
      <c r="D625" s="63">
        <f>10.2002 * CHOOSE(CONTROL!$C$22, $C$13, 100%, $E$13)</f>
        <v>10.200200000000001</v>
      </c>
      <c r="E625" s="64">
        <f>11.7787 * CHOOSE(CONTROL!$C$22, $C$13, 100%, $E$13)</f>
        <v>11.778700000000001</v>
      </c>
      <c r="F625" s="64">
        <f>11.7787 * CHOOSE(CONTROL!$C$22, $C$13, 100%, $E$13)</f>
        <v>11.778700000000001</v>
      </c>
      <c r="G625" s="64">
        <f>11.7789 * CHOOSE(CONTROL!$C$22, $C$13, 100%, $E$13)</f>
        <v>11.7789</v>
      </c>
      <c r="H625" s="64">
        <f>19.903* CHOOSE(CONTROL!$C$22, $C$13, 100%, $E$13)</f>
        <v>19.902999999999999</v>
      </c>
      <c r="I625" s="64">
        <f>19.9032 * CHOOSE(CONTROL!$C$22, $C$13, 100%, $E$13)</f>
        <v>19.903199999999998</v>
      </c>
      <c r="J625" s="64">
        <f>11.7787 * CHOOSE(CONTROL!$C$22, $C$13, 100%, $E$13)</f>
        <v>11.778700000000001</v>
      </c>
      <c r="K625" s="64">
        <f>11.7789 * CHOOSE(CONTROL!$C$22, $C$13, 100%, $E$13)</f>
        <v>11.7789</v>
      </c>
    </row>
    <row r="626" spans="1:11" ht="15">
      <c r="A626" s="13">
        <v>60692</v>
      </c>
      <c r="B626" s="63">
        <f>10.1856 * CHOOSE(CONTROL!$C$22, $C$13, 100%, $E$13)</f>
        <v>10.185600000000001</v>
      </c>
      <c r="C626" s="63">
        <f>10.1856 * CHOOSE(CONTROL!$C$22, $C$13, 100%, $E$13)</f>
        <v>10.185600000000001</v>
      </c>
      <c r="D626" s="63">
        <f>10.1972 * CHOOSE(CONTROL!$C$22, $C$13, 100%, $E$13)</f>
        <v>10.1972</v>
      </c>
      <c r="E626" s="64">
        <f>11.8793 * CHOOSE(CONTROL!$C$22, $C$13, 100%, $E$13)</f>
        <v>11.879300000000001</v>
      </c>
      <c r="F626" s="64">
        <f>11.8793 * CHOOSE(CONTROL!$C$22, $C$13, 100%, $E$13)</f>
        <v>11.879300000000001</v>
      </c>
      <c r="G626" s="64">
        <f>11.8794 * CHOOSE(CONTROL!$C$22, $C$13, 100%, $E$13)</f>
        <v>11.8794</v>
      </c>
      <c r="H626" s="64">
        <f>19.9445* CHOOSE(CONTROL!$C$22, $C$13, 100%, $E$13)</f>
        <v>19.944500000000001</v>
      </c>
      <c r="I626" s="64">
        <f>19.9447 * CHOOSE(CONTROL!$C$22, $C$13, 100%, $E$13)</f>
        <v>19.944700000000001</v>
      </c>
      <c r="J626" s="64">
        <f>11.8793 * CHOOSE(CONTROL!$C$22, $C$13, 100%, $E$13)</f>
        <v>11.879300000000001</v>
      </c>
      <c r="K626" s="64">
        <f>11.8794 * CHOOSE(CONTROL!$C$22, $C$13, 100%, $E$13)</f>
        <v>11.8794</v>
      </c>
    </row>
    <row r="627" spans="1:11" ht="15">
      <c r="A627" s="13">
        <v>60723</v>
      </c>
      <c r="B627" s="63">
        <f>10.1886 * CHOOSE(CONTROL!$C$22, $C$13, 100%, $E$13)</f>
        <v>10.188599999999999</v>
      </c>
      <c r="C627" s="63">
        <f>10.1886 * CHOOSE(CONTROL!$C$22, $C$13, 100%, $E$13)</f>
        <v>10.188599999999999</v>
      </c>
      <c r="D627" s="63">
        <f>10.2002 * CHOOSE(CONTROL!$C$22, $C$13, 100%, $E$13)</f>
        <v>10.200200000000001</v>
      </c>
      <c r="E627" s="64">
        <f>11.9853 * CHOOSE(CONTROL!$C$22, $C$13, 100%, $E$13)</f>
        <v>11.985300000000001</v>
      </c>
      <c r="F627" s="64">
        <f>11.9853 * CHOOSE(CONTROL!$C$22, $C$13, 100%, $E$13)</f>
        <v>11.985300000000001</v>
      </c>
      <c r="G627" s="64">
        <f>11.9855 * CHOOSE(CONTROL!$C$22, $C$13, 100%, $E$13)</f>
        <v>11.9855</v>
      </c>
      <c r="H627" s="64">
        <f>19.986* CHOOSE(CONTROL!$C$22, $C$13, 100%, $E$13)</f>
        <v>19.986000000000001</v>
      </c>
      <c r="I627" s="64">
        <f>19.9862 * CHOOSE(CONTROL!$C$22, $C$13, 100%, $E$13)</f>
        <v>19.9862</v>
      </c>
      <c r="J627" s="64">
        <f>11.9853 * CHOOSE(CONTROL!$C$22, $C$13, 100%, $E$13)</f>
        <v>11.985300000000001</v>
      </c>
      <c r="K627" s="64">
        <f>11.9855 * CHOOSE(CONTROL!$C$22, $C$13, 100%, $E$13)</f>
        <v>11.9855</v>
      </c>
    </row>
    <row r="628" spans="1:11" ht="15">
      <c r="A628" s="13">
        <v>60753</v>
      </c>
      <c r="B628" s="63">
        <f>10.1886 * CHOOSE(CONTROL!$C$22, $C$13, 100%, $E$13)</f>
        <v>10.188599999999999</v>
      </c>
      <c r="C628" s="63">
        <f>10.1886 * CHOOSE(CONTROL!$C$22, $C$13, 100%, $E$13)</f>
        <v>10.188599999999999</v>
      </c>
      <c r="D628" s="63">
        <f>10.2117 * CHOOSE(CONTROL!$C$22, $C$13, 100%, $E$13)</f>
        <v>10.2117</v>
      </c>
      <c r="E628" s="64">
        <f>12.0267 * CHOOSE(CONTROL!$C$22, $C$13, 100%, $E$13)</f>
        <v>12.0267</v>
      </c>
      <c r="F628" s="64">
        <f>12.0267 * CHOOSE(CONTROL!$C$22, $C$13, 100%, $E$13)</f>
        <v>12.0267</v>
      </c>
      <c r="G628" s="64">
        <f>12.0282 * CHOOSE(CONTROL!$C$22, $C$13, 100%, $E$13)</f>
        <v>12.0282</v>
      </c>
      <c r="H628" s="64">
        <f>20.0277* CHOOSE(CONTROL!$C$22, $C$13, 100%, $E$13)</f>
        <v>20.027699999999999</v>
      </c>
      <c r="I628" s="64">
        <f>20.0292 * CHOOSE(CONTROL!$C$22, $C$13, 100%, $E$13)</f>
        <v>20.029199999999999</v>
      </c>
      <c r="J628" s="64">
        <f>12.0267 * CHOOSE(CONTROL!$C$22, $C$13, 100%, $E$13)</f>
        <v>12.0267</v>
      </c>
      <c r="K628" s="64">
        <f>12.0282 * CHOOSE(CONTROL!$C$22, $C$13, 100%, $E$13)</f>
        <v>12.0282</v>
      </c>
    </row>
    <row r="629" spans="1:11" ht="15">
      <c r="A629" s="13">
        <v>60784</v>
      </c>
      <c r="B629" s="63">
        <f>10.1947 * CHOOSE(CONTROL!$C$22, $C$13, 100%, $E$13)</f>
        <v>10.194699999999999</v>
      </c>
      <c r="C629" s="63">
        <f>10.1947 * CHOOSE(CONTROL!$C$22, $C$13, 100%, $E$13)</f>
        <v>10.194699999999999</v>
      </c>
      <c r="D629" s="63">
        <f>10.2178 * CHOOSE(CONTROL!$C$22, $C$13, 100%, $E$13)</f>
        <v>10.2178</v>
      </c>
      <c r="E629" s="64">
        <f>11.9896 * CHOOSE(CONTROL!$C$22, $C$13, 100%, $E$13)</f>
        <v>11.989599999999999</v>
      </c>
      <c r="F629" s="64">
        <f>11.9896 * CHOOSE(CONTROL!$C$22, $C$13, 100%, $E$13)</f>
        <v>11.989599999999999</v>
      </c>
      <c r="G629" s="64">
        <f>11.991 * CHOOSE(CONTROL!$C$22, $C$13, 100%, $E$13)</f>
        <v>11.991</v>
      </c>
      <c r="H629" s="64">
        <f>20.0694* CHOOSE(CONTROL!$C$22, $C$13, 100%, $E$13)</f>
        <v>20.069400000000002</v>
      </c>
      <c r="I629" s="64">
        <f>20.0709 * CHOOSE(CONTROL!$C$22, $C$13, 100%, $E$13)</f>
        <v>20.070900000000002</v>
      </c>
      <c r="J629" s="64">
        <f>11.9896 * CHOOSE(CONTROL!$C$22, $C$13, 100%, $E$13)</f>
        <v>11.989599999999999</v>
      </c>
      <c r="K629" s="64">
        <f>11.991 * CHOOSE(CONTROL!$C$22, $C$13, 100%, $E$13)</f>
        <v>11.991</v>
      </c>
    </row>
    <row r="630" spans="1:11" ht="15">
      <c r="A630" s="13">
        <v>60814</v>
      </c>
      <c r="B630" s="63">
        <f>10.3574 * CHOOSE(CONTROL!$C$22, $C$13, 100%, $E$13)</f>
        <v>10.3574</v>
      </c>
      <c r="C630" s="63">
        <f>10.3574 * CHOOSE(CONTROL!$C$22, $C$13, 100%, $E$13)</f>
        <v>10.3574</v>
      </c>
      <c r="D630" s="63">
        <f>10.3805 * CHOOSE(CONTROL!$C$22, $C$13, 100%, $E$13)</f>
        <v>10.3805</v>
      </c>
      <c r="E630" s="64">
        <f>12.2207 * CHOOSE(CONTROL!$C$22, $C$13, 100%, $E$13)</f>
        <v>12.220700000000001</v>
      </c>
      <c r="F630" s="64">
        <f>12.2207 * CHOOSE(CONTROL!$C$22, $C$13, 100%, $E$13)</f>
        <v>12.220700000000001</v>
      </c>
      <c r="G630" s="64">
        <f>12.2222 * CHOOSE(CONTROL!$C$22, $C$13, 100%, $E$13)</f>
        <v>12.222200000000001</v>
      </c>
      <c r="H630" s="64">
        <f>20.1112* CHOOSE(CONTROL!$C$22, $C$13, 100%, $E$13)</f>
        <v>20.1112</v>
      </c>
      <c r="I630" s="64">
        <f>20.1127 * CHOOSE(CONTROL!$C$22, $C$13, 100%, $E$13)</f>
        <v>20.1127</v>
      </c>
      <c r="J630" s="64">
        <f>12.2207 * CHOOSE(CONTROL!$C$22, $C$13, 100%, $E$13)</f>
        <v>12.220700000000001</v>
      </c>
      <c r="K630" s="64">
        <f>12.2222 * CHOOSE(CONTROL!$C$22, $C$13, 100%, $E$13)</f>
        <v>12.222200000000001</v>
      </c>
    </row>
    <row r="631" spans="1:11" ht="15">
      <c r="A631" s="13">
        <v>60845</v>
      </c>
      <c r="B631" s="63">
        <f>10.364 * CHOOSE(CONTROL!$C$22, $C$13, 100%, $E$13)</f>
        <v>10.364000000000001</v>
      </c>
      <c r="C631" s="63">
        <f>10.364 * CHOOSE(CONTROL!$C$22, $C$13, 100%, $E$13)</f>
        <v>10.364000000000001</v>
      </c>
      <c r="D631" s="63">
        <f>10.3871 * CHOOSE(CONTROL!$C$22, $C$13, 100%, $E$13)</f>
        <v>10.3871</v>
      </c>
      <c r="E631" s="64">
        <f>12.1013 * CHOOSE(CONTROL!$C$22, $C$13, 100%, $E$13)</f>
        <v>12.1013</v>
      </c>
      <c r="F631" s="64">
        <f>12.1013 * CHOOSE(CONTROL!$C$22, $C$13, 100%, $E$13)</f>
        <v>12.1013</v>
      </c>
      <c r="G631" s="64">
        <f>12.1028 * CHOOSE(CONTROL!$C$22, $C$13, 100%, $E$13)</f>
        <v>12.1028</v>
      </c>
      <c r="H631" s="64">
        <f>20.1531* CHOOSE(CONTROL!$C$22, $C$13, 100%, $E$13)</f>
        <v>20.153099999999998</v>
      </c>
      <c r="I631" s="64">
        <f>20.1546 * CHOOSE(CONTROL!$C$22, $C$13, 100%, $E$13)</f>
        <v>20.154599999999999</v>
      </c>
      <c r="J631" s="64">
        <f>12.1013 * CHOOSE(CONTROL!$C$22, $C$13, 100%, $E$13)</f>
        <v>12.1013</v>
      </c>
      <c r="K631" s="64">
        <f>12.1028 * CHOOSE(CONTROL!$C$22, $C$13, 100%, $E$13)</f>
        <v>12.1028</v>
      </c>
    </row>
    <row r="632" spans="1:11" ht="15">
      <c r="A632" s="13">
        <v>60876</v>
      </c>
      <c r="B632" s="63">
        <f>10.361 * CHOOSE(CONTROL!$C$22, $C$13, 100%, $E$13)</f>
        <v>10.361000000000001</v>
      </c>
      <c r="C632" s="63">
        <f>10.361 * CHOOSE(CONTROL!$C$22, $C$13, 100%, $E$13)</f>
        <v>10.361000000000001</v>
      </c>
      <c r="D632" s="63">
        <f>10.3841 * CHOOSE(CONTROL!$C$22, $C$13, 100%, $E$13)</f>
        <v>10.3841</v>
      </c>
      <c r="E632" s="64">
        <f>12.0854 * CHOOSE(CONTROL!$C$22, $C$13, 100%, $E$13)</f>
        <v>12.0854</v>
      </c>
      <c r="F632" s="64">
        <f>12.0854 * CHOOSE(CONTROL!$C$22, $C$13, 100%, $E$13)</f>
        <v>12.0854</v>
      </c>
      <c r="G632" s="64">
        <f>12.0869 * CHOOSE(CONTROL!$C$22, $C$13, 100%, $E$13)</f>
        <v>12.0869</v>
      </c>
      <c r="H632" s="64">
        <f>20.1951* CHOOSE(CONTROL!$C$22, $C$13, 100%, $E$13)</f>
        <v>20.1951</v>
      </c>
      <c r="I632" s="64">
        <f>20.1966 * CHOOSE(CONTROL!$C$22, $C$13, 100%, $E$13)</f>
        <v>20.1966</v>
      </c>
      <c r="J632" s="64">
        <f>12.0854 * CHOOSE(CONTROL!$C$22, $C$13, 100%, $E$13)</f>
        <v>12.0854</v>
      </c>
      <c r="K632" s="64">
        <f>12.0869 * CHOOSE(CONTROL!$C$22, $C$13, 100%, $E$13)</f>
        <v>12.0869</v>
      </c>
    </row>
    <row r="633" spans="1:11" ht="15">
      <c r="A633" s="13">
        <v>60906</v>
      </c>
      <c r="B633" s="63">
        <f>10.3772 * CHOOSE(CONTROL!$C$22, $C$13, 100%, $E$13)</f>
        <v>10.3772</v>
      </c>
      <c r="C633" s="63">
        <f>10.3772 * CHOOSE(CONTROL!$C$22, $C$13, 100%, $E$13)</f>
        <v>10.3772</v>
      </c>
      <c r="D633" s="63">
        <f>10.3887 * CHOOSE(CONTROL!$C$22, $C$13, 100%, $E$13)</f>
        <v>10.3887</v>
      </c>
      <c r="E633" s="64">
        <f>12.1271 * CHOOSE(CONTROL!$C$22, $C$13, 100%, $E$13)</f>
        <v>12.1271</v>
      </c>
      <c r="F633" s="64">
        <f>12.1271 * CHOOSE(CONTROL!$C$22, $C$13, 100%, $E$13)</f>
        <v>12.1271</v>
      </c>
      <c r="G633" s="64">
        <f>12.1273 * CHOOSE(CONTROL!$C$22, $C$13, 100%, $E$13)</f>
        <v>12.1273</v>
      </c>
      <c r="H633" s="64">
        <f>20.2372* CHOOSE(CONTROL!$C$22, $C$13, 100%, $E$13)</f>
        <v>20.237200000000001</v>
      </c>
      <c r="I633" s="64">
        <f>20.2374 * CHOOSE(CONTROL!$C$22, $C$13, 100%, $E$13)</f>
        <v>20.237400000000001</v>
      </c>
      <c r="J633" s="64">
        <f>12.1271 * CHOOSE(CONTROL!$C$22, $C$13, 100%, $E$13)</f>
        <v>12.1271</v>
      </c>
      <c r="K633" s="64">
        <f>12.1273 * CHOOSE(CONTROL!$C$22, $C$13, 100%, $E$13)</f>
        <v>12.1273</v>
      </c>
    </row>
    <row r="634" spans="1:11" ht="15">
      <c r="A634" s="13">
        <v>60937</v>
      </c>
      <c r="B634" s="63">
        <f>10.3802 * CHOOSE(CONTROL!$C$22, $C$13, 100%, $E$13)</f>
        <v>10.3802</v>
      </c>
      <c r="C634" s="63">
        <f>10.3802 * CHOOSE(CONTROL!$C$22, $C$13, 100%, $E$13)</f>
        <v>10.3802</v>
      </c>
      <c r="D634" s="63">
        <f>10.3918 * CHOOSE(CONTROL!$C$22, $C$13, 100%, $E$13)</f>
        <v>10.3918</v>
      </c>
      <c r="E634" s="64">
        <f>12.1568 * CHOOSE(CONTROL!$C$22, $C$13, 100%, $E$13)</f>
        <v>12.1568</v>
      </c>
      <c r="F634" s="64">
        <f>12.1568 * CHOOSE(CONTROL!$C$22, $C$13, 100%, $E$13)</f>
        <v>12.1568</v>
      </c>
      <c r="G634" s="64">
        <f>12.157 * CHOOSE(CONTROL!$C$22, $C$13, 100%, $E$13)</f>
        <v>12.157</v>
      </c>
      <c r="H634" s="64">
        <f>20.2793* CHOOSE(CONTROL!$C$22, $C$13, 100%, $E$13)</f>
        <v>20.279299999999999</v>
      </c>
      <c r="I634" s="64">
        <f>20.2795 * CHOOSE(CONTROL!$C$22, $C$13, 100%, $E$13)</f>
        <v>20.279499999999999</v>
      </c>
      <c r="J634" s="64">
        <f>12.1568 * CHOOSE(CONTROL!$C$22, $C$13, 100%, $E$13)</f>
        <v>12.1568</v>
      </c>
      <c r="K634" s="64">
        <f>12.157 * CHOOSE(CONTROL!$C$22, $C$13, 100%, $E$13)</f>
        <v>12.157</v>
      </c>
    </row>
    <row r="635" spans="1:11" ht="15">
      <c r="A635" s="13">
        <v>60967</v>
      </c>
      <c r="B635" s="63">
        <f>10.3802 * CHOOSE(CONTROL!$C$22, $C$13, 100%, $E$13)</f>
        <v>10.3802</v>
      </c>
      <c r="C635" s="63">
        <f>10.3802 * CHOOSE(CONTROL!$C$22, $C$13, 100%, $E$13)</f>
        <v>10.3802</v>
      </c>
      <c r="D635" s="63">
        <f>10.3918 * CHOOSE(CONTROL!$C$22, $C$13, 100%, $E$13)</f>
        <v>10.3918</v>
      </c>
      <c r="E635" s="64">
        <f>12.0879 * CHOOSE(CONTROL!$C$22, $C$13, 100%, $E$13)</f>
        <v>12.087899999999999</v>
      </c>
      <c r="F635" s="64">
        <f>12.0879 * CHOOSE(CONTROL!$C$22, $C$13, 100%, $E$13)</f>
        <v>12.087899999999999</v>
      </c>
      <c r="G635" s="64">
        <f>12.088 * CHOOSE(CONTROL!$C$22, $C$13, 100%, $E$13)</f>
        <v>12.087999999999999</v>
      </c>
      <c r="H635" s="64">
        <f>20.3216* CHOOSE(CONTROL!$C$22, $C$13, 100%, $E$13)</f>
        <v>20.3216</v>
      </c>
      <c r="I635" s="64">
        <f>20.3218 * CHOOSE(CONTROL!$C$22, $C$13, 100%, $E$13)</f>
        <v>20.3218</v>
      </c>
      <c r="J635" s="64">
        <f>12.0879 * CHOOSE(CONTROL!$C$22, $C$13, 100%, $E$13)</f>
        <v>12.087899999999999</v>
      </c>
      <c r="K635" s="64">
        <f>12.088 * CHOOSE(CONTROL!$C$22, $C$13, 100%, $E$13)</f>
        <v>12.087999999999999</v>
      </c>
    </row>
    <row r="636" spans="1:11" ht="15">
      <c r="A636" s="13">
        <v>60998</v>
      </c>
      <c r="B636" s="63">
        <f>10.437 * CHOOSE(CONTROL!$C$22, $C$13, 100%, $E$13)</f>
        <v>10.436999999999999</v>
      </c>
      <c r="C636" s="63">
        <f>10.437 * CHOOSE(CONTROL!$C$22, $C$13, 100%, $E$13)</f>
        <v>10.436999999999999</v>
      </c>
      <c r="D636" s="63">
        <f>10.4486 * CHOOSE(CONTROL!$C$22, $C$13, 100%, $E$13)</f>
        <v>10.448600000000001</v>
      </c>
      <c r="E636" s="64">
        <f>12.2035 * CHOOSE(CONTROL!$C$22, $C$13, 100%, $E$13)</f>
        <v>12.2035</v>
      </c>
      <c r="F636" s="64">
        <f>12.2035 * CHOOSE(CONTROL!$C$22, $C$13, 100%, $E$13)</f>
        <v>12.2035</v>
      </c>
      <c r="G636" s="64">
        <f>12.2037 * CHOOSE(CONTROL!$C$22, $C$13, 100%, $E$13)</f>
        <v>12.2037</v>
      </c>
      <c r="H636" s="64">
        <f>20.3075* CHOOSE(CONTROL!$C$22, $C$13, 100%, $E$13)</f>
        <v>20.307500000000001</v>
      </c>
      <c r="I636" s="64">
        <f>20.3077 * CHOOSE(CONTROL!$C$22, $C$13, 100%, $E$13)</f>
        <v>20.307700000000001</v>
      </c>
      <c r="J636" s="64">
        <f>12.2035 * CHOOSE(CONTROL!$C$22, $C$13, 100%, $E$13)</f>
        <v>12.2035</v>
      </c>
      <c r="K636" s="64">
        <f>12.2037 * CHOOSE(CONTROL!$C$22, $C$13, 100%, $E$13)</f>
        <v>12.2037</v>
      </c>
    </row>
    <row r="637" spans="1:11" ht="15">
      <c r="A637" s="13">
        <v>61029</v>
      </c>
      <c r="B637" s="63">
        <f>10.434 * CHOOSE(CONTROL!$C$22, $C$13, 100%, $E$13)</f>
        <v>10.433999999999999</v>
      </c>
      <c r="C637" s="63">
        <f>10.434 * CHOOSE(CONTROL!$C$22, $C$13, 100%, $E$13)</f>
        <v>10.433999999999999</v>
      </c>
      <c r="D637" s="63">
        <f>10.4455 * CHOOSE(CONTROL!$C$22, $C$13, 100%, $E$13)</f>
        <v>10.445499999999999</v>
      </c>
      <c r="E637" s="64">
        <f>12.0679 * CHOOSE(CONTROL!$C$22, $C$13, 100%, $E$13)</f>
        <v>12.0679</v>
      </c>
      <c r="F637" s="64">
        <f>12.0679 * CHOOSE(CONTROL!$C$22, $C$13, 100%, $E$13)</f>
        <v>12.0679</v>
      </c>
      <c r="G637" s="64">
        <f>12.0681 * CHOOSE(CONTROL!$C$22, $C$13, 100%, $E$13)</f>
        <v>12.068099999999999</v>
      </c>
      <c r="H637" s="64">
        <f>20.3499* CHOOSE(CONTROL!$C$22, $C$13, 100%, $E$13)</f>
        <v>20.349900000000002</v>
      </c>
      <c r="I637" s="64">
        <f>20.35 * CHOOSE(CONTROL!$C$22, $C$13, 100%, $E$13)</f>
        <v>20.350000000000001</v>
      </c>
      <c r="J637" s="64">
        <f>12.0679 * CHOOSE(CONTROL!$C$22, $C$13, 100%, $E$13)</f>
        <v>12.0679</v>
      </c>
      <c r="K637" s="64">
        <f>12.0681 * CHOOSE(CONTROL!$C$22, $C$13, 100%, $E$13)</f>
        <v>12.068099999999999</v>
      </c>
    </row>
    <row r="638" spans="1:11" ht="15">
      <c r="A638" s="13">
        <v>61057</v>
      </c>
      <c r="B638" s="63">
        <f>10.4309 * CHOOSE(CONTROL!$C$22, $C$13, 100%, $E$13)</f>
        <v>10.430899999999999</v>
      </c>
      <c r="C638" s="63">
        <f>10.4309 * CHOOSE(CONTROL!$C$22, $C$13, 100%, $E$13)</f>
        <v>10.430899999999999</v>
      </c>
      <c r="D638" s="63">
        <f>10.4425 * CHOOSE(CONTROL!$C$22, $C$13, 100%, $E$13)</f>
        <v>10.442500000000001</v>
      </c>
      <c r="E638" s="64">
        <f>12.171 * CHOOSE(CONTROL!$C$22, $C$13, 100%, $E$13)</f>
        <v>12.170999999999999</v>
      </c>
      <c r="F638" s="64">
        <f>12.171 * CHOOSE(CONTROL!$C$22, $C$13, 100%, $E$13)</f>
        <v>12.170999999999999</v>
      </c>
      <c r="G638" s="64">
        <f>12.1712 * CHOOSE(CONTROL!$C$22, $C$13, 100%, $E$13)</f>
        <v>12.171200000000001</v>
      </c>
      <c r="H638" s="64">
        <f>20.3922* CHOOSE(CONTROL!$C$22, $C$13, 100%, $E$13)</f>
        <v>20.392199999999999</v>
      </c>
      <c r="I638" s="64">
        <f>20.3924 * CHOOSE(CONTROL!$C$22, $C$13, 100%, $E$13)</f>
        <v>20.392399999999999</v>
      </c>
      <c r="J638" s="64">
        <f>12.171 * CHOOSE(CONTROL!$C$22, $C$13, 100%, $E$13)</f>
        <v>12.170999999999999</v>
      </c>
      <c r="K638" s="64">
        <f>12.1712 * CHOOSE(CONTROL!$C$22, $C$13, 100%, $E$13)</f>
        <v>12.171200000000001</v>
      </c>
    </row>
    <row r="639" spans="1:11" ht="15">
      <c r="A639" s="13">
        <v>61088</v>
      </c>
      <c r="B639" s="63">
        <f>10.4341 * CHOOSE(CONTROL!$C$22, $C$13, 100%, $E$13)</f>
        <v>10.434100000000001</v>
      </c>
      <c r="C639" s="63">
        <f>10.4341 * CHOOSE(CONTROL!$C$22, $C$13, 100%, $E$13)</f>
        <v>10.434100000000001</v>
      </c>
      <c r="D639" s="63">
        <f>10.4457 * CHOOSE(CONTROL!$C$22, $C$13, 100%, $E$13)</f>
        <v>10.4457</v>
      </c>
      <c r="E639" s="64">
        <f>12.2798 * CHOOSE(CONTROL!$C$22, $C$13, 100%, $E$13)</f>
        <v>12.2798</v>
      </c>
      <c r="F639" s="64">
        <f>12.2798 * CHOOSE(CONTROL!$C$22, $C$13, 100%, $E$13)</f>
        <v>12.2798</v>
      </c>
      <c r="G639" s="64">
        <f>12.2799 * CHOOSE(CONTROL!$C$22, $C$13, 100%, $E$13)</f>
        <v>12.2799</v>
      </c>
      <c r="H639" s="64">
        <f>20.4347* CHOOSE(CONTROL!$C$22, $C$13, 100%, $E$13)</f>
        <v>20.434699999999999</v>
      </c>
      <c r="I639" s="64">
        <f>20.4349 * CHOOSE(CONTROL!$C$22, $C$13, 100%, $E$13)</f>
        <v>20.434899999999999</v>
      </c>
      <c r="J639" s="64">
        <f>12.2798 * CHOOSE(CONTROL!$C$22, $C$13, 100%, $E$13)</f>
        <v>12.2798</v>
      </c>
      <c r="K639" s="64">
        <f>12.2799 * CHOOSE(CONTROL!$C$22, $C$13, 100%, $E$13)</f>
        <v>12.2799</v>
      </c>
    </row>
    <row r="640" spans="1:11" ht="15">
      <c r="A640" s="13">
        <v>61118</v>
      </c>
      <c r="B640" s="63">
        <f>10.4341 * CHOOSE(CONTROL!$C$22, $C$13, 100%, $E$13)</f>
        <v>10.434100000000001</v>
      </c>
      <c r="C640" s="63">
        <f>10.4341 * CHOOSE(CONTROL!$C$22, $C$13, 100%, $E$13)</f>
        <v>10.434100000000001</v>
      </c>
      <c r="D640" s="63">
        <f>10.4573 * CHOOSE(CONTROL!$C$22, $C$13, 100%, $E$13)</f>
        <v>10.4573</v>
      </c>
      <c r="E640" s="64">
        <f>12.3221 * CHOOSE(CONTROL!$C$22, $C$13, 100%, $E$13)</f>
        <v>12.322100000000001</v>
      </c>
      <c r="F640" s="64">
        <f>12.3221 * CHOOSE(CONTROL!$C$22, $C$13, 100%, $E$13)</f>
        <v>12.322100000000001</v>
      </c>
      <c r="G640" s="64">
        <f>12.3236 * CHOOSE(CONTROL!$C$22, $C$13, 100%, $E$13)</f>
        <v>12.323600000000001</v>
      </c>
      <c r="H640" s="64">
        <f>20.4773* CHOOSE(CONTROL!$C$22, $C$13, 100%, $E$13)</f>
        <v>20.4773</v>
      </c>
      <c r="I640" s="64">
        <f>20.4788 * CHOOSE(CONTROL!$C$22, $C$13, 100%, $E$13)</f>
        <v>20.4788</v>
      </c>
      <c r="J640" s="64">
        <f>12.3221 * CHOOSE(CONTROL!$C$22, $C$13, 100%, $E$13)</f>
        <v>12.322100000000001</v>
      </c>
      <c r="K640" s="64">
        <f>12.3236 * CHOOSE(CONTROL!$C$22, $C$13, 100%, $E$13)</f>
        <v>12.323600000000001</v>
      </c>
    </row>
    <row r="641" spans="1:11" ht="15">
      <c r="A641" s="13">
        <v>61149</v>
      </c>
      <c r="B641" s="63">
        <f>10.4402 * CHOOSE(CONTROL!$C$22, $C$13, 100%, $E$13)</f>
        <v>10.440200000000001</v>
      </c>
      <c r="C641" s="63">
        <f>10.4402 * CHOOSE(CONTROL!$C$22, $C$13, 100%, $E$13)</f>
        <v>10.440200000000001</v>
      </c>
      <c r="D641" s="63">
        <f>10.4633 * CHOOSE(CONTROL!$C$22, $C$13, 100%, $E$13)</f>
        <v>10.4633</v>
      </c>
      <c r="E641" s="64">
        <f>12.284 * CHOOSE(CONTROL!$C$22, $C$13, 100%, $E$13)</f>
        <v>12.284000000000001</v>
      </c>
      <c r="F641" s="64">
        <f>12.284 * CHOOSE(CONTROL!$C$22, $C$13, 100%, $E$13)</f>
        <v>12.284000000000001</v>
      </c>
      <c r="G641" s="64">
        <f>12.2855 * CHOOSE(CONTROL!$C$22, $C$13, 100%, $E$13)</f>
        <v>12.285500000000001</v>
      </c>
      <c r="H641" s="64">
        <f>20.52* CHOOSE(CONTROL!$C$22, $C$13, 100%, $E$13)</f>
        <v>20.52</v>
      </c>
      <c r="I641" s="64">
        <f>20.5215 * CHOOSE(CONTROL!$C$22, $C$13, 100%, $E$13)</f>
        <v>20.5215</v>
      </c>
      <c r="J641" s="64">
        <f>12.284 * CHOOSE(CONTROL!$C$22, $C$13, 100%, $E$13)</f>
        <v>12.284000000000001</v>
      </c>
      <c r="K641" s="64">
        <f>12.2855 * CHOOSE(CONTROL!$C$22, $C$13, 100%, $E$13)</f>
        <v>12.285500000000001</v>
      </c>
    </row>
    <row r="642" spans="1:11" ht="15">
      <c r="A642" s="13">
        <v>61179</v>
      </c>
      <c r="B642" s="63">
        <f>10.6066 * CHOOSE(CONTROL!$C$22, $C$13, 100%, $E$13)</f>
        <v>10.6066</v>
      </c>
      <c r="C642" s="63">
        <f>10.6066 * CHOOSE(CONTROL!$C$22, $C$13, 100%, $E$13)</f>
        <v>10.6066</v>
      </c>
      <c r="D642" s="63">
        <f>10.6297 * CHOOSE(CONTROL!$C$22, $C$13, 100%, $E$13)</f>
        <v>10.6297</v>
      </c>
      <c r="E642" s="64">
        <f>12.5206 * CHOOSE(CONTROL!$C$22, $C$13, 100%, $E$13)</f>
        <v>12.5206</v>
      </c>
      <c r="F642" s="64">
        <f>12.5206 * CHOOSE(CONTROL!$C$22, $C$13, 100%, $E$13)</f>
        <v>12.5206</v>
      </c>
      <c r="G642" s="64">
        <f>12.5221 * CHOOSE(CONTROL!$C$22, $C$13, 100%, $E$13)</f>
        <v>12.5221</v>
      </c>
      <c r="H642" s="64">
        <f>20.5627* CHOOSE(CONTROL!$C$22, $C$13, 100%, $E$13)</f>
        <v>20.5627</v>
      </c>
      <c r="I642" s="64">
        <f>20.5642 * CHOOSE(CONTROL!$C$22, $C$13, 100%, $E$13)</f>
        <v>20.5642</v>
      </c>
      <c r="J642" s="64">
        <f>12.5206 * CHOOSE(CONTROL!$C$22, $C$13, 100%, $E$13)</f>
        <v>12.5206</v>
      </c>
      <c r="K642" s="64">
        <f>12.5221 * CHOOSE(CONTROL!$C$22, $C$13, 100%, $E$13)</f>
        <v>12.5221</v>
      </c>
    </row>
    <row r="643" spans="1:11" ht="15">
      <c r="A643" s="13">
        <v>61210</v>
      </c>
      <c r="B643" s="63">
        <f>10.6133 * CHOOSE(CONTROL!$C$22, $C$13, 100%, $E$13)</f>
        <v>10.613300000000001</v>
      </c>
      <c r="C643" s="63">
        <f>10.6133 * CHOOSE(CONTROL!$C$22, $C$13, 100%, $E$13)</f>
        <v>10.613300000000001</v>
      </c>
      <c r="D643" s="63">
        <f>10.6364 * CHOOSE(CONTROL!$C$22, $C$13, 100%, $E$13)</f>
        <v>10.6364</v>
      </c>
      <c r="E643" s="64">
        <f>12.3981 * CHOOSE(CONTROL!$C$22, $C$13, 100%, $E$13)</f>
        <v>12.398099999999999</v>
      </c>
      <c r="F643" s="64">
        <f>12.3981 * CHOOSE(CONTROL!$C$22, $C$13, 100%, $E$13)</f>
        <v>12.398099999999999</v>
      </c>
      <c r="G643" s="64">
        <f>12.3996 * CHOOSE(CONTROL!$C$22, $C$13, 100%, $E$13)</f>
        <v>12.3996</v>
      </c>
      <c r="H643" s="64">
        <f>20.6056* CHOOSE(CONTROL!$C$22, $C$13, 100%, $E$13)</f>
        <v>20.605599999999999</v>
      </c>
      <c r="I643" s="64">
        <f>20.607 * CHOOSE(CONTROL!$C$22, $C$13, 100%, $E$13)</f>
        <v>20.606999999999999</v>
      </c>
      <c r="J643" s="64">
        <f>12.3981 * CHOOSE(CONTROL!$C$22, $C$13, 100%, $E$13)</f>
        <v>12.398099999999999</v>
      </c>
      <c r="K643" s="64">
        <f>12.3996 * CHOOSE(CONTROL!$C$22, $C$13, 100%, $E$13)</f>
        <v>12.3996</v>
      </c>
    </row>
    <row r="644" spans="1:11" ht="15">
      <c r="A644" s="13">
        <v>61241</v>
      </c>
      <c r="B644" s="63">
        <f>10.6102 * CHOOSE(CONTROL!$C$22, $C$13, 100%, $E$13)</f>
        <v>10.610200000000001</v>
      </c>
      <c r="C644" s="63">
        <f>10.6102 * CHOOSE(CONTROL!$C$22, $C$13, 100%, $E$13)</f>
        <v>10.610200000000001</v>
      </c>
      <c r="D644" s="63">
        <f>10.6333 * CHOOSE(CONTROL!$C$22, $C$13, 100%, $E$13)</f>
        <v>10.6333</v>
      </c>
      <c r="E644" s="64">
        <f>12.3819 * CHOOSE(CONTROL!$C$22, $C$13, 100%, $E$13)</f>
        <v>12.3819</v>
      </c>
      <c r="F644" s="64">
        <f>12.3819 * CHOOSE(CONTROL!$C$22, $C$13, 100%, $E$13)</f>
        <v>12.3819</v>
      </c>
      <c r="G644" s="64">
        <f>12.3834 * CHOOSE(CONTROL!$C$22, $C$13, 100%, $E$13)</f>
        <v>12.3834</v>
      </c>
      <c r="H644" s="64">
        <f>20.6485* CHOOSE(CONTROL!$C$22, $C$13, 100%, $E$13)</f>
        <v>20.648499999999999</v>
      </c>
      <c r="I644" s="64">
        <f>20.65 * CHOOSE(CONTROL!$C$22, $C$13, 100%, $E$13)</f>
        <v>20.65</v>
      </c>
      <c r="J644" s="64">
        <f>12.3819 * CHOOSE(CONTROL!$C$22, $C$13, 100%, $E$13)</f>
        <v>12.3819</v>
      </c>
      <c r="K644" s="64">
        <f>12.3834 * CHOOSE(CONTROL!$C$22, $C$13, 100%, $E$13)</f>
        <v>12.3834</v>
      </c>
    </row>
    <row r="645" spans="1:11" ht="15">
      <c r="A645" s="13">
        <v>61271</v>
      </c>
      <c r="B645" s="63">
        <f>10.6272 * CHOOSE(CONTROL!$C$22, $C$13, 100%, $E$13)</f>
        <v>10.6272</v>
      </c>
      <c r="C645" s="63">
        <f>10.6272 * CHOOSE(CONTROL!$C$22, $C$13, 100%, $E$13)</f>
        <v>10.6272</v>
      </c>
      <c r="D645" s="63">
        <f>10.6388 * CHOOSE(CONTROL!$C$22, $C$13, 100%, $E$13)</f>
        <v>10.6388</v>
      </c>
      <c r="E645" s="64">
        <f>12.425 * CHOOSE(CONTROL!$C$22, $C$13, 100%, $E$13)</f>
        <v>12.425000000000001</v>
      </c>
      <c r="F645" s="64">
        <f>12.425 * CHOOSE(CONTROL!$C$22, $C$13, 100%, $E$13)</f>
        <v>12.425000000000001</v>
      </c>
      <c r="G645" s="64">
        <f>12.4251 * CHOOSE(CONTROL!$C$22, $C$13, 100%, $E$13)</f>
        <v>12.4251</v>
      </c>
      <c r="H645" s="64">
        <f>20.6915* CHOOSE(CONTROL!$C$22, $C$13, 100%, $E$13)</f>
        <v>20.691500000000001</v>
      </c>
      <c r="I645" s="64">
        <f>20.6917 * CHOOSE(CONTROL!$C$22, $C$13, 100%, $E$13)</f>
        <v>20.691700000000001</v>
      </c>
      <c r="J645" s="64">
        <f>12.425 * CHOOSE(CONTROL!$C$22, $C$13, 100%, $E$13)</f>
        <v>12.425000000000001</v>
      </c>
      <c r="K645" s="64">
        <f>12.4251 * CHOOSE(CONTROL!$C$22, $C$13, 100%, $E$13)</f>
        <v>12.4251</v>
      </c>
    </row>
    <row r="646" spans="1:11" ht="15">
      <c r="A646" s="13">
        <v>61302</v>
      </c>
      <c r="B646" s="63">
        <f>10.6302 * CHOOSE(CONTROL!$C$22, $C$13, 100%, $E$13)</f>
        <v>10.6302</v>
      </c>
      <c r="C646" s="63">
        <f>10.6302 * CHOOSE(CONTROL!$C$22, $C$13, 100%, $E$13)</f>
        <v>10.6302</v>
      </c>
      <c r="D646" s="63">
        <f>10.6418 * CHOOSE(CONTROL!$C$22, $C$13, 100%, $E$13)</f>
        <v>10.6418</v>
      </c>
      <c r="E646" s="64">
        <f>12.4553 * CHOOSE(CONTROL!$C$22, $C$13, 100%, $E$13)</f>
        <v>12.455299999999999</v>
      </c>
      <c r="F646" s="64">
        <f>12.4553 * CHOOSE(CONTROL!$C$22, $C$13, 100%, $E$13)</f>
        <v>12.455299999999999</v>
      </c>
      <c r="G646" s="64">
        <f>12.4555 * CHOOSE(CONTROL!$C$22, $C$13, 100%, $E$13)</f>
        <v>12.455500000000001</v>
      </c>
      <c r="H646" s="64">
        <f>20.7346* CHOOSE(CONTROL!$C$22, $C$13, 100%, $E$13)</f>
        <v>20.7346</v>
      </c>
      <c r="I646" s="64">
        <f>20.7348 * CHOOSE(CONTROL!$C$22, $C$13, 100%, $E$13)</f>
        <v>20.7348</v>
      </c>
      <c r="J646" s="64">
        <f>12.4553 * CHOOSE(CONTROL!$C$22, $C$13, 100%, $E$13)</f>
        <v>12.455299999999999</v>
      </c>
      <c r="K646" s="64">
        <f>12.4555 * CHOOSE(CONTROL!$C$22, $C$13, 100%, $E$13)</f>
        <v>12.455500000000001</v>
      </c>
    </row>
    <row r="647" spans="1:11" ht="15">
      <c r="A647" s="13">
        <v>61332</v>
      </c>
      <c r="B647" s="63">
        <f>10.6302 * CHOOSE(CONTROL!$C$22, $C$13, 100%, $E$13)</f>
        <v>10.6302</v>
      </c>
      <c r="C647" s="63">
        <f>10.6302 * CHOOSE(CONTROL!$C$22, $C$13, 100%, $E$13)</f>
        <v>10.6302</v>
      </c>
      <c r="D647" s="63">
        <f>10.6418 * CHOOSE(CONTROL!$C$22, $C$13, 100%, $E$13)</f>
        <v>10.6418</v>
      </c>
      <c r="E647" s="64">
        <f>12.3847 * CHOOSE(CONTROL!$C$22, $C$13, 100%, $E$13)</f>
        <v>12.3847</v>
      </c>
      <c r="F647" s="64">
        <f>12.3847 * CHOOSE(CONTROL!$C$22, $C$13, 100%, $E$13)</f>
        <v>12.3847</v>
      </c>
      <c r="G647" s="64">
        <f>12.3849 * CHOOSE(CONTROL!$C$22, $C$13, 100%, $E$13)</f>
        <v>12.3849</v>
      </c>
      <c r="H647" s="64">
        <f>20.7778* CHOOSE(CONTROL!$C$22, $C$13, 100%, $E$13)</f>
        <v>20.777799999999999</v>
      </c>
      <c r="I647" s="64">
        <f>20.778 * CHOOSE(CONTROL!$C$22, $C$13, 100%, $E$13)</f>
        <v>20.777999999999999</v>
      </c>
      <c r="J647" s="64">
        <f>12.3847 * CHOOSE(CONTROL!$C$22, $C$13, 100%, $E$13)</f>
        <v>12.3847</v>
      </c>
      <c r="K647" s="64">
        <f>12.3849 * CHOOSE(CONTROL!$C$22, $C$13, 100%, $E$13)</f>
        <v>12.3849</v>
      </c>
    </row>
    <row r="648" spans="1:11" ht="15">
      <c r="A648" s="13">
        <v>61363</v>
      </c>
      <c r="B648" s="63">
        <f>10.6823 * CHOOSE(CONTROL!$C$22, $C$13, 100%, $E$13)</f>
        <v>10.6823</v>
      </c>
      <c r="C648" s="63">
        <f>10.6823 * CHOOSE(CONTROL!$C$22, $C$13, 100%, $E$13)</f>
        <v>10.6823</v>
      </c>
      <c r="D648" s="63">
        <f>10.6939 * CHOOSE(CONTROL!$C$22, $C$13, 100%, $E$13)</f>
        <v>10.693899999999999</v>
      </c>
      <c r="E648" s="64">
        <f>12.4959 * CHOOSE(CONTROL!$C$22, $C$13, 100%, $E$13)</f>
        <v>12.495900000000001</v>
      </c>
      <c r="F648" s="64">
        <f>12.4959 * CHOOSE(CONTROL!$C$22, $C$13, 100%, $E$13)</f>
        <v>12.495900000000001</v>
      </c>
      <c r="G648" s="64">
        <f>12.4961 * CHOOSE(CONTROL!$C$22, $C$13, 100%, $E$13)</f>
        <v>12.4961</v>
      </c>
      <c r="H648" s="64">
        <f>20.7534* CHOOSE(CONTROL!$C$22, $C$13, 100%, $E$13)</f>
        <v>20.753399999999999</v>
      </c>
      <c r="I648" s="64">
        <f>20.7536 * CHOOSE(CONTROL!$C$22, $C$13, 100%, $E$13)</f>
        <v>20.753599999999999</v>
      </c>
      <c r="J648" s="64">
        <f>12.4959 * CHOOSE(CONTROL!$C$22, $C$13, 100%, $E$13)</f>
        <v>12.495900000000001</v>
      </c>
      <c r="K648" s="64">
        <f>12.4961 * CHOOSE(CONTROL!$C$22, $C$13, 100%, $E$13)</f>
        <v>12.4961</v>
      </c>
    </row>
    <row r="649" spans="1:11" ht="15">
      <c r="A649" s="13">
        <v>61394</v>
      </c>
      <c r="B649" s="63">
        <f>10.6793 * CHOOSE(CONTROL!$C$22, $C$13, 100%, $E$13)</f>
        <v>10.6793</v>
      </c>
      <c r="C649" s="63">
        <f>10.6793 * CHOOSE(CONTROL!$C$22, $C$13, 100%, $E$13)</f>
        <v>10.6793</v>
      </c>
      <c r="D649" s="63">
        <f>10.6909 * CHOOSE(CONTROL!$C$22, $C$13, 100%, $E$13)</f>
        <v>10.690899999999999</v>
      </c>
      <c r="E649" s="64">
        <f>12.3571 * CHOOSE(CONTROL!$C$22, $C$13, 100%, $E$13)</f>
        <v>12.357100000000001</v>
      </c>
      <c r="F649" s="64">
        <f>12.3571 * CHOOSE(CONTROL!$C$22, $C$13, 100%, $E$13)</f>
        <v>12.357100000000001</v>
      </c>
      <c r="G649" s="64">
        <f>12.3573 * CHOOSE(CONTROL!$C$22, $C$13, 100%, $E$13)</f>
        <v>12.3573</v>
      </c>
      <c r="H649" s="64">
        <f>20.7967* CHOOSE(CONTROL!$C$22, $C$13, 100%, $E$13)</f>
        <v>20.796700000000001</v>
      </c>
      <c r="I649" s="64">
        <f>20.7969 * CHOOSE(CONTROL!$C$22, $C$13, 100%, $E$13)</f>
        <v>20.796900000000001</v>
      </c>
      <c r="J649" s="64">
        <f>12.3571 * CHOOSE(CONTROL!$C$22, $C$13, 100%, $E$13)</f>
        <v>12.357100000000001</v>
      </c>
      <c r="K649" s="64">
        <f>12.3573 * CHOOSE(CONTROL!$C$22, $C$13, 100%, $E$13)</f>
        <v>12.3573</v>
      </c>
    </row>
    <row r="650" spans="1:11" ht="15">
      <c r="A650" s="13">
        <v>61423</v>
      </c>
      <c r="B650" s="63">
        <f>10.6763 * CHOOSE(CONTROL!$C$22, $C$13, 100%, $E$13)</f>
        <v>10.676299999999999</v>
      </c>
      <c r="C650" s="63">
        <f>10.6763 * CHOOSE(CONTROL!$C$22, $C$13, 100%, $E$13)</f>
        <v>10.676299999999999</v>
      </c>
      <c r="D650" s="63">
        <f>10.6878 * CHOOSE(CONTROL!$C$22, $C$13, 100%, $E$13)</f>
        <v>10.687799999999999</v>
      </c>
      <c r="E650" s="64">
        <f>12.4627 * CHOOSE(CONTROL!$C$22, $C$13, 100%, $E$13)</f>
        <v>12.4627</v>
      </c>
      <c r="F650" s="64">
        <f>12.4627 * CHOOSE(CONTROL!$C$22, $C$13, 100%, $E$13)</f>
        <v>12.4627</v>
      </c>
      <c r="G650" s="64">
        <f>12.4629 * CHOOSE(CONTROL!$C$22, $C$13, 100%, $E$13)</f>
        <v>12.462899999999999</v>
      </c>
      <c r="H650" s="64">
        <f>20.84* CHOOSE(CONTROL!$C$22, $C$13, 100%, $E$13)</f>
        <v>20.84</v>
      </c>
      <c r="I650" s="64">
        <f>20.8402 * CHOOSE(CONTROL!$C$22, $C$13, 100%, $E$13)</f>
        <v>20.840199999999999</v>
      </c>
      <c r="J650" s="64">
        <f>12.4627 * CHOOSE(CONTROL!$C$22, $C$13, 100%, $E$13)</f>
        <v>12.4627</v>
      </c>
      <c r="K650" s="64">
        <f>12.4629 * CHOOSE(CONTROL!$C$22, $C$13, 100%, $E$13)</f>
        <v>12.462899999999999</v>
      </c>
    </row>
    <row r="651" spans="1:11" ht="15">
      <c r="A651" s="13">
        <v>61454</v>
      </c>
      <c r="B651" s="63">
        <f>10.6797 * CHOOSE(CONTROL!$C$22, $C$13, 100%, $E$13)</f>
        <v>10.6797</v>
      </c>
      <c r="C651" s="63">
        <f>10.6797 * CHOOSE(CONTROL!$C$22, $C$13, 100%, $E$13)</f>
        <v>10.6797</v>
      </c>
      <c r="D651" s="63">
        <f>10.6912 * CHOOSE(CONTROL!$C$22, $C$13, 100%, $E$13)</f>
        <v>10.6912</v>
      </c>
      <c r="E651" s="64">
        <f>12.5742 * CHOOSE(CONTROL!$C$22, $C$13, 100%, $E$13)</f>
        <v>12.574199999999999</v>
      </c>
      <c r="F651" s="64">
        <f>12.5742 * CHOOSE(CONTROL!$C$22, $C$13, 100%, $E$13)</f>
        <v>12.574199999999999</v>
      </c>
      <c r="G651" s="64">
        <f>12.5744 * CHOOSE(CONTROL!$C$22, $C$13, 100%, $E$13)</f>
        <v>12.574400000000001</v>
      </c>
      <c r="H651" s="64">
        <f>20.8834* CHOOSE(CONTROL!$C$22, $C$13, 100%, $E$13)</f>
        <v>20.883400000000002</v>
      </c>
      <c r="I651" s="64">
        <f>20.8836 * CHOOSE(CONTROL!$C$22, $C$13, 100%, $E$13)</f>
        <v>20.883600000000001</v>
      </c>
      <c r="J651" s="64">
        <f>12.5742 * CHOOSE(CONTROL!$C$22, $C$13, 100%, $E$13)</f>
        <v>12.574199999999999</v>
      </c>
      <c r="K651" s="64">
        <f>12.5744 * CHOOSE(CONTROL!$C$22, $C$13, 100%, $E$13)</f>
        <v>12.574400000000001</v>
      </c>
    </row>
    <row r="652" spans="1:11" ht="15">
      <c r="A652" s="13">
        <v>61484</v>
      </c>
      <c r="B652" s="63">
        <f>10.6797 * CHOOSE(CONTROL!$C$22, $C$13, 100%, $E$13)</f>
        <v>10.6797</v>
      </c>
      <c r="C652" s="63">
        <f>10.6797 * CHOOSE(CONTROL!$C$22, $C$13, 100%, $E$13)</f>
        <v>10.6797</v>
      </c>
      <c r="D652" s="63">
        <f>10.7028 * CHOOSE(CONTROL!$C$22, $C$13, 100%, $E$13)</f>
        <v>10.7028</v>
      </c>
      <c r="E652" s="64">
        <f>12.6176 * CHOOSE(CONTROL!$C$22, $C$13, 100%, $E$13)</f>
        <v>12.617599999999999</v>
      </c>
      <c r="F652" s="64">
        <f>12.6176 * CHOOSE(CONTROL!$C$22, $C$13, 100%, $E$13)</f>
        <v>12.617599999999999</v>
      </c>
      <c r="G652" s="64">
        <f>12.6191 * CHOOSE(CONTROL!$C$22, $C$13, 100%, $E$13)</f>
        <v>12.6191</v>
      </c>
      <c r="H652" s="64">
        <f>20.9269* CHOOSE(CONTROL!$C$22, $C$13, 100%, $E$13)</f>
        <v>20.9269</v>
      </c>
      <c r="I652" s="64">
        <f>20.9284 * CHOOSE(CONTROL!$C$22, $C$13, 100%, $E$13)</f>
        <v>20.9284</v>
      </c>
      <c r="J652" s="64">
        <f>12.6176 * CHOOSE(CONTROL!$C$22, $C$13, 100%, $E$13)</f>
        <v>12.617599999999999</v>
      </c>
      <c r="K652" s="64">
        <f>12.6191 * CHOOSE(CONTROL!$C$22, $C$13, 100%, $E$13)</f>
        <v>12.6191</v>
      </c>
    </row>
    <row r="653" spans="1:11" ht="15">
      <c r="A653" s="13">
        <v>61515</v>
      </c>
      <c r="B653" s="63">
        <f>10.6858 * CHOOSE(CONTROL!$C$22, $C$13, 100%, $E$13)</f>
        <v>10.6858</v>
      </c>
      <c r="C653" s="63">
        <f>10.6858 * CHOOSE(CONTROL!$C$22, $C$13, 100%, $E$13)</f>
        <v>10.6858</v>
      </c>
      <c r="D653" s="63">
        <f>10.7089 * CHOOSE(CONTROL!$C$22, $C$13, 100%, $E$13)</f>
        <v>10.7089</v>
      </c>
      <c r="E653" s="64">
        <f>12.5784 * CHOOSE(CONTROL!$C$22, $C$13, 100%, $E$13)</f>
        <v>12.5784</v>
      </c>
      <c r="F653" s="64">
        <f>12.5784 * CHOOSE(CONTROL!$C$22, $C$13, 100%, $E$13)</f>
        <v>12.5784</v>
      </c>
      <c r="G653" s="64">
        <f>12.5799 * CHOOSE(CONTROL!$C$22, $C$13, 100%, $E$13)</f>
        <v>12.5799</v>
      </c>
      <c r="H653" s="64">
        <f>20.9705* CHOOSE(CONTROL!$C$22, $C$13, 100%, $E$13)</f>
        <v>20.970500000000001</v>
      </c>
      <c r="I653" s="64">
        <f>20.972 * CHOOSE(CONTROL!$C$22, $C$13, 100%, $E$13)</f>
        <v>20.972000000000001</v>
      </c>
      <c r="J653" s="64">
        <f>12.5784 * CHOOSE(CONTROL!$C$22, $C$13, 100%, $E$13)</f>
        <v>12.5784</v>
      </c>
      <c r="K653" s="64">
        <f>12.5799 * CHOOSE(CONTROL!$C$22, $C$13, 100%, $E$13)</f>
        <v>12.5799</v>
      </c>
    </row>
    <row r="654" spans="1:11" ht="15">
      <c r="A654" s="13">
        <v>61545</v>
      </c>
      <c r="B654" s="63">
        <f>10.8558 * CHOOSE(CONTROL!$C$22, $C$13, 100%, $E$13)</f>
        <v>10.8558</v>
      </c>
      <c r="C654" s="63">
        <f>10.8558 * CHOOSE(CONTROL!$C$22, $C$13, 100%, $E$13)</f>
        <v>10.8558</v>
      </c>
      <c r="D654" s="63">
        <f>10.8789 * CHOOSE(CONTROL!$C$22, $C$13, 100%, $E$13)</f>
        <v>10.8789</v>
      </c>
      <c r="E654" s="64">
        <f>12.8205 * CHOOSE(CONTROL!$C$22, $C$13, 100%, $E$13)</f>
        <v>12.820499999999999</v>
      </c>
      <c r="F654" s="64">
        <f>12.8205 * CHOOSE(CONTROL!$C$22, $C$13, 100%, $E$13)</f>
        <v>12.820499999999999</v>
      </c>
      <c r="G654" s="64">
        <f>12.8219 * CHOOSE(CONTROL!$C$22, $C$13, 100%, $E$13)</f>
        <v>12.821899999999999</v>
      </c>
      <c r="H654" s="64">
        <f>21.0142* CHOOSE(CONTROL!$C$22, $C$13, 100%, $E$13)</f>
        <v>21.014199999999999</v>
      </c>
      <c r="I654" s="64">
        <f>21.0157 * CHOOSE(CONTROL!$C$22, $C$13, 100%, $E$13)</f>
        <v>21.015699999999999</v>
      </c>
      <c r="J654" s="64">
        <f>12.8205 * CHOOSE(CONTROL!$C$22, $C$13, 100%, $E$13)</f>
        <v>12.820499999999999</v>
      </c>
      <c r="K654" s="64">
        <f>12.8219 * CHOOSE(CONTROL!$C$22, $C$13, 100%, $E$13)</f>
        <v>12.821899999999999</v>
      </c>
    </row>
    <row r="655" spans="1:11" ht="15">
      <c r="A655" s="13">
        <v>61576</v>
      </c>
      <c r="B655" s="63">
        <f>10.8625 * CHOOSE(CONTROL!$C$22, $C$13, 100%, $E$13)</f>
        <v>10.862500000000001</v>
      </c>
      <c r="C655" s="63">
        <f>10.8625 * CHOOSE(CONTROL!$C$22, $C$13, 100%, $E$13)</f>
        <v>10.862500000000001</v>
      </c>
      <c r="D655" s="63">
        <f>10.8856 * CHOOSE(CONTROL!$C$22, $C$13, 100%, $E$13)</f>
        <v>10.8856</v>
      </c>
      <c r="E655" s="64">
        <f>12.6949 * CHOOSE(CONTROL!$C$22, $C$13, 100%, $E$13)</f>
        <v>12.694900000000001</v>
      </c>
      <c r="F655" s="64">
        <f>12.6949 * CHOOSE(CONTROL!$C$22, $C$13, 100%, $E$13)</f>
        <v>12.694900000000001</v>
      </c>
      <c r="G655" s="64">
        <f>12.6964 * CHOOSE(CONTROL!$C$22, $C$13, 100%, $E$13)</f>
        <v>12.696400000000001</v>
      </c>
      <c r="H655" s="64">
        <f>21.058* CHOOSE(CONTROL!$C$22, $C$13, 100%, $E$13)</f>
        <v>21.058</v>
      </c>
      <c r="I655" s="64">
        <f>21.0595 * CHOOSE(CONTROL!$C$22, $C$13, 100%, $E$13)</f>
        <v>21.0595</v>
      </c>
      <c r="J655" s="64">
        <f>12.6949 * CHOOSE(CONTROL!$C$22, $C$13, 100%, $E$13)</f>
        <v>12.694900000000001</v>
      </c>
      <c r="K655" s="64">
        <f>12.6964 * CHOOSE(CONTROL!$C$22, $C$13, 100%, $E$13)</f>
        <v>12.696400000000001</v>
      </c>
    </row>
    <row r="656" spans="1:11" ht="15">
      <c r="A656" s="13">
        <v>61607</v>
      </c>
      <c r="B656" s="63">
        <f>10.8594 * CHOOSE(CONTROL!$C$22, $C$13, 100%, $E$13)</f>
        <v>10.859400000000001</v>
      </c>
      <c r="C656" s="63">
        <f>10.8594 * CHOOSE(CONTROL!$C$22, $C$13, 100%, $E$13)</f>
        <v>10.859400000000001</v>
      </c>
      <c r="D656" s="63">
        <f>10.8825 * CHOOSE(CONTROL!$C$22, $C$13, 100%, $E$13)</f>
        <v>10.8825</v>
      </c>
      <c r="E656" s="64">
        <f>12.6784 * CHOOSE(CONTROL!$C$22, $C$13, 100%, $E$13)</f>
        <v>12.6784</v>
      </c>
      <c r="F656" s="64">
        <f>12.6784 * CHOOSE(CONTROL!$C$22, $C$13, 100%, $E$13)</f>
        <v>12.6784</v>
      </c>
      <c r="G656" s="64">
        <f>12.6799 * CHOOSE(CONTROL!$C$22, $C$13, 100%, $E$13)</f>
        <v>12.6799</v>
      </c>
      <c r="H656" s="64">
        <f>21.1019* CHOOSE(CONTROL!$C$22, $C$13, 100%, $E$13)</f>
        <v>21.101900000000001</v>
      </c>
      <c r="I656" s="64">
        <f>21.1033 * CHOOSE(CONTROL!$C$22, $C$13, 100%, $E$13)</f>
        <v>21.103300000000001</v>
      </c>
      <c r="J656" s="64">
        <f>12.6784 * CHOOSE(CONTROL!$C$22, $C$13, 100%, $E$13)</f>
        <v>12.6784</v>
      </c>
      <c r="K656" s="64">
        <f>12.6799 * CHOOSE(CONTROL!$C$22, $C$13, 100%, $E$13)</f>
        <v>12.6799</v>
      </c>
    </row>
    <row r="657" spans="1:11" ht="15">
      <c r="A657" s="13">
        <v>61637</v>
      </c>
      <c r="B657" s="63">
        <f>10.8772 * CHOOSE(CONTROL!$C$22, $C$13, 100%, $E$13)</f>
        <v>10.8772</v>
      </c>
      <c r="C657" s="63">
        <f>10.8772 * CHOOSE(CONTROL!$C$22, $C$13, 100%, $E$13)</f>
        <v>10.8772</v>
      </c>
      <c r="D657" s="63">
        <f>10.8888 * CHOOSE(CONTROL!$C$22, $C$13, 100%, $E$13)</f>
        <v>10.8888</v>
      </c>
      <c r="E657" s="64">
        <f>12.7228 * CHOOSE(CONTROL!$C$22, $C$13, 100%, $E$13)</f>
        <v>12.722799999999999</v>
      </c>
      <c r="F657" s="64">
        <f>12.7228 * CHOOSE(CONTROL!$C$22, $C$13, 100%, $E$13)</f>
        <v>12.722799999999999</v>
      </c>
      <c r="G657" s="64">
        <f>12.723 * CHOOSE(CONTROL!$C$22, $C$13, 100%, $E$13)</f>
        <v>12.723000000000001</v>
      </c>
      <c r="H657" s="64">
        <f>21.1458* CHOOSE(CONTROL!$C$22, $C$13, 100%, $E$13)</f>
        <v>21.145800000000001</v>
      </c>
      <c r="I657" s="64">
        <f>21.146 * CHOOSE(CONTROL!$C$22, $C$13, 100%, $E$13)</f>
        <v>21.146000000000001</v>
      </c>
      <c r="J657" s="64">
        <f>12.7228 * CHOOSE(CONTROL!$C$22, $C$13, 100%, $E$13)</f>
        <v>12.722799999999999</v>
      </c>
      <c r="K657" s="64">
        <f>12.723 * CHOOSE(CONTROL!$C$22, $C$13, 100%, $E$13)</f>
        <v>12.723000000000001</v>
      </c>
    </row>
    <row r="658" spans="1:11" ht="15">
      <c r="A658" s="13">
        <v>61668</v>
      </c>
      <c r="B658" s="63">
        <f>10.8803 * CHOOSE(CONTROL!$C$22, $C$13, 100%, $E$13)</f>
        <v>10.8803</v>
      </c>
      <c r="C658" s="63">
        <f>10.8803 * CHOOSE(CONTROL!$C$22, $C$13, 100%, $E$13)</f>
        <v>10.8803</v>
      </c>
      <c r="D658" s="63">
        <f>10.8918 * CHOOSE(CONTROL!$C$22, $C$13, 100%, $E$13)</f>
        <v>10.8918</v>
      </c>
      <c r="E658" s="64">
        <f>12.7538 * CHOOSE(CONTROL!$C$22, $C$13, 100%, $E$13)</f>
        <v>12.7538</v>
      </c>
      <c r="F658" s="64">
        <f>12.7538 * CHOOSE(CONTROL!$C$22, $C$13, 100%, $E$13)</f>
        <v>12.7538</v>
      </c>
      <c r="G658" s="64">
        <f>12.754 * CHOOSE(CONTROL!$C$22, $C$13, 100%, $E$13)</f>
        <v>12.754</v>
      </c>
      <c r="H658" s="64">
        <f>21.1899* CHOOSE(CONTROL!$C$22, $C$13, 100%, $E$13)</f>
        <v>21.189900000000002</v>
      </c>
      <c r="I658" s="64">
        <f>21.1901 * CHOOSE(CONTROL!$C$22, $C$13, 100%, $E$13)</f>
        <v>21.190100000000001</v>
      </c>
      <c r="J658" s="64">
        <f>12.7538 * CHOOSE(CONTROL!$C$22, $C$13, 100%, $E$13)</f>
        <v>12.7538</v>
      </c>
      <c r="K658" s="64">
        <f>12.754 * CHOOSE(CONTROL!$C$22, $C$13, 100%, $E$13)</f>
        <v>12.754</v>
      </c>
    </row>
    <row r="659" spans="1:11" ht="15">
      <c r="A659" s="13">
        <v>61698</v>
      </c>
      <c r="B659" s="63">
        <f>10.8803 * CHOOSE(CONTROL!$C$22, $C$13, 100%, $E$13)</f>
        <v>10.8803</v>
      </c>
      <c r="C659" s="63">
        <f>10.8803 * CHOOSE(CONTROL!$C$22, $C$13, 100%, $E$13)</f>
        <v>10.8803</v>
      </c>
      <c r="D659" s="63">
        <f>10.8918 * CHOOSE(CONTROL!$C$22, $C$13, 100%, $E$13)</f>
        <v>10.8918</v>
      </c>
      <c r="E659" s="64">
        <f>12.6815 * CHOOSE(CONTROL!$C$22, $C$13, 100%, $E$13)</f>
        <v>12.6815</v>
      </c>
      <c r="F659" s="64">
        <f>12.6815 * CHOOSE(CONTROL!$C$22, $C$13, 100%, $E$13)</f>
        <v>12.6815</v>
      </c>
      <c r="G659" s="64">
        <f>12.6817 * CHOOSE(CONTROL!$C$22, $C$13, 100%, $E$13)</f>
        <v>12.681699999999999</v>
      </c>
      <c r="H659" s="64">
        <f>21.234* CHOOSE(CONTROL!$C$22, $C$13, 100%, $E$13)</f>
        <v>21.234000000000002</v>
      </c>
      <c r="I659" s="64">
        <f>21.2342 * CHOOSE(CONTROL!$C$22, $C$13, 100%, $E$13)</f>
        <v>21.234200000000001</v>
      </c>
      <c r="J659" s="64">
        <f>12.6815 * CHOOSE(CONTROL!$C$22, $C$13, 100%, $E$13)</f>
        <v>12.6815</v>
      </c>
      <c r="K659" s="64">
        <f>12.6817 * CHOOSE(CONTROL!$C$22, $C$13, 100%, $E$13)</f>
        <v>12.681699999999999</v>
      </c>
    </row>
    <row r="660" spans="1:11" ht="15">
      <c r="A660" s="13">
        <v>61729</v>
      </c>
      <c r="B660" s="63">
        <f>10.9277 * CHOOSE(CONTROL!$C$22, $C$13, 100%, $E$13)</f>
        <v>10.9277</v>
      </c>
      <c r="C660" s="63">
        <f>10.9277 * CHOOSE(CONTROL!$C$22, $C$13, 100%, $E$13)</f>
        <v>10.9277</v>
      </c>
      <c r="D660" s="63">
        <f>10.9392 * CHOOSE(CONTROL!$C$22, $C$13, 100%, $E$13)</f>
        <v>10.9392</v>
      </c>
      <c r="E660" s="64">
        <f>12.7883 * CHOOSE(CONTROL!$C$22, $C$13, 100%, $E$13)</f>
        <v>12.7883</v>
      </c>
      <c r="F660" s="64">
        <f>12.7883 * CHOOSE(CONTROL!$C$22, $C$13, 100%, $E$13)</f>
        <v>12.7883</v>
      </c>
      <c r="G660" s="64">
        <f>12.7885 * CHOOSE(CONTROL!$C$22, $C$13, 100%, $E$13)</f>
        <v>12.788500000000001</v>
      </c>
      <c r="H660" s="64">
        <f>21.1993* CHOOSE(CONTROL!$C$22, $C$13, 100%, $E$13)</f>
        <v>21.199300000000001</v>
      </c>
      <c r="I660" s="64">
        <f>21.1995 * CHOOSE(CONTROL!$C$22, $C$13, 100%, $E$13)</f>
        <v>21.1995</v>
      </c>
      <c r="J660" s="64">
        <f>12.7883 * CHOOSE(CONTROL!$C$22, $C$13, 100%, $E$13)</f>
        <v>12.7883</v>
      </c>
      <c r="K660" s="64">
        <f>12.7885 * CHOOSE(CONTROL!$C$22, $C$13, 100%, $E$13)</f>
        <v>12.788500000000001</v>
      </c>
    </row>
    <row r="661" spans="1:11" ht="15">
      <c r="A661" s="13">
        <v>61760</v>
      </c>
      <c r="B661" s="63">
        <f>10.9246 * CHOOSE(CONTROL!$C$22, $C$13, 100%, $E$13)</f>
        <v>10.9246</v>
      </c>
      <c r="C661" s="63">
        <f>10.9246 * CHOOSE(CONTROL!$C$22, $C$13, 100%, $E$13)</f>
        <v>10.9246</v>
      </c>
      <c r="D661" s="63">
        <f>10.9362 * CHOOSE(CONTROL!$C$22, $C$13, 100%, $E$13)</f>
        <v>10.936199999999999</v>
      </c>
      <c r="E661" s="64">
        <f>12.6463 * CHOOSE(CONTROL!$C$22, $C$13, 100%, $E$13)</f>
        <v>12.6463</v>
      </c>
      <c r="F661" s="64">
        <f>12.6463 * CHOOSE(CONTROL!$C$22, $C$13, 100%, $E$13)</f>
        <v>12.6463</v>
      </c>
      <c r="G661" s="64">
        <f>12.6465 * CHOOSE(CONTROL!$C$22, $C$13, 100%, $E$13)</f>
        <v>12.6465</v>
      </c>
      <c r="H661" s="64">
        <f>21.2435* CHOOSE(CONTROL!$C$22, $C$13, 100%, $E$13)</f>
        <v>21.243500000000001</v>
      </c>
      <c r="I661" s="64">
        <f>21.2437 * CHOOSE(CONTROL!$C$22, $C$13, 100%, $E$13)</f>
        <v>21.2437</v>
      </c>
      <c r="J661" s="64">
        <f>12.6463 * CHOOSE(CONTROL!$C$22, $C$13, 100%, $E$13)</f>
        <v>12.6463</v>
      </c>
      <c r="K661" s="64">
        <f>12.6465 * CHOOSE(CONTROL!$C$22, $C$13, 100%, $E$13)</f>
        <v>12.6465</v>
      </c>
    </row>
    <row r="662" spans="1:11" ht="15">
      <c r="A662" s="13">
        <v>61788</v>
      </c>
      <c r="B662" s="63">
        <f>10.9216 * CHOOSE(CONTROL!$C$22, $C$13, 100%, $E$13)</f>
        <v>10.9216</v>
      </c>
      <c r="C662" s="63">
        <f>10.9216 * CHOOSE(CONTROL!$C$22, $C$13, 100%, $E$13)</f>
        <v>10.9216</v>
      </c>
      <c r="D662" s="63">
        <f>10.9331 * CHOOSE(CONTROL!$C$22, $C$13, 100%, $E$13)</f>
        <v>10.9331</v>
      </c>
      <c r="E662" s="64">
        <f>12.7545 * CHOOSE(CONTROL!$C$22, $C$13, 100%, $E$13)</f>
        <v>12.7545</v>
      </c>
      <c r="F662" s="64">
        <f>12.7545 * CHOOSE(CONTROL!$C$22, $C$13, 100%, $E$13)</f>
        <v>12.7545</v>
      </c>
      <c r="G662" s="64">
        <f>12.7546 * CHOOSE(CONTROL!$C$22, $C$13, 100%, $E$13)</f>
        <v>12.7546</v>
      </c>
      <c r="H662" s="64">
        <f>21.2878* CHOOSE(CONTROL!$C$22, $C$13, 100%, $E$13)</f>
        <v>21.287800000000001</v>
      </c>
      <c r="I662" s="64">
        <f>21.2879 * CHOOSE(CONTROL!$C$22, $C$13, 100%, $E$13)</f>
        <v>21.2879</v>
      </c>
      <c r="J662" s="64">
        <f>12.7545 * CHOOSE(CONTROL!$C$22, $C$13, 100%, $E$13)</f>
        <v>12.7545</v>
      </c>
      <c r="K662" s="64">
        <f>12.7546 * CHOOSE(CONTROL!$C$22, $C$13, 100%, $E$13)</f>
        <v>12.7546</v>
      </c>
    </row>
    <row r="663" spans="1:11" ht="15">
      <c r="A663" s="13">
        <v>61819</v>
      </c>
      <c r="B663" s="63">
        <f>10.9252 * CHOOSE(CONTROL!$C$22, $C$13, 100%, $E$13)</f>
        <v>10.9252</v>
      </c>
      <c r="C663" s="63">
        <f>10.9252 * CHOOSE(CONTROL!$C$22, $C$13, 100%, $E$13)</f>
        <v>10.9252</v>
      </c>
      <c r="D663" s="63">
        <f>10.9368 * CHOOSE(CONTROL!$C$22, $C$13, 100%, $E$13)</f>
        <v>10.9368</v>
      </c>
      <c r="E663" s="64">
        <f>12.8687 * CHOOSE(CONTROL!$C$22, $C$13, 100%, $E$13)</f>
        <v>12.8687</v>
      </c>
      <c r="F663" s="64">
        <f>12.8687 * CHOOSE(CONTROL!$C$22, $C$13, 100%, $E$13)</f>
        <v>12.8687</v>
      </c>
      <c r="G663" s="64">
        <f>12.8688 * CHOOSE(CONTROL!$C$22, $C$13, 100%, $E$13)</f>
        <v>12.8688</v>
      </c>
      <c r="H663" s="64">
        <f>21.3321* CHOOSE(CONTROL!$C$22, $C$13, 100%, $E$13)</f>
        <v>21.332100000000001</v>
      </c>
      <c r="I663" s="64">
        <f>21.3323 * CHOOSE(CONTROL!$C$22, $C$13, 100%, $E$13)</f>
        <v>21.3323</v>
      </c>
      <c r="J663" s="64">
        <f>12.8687 * CHOOSE(CONTROL!$C$22, $C$13, 100%, $E$13)</f>
        <v>12.8687</v>
      </c>
      <c r="K663" s="64">
        <f>12.8688 * CHOOSE(CONTROL!$C$22, $C$13, 100%, $E$13)</f>
        <v>12.8688</v>
      </c>
    </row>
    <row r="664" spans="1:11" ht="15">
      <c r="A664" s="13">
        <v>61849</v>
      </c>
      <c r="B664" s="63">
        <f>10.9252 * CHOOSE(CONTROL!$C$22, $C$13, 100%, $E$13)</f>
        <v>10.9252</v>
      </c>
      <c r="C664" s="63">
        <f>10.9252 * CHOOSE(CONTROL!$C$22, $C$13, 100%, $E$13)</f>
        <v>10.9252</v>
      </c>
      <c r="D664" s="63">
        <f>10.9483 * CHOOSE(CONTROL!$C$22, $C$13, 100%, $E$13)</f>
        <v>10.9483</v>
      </c>
      <c r="E664" s="64">
        <f>12.9131 * CHOOSE(CONTROL!$C$22, $C$13, 100%, $E$13)</f>
        <v>12.9131</v>
      </c>
      <c r="F664" s="64">
        <f>12.9131 * CHOOSE(CONTROL!$C$22, $C$13, 100%, $E$13)</f>
        <v>12.9131</v>
      </c>
      <c r="G664" s="64">
        <f>12.9146 * CHOOSE(CONTROL!$C$22, $C$13, 100%, $E$13)</f>
        <v>12.9146</v>
      </c>
      <c r="H664" s="64">
        <f>21.3765* CHOOSE(CONTROL!$C$22, $C$13, 100%, $E$13)</f>
        <v>21.3765</v>
      </c>
      <c r="I664" s="64">
        <f>21.378 * CHOOSE(CONTROL!$C$22, $C$13, 100%, $E$13)</f>
        <v>21.378</v>
      </c>
      <c r="J664" s="64">
        <f>12.9131 * CHOOSE(CONTROL!$C$22, $C$13, 100%, $E$13)</f>
        <v>12.9131</v>
      </c>
      <c r="K664" s="64">
        <f>12.9146 * CHOOSE(CONTROL!$C$22, $C$13, 100%, $E$13)</f>
        <v>12.9146</v>
      </c>
    </row>
    <row r="665" spans="1:11" ht="15">
      <c r="A665" s="13">
        <v>61880</v>
      </c>
      <c r="B665" s="63">
        <f>10.9313 * CHOOSE(CONTROL!$C$22, $C$13, 100%, $E$13)</f>
        <v>10.9313</v>
      </c>
      <c r="C665" s="63">
        <f>10.9313 * CHOOSE(CONTROL!$C$22, $C$13, 100%, $E$13)</f>
        <v>10.9313</v>
      </c>
      <c r="D665" s="63">
        <f>10.9544 * CHOOSE(CONTROL!$C$22, $C$13, 100%, $E$13)</f>
        <v>10.9544</v>
      </c>
      <c r="E665" s="64">
        <f>12.8729 * CHOOSE(CONTROL!$C$22, $C$13, 100%, $E$13)</f>
        <v>12.8729</v>
      </c>
      <c r="F665" s="64">
        <f>12.8729 * CHOOSE(CONTROL!$C$22, $C$13, 100%, $E$13)</f>
        <v>12.8729</v>
      </c>
      <c r="G665" s="64">
        <f>12.8744 * CHOOSE(CONTROL!$C$22, $C$13, 100%, $E$13)</f>
        <v>12.8744</v>
      </c>
      <c r="H665" s="64">
        <f>21.4211* CHOOSE(CONTROL!$C$22, $C$13, 100%, $E$13)</f>
        <v>21.421099999999999</v>
      </c>
      <c r="I665" s="64">
        <f>21.4226 * CHOOSE(CONTROL!$C$22, $C$13, 100%, $E$13)</f>
        <v>21.422599999999999</v>
      </c>
      <c r="J665" s="64">
        <f>12.8729 * CHOOSE(CONTROL!$C$22, $C$13, 100%, $E$13)</f>
        <v>12.8729</v>
      </c>
      <c r="K665" s="64">
        <f>12.8744 * CHOOSE(CONTROL!$C$22, $C$13, 100%, $E$13)</f>
        <v>12.8744</v>
      </c>
    </row>
    <row r="666" spans="1:11" ht="15">
      <c r="A666" s="13">
        <v>61910</v>
      </c>
      <c r="B666" s="63">
        <f>11.105 * CHOOSE(CONTROL!$C$22, $C$13, 100%, $E$13)</f>
        <v>11.105</v>
      </c>
      <c r="C666" s="63">
        <f>11.105 * CHOOSE(CONTROL!$C$22, $C$13, 100%, $E$13)</f>
        <v>11.105</v>
      </c>
      <c r="D666" s="63">
        <f>11.1281 * CHOOSE(CONTROL!$C$22, $C$13, 100%, $E$13)</f>
        <v>11.1281</v>
      </c>
      <c r="E666" s="64">
        <f>13.1203 * CHOOSE(CONTROL!$C$22, $C$13, 100%, $E$13)</f>
        <v>13.1203</v>
      </c>
      <c r="F666" s="64">
        <f>13.1203 * CHOOSE(CONTROL!$C$22, $C$13, 100%, $E$13)</f>
        <v>13.1203</v>
      </c>
      <c r="G666" s="64">
        <f>13.1218 * CHOOSE(CONTROL!$C$22, $C$13, 100%, $E$13)</f>
        <v>13.1218</v>
      </c>
      <c r="H666" s="64">
        <f>21.4657* CHOOSE(CONTROL!$C$22, $C$13, 100%, $E$13)</f>
        <v>21.465699999999998</v>
      </c>
      <c r="I666" s="64">
        <f>21.4672 * CHOOSE(CONTROL!$C$22, $C$13, 100%, $E$13)</f>
        <v>21.467199999999998</v>
      </c>
      <c r="J666" s="64">
        <f>13.1203 * CHOOSE(CONTROL!$C$22, $C$13, 100%, $E$13)</f>
        <v>13.1203</v>
      </c>
      <c r="K666" s="64">
        <f>13.1218 * CHOOSE(CONTROL!$C$22, $C$13, 100%, $E$13)</f>
        <v>13.1218</v>
      </c>
    </row>
    <row r="667" spans="1:11" ht="15">
      <c r="A667" s="13">
        <v>61941</v>
      </c>
      <c r="B667" s="63">
        <f>11.1117 * CHOOSE(CONTROL!$C$22, $C$13, 100%, $E$13)</f>
        <v>11.111700000000001</v>
      </c>
      <c r="C667" s="63">
        <f>11.1117 * CHOOSE(CONTROL!$C$22, $C$13, 100%, $E$13)</f>
        <v>11.111700000000001</v>
      </c>
      <c r="D667" s="63">
        <f>11.1348 * CHOOSE(CONTROL!$C$22, $C$13, 100%, $E$13)</f>
        <v>11.1348</v>
      </c>
      <c r="E667" s="64">
        <f>12.9918 * CHOOSE(CONTROL!$C$22, $C$13, 100%, $E$13)</f>
        <v>12.9918</v>
      </c>
      <c r="F667" s="64">
        <f>12.9918 * CHOOSE(CONTROL!$C$22, $C$13, 100%, $E$13)</f>
        <v>12.9918</v>
      </c>
      <c r="G667" s="64">
        <f>12.9933 * CHOOSE(CONTROL!$C$22, $C$13, 100%, $E$13)</f>
        <v>12.9933</v>
      </c>
      <c r="H667" s="64">
        <f>21.5104* CHOOSE(CONTROL!$C$22, $C$13, 100%, $E$13)</f>
        <v>21.510400000000001</v>
      </c>
      <c r="I667" s="64">
        <f>21.5119 * CHOOSE(CONTROL!$C$22, $C$13, 100%, $E$13)</f>
        <v>21.511900000000001</v>
      </c>
      <c r="J667" s="64">
        <f>12.9918 * CHOOSE(CONTROL!$C$22, $C$13, 100%, $E$13)</f>
        <v>12.9918</v>
      </c>
      <c r="K667" s="64">
        <f>12.9933 * CHOOSE(CONTROL!$C$22, $C$13, 100%, $E$13)</f>
        <v>12.9933</v>
      </c>
    </row>
    <row r="668" spans="1:11" ht="15">
      <c r="A668" s="13">
        <v>61972</v>
      </c>
      <c r="B668" s="63">
        <f>11.1087 * CHOOSE(CONTROL!$C$22, $C$13, 100%, $E$13)</f>
        <v>11.108700000000001</v>
      </c>
      <c r="C668" s="63">
        <f>11.1087 * CHOOSE(CONTROL!$C$22, $C$13, 100%, $E$13)</f>
        <v>11.108700000000001</v>
      </c>
      <c r="D668" s="63">
        <f>11.1318 * CHOOSE(CONTROL!$C$22, $C$13, 100%, $E$13)</f>
        <v>11.1318</v>
      </c>
      <c r="E668" s="64">
        <f>12.9749 * CHOOSE(CONTROL!$C$22, $C$13, 100%, $E$13)</f>
        <v>12.9749</v>
      </c>
      <c r="F668" s="64">
        <f>12.9749 * CHOOSE(CONTROL!$C$22, $C$13, 100%, $E$13)</f>
        <v>12.9749</v>
      </c>
      <c r="G668" s="64">
        <f>12.9763 * CHOOSE(CONTROL!$C$22, $C$13, 100%, $E$13)</f>
        <v>12.9763</v>
      </c>
      <c r="H668" s="64">
        <f>21.5552* CHOOSE(CONTROL!$C$22, $C$13, 100%, $E$13)</f>
        <v>21.555199999999999</v>
      </c>
      <c r="I668" s="64">
        <f>21.5567 * CHOOSE(CONTROL!$C$22, $C$13, 100%, $E$13)</f>
        <v>21.556699999999999</v>
      </c>
      <c r="J668" s="64">
        <f>12.9749 * CHOOSE(CONTROL!$C$22, $C$13, 100%, $E$13)</f>
        <v>12.9749</v>
      </c>
      <c r="K668" s="64">
        <f>12.9763 * CHOOSE(CONTROL!$C$22, $C$13, 100%, $E$13)</f>
        <v>12.9763</v>
      </c>
    </row>
    <row r="669" spans="1:11" ht="15">
      <c r="A669" s="13">
        <v>62002</v>
      </c>
      <c r="B669" s="63">
        <f>11.1272 * CHOOSE(CONTROL!$C$22, $C$13, 100%, $E$13)</f>
        <v>11.1272</v>
      </c>
      <c r="C669" s="63">
        <f>11.1272 * CHOOSE(CONTROL!$C$22, $C$13, 100%, $E$13)</f>
        <v>11.1272</v>
      </c>
      <c r="D669" s="63">
        <f>11.1388 * CHOOSE(CONTROL!$C$22, $C$13, 100%, $E$13)</f>
        <v>11.1388</v>
      </c>
      <c r="E669" s="64">
        <f>13.0206 * CHOOSE(CONTROL!$C$22, $C$13, 100%, $E$13)</f>
        <v>13.0206</v>
      </c>
      <c r="F669" s="64">
        <f>13.0206 * CHOOSE(CONTROL!$C$22, $C$13, 100%, $E$13)</f>
        <v>13.0206</v>
      </c>
      <c r="G669" s="64">
        <f>13.0208 * CHOOSE(CONTROL!$C$22, $C$13, 100%, $E$13)</f>
        <v>13.020799999999999</v>
      </c>
      <c r="H669" s="64">
        <f>21.6001* CHOOSE(CONTROL!$C$22, $C$13, 100%, $E$13)</f>
        <v>21.600100000000001</v>
      </c>
      <c r="I669" s="64">
        <f>21.6003 * CHOOSE(CONTROL!$C$22, $C$13, 100%, $E$13)</f>
        <v>21.600300000000001</v>
      </c>
      <c r="J669" s="64">
        <f>13.0206 * CHOOSE(CONTROL!$C$22, $C$13, 100%, $E$13)</f>
        <v>13.0206</v>
      </c>
      <c r="K669" s="64">
        <f>13.0208 * CHOOSE(CONTROL!$C$22, $C$13, 100%, $E$13)</f>
        <v>13.020799999999999</v>
      </c>
    </row>
    <row r="670" spans="1:11" ht="15">
      <c r="A670" s="13">
        <v>62033</v>
      </c>
      <c r="B670" s="63">
        <f>11.1303 * CHOOSE(CONTROL!$C$22, $C$13, 100%, $E$13)</f>
        <v>11.1303</v>
      </c>
      <c r="C670" s="63">
        <f>11.1303 * CHOOSE(CONTROL!$C$22, $C$13, 100%, $E$13)</f>
        <v>11.1303</v>
      </c>
      <c r="D670" s="63">
        <f>11.1418 * CHOOSE(CONTROL!$C$22, $C$13, 100%, $E$13)</f>
        <v>11.1418</v>
      </c>
      <c r="E670" s="64">
        <f>13.0524 * CHOOSE(CONTROL!$C$22, $C$13, 100%, $E$13)</f>
        <v>13.0524</v>
      </c>
      <c r="F670" s="64">
        <f>13.0524 * CHOOSE(CONTROL!$C$22, $C$13, 100%, $E$13)</f>
        <v>13.0524</v>
      </c>
      <c r="G670" s="64">
        <f>13.0525 * CHOOSE(CONTROL!$C$22, $C$13, 100%, $E$13)</f>
        <v>13.0525</v>
      </c>
      <c r="H670" s="64">
        <f>21.6451* CHOOSE(CONTROL!$C$22, $C$13, 100%, $E$13)</f>
        <v>21.645099999999999</v>
      </c>
      <c r="I670" s="64">
        <f>21.6453 * CHOOSE(CONTROL!$C$22, $C$13, 100%, $E$13)</f>
        <v>21.645299999999999</v>
      </c>
      <c r="J670" s="64">
        <f>13.0524 * CHOOSE(CONTROL!$C$22, $C$13, 100%, $E$13)</f>
        <v>13.0524</v>
      </c>
      <c r="K670" s="64">
        <f>13.0525 * CHOOSE(CONTROL!$C$22, $C$13, 100%, $E$13)</f>
        <v>13.0525</v>
      </c>
    </row>
    <row r="671" spans="1:11" ht="15">
      <c r="A671" s="13">
        <v>62063</v>
      </c>
      <c r="B671" s="63">
        <f>11.1303 * CHOOSE(CONTROL!$C$22, $C$13, 100%, $E$13)</f>
        <v>11.1303</v>
      </c>
      <c r="C671" s="63">
        <f>11.1303 * CHOOSE(CONTROL!$C$22, $C$13, 100%, $E$13)</f>
        <v>11.1303</v>
      </c>
      <c r="D671" s="63">
        <f>11.1418 * CHOOSE(CONTROL!$C$22, $C$13, 100%, $E$13)</f>
        <v>11.1418</v>
      </c>
      <c r="E671" s="64">
        <f>12.9784 * CHOOSE(CONTROL!$C$22, $C$13, 100%, $E$13)</f>
        <v>12.978400000000001</v>
      </c>
      <c r="F671" s="64">
        <f>12.9784 * CHOOSE(CONTROL!$C$22, $C$13, 100%, $E$13)</f>
        <v>12.978400000000001</v>
      </c>
      <c r="G671" s="64">
        <f>12.9785 * CHOOSE(CONTROL!$C$22, $C$13, 100%, $E$13)</f>
        <v>12.9785</v>
      </c>
      <c r="H671" s="64">
        <f>21.6902* CHOOSE(CONTROL!$C$22, $C$13, 100%, $E$13)</f>
        <v>21.690200000000001</v>
      </c>
      <c r="I671" s="64">
        <f>21.6904 * CHOOSE(CONTROL!$C$22, $C$13, 100%, $E$13)</f>
        <v>21.6904</v>
      </c>
      <c r="J671" s="64">
        <f>12.9784 * CHOOSE(CONTROL!$C$22, $C$13, 100%, $E$13)</f>
        <v>12.978400000000001</v>
      </c>
      <c r="K671" s="64">
        <f>12.9785 * CHOOSE(CONTROL!$C$22, $C$13, 100%, $E$13)</f>
        <v>12.9785</v>
      </c>
    </row>
    <row r="672" spans="1:11" ht="15">
      <c r="A672" s="13">
        <v>62094</v>
      </c>
      <c r="B672" s="63">
        <f>11.173 * CHOOSE(CONTROL!$C$22, $C$13, 100%, $E$13)</f>
        <v>11.173</v>
      </c>
      <c r="C672" s="63">
        <f>11.173 * CHOOSE(CONTROL!$C$22, $C$13, 100%, $E$13)</f>
        <v>11.173</v>
      </c>
      <c r="D672" s="63">
        <f>11.1845 * CHOOSE(CONTROL!$C$22, $C$13, 100%, $E$13)</f>
        <v>11.1845</v>
      </c>
      <c r="E672" s="64">
        <f>13.0807 * CHOOSE(CONTROL!$C$22, $C$13, 100%, $E$13)</f>
        <v>13.0807</v>
      </c>
      <c r="F672" s="64">
        <f>13.0807 * CHOOSE(CONTROL!$C$22, $C$13, 100%, $E$13)</f>
        <v>13.0807</v>
      </c>
      <c r="G672" s="64">
        <f>13.0809 * CHOOSE(CONTROL!$C$22, $C$13, 100%, $E$13)</f>
        <v>13.0809</v>
      </c>
      <c r="H672" s="64">
        <f>21.6452* CHOOSE(CONTROL!$C$22, $C$13, 100%, $E$13)</f>
        <v>21.645199999999999</v>
      </c>
      <c r="I672" s="64">
        <f>21.6454 * CHOOSE(CONTROL!$C$22, $C$13, 100%, $E$13)</f>
        <v>21.645399999999999</v>
      </c>
      <c r="J672" s="64">
        <f>13.0807 * CHOOSE(CONTROL!$C$22, $C$13, 100%, $E$13)</f>
        <v>13.0807</v>
      </c>
      <c r="K672" s="64">
        <f>13.0809 * CHOOSE(CONTROL!$C$22, $C$13, 100%, $E$13)</f>
        <v>13.0809</v>
      </c>
    </row>
    <row r="673" spans="1:11" ht="15">
      <c r="A673" s="13">
        <v>62125</v>
      </c>
      <c r="B673" s="63">
        <f>11.1699 * CHOOSE(CONTROL!$C$22, $C$13, 100%, $E$13)</f>
        <v>11.1699</v>
      </c>
      <c r="C673" s="63">
        <f>11.1699 * CHOOSE(CONTROL!$C$22, $C$13, 100%, $E$13)</f>
        <v>11.1699</v>
      </c>
      <c r="D673" s="63">
        <f>11.1815 * CHOOSE(CONTROL!$C$22, $C$13, 100%, $E$13)</f>
        <v>11.1815</v>
      </c>
      <c r="E673" s="64">
        <f>12.9355 * CHOOSE(CONTROL!$C$22, $C$13, 100%, $E$13)</f>
        <v>12.935499999999999</v>
      </c>
      <c r="F673" s="64">
        <f>12.9355 * CHOOSE(CONTROL!$C$22, $C$13, 100%, $E$13)</f>
        <v>12.935499999999999</v>
      </c>
      <c r="G673" s="64">
        <f>12.9357 * CHOOSE(CONTROL!$C$22, $C$13, 100%, $E$13)</f>
        <v>12.935700000000001</v>
      </c>
      <c r="H673" s="64">
        <f>21.6903* CHOOSE(CONTROL!$C$22, $C$13, 100%, $E$13)</f>
        <v>21.690300000000001</v>
      </c>
      <c r="I673" s="64">
        <f>21.6905 * CHOOSE(CONTROL!$C$22, $C$13, 100%, $E$13)</f>
        <v>21.6905</v>
      </c>
      <c r="J673" s="64">
        <f>12.9355 * CHOOSE(CONTROL!$C$22, $C$13, 100%, $E$13)</f>
        <v>12.935499999999999</v>
      </c>
      <c r="K673" s="64">
        <f>12.9357 * CHOOSE(CONTROL!$C$22, $C$13, 100%, $E$13)</f>
        <v>12.935700000000001</v>
      </c>
    </row>
    <row r="674" spans="1:11" ht="15">
      <c r="A674" s="13">
        <v>62153</v>
      </c>
      <c r="B674" s="63">
        <f>11.1669 * CHOOSE(CONTROL!$C$22, $C$13, 100%, $E$13)</f>
        <v>11.1669</v>
      </c>
      <c r="C674" s="63">
        <f>11.1669 * CHOOSE(CONTROL!$C$22, $C$13, 100%, $E$13)</f>
        <v>11.1669</v>
      </c>
      <c r="D674" s="63">
        <f>11.1785 * CHOOSE(CONTROL!$C$22, $C$13, 100%, $E$13)</f>
        <v>11.1785</v>
      </c>
      <c r="E674" s="64">
        <f>13.0462 * CHOOSE(CONTROL!$C$22, $C$13, 100%, $E$13)</f>
        <v>13.046200000000001</v>
      </c>
      <c r="F674" s="64">
        <f>13.0462 * CHOOSE(CONTROL!$C$22, $C$13, 100%, $E$13)</f>
        <v>13.046200000000001</v>
      </c>
      <c r="G674" s="64">
        <f>13.0464 * CHOOSE(CONTROL!$C$22, $C$13, 100%, $E$13)</f>
        <v>13.0464</v>
      </c>
      <c r="H674" s="64">
        <f>21.7355* CHOOSE(CONTROL!$C$22, $C$13, 100%, $E$13)</f>
        <v>21.735499999999998</v>
      </c>
      <c r="I674" s="64">
        <f>21.7357 * CHOOSE(CONTROL!$C$22, $C$13, 100%, $E$13)</f>
        <v>21.735700000000001</v>
      </c>
      <c r="J674" s="64">
        <f>13.0462 * CHOOSE(CONTROL!$C$22, $C$13, 100%, $E$13)</f>
        <v>13.046200000000001</v>
      </c>
      <c r="K674" s="64">
        <f>13.0464 * CHOOSE(CONTROL!$C$22, $C$13, 100%, $E$13)</f>
        <v>13.0464</v>
      </c>
    </row>
    <row r="675" spans="1:11" ht="15">
      <c r="A675" s="13">
        <v>62184</v>
      </c>
      <c r="B675" s="63">
        <f>11.1707 * CHOOSE(CONTROL!$C$22, $C$13, 100%, $E$13)</f>
        <v>11.1707</v>
      </c>
      <c r="C675" s="63">
        <f>11.1707 * CHOOSE(CONTROL!$C$22, $C$13, 100%, $E$13)</f>
        <v>11.1707</v>
      </c>
      <c r="D675" s="63">
        <f>11.1823 * CHOOSE(CONTROL!$C$22, $C$13, 100%, $E$13)</f>
        <v>11.1823</v>
      </c>
      <c r="E675" s="64">
        <f>13.1631 * CHOOSE(CONTROL!$C$22, $C$13, 100%, $E$13)</f>
        <v>13.1631</v>
      </c>
      <c r="F675" s="64">
        <f>13.1631 * CHOOSE(CONTROL!$C$22, $C$13, 100%, $E$13)</f>
        <v>13.1631</v>
      </c>
      <c r="G675" s="64">
        <f>13.1633 * CHOOSE(CONTROL!$C$22, $C$13, 100%, $E$13)</f>
        <v>13.1633</v>
      </c>
      <c r="H675" s="64">
        <f>21.7808* CHOOSE(CONTROL!$C$22, $C$13, 100%, $E$13)</f>
        <v>21.780799999999999</v>
      </c>
      <c r="I675" s="64">
        <f>21.781 * CHOOSE(CONTROL!$C$22, $C$13, 100%, $E$13)</f>
        <v>21.780999999999999</v>
      </c>
      <c r="J675" s="64">
        <f>13.1631 * CHOOSE(CONTROL!$C$22, $C$13, 100%, $E$13)</f>
        <v>13.1631</v>
      </c>
      <c r="K675" s="64">
        <f>13.1633 * CHOOSE(CONTROL!$C$22, $C$13, 100%, $E$13)</f>
        <v>13.1633</v>
      </c>
    </row>
    <row r="676" spans="1:11" ht="15">
      <c r="A676" s="13">
        <v>62214</v>
      </c>
      <c r="B676" s="63">
        <f>11.1707 * CHOOSE(CONTROL!$C$22, $C$13, 100%, $E$13)</f>
        <v>11.1707</v>
      </c>
      <c r="C676" s="63">
        <f>11.1707 * CHOOSE(CONTROL!$C$22, $C$13, 100%, $E$13)</f>
        <v>11.1707</v>
      </c>
      <c r="D676" s="63">
        <f>11.1938 * CHOOSE(CONTROL!$C$22, $C$13, 100%, $E$13)</f>
        <v>11.1938</v>
      </c>
      <c r="E676" s="64">
        <f>13.2085 * CHOOSE(CONTROL!$C$22, $C$13, 100%, $E$13)</f>
        <v>13.208500000000001</v>
      </c>
      <c r="F676" s="64">
        <f>13.2085 * CHOOSE(CONTROL!$C$22, $C$13, 100%, $E$13)</f>
        <v>13.208500000000001</v>
      </c>
      <c r="G676" s="64">
        <f>13.21 * CHOOSE(CONTROL!$C$22, $C$13, 100%, $E$13)</f>
        <v>13.21</v>
      </c>
      <c r="H676" s="64">
        <f>21.8262* CHOOSE(CONTROL!$C$22, $C$13, 100%, $E$13)</f>
        <v>21.8262</v>
      </c>
      <c r="I676" s="64">
        <f>21.8277 * CHOOSE(CONTROL!$C$22, $C$13, 100%, $E$13)</f>
        <v>21.8277</v>
      </c>
      <c r="J676" s="64">
        <f>13.2085 * CHOOSE(CONTROL!$C$22, $C$13, 100%, $E$13)</f>
        <v>13.208500000000001</v>
      </c>
      <c r="K676" s="64">
        <f>13.21 * CHOOSE(CONTROL!$C$22, $C$13, 100%, $E$13)</f>
        <v>13.21</v>
      </c>
    </row>
    <row r="677" spans="1:11" ht="15">
      <c r="A677" s="13">
        <v>62245</v>
      </c>
      <c r="B677" s="63">
        <f>11.1768 * CHOOSE(CONTROL!$C$22, $C$13, 100%, $E$13)</f>
        <v>11.1768</v>
      </c>
      <c r="C677" s="63">
        <f>11.1768 * CHOOSE(CONTROL!$C$22, $C$13, 100%, $E$13)</f>
        <v>11.1768</v>
      </c>
      <c r="D677" s="63">
        <f>11.1999 * CHOOSE(CONTROL!$C$22, $C$13, 100%, $E$13)</f>
        <v>11.1999</v>
      </c>
      <c r="E677" s="64">
        <f>13.1673 * CHOOSE(CONTROL!$C$22, $C$13, 100%, $E$13)</f>
        <v>13.167299999999999</v>
      </c>
      <c r="F677" s="64">
        <f>13.1673 * CHOOSE(CONTROL!$C$22, $C$13, 100%, $E$13)</f>
        <v>13.167299999999999</v>
      </c>
      <c r="G677" s="64">
        <f>13.1688 * CHOOSE(CONTROL!$C$22, $C$13, 100%, $E$13)</f>
        <v>13.168799999999999</v>
      </c>
      <c r="H677" s="64">
        <f>21.8716* CHOOSE(CONTROL!$C$22, $C$13, 100%, $E$13)</f>
        <v>21.871600000000001</v>
      </c>
      <c r="I677" s="64">
        <f>21.8731 * CHOOSE(CONTROL!$C$22, $C$13, 100%, $E$13)</f>
        <v>21.873100000000001</v>
      </c>
      <c r="J677" s="64">
        <f>13.1673 * CHOOSE(CONTROL!$C$22, $C$13, 100%, $E$13)</f>
        <v>13.167299999999999</v>
      </c>
      <c r="K677" s="64">
        <f>13.1688 * CHOOSE(CONTROL!$C$22, $C$13, 100%, $E$13)</f>
        <v>13.168799999999999</v>
      </c>
    </row>
    <row r="678" spans="1:11" ht="15">
      <c r="A678" s="13">
        <v>62275</v>
      </c>
      <c r="B678" s="63">
        <f>11.3542 * CHOOSE(CONTROL!$C$22, $C$13, 100%, $E$13)</f>
        <v>11.354200000000001</v>
      </c>
      <c r="C678" s="63">
        <f>11.3542 * CHOOSE(CONTROL!$C$22, $C$13, 100%, $E$13)</f>
        <v>11.354200000000001</v>
      </c>
      <c r="D678" s="63">
        <f>11.3773 * CHOOSE(CONTROL!$C$22, $C$13, 100%, $E$13)</f>
        <v>11.3773</v>
      </c>
      <c r="E678" s="64">
        <f>13.4202 * CHOOSE(CONTROL!$C$22, $C$13, 100%, $E$13)</f>
        <v>13.420199999999999</v>
      </c>
      <c r="F678" s="64">
        <f>13.4202 * CHOOSE(CONTROL!$C$22, $C$13, 100%, $E$13)</f>
        <v>13.420199999999999</v>
      </c>
      <c r="G678" s="64">
        <f>13.4217 * CHOOSE(CONTROL!$C$22, $C$13, 100%, $E$13)</f>
        <v>13.4217</v>
      </c>
      <c r="H678" s="64">
        <f>21.9172* CHOOSE(CONTROL!$C$22, $C$13, 100%, $E$13)</f>
        <v>21.917200000000001</v>
      </c>
      <c r="I678" s="64">
        <f>21.9187 * CHOOSE(CONTROL!$C$22, $C$13, 100%, $E$13)</f>
        <v>21.918700000000001</v>
      </c>
      <c r="J678" s="64">
        <f>13.4202 * CHOOSE(CONTROL!$C$22, $C$13, 100%, $E$13)</f>
        <v>13.420199999999999</v>
      </c>
      <c r="K678" s="64">
        <f>13.4217 * CHOOSE(CONTROL!$C$22, $C$13, 100%, $E$13)</f>
        <v>13.4217</v>
      </c>
    </row>
    <row r="679" spans="1:11" ht="15">
      <c r="A679" s="13">
        <v>62306</v>
      </c>
      <c r="B679" s="63">
        <f>11.3609 * CHOOSE(CONTROL!$C$22, $C$13, 100%, $E$13)</f>
        <v>11.360900000000001</v>
      </c>
      <c r="C679" s="63">
        <f>11.3609 * CHOOSE(CONTROL!$C$22, $C$13, 100%, $E$13)</f>
        <v>11.360900000000001</v>
      </c>
      <c r="D679" s="63">
        <f>11.384 * CHOOSE(CONTROL!$C$22, $C$13, 100%, $E$13)</f>
        <v>11.384</v>
      </c>
      <c r="E679" s="64">
        <f>13.2886 * CHOOSE(CONTROL!$C$22, $C$13, 100%, $E$13)</f>
        <v>13.288600000000001</v>
      </c>
      <c r="F679" s="64">
        <f>13.2886 * CHOOSE(CONTROL!$C$22, $C$13, 100%, $E$13)</f>
        <v>13.288600000000001</v>
      </c>
      <c r="G679" s="64">
        <f>13.2901 * CHOOSE(CONTROL!$C$22, $C$13, 100%, $E$13)</f>
        <v>13.290100000000001</v>
      </c>
      <c r="H679" s="64">
        <f>21.9629* CHOOSE(CONTROL!$C$22, $C$13, 100%, $E$13)</f>
        <v>21.962900000000001</v>
      </c>
      <c r="I679" s="64">
        <f>21.9643 * CHOOSE(CONTROL!$C$22, $C$13, 100%, $E$13)</f>
        <v>21.964300000000001</v>
      </c>
      <c r="J679" s="64">
        <f>13.2886 * CHOOSE(CONTROL!$C$22, $C$13, 100%, $E$13)</f>
        <v>13.288600000000001</v>
      </c>
      <c r="K679" s="64">
        <f>13.2901 * CHOOSE(CONTROL!$C$22, $C$13, 100%, $E$13)</f>
        <v>13.290100000000001</v>
      </c>
    </row>
    <row r="680" spans="1:11" ht="15">
      <c r="A680" s="13">
        <v>62337</v>
      </c>
      <c r="B680" s="63">
        <f>11.3579 * CHOOSE(CONTROL!$C$22, $C$13, 100%, $E$13)</f>
        <v>11.357900000000001</v>
      </c>
      <c r="C680" s="63">
        <f>11.3579 * CHOOSE(CONTROL!$C$22, $C$13, 100%, $E$13)</f>
        <v>11.357900000000001</v>
      </c>
      <c r="D680" s="63">
        <f>11.381 * CHOOSE(CONTROL!$C$22, $C$13, 100%, $E$13)</f>
        <v>11.381</v>
      </c>
      <c r="E680" s="64">
        <f>13.2713 * CHOOSE(CONTROL!$C$22, $C$13, 100%, $E$13)</f>
        <v>13.2713</v>
      </c>
      <c r="F680" s="64">
        <f>13.2713 * CHOOSE(CONTROL!$C$22, $C$13, 100%, $E$13)</f>
        <v>13.2713</v>
      </c>
      <c r="G680" s="64">
        <f>13.2728 * CHOOSE(CONTROL!$C$22, $C$13, 100%, $E$13)</f>
        <v>13.2728</v>
      </c>
      <c r="H680" s="64">
        <f>22.0086* CHOOSE(CONTROL!$C$22, $C$13, 100%, $E$13)</f>
        <v>22.008600000000001</v>
      </c>
      <c r="I680" s="64">
        <f>22.0101 * CHOOSE(CONTROL!$C$22, $C$13, 100%, $E$13)</f>
        <v>22.010100000000001</v>
      </c>
      <c r="J680" s="64">
        <f>13.2713 * CHOOSE(CONTROL!$C$22, $C$13, 100%, $E$13)</f>
        <v>13.2713</v>
      </c>
      <c r="K680" s="64">
        <f>13.2728 * CHOOSE(CONTROL!$C$22, $C$13, 100%, $E$13)</f>
        <v>13.2728</v>
      </c>
    </row>
    <row r="681" spans="1:11" ht="15">
      <c r="A681" s="13">
        <v>62367</v>
      </c>
      <c r="B681" s="63">
        <f>11.3773 * CHOOSE(CONTROL!$C$22, $C$13, 100%, $E$13)</f>
        <v>11.3773</v>
      </c>
      <c r="C681" s="63">
        <f>11.3773 * CHOOSE(CONTROL!$C$22, $C$13, 100%, $E$13)</f>
        <v>11.3773</v>
      </c>
      <c r="D681" s="63">
        <f>11.3888 * CHOOSE(CONTROL!$C$22, $C$13, 100%, $E$13)</f>
        <v>11.3888</v>
      </c>
      <c r="E681" s="64">
        <f>13.3185 * CHOOSE(CONTROL!$C$22, $C$13, 100%, $E$13)</f>
        <v>13.3185</v>
      </c>
      <c r="F681" s="64">
        <f>13.3185 * CHOOSE(CONTROL!$C$22, $C$13, 100%, $E$13)</f>
        <v>13.3185</v>
      </c>
      <c r="G681" s="64">
        <f>13.3187 * CHOOSE(CONTROL!$C$22, $C$13, 100%, $E$13)</f>
        <v>13.3187</v>
      </c>
      <c r="H681" s="64">
        <f>22.0545* CHOOSE(CONTROL!$C$22, $C$13, 100%, $E$13)</f>
        <v>22.054500000000001</v>
      </c>
      <c r="I681" s="64">
        <f>22.0546 * CHOOSE(CONTROL!$C$22, $C$13, 100%, $E$13)</f>
        <v>22.054600000000001</v>
      </c>
      <c r="J681" s="64">
        <f>13.3185 * CHOOSE(CONTROL!$C$22, $C$13, 100%, $E$13)</f>
        <v>13.3185</v>
      </c>
      <c r="K681" s="64">
        <f>13.3187 * CHOOSE(CONTROL!$C$22, $C$13, 100%, $E$13)</f>
        <v>13.3187</v>
      </c>
    </row>
    <row r="682" spans="1:11" ht="15">
      <c r="A682" s="13">
        <v>62398</v>
      </c>
      <c r="B682" s="63">
        <f>11.3803 * CHOOSE(CONTROL!$C$22, $C$13, 100%, $E$13)</f>
        <v>11.3803</v>
      </c>
      <c r="C682" s="63">
        <f>11.3803 * CHOOSE(CONTROL!$C$22, $C$13, 100%, $E$13)</f>
        <v>11.3803</v>
      </c>
      <c r="D682" s="63">
        <f>11.3919 * CHOOSE(CONTROL!$C$22, $C$13, 100%, $E$13)</f>
        <v>11.3919</v>
      </c>
      <c r="E682" s="64">
        <f>13.3509 * CHOOSE(CONTROL!$C$22, $C$13, 100%, $E$13)</f>
        <v>13.350899999999999</v>
      </c>
      <c r="F682" s="64">
        <f>13.3509 * CHOOSE(CONTROL!$C$22, $C$13, 100%, $E$13)</f>
        <v>13.350899999999999</v>
      </c>
      <c r="G682" s="64">
        <f>13.3511 * CHOOSE(CONTROL!$C$22, $C$13, 100%, $E$13)</f>
        <v>13.351100000000001</v>
      </c>
      <c r="H682" s="64">
        <f>22.1004* CHOOSE(CONTROL!$C$22, $C$13, 100%, $E$13)</f>
        <v>22.1004</v>
      </c>
      <c r="I682" s="64">
        <f>22.1006 * CHOOSE(CONTROL!$C$22, $C$13, 100%, $E$13)</f>
        <v>22.1006</v>
      </c>
      <c r="J682" s="64">
        <f>13.3509 * CHOOSE(CONTROL!$C$22, $C$13, 100%, $E$13)</f>
        <v>13.350899999999999</v>
      </c>
      <c r="K682" s="64">
        <f>13.3511 * CHOOSE(CONTROL!$C$22, $C$13, 100%, $E$13)</f>
        <v>13.351100000000001</v>
      </c>
    </row>
    <row r="683" spans="1:11" ht="15">
      <c r="A683" s="13">
        <v>62428</v>
      </c>
      <c r="B683" s="63">
        <f>11.3803 * CHOOSE(CONTROL!$C$22, $C$13, 100%, $E$13)</f>
        <v>11.3803</v>
      </c>
      <c r="C683" s="63">
        <f>11.3803 * CHOOSE(CONTROL!$C$22, $C$13, 100%, $E$13)</f>
        <v>11.3803</v>
      </c>
      <c r="D683" s="63">
        <f>11.3919 * CHOOSE(CONTROL!$C$22, $C$13, 100%, $E$13)</f>
        <v>11.3919</v>
      </c>
      <c r="E683" s="64">
        <f>13.2752 * CHOOSE(CONTROL!$C$22, $C$13, 100%, $E$13)</f>
        <v>13.2752</v>
      </c>
      <c r="F683" s="64">
        <f>13.2752 * CHOOSE(CONTROL!$C$22, $C$13, 100%, $E$13)</f>
        <v>13.2752</v>
      </c>
      <c r="G683" s="64">
        <f>13.2754 * CHOOSE(CONTROL!$C$22, $C$13, 100%, $E$13)</f>
        <v>13.275399999999999</v>
      </c>
      <c r="H683" s="64">
        <f>22.1465* CHOOSE(CONTROL!$C$22, $C$13, 100%, $E$13)</f>
        <v>22.1465</v>
      </c>
      <c r="I683" s="64">
        <f>22.1466 * CHOOSE(CONTROL!$C$22, $C$13, 100%, $E$13)</f>
        <v>22.146599999999999</v>
      </c>
      <c r="J683" s="64">
        <f>13.2752 * CHOOSE(CONTROL!$C$22, $C$13, 100%, $E$13)</f>
        <v>13.2752</v>
      </c>
      <c r="K683" s="64">
        <f>13.2754 * CHOOSE(CONTROL!$C$22, $C$13, 100%, $E$13)</f>
        <v>13.275399999999999</v>
      </c>
    </row>
    <row r="684" spans="1:11" ht="15">
      <c r="A684" s="13">
        <v>62459</v>
      </c>
      <c r="B684" s="63">
        <f>11.4183 * CHOOSE(CONTROL!$C$22, $C$13, 100%, $E$13)</f>
        <v>11.4183</v>
      </c>
      <c r="C684" s="63">
        <f>11.4183 * CHOOSE(CONTROL!$C$22, $C$13, 100%, $E$13)</f>
        <v>11.4183</v>
      </c>
      <c r="D684" s="63">
        <f>11.4299 * CHOOSE(CONTROL!$C$22, $C$13, 100%, $E$13)</f>
        <v>11.4299</v>
      </c>
      <c r="E684" s="64">
        <f>13.3731 * CHOOSE(CONTROL!$C$22, $C$13, 100%, $E$13)</f>
        <v>13.373100000000001</v>
      </c>
      <c r="F684" s="64">
        <f>13.3731 * CHOOSE(CONTROL!$C$22, $C$13, 100%, $E$13)</f>
        <v>13.373100000000001</v>
      </c>
      <c r="G684" s="64">
        <f>13.3733 * CHOOSE(CONTROL!$C$22, $C$13, 100%, $E$13)</f>
        <v>13.3733</v>
      </c>
      <c r="H684" s="64">
        <f>22.0911* CHOOSE(CONTROL!$C$22, $C$13, 100%, $E$13)</f>
        <v>22.091100000000001</v>
      </c>
      <c r="I684" s="64">
        <f>22.0913 * CHOOSE(CONTROL!$C$22, $C$13, 100%, $E$13)</f>
        <v>22.0913</v>
      </c>
      <c r="J684" s="64">
        <f>13.3731 * CHOOSE(CONTROL!$C$22, $C$13, 100%, $E$13)</f>
        <v>13.373100000000001</v>
      </c>
      <c r="K684" s="64">
        <f>13.3733 * CHOOSE(CONTROL!$C$22, $C$13, 100%, $E$13)</f>
        <v>13.3733</v>
      </c>
    </row>
    <row r="685" spans="1:11" ht="15">
      <c r="A685" s="13">
        <v>62490</v>
      </c>
      <c r="B685" s="63">
        <f>11.4153 * CHOOSE(CONTROL!$C$22, $C$13, 100%, $E$13)</f>
        <v>11.4153</v>
      </c>
      <c r="C685" s="63">
        <f>11.4153 * CHOOSE(CONTROL!$C$22, $C$13, 100%, $E$13)</f>
        <v>11.4153</v>
      </c>
      <c r="D685" s="63">
        <f>11.4268 * CHOOSE(CONTROL!$C$22, $C$13, 100%, $E$13)</f>
        <v>11.4268</v>
      </c>
      <c r="E685" s="64">
        <f>13.2247 * CHOOSE(CONTROL!$C$22, $C$13, 100%, $E$13)</f>
        <v>13.2247</v>
      </c>
      <c r="F685" s="64">
        <f>13.2247 * CHOOSE(CONTROL!$C$22, $C$13, 100%, $E$13)</f>
        <v>13.2247</v>
      </c>
      <c r="G685" s="64">
        <f>13.2249 * CHOOSE(CONTROL!$C$22, $C$13, 100%, $E$13)</f>
        <v>13.2249</v>
      </c>
      <c r="H685" s="64">
        <f>22.1371* CHOOSE(CONTROL!$C$22, $C$13, 100%, $E$13)</f>
        <v>22.1371</v>
      </c>
      <c r="I685" s="64">
        <f>22.1373 * CHOOSE(CONTROL!$C$22, $C$13, 100%, $E$13)</f>
        <v>22.1373</v>
      </c>
      <c r="J685" s="64">
        <f>13.2247 * CHOOSE(CONTROL!$C$22, $C$13, 100%, $E$13)</f>
        <v>13.2247</v>
      </c>
      <c r="K685" s="64">
        <f>13.2249 * CHOOSE(CONTROL!$C$22, $C$13, 100%, $E$13)</f>
        <v>13.2249</v>
      </c>
    </row>
    <row r="686" spans="1:11" ht="15">
      <c r="A686" s="13">
        <v>62518</v>
      </c>
      <c r="B686" s="63">
        <f>11.4122 * CHOOSE(CONTROL!$C$22, $C$13, 100%, $E$13)</f>
        <v>11.4122</v>
      </c>
      <c r="C686" s="63">
        <f>11.4122 * CHOOSE(CONTROL!$C$22, $C$13, 100%, $E$13)</f>
        <v>11.4122</v>
      </c>
      <c r="D686" s="63">
        <f>11.4238 * CHOOSE(CONTROL!$C$22, $C$13, 100%, $E$13)</f>
        <v>11.4238</v>
      </c>
      <c r="E686" s="64">
        <f>13.3379 * CHOOSE(CONTROL!$C$22, $C$13, 100%, $E$13)</f>
        <v>13.337899999999999</v>
      </c>
      <c r="F686" s="64">
        <f>13.3379 * CHOOSE(CONTROL!$C$22, $C$13, 100%, $E$13)</f>
        <v>13.337899999999999</v>
      </c>
      <c r="G686" s="64">
        <f>13.3381 * CHOOSE(CONTROL!$C$22, $C$13, 100%, $E$13)</f>
        <v>13.338100000000001</v>
      </c>
      <c r="H686" s="64">
        <f>22.1833* CHOOSE(CONTROL!$C$22, $C$13, 100%, $E$13)</f>
        <v>22.183299999999999</v>
      </c>
      <c r="I686" s="64">
        <f>22.1834 * CHOOSE(CONTROL!$C$22, $C$13, 100%, $E$13)</f>
        <v>22.183399999999999</v>
      </c>
      <c r="J686" s="64">
        <f>13.3379 * CHOOSE(CONTROL!$C$22, $C$13, 100%, $E$13)</f>
        <v>13.337899999999999</v>
      </c>
      <c r="K686" s="64">
        <f>13.3381 * CHOOSE(CONTROL!$C$22, $C$13, 100%, $E$13)</f>
        <v>13.338100000000001</v>
      </c>
    </row>
    <row r="687" spans="1:11" ht="15">
      <c r="A687" s="13">
        <v>62549</v>
      </c>
      <c r="B687" s="63">
        <f>11.4162 * CHOOSE(CONTROL!$C$22, $C$13, 100%, $E$13)</f>
        <v>11.4162</v>
      </c>
      <c r="C687" s="63">
        <f>11.4162 * CHOOSE(CONTROL!$C$22, $C$13, 100%, $E$13)</f>
        <v>11.4162</v>
      </c>
      <c r="D687" s="63">
        <f>11.4278 * CHOOSE(CONTROL!$C$22, $C$13, 100%, $E$13)</f>
        <v>11.4278</v>
      </c>
      <c r="E687" s="64">
        <f>13.4575 * CHOOSE(CONTROL!$C$22, $C$13, 100%, $E$13)</f>
        <v>13.4575</v>
      </c>
      <c r="F687" s="64">
        <f>13.4575 * CHOOSE(CONTROL!$C$22, $C$13, 100%, $E$13)</f>
        <v>13.4575</v>
      </c>
      <c r="G687" s="64">
        <f>13.4577 * CHOOSE(CONTROL!$C$22, $C$13, 100%, $E$13)</f>
        <v>13.457700000000001</v>
      </c>
      <c r="H687" s="64">
        <f>22.2295* CHOOSE(CONTROL!$C$22, $C$13, 100%, $E$13)</f>
        <v>22.229500000000002</v>
      </c>
      <c r="I687" s="64">
        <f>22.2296 * CHOOSE(CONTROL!$C$22, $C$13, 100%, $E$13)</f>
        <v>22.229600000000001</v>
      </c>
      <c r="J687" s="64">
        <f>13.4575 * CHOOSE(CONTROL!$C$22, $C$13, 100%, $E$13)</f>
        <v>13.4575</v>
      </c>
      <c r="K687" s="64">
        <f>13.4577 * CHOOSE(CONTROL!$C$22, $C$13, 100%, $E$13)</f>
        <v>13.457700000000001</v>
      </c>
    </row>
    <row r="688" spans="1:11" ht="15">
      <c r="A688" s="13">
        <v>62579</v>
      </c>
      <c r="B688" s="63">
        <f>11.4162 * CHOOSE(CONTROL!$C$22, $C$13, 100%, $E$13)</f>
        <v>11.4162</v>
      </c>
      <c r="C688" s="63">
        <f>11.4162 * CHOOSE(CONTROL!$C$22, $C$13, 100%, $E$13)</f>
        <v>11.4162</v>
      </c>
      <c r="D688" s="63">
        <f>11.4394 * CHOOSE(CONTROL!$C$22, $C$13, 100%, $E$13)</f>
        <v>11.439399999999999</v>
      </c>
      <c r="E688" s="64">
        <f>13.504 * CHOOSE(CONTROL!$C$22, $C$13, 100%, $E$13)</f>
        <v>13.504</v>
      </c>
      <c r="F688" s="64">
        <f>13.504 * CHOOSE(CONTROL!$C$22, $C$13, 100%, $E$13)</f>
        <v>13.504</v>
      </c>
      <c r="G688" s="64">
        <f>13.5055 * CHOOSE(CONTROL!$C$22, $C$13, 100%, $E$13)</f>
        <v>13.5055</v>
      </c>
      <c r="H688" s="64">
        <f>22.2758* CHOOSE(CONTROL!$C$22, $C$13, 100%, $E$13)</f>
        <v>22.2758</v>
      </c>
      <c r="I688" s="64">
        <f>22.2773 * CHOOSE(CONTROL!$C$22, $C$13, 100%, $E$13)</f>
        <v>22.2773</v>
      </c>
      <c r="J688" s="64">
        <f>13.504 * CHOOSE(CONTROL!$C$22, $C$13, 100%, $E$13)</f>
        <v>13.504</v>
      </c>
      <c r="K688" s="64">
        <f>13.5055 * CHOOSE(CONTROL!$C$22, $C$13, 100%, $E$13)</f>
        <v>13.5055</v>
      </c>
    </row>
    <row r="689" spans="1:11" ht="15">
      <c r="A689" s="13">
        <v>62610</v>
      </c>
      <c r="B689" s="63">
        <f>11.4223 * CHOOSE(CONTROL!$C$22, $C$13, 100%, $E$13)</f>
        <v>11.4223</v>
      </c>
      <c r="C689" s="63">
        <f>11.4223 * CHOOSE(CONTROL!$C$22, $C$13, 100%, $E$13)</f>
        <v>11.4223</v>
      </c>
      <c r="D689" s="63">
        <f>11.4454 * CHOOSE(CONTROL!$C$22, $C$13, 100%, $E$13)</f>
        <v>11.445399999999999</v>
      </c>
      <c r="E689" s="64">
        <f>13.4618 * CHOOSE(CONTROL!$C$22, $C$13, 100%, $E$13)</f>
        <v>13.4618</v>
      </c>
      <c r="F689" s="64">
        <f>13.4618 * CHOOSE(CONTROL!$C$22, $C$13, 100%, $E$13)</f>
        <v>13.4618</v>
      </c>
      <c r="G689" s="64">
        <f>13.4633 * CHOOSE(CONTROL!$C$22, $C$13, 100%, $E$13)</f>
        <v>13.4633</v>
      </c>
      <c r="H689" s="64">
        <f>22.3222* CHOOSE(CONTROL!$C$22, $C$13, 100%, $E$13)</f>
        <v>22.322199999999999</v>
      </c>
      <c r="I689" s="64">
        <f>22.3237 * CHOOSE(CONTROL!$C$22, $C$13, 100%, $E$13)</f>
        <v>22.323699999999999</v>
      </c>
      <c r="J689" s="64">
        <f>13.4618 * CHOOSE(CONTROL!$C$22, $C$13, 100%, $E$13)</f>
        <v>13.4618</v>
      </c>
      <c r="K689" s="64">
        <f>13.4633 * CHOOSE(CONTROL!$C$22, $C$13, 100%, $E$13)</f>
        <v>13.4633</v>
      </c>
    </row>
    <row r="690" spans="1:11" ht="15">
      <c r="A690" s="13">
        <v>62640</v>
      </c>
      <c r="B690" s="63">
        <f>11.6034 * CHOOSE(CONTROL!$C$22, $C$13, 100%, $E$13)</f>
        <v>11.603400000000001</v>
      </c>
      <c r="C690" s="63">
        <f>11.6034 * CHOOSE(CONTROL!$C$22, $C$13, 100%, $E$13)</f>
        <v>11.603400000000001</v>
      </c>
      <c r="D690" s="63">
        <f>11.6265 * CHOOSE(CONTROL!$C$22, $C$13, 100%, $E$13)</f>
        <v>11.6265</v>
      </c>
      <c r="E690" s="64">
        <f>13.7201 * CHOOSE(CONTROL!$C$22, $C$13, 100%, $E$13)</f>
        <v>13.7201</v>
      </c>
      <c r="F690" s="64">
        <f>13.7201 * CHOOSE(CONTROL!$C$22, $C$13, 100%, $E$13)</f>
        <v>13.7201</v>
      </c>
      <c r="G690" s="64">
        <f>13.7216 * CHOOSE(CONTROL!$C$22, $C$13, 100%, $E$13)</f>
        <v>13.7216</v>
      </c>
      <c r="H690" s="64">
        <f>22.3687* CHOOSE(CONTROL!$C$22, $C$13, 100%, $E$13)</f>
        <v>22.3687</v>
      </c>
      <c r="I690" s="64">
        <f>22.3702 * CHOOSE(CONTROL!$C$22, $C$13, 100%, $E$13)</f>
        <v>22.370200000000001</v>
      </c>
      <c r="J690" s="64">
        <f>13.7201 * CHOOSE(CONTROL!$C$22, $C$13, 100%, $E$13)</f>
        <v>13.7201</v>
      </c>
      <c r="K690" s="64">
        <f>13.7216 * CHOOSE(CONTROL!$C$22, $C$13, 100%, $E$13)</f>
        <v>13.7216</v>
      </c>
    </row>
    <row r="691" spans="1:11" ht="15">
      <c r="A691" s="13">
        <v>62671</v>
      </c>
      <c r="B691" s="63">
        <f>11.6101 * CHOOSE(CONTROL!$C$22, $C$13, 100%, $E$13)</f>
        <v>11.610099999999999</v>
      </c>
      <c r="C691" s="63">
        <f>11.6101 * CHOOSE(CONTROL!$C$22, $C$13, 100%, $E$13)</f>
        <v>11.610099999999999</v>
      </c>
      <c r="D691" s="63">
        <f>11.6332 * CHOOSE(CONTROL!$C$22, $C$13, 100%, $E$13)</f>
        <v>11.6332</v>
      </c>
      <c r="E691" s="64">
        <f>13.5854 * CHOOSE(CONTROL!$C$22, $C$13, 100%, $E$13)</f>
        <v>13.5854</v>
      </c>
      <c r="F691" s="64">
        <f>13.5854 * CHOOSE(CONTROL!$C$22, $C$13, 100%, $E$13)</f>
        <v>13.5854</v>
      </c>
      <c r="G691" s="64">
        <f>13.5869 * CHOOSE(CONTROL!$C$22, $C$13, 100%, $E$13)</f>
        <v>13.5869</v>
      </c>
      <c r="H691" s="64">
        <f>22.4153* CHOOSE(CONTROL!$C$22, $C$13, 100%, $E$13)</f>
        <v>22.415299999999998</v>
      </c>
      <c r="I691" s="64">
        <f>22.4168 * CHOOSE(CONTROL!$C$22, $C$13, 100%, $E$13)</f>
        <v>22.416799999999999</v>
      </c>
      <c r="J691" s="64">
        <f>13.5854 * CHOOSE(CONTROL!$C$22, $C$13, 100%, $E$13)</f>
        <v>13.5854</v>
      </c>
      <c r="K691" s="64">
        <f>13.5869 * CHOOSE(CONTROL!$C$22, $C$13, 100%, $E$13)</f>
        <v>13.5869</v>
      </c>
    </row>
    <row r="692" spans="1:11" ht="15">
      <c r="A692" s="13">
        <v>62702</v>
      </c>
      <c r="B692" s="63">
        <f>11.6071 * CHOOSE(CONTROL!$C$22, $C$13, 100%, $E$13)</f>
        <v>11.607100000000001</v>
      </c>
      <c r="C692" s="63">
        <f>11.6071 * CHOOSE(CONTROL!$C$22, $C$13, 100%, $E$13)</f>
        <v>11.607100000000001</v>
      </c>
      <c r="D692" s="63">
        <f>11.6302 * CHOOSE(CONTROL!$C$22, $C$13, 100%, $E$13)</f>
        <v>11.6302</v>
      </c>
      <c r="E692" s="64">
        <f>13.5678 * CHOOSE(CONTROL!$C$22, $C$13, 100%, $E$13)</f>
        <v>13.5678</v>
      </c>
      <c r="F692" s="64">
        <f>13.5678 * CHOOSE(CONTROL!$C$22, $C$13, 100%, $E$13)</f>
        <v>13.5678</v>
      </c>
      <c r="G692" s="64">
        <f>13.5693 * CHOOSE(CONTROL!$C$22, $C$13, 100%, $E$13)</f>
        <v>13.5693</v>
      </c>
      <c r="H692" s="64">
        <f>22.462* CHOOSE(CONTROL!$C$22, $C$13, 100%, $E$13)</f>
        <v>22.462</v>
      </c>
      <c r="I692" s="64">
        <f>22.4635 * CHOOSE(CONTROL!$C$22, $C$13, 100%, $E$13)</f>
        <v>22.4635</v>
      </c>
      <c r="J692" s="64">
        <f>13.5678 * CHOOSE(CONTROL!$C$22, $C$13, 100%, $E$13)</f>
        <v>13.5678</v>
      </c>
      <c r="K692" s="64">
        <f>13.5693 * CHOOSE(CONTROL!$C$22, $C$13, 100%, $E$13)</f>
        <v>13.5693</v>
      </c>
    </row>
    <row r="693" spans="1:11" ht="15">
      <c r="A693" s="13">
        <v>62732</v>
      </c>
      <c r="B693" s="63">
        <f>11.6273 * CHOOSE(CONTROL!$C$22, $C$13, 100%, $E$13)</f>
        <v>11.6273</v>
      </c>
      <c r="C693" s="63">
        <f>11.6273 * CHOOSE(CONTROL!$C$22, $C$13, 100%, $E$13)</f>
        <v>11.6273</v>
      </c>
      <c r="D693" s="63">
        <f>11.6388 * CHOOSE(CONTROL!$C$22, $C$13, 100%, $E$13)</f>
        <v>11.6388</v>
      </c>
      <c r="E693" s="64">
        <f>13.6163 * CHOOSE(CONTROL!$C$22, $C$13, 100%, $E$13)</f>
        <v>13.616300000000001</v>
      </c>
      <c r="F693" s="64">
        <f>13.6163 * CHOOSE(CONTROL!$C$22, $C$13, 100%, $E$13)</f>
        <v>13.616300000000001</v>
      </c>
      <c r="G693" s="64">
        <f>13.6165 * CHOOSE(CONTROL!$C$22, $C$13, 100%, $E$13)</f>
        <v>13.6165</v>
      </c>
      <c r="H693" s="64">
        <f>22.5088* CHOOSE(CONTROL!$C$22, $C$13, 100%, $E$13)</f>
        <v>22.508800000000001</v>
      </c>
      <c r="I693" s="64">
        <f>22.509 * CHOOSE(CONTROL!$C$22, $C$13, 100%, $E$13)</f>
        <v>22.509</v>
      </c>
      <c r="J693" s="64">
        <f>13.6163 * CHOOSE(CONTROL!$C$22, $C$13, 100%, $E$13)</f>
        <v>13.616300000000001</v>
      </c>
      <c r="K693" s="64">
        <f>13.6165 * CHOOSE(CONTROL!$C$22, $C$13, 100%, $E$13)</f>
        <v>13.6165</v>
      </c>
    </row>
    <row r="694" spans="1:11" ht="15">
      <c r="A694" s="13">
        <v>62763</v>
      </c>
      <c r="B694" s="63">
        <f>11.6303 * CHOOSE(CONTROL!$C$22, $C$13, 100%, $E$13)</f>
        <v>11.6303</v>
      </c>
      <c r="C694" s="63">
        <f>11.6303 * CHOOSE(CONTROL!$C$22, $C$13, 100%, $E$13)</f>
        <v>11.6303</v>
      </c>
      <c r="D694" s="63">
        <f>11.6419 * CHOOSE(CONTROL!$C$22, $C$13, 100%, $E$13)</f>
        <v>11.6419</v>
      </c>
      <c r="E694" s="64">
        <f>13.6494 * CHOOSE(CONTROL!$C$22, $C$13, 100%, $E$13)</f>
        <v>13.6494</v>
      </c>
      <c r="F694" s="64">
        <f>13.6494 * CHOOSE(CONTROL!$C$22, $C$13, 100%, $E$13)</f>
        <v>13.6494</v>
      </c>
      <c r="G694" s="64">
        <f>13.6496 * CHOOSE(CONTROL!$C$22, $C$13, 100%, $E$13)</f>
        <v>13.6496</v>
      </c>
      <c r="H694" s="64">
        <f>22.5557* CHOOSE(CONTROL!$C$22, $C$13, 100%, $E$13)</f>
        <v>22.555700000000002</v>
      </c>
      <c r="I694" s="64">
        <f>22.5559 * CHOOSE(CONTROL!$C$22, $C$13, 100%, $E$13)</f>
        <v>22.555900000000001</v>
      </c>
      <c r="J694" s="64">
        <f>13.6494 * CHOOSE(CONTROL!$C$22, $C$13, 100%, $E$13)</f>
        <v>13.6494</v>
      </c>
      <c r="K694" s="64">
        <f>13.6496 * CHOOSE(CONTROL!$C$22, $C$13, 100%, $E$13)</f>
        <v>13.6496</v>
      </c>
    </row>
    <row r="695" spans="1:11" ht="15">
      <c r="A695" s="13">
        <v>62793</v>
      </c>
      <c r="B695" s="63">
        <f>11.6303 * CHOOSE(CONTROL!$C$22, $C$13, 100%, $E$13)</f>
        <v>11.6303</v>
      </c>
      <c r="C695" s="63">
        <f>11.6303 * CHOOSE(CONTROL!$C$22, $C$13, 100%, $E$13)</f>
        <v>11.6303</v>
      </c>
      <c r="D695" s="63">
        <f>11.6419 * CHOOSE(CONTROL!$C$22, $C$13, 100%, $E$13)</f>
        <v>11.6419</v>
      </c>
      <c r="E695" s="64">
        <f>13.572 * CHOOSE(CONTROL!$C$22, $C$13, 100%, $E$13)</f>
        <v>13.571999999999999</v>
      </c>
      <c r="F695" s="64">
        <f>13.572 * CHOOSE(CONTROL!$C$22, $C$13, 100%, $E$13)</f>
        <v>13.571999999999999</v>
      </c>
      <c r="G695" s="64">
        <f>13.5722 * CHOOSE(CONTROL!$C$22, $C$13, 100%, $E$13)</f>
        <v>13.5722</v>
      </c>
      <c r="H695" s="64">
        <f>22.6027* CHOOSE(CONTROL!$C$22, $C$13, 100%, $E$13)</f>
        <v>22.602699999999999</v>
      </c>
      <c r="I695" s="64">
        <f>22.6028 * CHOOSE(CONTROL!$C$22, $C$13, 100%, $E$13)</f>
        <v>22.602799999999998</v>
      </c>
      <c r="J695" s="64">
        <f>13.572 * CHOOSE(CONTROL!$C$22, $C$13, 100%, $E$13)</f>
        <v>13.571999999999999</v>
      </c>
      <c r="K695" s="64">
        <f>13.5722 * CHOOSE(CONTROL!$C$22, $C$13, 100%, $E$13)</f>
        <v>13.5722</v>
      </c>
    </row>
    <row r="696" spans="1:11" ht="15">
      <c r="A696" s="13">
        <v>62824</v>
      </c>
      <c r="B696" s="63">
        <f>11.6636 * CHOOSE(CONTROL!$C$22, $C$13, 100%, $E$13)</f>
        <v>11.663600000000001</v>
      </c>
      <c r="C696" s="63">
        <f>11.6636 * CHOOSE(CONTROL!$C$22, $C$13, 100%, $E$13)</f>
        <v>11.663600000000001</v>
      </c>
      <c r="D696" s="63">
        <f>11.6752 * CHOOSE(CONTROL!$C$22, $C$13, 100%, $E$13)</f>
        <v>11.6752</v>
      </c>
      <c r="E696" s="64">
        <f>13.6655 * CHOOSE(CONTROL!$C$22, $C$13, 100%, $E$13)</f>
        <v>13.6655</v>
      </c>
      <c r="F696" s="64">
        <f>13.6655 * CHOOSE(CONTROL!$C$22, $C$13, 100%, $E$13)</f>
        <v>13.6655</v>
      </c>
      <c r="G696" s="64">
        <f>13.6657 * CHOOSE(CONTROL!$C$22, $C$13, 100%, $E$13)</f>
        <v>13.665699999999999</v>
      </c>
      <c r="H696" s="64">
        <f>22.537* CHOOSE(CONTROL!$C$22, $C$13, 100%, $E$13)</f>
        <v>22.536999999999999</v>
      </c>
      <c r="I696" s="64">
        <f>22.5372 * CHOOSE(CONTROL!$C$22, $C$13, 100%, $E$13)</f>
        <v>22.537199999999999</v>
      </c>
      <c r="J696" s="64">
        <f>13.6655 * CHOOSE(CONTROL!$C$22, $C$13, 100%, $E$13)</f>
        <v>13.6655</v>
      </c>
      <c r="K696" s="64">
        <f>13.6657 * CHOOSE(CONTROL!$C$22, $C$13, 100%, $E$13)</f>
        <v>13.665699999999999</v>
      </c>
    </row>
    <row r="697" spans="1:11" ht="15">
      <c r="A697" s="13">
        <v>62855</v>
      </c>
      <c r="B697" s="63">
        <f>11.6606 * CHOOSE(CONTROL!$C$22, $C$13, 100%, $E$13)</f>
        <v>11.660600000000001</v>
      </c>
      <c r="C697" s="63">
        <f>11.6606 * CHOOSE(CONTROL!$C$22, $C$13, 100%, $E$13)</f>
        <v>11.660600000000001</v>
      </c>
      <c r="D697" s="63">
        <f>11.6721 * CHOOSE(CONTROL!$C$22, $C$13, 100%, $E$13)</f>
        <v>11.6721</v>
      </c>
      <c r="E697" s="64">
        <f>13.5139 * CHOOSE(CONTROL!$C$22, $C$13, 100%, $E$13)</f>
        <v>13.5139</v>
      </c>
      <c r="F697" s="64">
        <f>13.5139 * CHOOSE(CONTROL!$C$22, $C$13, 100%, $E$13)</f>
        <v>13.5139</v>
      </c>
      <c r="G697" s="64">
        <f>13.5141 * CHOOSE(CONTROL!$C$22, $C$13, 100%, $E$13)</f>
        <v>13.514099999999999</v>
      </c>
      <c r="H697" s="64">
        <f>22.584* CHOOSE(CONTROL!$C$22, $C$13, 100%, $E$13)</f>
        <v>22.584</v>
      </c>
      <c r="I697" s="64">
        <f>22.5841 * CHOOSE(CONTROL!$C$22, $C$13, 100%, $E$13)</f>
        <v>22.584099999999999</v>
      </c>
      <c r="J697" s="64">
        <f>13.5139 * CHOOSE(CONTROL!$C$22, $C$13, 100%, $E$13)</f>
        <v>13.5139</v>
      </c>
      <c r="K697" s="64">
        <f>13.5141 * CHOOSE(CONTROL!$C$22, $C$13, 100%, $E$13)</f>
        <v>13.514099999999999</v>
      </c>
    </row>
    <row r="698" spans="1:11" ht="15">
      <c r="A698" s="13">
        <v>62884</v>
      </c>
      <c r="B698" s="63">
        <f>11.6575 * CHOOSE(CONTROL!$C$22, $C$13, 100%, $E$13)</f>
        <v>11.657500000000001</v>
      </c>
      <c r="C698" s="63">
        <f>11.6575 * CHOOSE(CONTROL!$C$22, $C$13, 100%, $E$13)</f>
        <v>11.657500000000001</v>
      </c>
      <c r="D698" s="63">
        <f>11.6691 * CHOOSE(CONTROL!$C$22, $C$13, 100%, $E$13)</f>
        <v>11.6691</v>
      </c>
      <c r="E698" s="64">
        <f>13.6297 * CHOOSE(CONTROL!$C$22, $C$13, 100%, $E$13)</f>
        <v>13.6297</v>
      </c>
      <c r="F698" s="64">
        <f>13.6297 * CHOOSE(CONTROL!$C$22, $C$13, 100%, $E$13)</f>
        <v>13.6297</v>
      </c>
      <c r="G698" s="64">
        <f>13.6298 * CHOOSE(CONTROL!$C$22, $C$13, 100%, $E$13)</f>
        <v>13.629799999999999</v>
      </c>
      <c r="H698" s="64">
        <f>22.631* CHOOSE(CONTROL!$C$22, $C$13, 100%, $E$13)</f>
        <v>22.631</v>
      </c>
      <c r="I698" s="64">
        <f>22.6312 * CHOOSE(CONTROL!$C$22, $C$13, 100%, $E$13)</f>
        <v>22.6312</v>
      </c>
      <c r="J698" s="64">
        <f>13.6297 * CHOOSE(CONTROL!$C$22, $C$13, 100%, $E$13)</f>
        <v>13.6297</v>
      </c>
      <c r="K698" s="64">
        <f>13.6298 * CHOOSE(CONTROL!$C$22, $C$13, 100%, $E$13)</f>
        <v>13.629799999999999</v>
      </c>
    </row>
    <row r="699" spans="1:11" ht="15">
      <c r="A699" s="13">
        <v>62915</v>
      </c>
      <c r="B699" s="63">
        <f>11.6618 * CHOOSE(CONTROL!$C$22, $C$13, 100%, $E$13)</f>
        <v>11.661799999999999</v>
      </c>
      <c r="C699" s="63">
        <f>11.6618 * CHOOSE(CONTROL!$C$22, $C$13, 100%, $E$13)</f>
        <v>11.661799999999999</v>
      </c>
      <c r="D699" s="63">
        <f>11.6733 * CHOOSE(CONTROL!$C$22, $C$13, 100%, $E$13)</f>
        <v>11.673299999999999</v>
      </c>
      <c r="E699" s="64">
        <f>13.752 * CHOOSE(CONTROL!$C$22, $C$13, 100%, $E$13)</f>
        <v>13.752000000000001</v>
      </c>
      <c r="F699" s="64">
        <f>13.752 * CHOOSE(CONTROL!$C$22, $C$13, 100%, $E$13)</f>
        <v>13.752000000000001</v>
      </c>
      <c r="G699" s="64">
        <f>13.7522 * CHOOSE(CONTROL!$C$22, $C$13, 100%, $E$13)</f>
        <v>13.7522</v>
      </c>
      <c r="H699" s="64">
        <f>22.6782* CHOOSE(CONTROL!$C$22, $C$13, 100%, $E$13)</f>
        <v>22.6782</v>
      </c>
      <c r="I699" s="64">
        <f>22.6783 * CHOOSE(CONTROL!$C$22, $C$13, 100%, $E$13)</f>
        <v>22.6783</v>
      </c>
      <c r="J699" s="64">
        <f>13.752 * CHOOSE(CONTROL!$C$22, $C$13, 100%, $E$13)</f>
        <v>13.752000000000001</v>
      </c>
      <c r="K699" s="64">
        <f>13.7522 * CHOOSE(CONTROL!$C$22, $C$13, 100%, $E$13)</f>
        <v>13.7522</v>
      </c>
    </row>
    <row r="700" spans="1:11" ht="15">
      <c r="A700" s="13">
        <v>62945</v>
      </c>
      <c r="B700" s="63">
        <f>11.6618 * CHOOSE(CONTROL!$C$22, $C$13, 100%, $E$13)</f>
        <v>11.661799999999999</v>
      </c>
      <c r="C700" s="63">
        <f>11.6618 * CHOOSE(CONTROL!$C$22, $C$13, 100%, $E$13)</f>
        <v>11.661799999999999</v>
      </c>
      <c r="D700" s="63">
        <f>11.6849 * CHOOSE(CONTROL!$C$22, $C$13, 100%, $E$13)</f>
        <v>11.684900000000001</v>
      </c>
      <c r="E700" s="64">
        <f>13.7995 * CHOOSE(CONTROL!$C$22, $C$13, 100%, $E$13)</f>
        <v>13.7995</v>
      </c>
      <c r="F700" s="64">
        <f>13.7995 * CHOOSE(CONTROL!$C$22, $C$13, 100%, $E$13)</f>
        <v>13.7995</v>
      </c>
      <c r="G700" s="64">
        <f>13.8009 * CHOOSE(CONTROL!$C$22, $C$13, 100%, $E$13)</f>
        <v>13.8009</v>
      </c>
      <c r="H700" s="64">
        <f>22.7254* CHOOSE(CONTROL!$C$22, $C$13, 100%, $E$13)</f>
        <v>22.7254</v>
      </c>
      <c r="I700" s="64">
        <f>22.7269 * CHOOSE(CONTROL!$C$22, $C$13, 100%, $E$13)</f>
        <v>22.726900000000001</v>
      </c>
      <c r="J700" s="64">
        <f>13.7995 * CHOOSE(CONTROL!$C$22, $C$13, 100%, $E$13)</f>
        <v>13.7995</v>
      </c>
      <c r="K700" s="64">
        <f>13.8009 * CHOOSE(CONTROL!$C$22, $C$13, 100%, $E$13)</f>
        <v>13.8009</v>
      </c>
    </row>
    <row r="701" spans="1:11" ht="15">
      <c r="A701" s="13">
        <v>62976</v>
      </c>
      <c r="B701" s="63">
        <f>11.6679 * CHOOSE(CONTROL!$C$22, $C$13, 100%, $E$13)</f>
        <v>11.667899999999999</v>
      </c>
      <c r="C701" s="63">
        <f>11.6679 * CHOOSE(CONTROL!$C$22, $C$13, 100%, $E$13)</f>
        <v>11.667899999999999</v>
      </c>
      <c r="D701" s="63">
        <f>11.691 * CHOOSE(CONTROL!$C$22, $C$13, 100%, $E$13)</f>
        <v>11.691000000000001</v>
      </c>
      <c r="E701" s="64">
        <f>13.7562 * CHOOSE(CONTROL!$C$22, $C$13, 100%, $E$13)</f>
        <v>13.7562</v>
      </c>
      <c r="F701" s="64">
        <f>13.7562 * CHOOSE(CONTROL!$C$22, $C$13, 100%, $E$13)</f>
        <v>13.7562</v>
      </c>
      <c r="G701" s="64">
        <f>13.7577 * CHOOSE(CONTROL!$C$22, $C$13, 100%, $E$13)</f>
        <v>13.7577</v>
      </c>
      <c r="H701" s="64">
        <f>22.7727* CHOOSE(CONTROL!$C$22, $C$13, 100%, $E$13)</f>
        <v>22.7727</v>
      </c>
      <c r="I701" s="64">
        <f>22.7742 * CHOOSE(CONTROL!$C$22, $C$13, 100%, $E$13)</f>
        <v>22.7742</v>
      </c>
      <c r="J701" s="64">
        <f>13.7562 * CHOOSE(CONTROL!$C$22, $C$13, 100%, $E$13)</f>
        <v>13.7562</v>
      </c>
      <c r="K701" s="64">
        <f>13.7577 * CHOOSE(CONTROL!$C$22, $C$13, 100%, $E$13)</f>
        <v>13.7577</v>
      </c>
    </row>
    <row r="702" spans="1:11" ht="15">
      <c r="A702" s="13">
        <v>63006</v>
      </c>
      <c r="B702" s="63">
        <f>11.8526 * CHOOSE(CONTROL!$C$22, $C$13, 100%, $E$13)</f>
        <v>11.852600000000001</v>
      </c>
      <c r="C702" s="63">
        <f>11.8526 * CHOOSE(CONTROL!$C$22, $C$13, 100%, $E$13)</f>
        <v>11.852600000000001</v>
      </c>
      <c r="D702" s="63">
        <f>11.8758 * CHOOSE(CONTROL!$C$22, $C$13, 100%, $E$13)</f>
        <v>11.8758</v>
      </c>
      <c r="E702" s="64">
        <f>14.02 * CHOOSE(CONTROL!$C$22, $C$13, 100%, $E$13)</f>
        <v>14.02</v>
      </c>
      <c r="F702" s="64">
        <f>14.02 * CHOOSE(CONTROL!$C$22, $C$13, 100%, $E$13)</f>
        <v>14.02</v>
      </c>
      <c r="G702" s="64">
        <f>14.0215 * CHOOSE(CONTROL!$C$22, $C$13, 100%, $E$13)</f>
        <v>14.0215</v>
      </c>
      <c r="H702" s="64">
        <f>22.8202* CHOOSE(CONTROL!$C$22, $C$13, 100%, $E$13)</f>
        <v>22.8202</v>
      </c>
      <c r="I702" s="64">
        <f>22.8217 * CHOOSE(CONTROL!$C$22, $C$13, 100%, $E$13)</f>
        <v>22.8217</v>
      </c>
      <c r="J702" s="64">
        <f>14.02 * CHOOSE(CONTROL!$C$22, $C$13, 100%, $E$13)</f>
        <v>14.02</v>
      </c>
      <c r="K702" s="64">
        <f>14.0215 * CHOOSE(CONTROL!$C$22, $C$13, 100%, $E$13)</f>
        <v>14.0215</v>
      </c>
    </row>
    <row r="703" spans="1:11" ht="15">
      <c r="A703" s="13">
        <v>63037</v>
      </c>
      <c r="B703" s="63">
        <f>11.8593 * CHOOSE(CONTROL!$C$22, $C$13, 100%, $E$13)</f>
        <v>11.859299999999999</v>
      </c>
      <c r="C703" s="63">
        <f>11.8593 * CHOOSE(CONTROL!$C$22, $C$13, 100%, $E$13)</f>
        <v>11.859299999999999</v>
      </c>
      <c r="D703" s="63">
        <f>11.8824 * CHOOSE(CONTROL!$C$22, $C$13, 100%, $E$13)</f>
        <v>11.882400000000001</v>
      </c>
      <c r="E703" s="64">
        <f>13.8823 * CHOOSE(CONTROL!$C$22, $C$13, 100%, $E$13)</f>
        <v>13.882300000000001</v>
      </c>
      <c r="F703" s="64">
        <f>13.8823 * CHOOSE(CONTROL!$C$22, $C$13, 100%, $E$13)</f>
        <v>13.882300000000001</v>
      </c>
      <c r="G703" s="64">
        <f>13.8838 * CHOOSE(CONTROL!$C$22, $C$13, 100%, $E$13)</f>
        <v>13.883800000000001</v>
      </c>
      <c r="H703" s="64">
        <f>22.8677* CHOOSE(CONTROL!$C$22, $C$13, 100%, $E$13)</f>
        <v>22.867699999999999</v>
      </c>
      <c r="I703" s="64">
        <f>22.8692 * CHOOSE(CONTROL!$C$22, $C$13, 100%, $E$13)</f>
        <v>22.869199999999999</v>
      </c>
      <c r="J703" s="64">
        <f>13.8823 * CHOOSE(CONTROL!$C$22, $C$13, 100%, $E$13)</f>
        <v>13.882300000000001</v>
      </c>
      <c r="K703" s="64">
        <f>13.8838 * CHOOSE(CONTROL!$C$22, $C$13, 100%, $E$13)</f>
        <v>13.883800000000001</v>
      </c>
    </row>
    <row r="704" spans="1:11" ht="15">
      <c r="A704" s="13">
        <v>63068</v>
      </c>
      <c r="B704" s="63">
        <f>11.8563 * CHOOSE(CONTROL!$C$22, $C$13, 100%, $E$13)</f>
        <v>11.856299999999999</v>
      </c>
      <c r="C704" s="63">
        <f>11.8563 * CHOOSE(CONTROL!$C$22, $C$13, 100%, $E$13)</f>
        <v>11.856299999999999</v>
      </c>
      <c r="D704" s="63">
        <f>11.8794 * CHOOSE(CONTROL!$C$22, $C$13, 100%, $E$13)</f>
        <v>11.8794</v>
      </c>
      <c r="E704" s="64">
        <f>13.8643 * CHOOSE(CONTROL!$C$22, $C$13, 100%, $E$13)</f>
        <v>13.8643</v>
      </c>
      <c r="F704" s="64">
        <f>13.8643 * CHOOSE(CONTROL!$C$22, $C$13, 100%, $E$13)</f>
        <v>13.8643</v>
      </c>
      <c r="G704" s="64">
        <f>13.8658 * CHOOSE(CONTROL!$C$22, $C$13, 100%, $E$13)</f>
        <v>13.8658</v>
      </c>
      <c r="H704" s="64">
        <f>22.9154* CHOOSE(CONTROL!$C$22, $C$13, 100%, $E$13)</f>
        <v>22.915400000000002</v>
      </c>
      <c r="I704" s="64">
        <f>22.9169 * CHOOSE(CONTROL!$C$22, $C$13, 100%, $E$13)</f>
        <v>22.916899999999998</v>
      </c>
      <c r="J704" s="64">
        <f>13.8643 * CHOOSE(CONTROL!$C$22, $C$13, 100%, $E$13)</f>
        <v>13.8643</v>
      </c>
      <c r="K704" s="64">
        <f>13.8658 * CHOOSE(CONTROL!$C$22, $C$13, 100%, $E$13)</f>
        <v>13.8658</v>
      </c>
    </row>
    <row r="705" spans="1:11" ht="15">
      <c r="A705" s="13">
        <v>63098</v>
      </c>
      <c r="B705" s="63">
        <f>11.8773 * CHOOSE(CONTROL!$C$22, $C$13, 100%, $E$13)</f>
        <v>11.8773</v>
      </c>
      <c r="C705" s="63">
        <f>11.8773 * CHOOSE(CONTROL!$C$22, $C$13, 100%, $E$13)</f>
        <v>11.8773</v>
      </c>
      <c r="D705" s="63">
        <f>11.8889 * CHOOSE(CONTROL!$C$22, $C$13, 100%, $E$13)</f>
        <v>11.8889</v>
      </c>
      <c r="E705" s="64">
        <f>13.9142 * CHOOSE(CONTROL!$C$22, $C$13, 100%, $E$13)</f>
        <v>13.914199999999999</v>
      </c>
      <c r="F705" s="64">
        <f>13.9142 * CHOOSE(CONTROL!$C$22, $C$13, 100%, $E$13)</f>
        <v>13.914199999999999</v>
      </c>
      <c r="G705" s="64">
        <f>13.9144 * CHOOSE(CONTROL!$C$22, $C$13, 100%, $E$13)</f>
        <v>13.914400000000001</v>
      </c>
      <c r="H705" s="64">
        <f>22.9631* CHOOSE(CONTROL!$C$22, $C$13, 100%, $E$13)</f>
        <v>22.963100000000001</v>
      </c>
      <c r="I705" s="64">
        <f>22.9633 * CHOOSE(CONTROL!$C$22, $C$13, 100%, $E$13)</f>
        <v>22.9633</v>
      </c>
      <c r="J705" s="64">
        <f>13.9142 * CHOOSE(CONTROL!$C$22, $C$13, 100%, $E$13)</f>
        <v>13.914199999999999</v>
      </c>
      <c r="K705" s="64">
        <f>13.9144 * CHOOSE(CONTROL!$C$22, $C$13, 100%, $E$13)</f>
        <v>13.914400000000001</v>
      </c>
    </row>
    <row r="706" spans="1:11" ht="15">
      <c r="A706" s="13">
        <v>63129</v>
      </c>
      <c r="B706" s="63">
        <f>11.8803 * CHOOSE(CONTROL!$C$22, $C$13, 100%, $E$13)</f>
        <v>11.8803</v>
      </c>
      <c r="C706" s="63">
        <f>11.8803 * CHOOSE(CONTROL!$C$22, $C$13, 100%, $E$13)</f>
        <v>11.8803</v>
      </c>
      <c r="D706" s="63">
        <f>11.8919 * CHOOSE(CONTROL!$C$22, $C$13, 100%, $E$13)</f>
        <v>11.8919</v>
      </c>
      <c r="E706" s="64">
        <f>13.9479 * CHOOSE(CONTROL!$C$22, $C$13, 100%, $E$13)</f>
        <v>13.947900000000001</v>
      </c>
      <c r="F706" s="64">
        <f>13.9479 * CHOOSE(CONTROL!$C$22, $C$13, 100%, $E$13)</f>
        <v>13.947900000000001</v>
      </c>
      <c r="G706" s="64">
        <f>13.9481 * CHOOSE(CONTROL!$C$22, $C$13, 100%, $E$13)</f>
        <v>13.9481</v>
      </c>
      <c r="H706" s="64">
        <f>23.0109* CHOOSE(CONTROL!$C$22, $C$13, 100%, $E$13)</f>
        <v>23.010899999999999</v>
      </c>
      <c r="I706" s="64">
        <f>23.0111 * CHOOSE(CONTROL!$C$22, $C$13, 100%, $E$13)</f>
        <v>23.011099999999999</v>
      </c>
      <c r="J706" s="64">
        <f>13.9479 * CHOOSE(CONTROL!$C$22, $C$13, 100%, $E$13)</f>
        <v>13.947900000000001</v>
      </c>
      <c r="K706" s="64">
        <f>13.9481 * CHOOSE(CONTROL!$C$22, $C$13, 100%, $E$13)</f>
        <v>13.9481</v>
      </c>
    </row>
    <row r="707" spans="1:11" ht="15">
      <c r="A707" s="13">
        <v>63159</v>
      </c>
      <c r="B707" s="63">
        <f>11.8803 * CHOOSE(CONTROL!$C$22, $C$13, 100%, $E$13)</f>
        <v>11.8803</v>
      </c>
      <c r="C707" s="63">
        <f>11.8803 * CHOOSE(CONTROL!$C$22, $C$13, 100%, $E$13)</f>
        <v>11.8803</v>
      </c>
      <c r="D707" s="63">
        <f>11.8919 * CHOOSE(CONTROL!$C$22, $C$13, 100%, $E$13)</f>
        <v>11.8919</v>
      </c>
      <c r="E707" s="64">
        <f>13.8688 * CHOOSE(CONTROL!$C$22, $C$13, 100%, $E$13)</f>
        <v>13.8688</v>
      </c>
      <c r="F707" s="64">
        <f>13.8688 * CHOOSE(CONTROL!$C$22, $C$13, 100%, $E$13)</f>
        <v>13.8688</v>
      </c>
      <c r="G707" s="64">
        <f>13.869 * CHOOSE(CONTROL!$C$22, $C$13, 100%, $E$13)</f>
        <v>13.869</v>
      </c>
      <c r="H707" s="64">
        <f>23.0589* CHOOSE(CONTROL!$C$22, $C$13, 100%, $E$13)</f>
        <v>23.058900000000001</v>
      </c>
      <c r="I707" s="64">
        <f>23.0591 * CHOOSE(CONTROL!$C$22, $C$13, 100%, $E$13)</f>
        <v>23.059100000000001</v>
      </c>
      <c r="J707" s="64">
        <f>13.8688 * CHOOSE(CONTROL!$C$22, $C$13, 100%, $E$13)</f>
        <v>13.8688</v>
      </c>
      <c r="K707" s="64">
        <f>13.869 * CHOOSE(CONTROL!$C$22, $C$13, 100%, $E$13)</f>
        <v>13.869</v>
      </c>
    </row>
    <row r="708" spans="1:11" ht="15">
      <c r="A708" s="13">
        <v>63190</v>
      </c>
      <c r="B708" s="63">
        <f>11.9089 * CHOOSE(CONTROL!$C$22, $C$13, 100%, $E$13)</f>
        <v>11.908899999999999</v>
      </c>
      <c r="C708" s="63">
        <f>11.9089 * CHOOSE(CONTROL!$C$22, $C$13, 100%, $E$13)</f>
        <v>11.908899999999999</v>
      </c>
      <c r="D708" s="63">
        <f>11.9205 * CHOOSE(CONTROL!$C$22, $C$13, 100%, $E$13)</f>
        <v>11.920500000000001</v>
      </c>
      <c r="E708" s="64">
        <f>13.958 * CHOOSE(CONTROL!$C$22, $C$13, 100%, $E$13)</f>
        <v>13.958</v>
      </c>
      <c r="F708" s="64">
        <f>13.958 * CHOOSE(CONTROL!$C$22, $C$13, 100%, $E$13)</f>
        <v>13.958</v>
      </c>
      <c r="G708" s="64">
        <f>13.9581 * CHOOSE(CONTROL!$C$22, $C$13, 100%, $E$13)</f>
        <v>13.9581</v>
      </c>
      <c r="H708" s="64">
        <f>22.9829* CHOOSE(CONTROL!$C$22, $C$13, 100%, $E$13)</f>
        <v>22.982900000000001</v>
      </c>
      <c r="I708" s="64">
        <f>22.9831 * CHOOSE(CONTROL!$C$22, $C$13, 100%, $E$13)</f>
        <v>22.9831</v>
      </c>
      <c r="J708" s="64">
        <f>13.958 * CHOOSE(CONTROL!$C$22, $C$13, 100%, $E$13)</f>
        <v>13.958</v>
      </c>
      <c r="K708" s="64">
        <f>13.9581 * CHOOSE(CONTROL!$C$22, $C$13, 100%, $E$13)</f>
        <v>13.9581</v>
      </c>
    </row>
    <row r="709" spans="1:11" ht="15">
      <c r="A709" s="13">
        <v>63221</v>
      </c>
      <c r="B709" s="63">
        <f>11.9059 * CHOOSE(CONTROL!$C$22, $C$13, 100%, $E$13)</f>
        <v>11.905900000000001</v>
      </c>
      <c r="C709" s="63">
        <f>11.9059 * CHOOSE(CONTROL!$C$22, $C$13, 100%, $E$13)</f>
        <v>11.905900000000001</v>
      </c>
      <c r="D709" s="63">
        <f>11.9175 * CHOOSE(CONTROL!$C$22, $C$13, 100%, $E$13)</f>
        <v>11.9175</v>
      </c>
      <c r="E709" s="64">
        <f>13.8031 * CHOOSE(CONTROL!$C$22, $C$13, 100%, $E$13)</f>
        <v>13.803100000000001</v>
      </c>
      <c r="F709" s="64">
        <f>13.8031 * CHOOSE(CONTROL!$C$22, $C$13, 100%, $E$13)</f>
        <v>13.803100000000001</v>
      </c>
      <c r="G709" s="64">
        <f>13.8033 * CHOOSE(CONTROL!$C$22, $C$13, 100%, $E$13)</f>
        <v>13.8033</v>
      </c>
      <c r="H709" s="64">
        <f>23.0308* CHOOSE(CONTROL!$C$22, $C$13, 100%, $E$13)</f>
        <v>23.030799999999999</v>
      </c>
      <c r="I709" s="64">
        <f>23.031 * CHOOSE(CONTROL!$C$22, $C$13, 100%, $E$13)</f>
        <v>23.030999999999999</v>
      </c>
      <c r="J709" s="64">
        <f>13.8031 * CHOOSE(CONTROL!$C$22, $C$13, 100%, $E$13)</f>
        <v>13.803100000000001</v>
      </c>
      <c r="K709" s="64">
        <f>13.8033 * CHOOSE(CONTROL!$C$22, $C$13, 100%, $E$13)</f>
        <v>13.8033</v>
      </c>
    </row>
    <row r="710" spans="1:11" ht="15">
      <c r="A710" s="13">
        <v>63249</v>
      </c>
      <c r="B710" s="63">
        <f>11.9029 * CHOOSE(CONTROL!$C$22, $C$13, 100%, $E$13)</f>
        <v>11.902900000000001</v>
      </c>
      <c r="C710" s="63">
        <f>11.9029 * CHOOSE(CONTROL!$C$22, $C$13, 100%, $E$13)</f>
        <v>11.902900000000001</v>
      </c>
      <c r="D710" s="63">
        <f>11.9144 * CHOOSE(CONTROL!$C$22, $C$13, 100%, $E$13)</f>
        <v>11.914400000000001</v>
      </c>
      <c r="E710" s="64">
        <f>13.9214 * CHOOSE(CONTROL!$C$22, $C$13, 100%, $E$13)</f>
        <v>13.9214</v>
      </c>
      <c r="F710" s="64">
        <f>13.9214 * CHOOSE(CONTROL!$C$22, $C$13, 100%, $E$13)</f>
        <v>13.9214</v>
      </c>
      <c r="G710" s="64">
        <f>13.9216 * CHOOSE(CONTROL!$C$22, $C$13, 100%, $E$13)</f>
        <v>13.9216</v>
      </c>
      <c r="H710" s="64">
        <f>23.0788* CHOOSE(CONTROL!$C$22, $C$13, 100%, $E$13)</f>
        <v>23.078800000000001</v>
      </c>
      <c r="I710" s="64">
        <f>23.0789 * CHOOSE(CONTROL!$C$22, $C$13, 100%, $E$13)</f>
        <v>23.078900000000001</v>
      </c>
      <c r="J710" s="64">
        <f>13.9214 * CHOOSE(CONTROL!$C$22, $C$13, 100%, $E$13)</f>
        <v>13.9214</v>
      </c>
      <c r="K710" s="64">
        <f>13.9216 * CHOOSE(CONTROL!$C$22, $C$13, 100%, $E$13)</f>
        <v>13.9216</v>
      </c>
    </row>
    <row r="711" spans="1:11" ht="15">
      <c r="A711" s="13">
        <v>63280</v>
      </c>
      <c r="B711" s="63">
        <f>11.9073 * CHOOSE(CONTROL!$C$22, $C$13, 100%, $E$13)</f>
        <v>11.907299999999999</v>
      </c>
      <c r="C711" s="63">
        <f>11.9073 * CHOOSE(CONTROL!$C$22, $C$13, 100%, $E$13)</f>
        <v>11.907299999999999</v>
      </c>
      <c r="D711" s="63">
        <f>11.9189 * CHOOSE(CONTROL!$C$22, $C$13, 100%, $E$13)</f>
        <v>11.918900000000001</v>
      </c>
      <c r="E711" s="64">
        <f>14.0464 * CHOOSE(CONTROL!$C$22, $C$13, 100%, $E$13)</f>
        <v>14.0464</v>
      </c>
      <c r="F711" s="64">
        <f>14.0464 * CHOOSE(CONTROL!$C$22, $C$13, 100%, $E$13)</f>
        <v>14.0464</v>
      </c>
      <c r="G711" s="64">
        <f>14.0466 * CHOOSE(CONTROL!$C$22, $C$13, 100%, $E$13)</f>
        <v>14.0466</v>
      </c>
      <c r="H711" s="64">
        <f>23.1268* CHOOSE(CONTROL!$C$22, $C$13, 100%, $E$13)</f>
        <v>23.126799999999999</v>
      </c>
      <c r="I711" s="64">
        <f>23.127 * CHOOSE(CONTROL!$C$22, $C$13, 100%, $E$13)</f>
        <v>23.126999999999999</v>
      </c>
      <c r="J711" s="64">
        <f>14.0464 * CHOOSE(CONTROL!$C$22, $C$13, 100%, $E$13)</f>
        <v>14.0464</v>
      </c>
      <c r="K711" s="64">
        <f>14.0466 * CHOOSE(CONTROL!$C$22, $C$13, 100%, $E$13)</f>
        <v>14.0466</v>
      </c>
    </row>
    <row r="712" spans="1:11" ht="15">
      <c r="A712" s="13">
        <v>63310</v>
      </c>
      <c r="B712" s="63">
        <f>11.9073 * CHOOSE(CONTROL!$C$22, $C$13, 100%, $E$13)</f>
        <v>11.907299999999999</v>
      </c>
      <c r="C712" s="63">
        <f>11.9073 * CHOOSE(CONTROL!$C$22, $C$13, 100%, $E$13)</f>
        <v>11.907299999999999</v>
      </c>
      <c r="D712" s="63">
        <f>11.9304 * CHOOSE(CONTROL!$C$22, $C$13, 100%, $E$13)</f>
        <v>11.930400000000001</v>
      </c>
      <c r="E712" s="64">
        <f>14.0949 * CHOOSE(CONTROL!$C$22, $C$13, 100%, $E$13)</f>
        <v>14.094900000000001</v>
      </c>
      <c r="F712" s="64">
        <f>14.0949 * CHOOSE(CONTROL!$C$22, $C$13, 100%, $E$13)</f>
        <v>14.094900000000001</v>
      </c>
      <c r="G712" s="64">
        <f>14.0964 * CHOOSE(CONTROL!$C$22, $C$13, 100%, $E$13)</f>
        <v>14.096399999999999</v>
      </c>
      <c r="H712" s="64">
        <f>23.175* CHOOSE(CONTROL!$C$22, $C$13, 100%, $E$13)</f>
        <v>23.175000000000001</v>
      </c>
      <c r="I712" s="64">
        <f>23.1765 * CHOOSE(CONTROL!$C$22, $C$13, 100%, $E$13)</f>
        <v>23.176500000000001</v>
      </c>
      <c r="J712" s="64">
        <f>14.0949 * CHOOSE(CONTROL!$C$22, $C$13, 100%, $E$13)</f>
        <v>14.094900000000001</v>
      </c>
      <c r="K712" s="64">
        <f>14.0964 * CHOOSE(CONTROL!$C$22, $C$13, 100%, $E$13)</f>
        <v>14.096399999999999</v>
      </c>
    </row>
    <row r="713" spans="1:11" ht="15">
      <c r="A713" s="13">
        <v>63341</v>
      </c>
      <c r="B713" s="63">
        <f>11.9134 * CHOOSE(CONTROL!$C$22, $C$13, 100%, $E$13)</f>
        <v>11.913399999999999</v>
      </c>
      <c r="C713" s="63">
        <f>11.9134 * CHOOSE(CONTROL!$C$22, $C$13, 100%, $E$13)</f>
        <v>11.913399999999999</v>
      </c>
      <c r="D713" s="63">
        <f>11.9365 * CHOOSE(CONTROL!$C$22, $C$13, 100%, $E$13)</f>
        <v>11.936500000000001</v>
      </c>
      <c r="E713" s="64">
        <f>14.0507 * CHOOSE(CONTROL!$C$22, $C$13, 100%, $E$13)</f>
        <v>14.050700000000001</v>
      </c>
      <c r="F713" s="64">
        <f>14.0507 * CHOOSE(CONTROL!$C$22, $C$13, 100%, $E$13)</f>
        <v>14.050700000000001</v>
      </c>
      <c r="G713" s="64">
        <f>14.0522 * CHOOSE(CONTROL!$C$22, $C$13, 100%, $E$13)</f>
        <v>14.052199999999999</v>
      </c>
      <c r="H713" s="64">
        <f>23.2233* CHOOSE(CONTROL!$C$22, $C$13, 100%, $E$13)</f>
        <v>23.223299999999998</v>
      </c>
      <c r="I713" s="64">
        <f>23.2248 * CHOOSE(CONTROL!$C$22, $C$13, 100%, $E$13)</f>
        <v>23.224799999999998</v>
      </c>
      <c r="J713" s="64">
        <f>14.0507 * CHOOSE(CONTROL!$C$22, $C$13, 100%, $E$13)</f>
        <v>14.050700000000001</v>
      </c>
      <c r="K713" s="64">
        <f>14.0522 * CHOOSE(CONTROL!$C$22, $C$13, 100%, $E$13)</f>
        <v>14.052199999999999</v>
      </c>
    </row>
    <row r="714" spans="1:11" ht="15">
      <c r="A714" s="13">
        <v>63371</v>
      </c>
      <c r="B714" s="63">
        <f>12.1019 * CHOOSE(CONTROL!$C$22, $C$13, 100%, $E$13)</f>
        <v>12.101900000000001</v>
      </c>
      <c r="C714" s="63">
        <f>12.1019 * CHOOSE(CONTROL!$C$22, $C$13, 100%, $E$13)</f>
        <v>12.101900000000001</v>
      </c>
      <c r="D714" s="63">
        <f>12.125 * CHOOSE(CONTROL!$C$22, $C$13, 100%, $E$13)</f>
        <v>12.125</v>
      </c>
      <c r="E714" s="64">
        <f>14.3199 * CHOOSE(CONTROL!$C$22, $C$13, 100%, $E$13)</f>
        <v>14.319900000000001</v>
      </c>
      <c r="F714" s="64">
        <f>14.3199 * CHOOSE(CONTROL!$C$22, $C$13, 100%, $E$13)</f>
        <v>14.319900000000001</v>
      </c>
      <c r="G714" s="64">
        <f>14.3214 * CHOOSE(CONTROL!$C$22, $C$13, 100%, $E$13)</f>
        <v>14.321400000000001</v>
      </c>
      <c r="H714" s="64">
        <f>23.2717* CHOOSE(CONTROL!$C$22, $C$13, 100%, $E$13)</f>
        <v>23.271699999999999</v>
      </c>
      <c r="I714" s="64">
        <f>23.2732 * CHOOSE(CONTROL!$C$22, $C$13, 100%, $E$13)</f>
        <v>23.273199999999999</v>
      </c>
      <c r="J714" s="64">
        <f>14.3199 * CHOOSE(CONTROL!$C$22, $C$13, 100%, $E$13)</f>
        <v>14.319900000000001</v>
      </c>
      <c r="K714" s="64">
        <f>14.3214 * CHOOSE(CONTROL!$C$22, $C$13, 100%, $E$13)</f>
        <v>14.321400000000001</v>
      </c>
    </row>
    <row r="715" spans="1:11" ht="15">
      <c r="A715" s="13">
        <v>63402</v>
      </c>
      <c r="B715" s="63">
        <f>12.1086 * CHOOSE(CONTROL!$C$22, $C$13, 100%, $E$13)</f>
        <v>12.108599999999999</v>
      </c>
      <c r="C715" s="63">
        <f>12.1086 * CHOOSE(CONTROL!$C$22, $C$13, 100%, $E$13)</f>
        <v>12.108599999999999</v>
      </c>
      <c r="D715" s="63">
        <f>12.1317 * CHOOSE(CONTROL!$C$22, $C$13, 100%, $E$13)</f>
        <v>12.1317</v>
      </c>
      <c r="E715" s="64">
        <f>14.1791 * CHOOSE(CONTROL!$C$22, $C$13, 100%, $E$13)</f>
        <v>14.1791</v>
      </c>
      <c r="F715" s="64">
        <f>14.1791 * CHOOSE(CONTROL!$C$22, $C$13, 100%, $E$13)</f>
        <v>14.1791</v>
      </c>
      <c r="G715" s="64">
        <f>14.1806 * CHOOSE(CONTROL!$C$22, $C$13, 100%, $E$13)</f>
        <v>14.1806</v>
      </c>
      <c r="H715" s="64">
        <f>23.3202* CHOOSE(CONTROL!$C$22, $C$13, 100%, $E$13)</f>
        <v>23.3202</v>
      </c>
      <c r="I715" s="64">
        <f>23.3217 * CHOOSE(CONTROL!$C$22, $C$13, 100%, $E$13)</f>
        <v>23.3217</v>
      </c>
      <c r="J715" s="64">
        <f>14.1791 * CHOOSE(CONTROL!$C$22, $C$13, 100%, $E$13)</f>
        <v>14.1791</v>
      </c>
      <c r="K715" s="64">
        <f>14.1806 * CHOOSE(CONTROL!$C$22, $C$13, 100%, $E$13)</f>
        <v>14.1806</v>
      </c>
    </row>
    <row r="716" spans="1:11" ht="15">
      <c r="A716" s="13">
        <v>63433</v>
      </c>
      <c r="B716" s="63">
        <f>12.1055 * CHOOSE(CONTROL!$C$22, $C$13, 100%, $E$13)</f>
        <v>12.105499999999999</v>
      </c>
      <c r="C716" s="63">
        <f>12.1055 * CHOOSE(CONTROL!$C$22, $C$13, 100%, $E$13)</f>
        <v>12.105499999999999</v>
      </c>
      <c r="D716" s="63">
        <f>12.1286 * CHOOSE(CONTROL!$C$22, $C$13, 100%, $E$13)</f>
        <v>12.1286</v>
      </c>
      <c r="E716" s="64">
        <f>14.1608 * CHOOSE(CONTROL!$C$22, $C$13, 100%, $E$13)</f>
        <v>14.1608</v>
      </c>
      <c r="F716" s="64">
        <f>14.1608 * CHOOSE(CONTROL!$C$22, $C$13, 100%, $E$13)</f>
        <v>14.1608</v>
      </c>
      <c r="G716" s="64">
        <f>14.1623 * CHOOSE(CONTROL!$C$22, $C$13, 100%, $E$13)</f>
        <v>14.1623</v>
      </c>
      <c r="H716" s="64">
        <f>23.3687* CHOOSE(CONTROL!$C$22, $C$13, 100%, $E$13)</f>
        <v>23.3687</v>
      </c>
      <c r="I716" s="64">
        <f>23.3702 * CHOOSE(CONTROL!$C$22, $C$13, 100%, $E$13)</f>
        <v>23.370200000000001</v>
      </c>
      <c r="J716" s="64">
        <f>14.1608 * CHOOSE(CONTROL!$C$22, $C$13, 100%, $E$13)</f>
        <v>14.1608</v>
      </c>
      <c r="K716" s="64">
        <f>14.1623 * CHOOSE(CONTROL!$C$22, $C$13, 100%, $E$13)</f>
        <v>14.1623</v>
      </c>
    </row>
    <row r="717" spans="1:11" ht="15">
      <c r="A717" s="13">
        <v>63463</v>
      </c>
      <c r="B717" s="63">
        <f>12.1273 * CHOOSE(CONTROL!$C$22, $C$13, 100%, $E$13)</f>
        <v>12.1273</v>
      </c>
      <c r="C717" s="63">
        <f>12.1273 * CHOOSE(CONTROL!$C$22, $C$13, 100%, $E$13)</f>
        <v>12.1273</v>
      </c>
      <c r="D717" s="63">
        <f>12.1389 * CHOOSE(CONTROL!$C$22, $C$13, 100%, $E$13)</f>
        <v>12.1389</v>
      </c>
      <c r="E717" s="64">
        <f>14.212 * CHOOSE(CONTROL!$C$22, $C$13, 100%, $E$13)</f>
        <v>14.212</v>
      </c>
      <c r="F717" s="64">
        <f>14.212 * CHOOSE(CONTROL!$C$22, $C$13, 100%, $E$13)</f>
        <v>14.212</v>
      </c>
      <c r="G717" s="64">
        <f>14.2122 * CHOOSE(CONTROL!$C$22, $C$13, 100%, $E$13)</f>
        <v>14.212199999999999</v>
      </c>
      <c r="H717" s="64">
        <f>23.4174* CHOOSE(CONTROL!$C$22, $C$13, 100%, $E$13)</f>
        <v>23.417400000000001</v>
      </c>
      <c r="I717" s="64">
        <f>23.4176 * CHOOSE(CONTROL!$C$22, $C$13, 100%, $E$13)</f>
        <v>23.4176</v>
      </c>
      <c r="J717" s="64">
        <f>14.212 * CHOOSE(CONTROL!$C$22, $C$13, 100%, $E$13)</f>
        <v>14.212</v>
      </c>
      <c r="K717" s="64">
        <f>14.2122 * CHOOSE(CONTROL!$C$22, $C$13, 100%, $E$13)</f>
        <v>14.212199999999999</v>
      </c>
    </row>
    <row r="718" spans="1:11" ht="15">
      <c r="A718" s="13">
        <v>63494</v>
      </c>
      <c r="B718" s="63">
        <f>12.1304 * CHOOSE(CONTROL!$C$22, $C$13, 100%, $E$13)</f>
        <v>12.1304</v>
      </c>
      <c r="C718" s="63">
        <f>12.1304 * CHOOSE(CONTROL!$C$22, $C$13, 100%, $E$13)</f>
        <v>12.1304</v>
      </c>
      <c r="D718" s="63">
        <f>12.1419 * CHOOSE(CONTROL!$C$22, $C$13, 100%, $E$13)</f>
        <v>12.1419</v>
      </c>
      <c r="E718" s="64">
        <f>14.2465 * CHOOSE(CONTROL!$C$22, $C$13, 100%, $E$13)</f>
        <v>14.246499999999999</v>
      </c>
      <c r="F718" s="64">
        <f>14.2465 * CHOOSE(CONTROL!$C$22, $C$13, 100%, $E$13)</f>
        <v>14.246499999999999</v>
      </c>
      <c r="G718" s="64">
        <f>14.2467 * CHOOSE(CONTROL!$C$22, $C$13, 100%, $E$13)</f>
        <v>14.246700000000001</v>
      </c>
      <c r="H718" s="64">
        <f>23.4662* CHOOSE(CONTROL!$C$22, $C$13, 100%, $E$13)</f>
        <v>23.466200000000001</v>
      </c>
      <c r="I718" s="64">
        <f>23.4664 * CHOOSE(CONTROL!$C$22, $C$13, 100%, $E$13)</f>
        <v>23.4664</v>
      </c>
      <c r="J718" s="64">
        <f>14.2465 * CHOOSE(CONTROL!$C$22, $C$13, 100%, $E$13)</f>
        <v>14.246499999999999</v>
      </c>
      <c r="K718" s="64">
        <f>14.2467 * CHOOSE(CONTROL!$C$22, $C$13, 100%, $E$13)</f>
        <v>14.246700000000001</v>
      </c>
    </row>
    <row r="719" spans="1:11" ht="15">
      <c r="A719" s="13">
        <v>63524</v>
      </c>
      <c r="B719" s="63">
        <f>12.1304 * CHOOSE(CONTROL!$C$22, $C$13, 100%, $E$13)</f>
        <v>12.1304</v>
      </c>
      <c r="C719" s="63">
        <f>12.1304 * CHOOSE(CONTROL!$C$22, $C$13, 100%, $E$13)</f>
        <v>12.1304</v>
      </c>
      <c r="D719" s="63">
        <f>12.1419 * CHOOSE(CONTROL!$C$22, $C$13, 100%, $E$13)</f>
        <v>12.1419</v>
      </c>
      <c r="E719" s="64">
        <f>14.1657 * CHOOSE(CONTROL!$C$22, $C$13, 100%, $E$13)</f>
        <v>14.165699999999999</v>
      </c>
      <c r="F719" s="64">
        <f>14.1657 * CHOOSE(CONTROL!$C$22, $C$13, 100%, $E$13)</f>
        <v>14.165699999999999</v>
      </c>
      <c r="G719" s="64">
        <f>14.1659 * CHOOSE(CONTROL!$C$22, $C$13, 100%, $E$13)</f>
        <v>14.165900000000001</v>
      </c>
      <c r="H719" s="64">
        <f>23.5151* CHOOSE(CONTROL!$C$22, $C$13, 100%, $E$13)</f>
        <v>23.5151</v>
      </c>
      <c r="I719" s="64">
        <f>23.5153 * CHOOSE(CONTROL!$C$22, $C$13, 100%, $E$13)</f>
        <v>23.5153</v>
      </c>
      <c r="J719" s="64">
        <f>14.1657 * CHOOSE(CONTROL!$C$22, $C$13, 100%, $E$13)</f>
        <v>14.165699999999999</v>
      </c>
      <c r="K719" s="64">
        <f>14.1659 * CHOOSE(CONTROL!$C$22, $C$13, 100%, $E$13)</f>
        <v>14.165900000000001</v>
      </c>
    </row>
    <row r="720" spans="1:11" ht="15">
      <c r="A720" s="13">
        <v>63555</v>
      </c>
      <c r="B720" s="63">
        <f>12.1543 * CHOOSE(CONTROL!$C$22, $C$13, 100%, $E$13)</f>
        <v>12.154299999999999</v>
      </c>
      <c r="C720" s="63">
        <f>12.1543 * CHOOSE(CONTROL!$C$22, $C$13, 100%, $E$13)</f>
        <v>12.154299999999999</v>
      </c>
      <c r="D720" s="63">
        <f>12.1658 * CHOOSE(CONTROL!$C$22, $C$13, 100%, $E$13)</f>
        <v>12.165800000000001</v>
      </c>
      <c r="E720" s="64">
        <f>14.2504 * CHOOSE(CONTROL!$C$22, $C$13, 100%, $E$13)</f>
        <v>14.250400000000001</v>
      </c>
      <c r="F720" s="64">
        <f>14.2504 * CHOOSE(CONTROL!$C$22, $C$13, 100%, $E$13)</f>
        <v>14.250400000000001</v>
      </c>
      <c r="G720" s="64">
        <f>14.2505 * CHOOSE(CONTROL!$C$22, $C$13, 100%, $E$13)</f>
        <v>14.250500000000001</v>
      </c>
      <c r="H720" s="64">
        <f>23.4288* CHOOSE(CONTROL!$C$22, $C$13, 100%, $E$13)</f>
        <v>23.428799999999999</v>
      </c>
      <c r="I720" s="64">
        <f>23.429 * CHOOSE(CONTROL!$C$22, $C$13, 100%, $E$13)</f>
        <v>23.428999999999998</v>
      </c>
      <c r="J720" s="64">
        <f>14.2504 * CHOOSE(CONTROL!$C$22, $C$13, 100%, $E$13)</f>
        <v>14.250400000000001</v>
      </c>
      <c r="K720" s="64">
        <f>14.2505 * CHOOSE(CONTROL!$C$22, $C$13, 100%, $E$13)</f>
        <v>14.250500000000001</v>
      </c>
    </row>
    <row r="721" spans="1:11" ht="15">
      <c r="A721" s="13">
        <v>63586</v>
      </c>
      <c r="B721" s="63">
        <f>12.1512 * CHOOSE(CONTROL!$C$22, $C$13, 100%, $E$13)</f>
        <v>12.151199999999999</v>
      </c>
      <c r="C721" s="63">
        <f>12.1512 * CHOOSE(CONTROL!$C$22, $C$13, 100%, $E$13)</f>
        <v>12.151199999999999</v>
      </c>
      <c r="D721" s="63">
        <f>12.1628 * CHOOSE(CONTROL!$C$22, $C$13, 100%, $E$13)</f>
        <v>12.162800000000001</v>
      </c>
      <c r="E721" s="64">
        <f>14.0923 * CHOOSE(CONTROL!$C$22, $C$13, 100%, $E$13)</f>
        <v>14.0923</v>
      </c>
      <c r="F721" s="64">
        <f>14.0923 * CHOOSE(CONTROL!$C$22, $C$13, 100%, $E$13)</f>
        <v>14.0923</v>
      </c>
      <c r="G721" s="64">
        <f>14.0925 * CHOOSE(CONTROL!$C$22, $C$13, 100%, $E$13)</f>
        <v>14.092499999999999</v>
      </c>
      <c r="H721" s="64">
        <f>23.4776* CHOOSE(CONTROL!$C$22, $C$13, 100%, $E$13)</f>
        <v>23.477599999999999</v>
      </c>
      <c r="I721" s="64">
        <f>23.4778 * CHOOSE(CONTROL!$C$22, $C$13, 100%, $E$13)</f>
        <v>23.477799999999998</v>
      </c>
      <c r="J721" s="64">
        <f>14.0923 * CHOOSE(CONTROL!$C$22, $C$13, 100%, $E$13)</f>
        <v>14.0923</v>
      </c>
      <c r="K721" s="64">
        <f>14.0925 * CHOOSE(CONTROL!$C$22, $C$13, 100%, $E$13)</f>
        <v>14.092499999999999</v>
      </c>
    </row>
    <row r="722" spans="1:11" ht="15">
      <c r="A722" s="13">
        <v>63614</v>
      </c>
      <c r="B722" s="63">
        <f>12.1482 * CHOOSE(CONTROL!$C$22, $C$13, 100%, $E$13)</f>
        <v>12.148199999999999</v>
      </c>
      <c r="C722" s="63">
        <f>12.1482 * CHOOSE(CONTROL!$C$22, $C$13, 100%, $E$13)</f>
        <v>12.148199999999999</v>
      </c>
      <c r="D722" s="63">
        <f>12.1597 * CHOOSE(CONTROL!$C$22, $C$13, 100%, $E$13)</f>
        <v>12.159700000000001</v>
      </c>
      <c r="E722" s="64">
        <f>14.2131 * CHOOSE(CONTROL!$C$22, $C$13, 100%, $E$13)</f>
        <v>14.213100000000001</v>
      </c>
      <c r="F722" s="64">
        <f>14.2131 * CHOOSE(CONTROL!$C$22, $C$13, 100%, $E$13)</f>
        <v>14.213100000000001</v>
      </c>
      <c r="G722" s="64">
        <f>14.2133 * CHOOSE(CONTROL!$C$22, $C$13, 100%, $E$13)</f>
        <v>14.2133</v>
      </c>
      <c r="H722" s="64">
        <f>23.5265* CHOOSE(CONTROL!$C$22, $C$13, 100%, $E$13)</f>
        <v>23.526499999999999</v>
      </c>
      <c r="I722" s="64">
        <f>23.5267 * CHOOSE(CONTROL!$C$22, $C$13, 100%, $E$13)</f>
        <v>23.526700000000002</v>
      </c>
      <c r="J722" s="64">
        <f>14.2131 * CHOOSE(CONTROL!$C$22, $C$13, 100%, $E$13)</f>
        <v>14.213100000000001</v>
      </c>
      <c r="K722" s="64">
        <f>14.2133 * CHOOSE(CONTROL!$C$22, $C$13, 100%, $E$13)</f>
        <v>14.2133</v>
      </c>
    </row>
    <row r="723" spans="1:11" ht="15">
      <c r="A723" s="13">
        <v>63645</v>
      </c>
      <c r="B723" s="63">
        <f>12.1528 * CHOOSE(CONTROL!$C$22, $C$13, 100%, $E$13)</f>
        <v>12.152799999999999</v>
      </c>
      <c r="C723" s="63">
        <f>12.1528 * CHOOSE(CONTROL!$C$22, $C$13, 100%, $E$13)</f>
        <v>12.152799999999999</v>
      </c>
      <c r="D723" s="63">
        <f>12.1644 * CHOOSE(CONTROL!$C$22, $C$13, 100%, $E$13)</f>
        <v>12.164400000000001</v>
      </c>
      <c r="E723" s="64">
        <f>14.3409 * CHOOSE(CONTROL!$C$22, $C$13, 100%, $E$13)</f>
        <v>14.3409</v>
      </c>
      <c r="F723" s="64">
        <f>14.3409 * CHOOSE(CONTROL!$C$22, $C$13, 100%, $E$13)</f>
        <v>14.3409</v>
      </c>
      <c r="G723" s="64">
        <f>14.3411 * CHOOSE(CONTROL!$C$22, $C$13, 100%, $E$13)</f>
        <v>14.341100000000001</v>
      </c>
      <c r="H723" s="64">
        <f>23.5755* CHOOSE(CONTROL!$C$22, $C$13, 100%, $E$13)</f>
        <v>23.575500000000002</v>
      </c>
      <c r="I723" s="64">
        <f>23.5757 * CHOOSE(CONTROL!$C$22, $C$13, 100%, $E$13)</f>
        <v>23.575700000000001</v>
      </c>
      <c r="J723" s="64">
        <f>14.3409 * CHOOSE(CONTROL!$C$22, $C$13, 100%, $E$13)</f>
        <v>14.3409</v>
      </c>
      <c r="K723" s="64">
        <f>14.3411 * CHOOSE(CONTROL!$C$22, $C$13, 100%, $E$13)</f>
        <v>14.341100000000001</v>
      </c>
    </row>
    <row r="724" spans="1:11" ht="15">
      <c r="A724" s="13">
        <v>63675</v>
      </c>
      <c r="B724" s="63">
        <f>12.1528 * CHOOSE(CONTROL!$C$22, $C$13, 100%, $E$13)</f>
        <v>12.152799999999999</v>
      </c>
      <c r="C724" s="63">
        <f>12.1528 * CHOOSE(CONTROL!$C$22, $C$13, 100%, $E$13)</f>
        <v>12.152799999999999</v>
      </c>
      <c r="D724" s="63">
        <f>12.1759 * CHOOSE(CONTROL!$C$22, $C$13, 100%, $E$13)</f>
        <v>12.1759</v>
      </c>
      <c r="E724" s="64">
        <f>14.3904 * CHOOSE(CONTROL!$C$22, $C$13, 100%, $E$13)</f>
        <v>14.3904</v>
      </c>
      <c r="F724" s="64">
        <f>14.3904 * CHOOSE(CONTROL!$C$22, $C$13, 100%, $E$13)</f>
        <v>14.3904</v>
      </c>
      <c r="G724" s="64">
        <f>14.3919 * CHOOSE(CONTROL!$C$22, $C$13, 100%, $E$13)</f>
        <v>14.3919</v>
      </c>
      <c r="H724" s="64">
        <f>23.6246* CHOOSE(CONTROL!$C$22, $C$13, 100%, $E$13)</f>
        <v>23.624600000000001</v>
      </c>
      <c r="I724" s="64">
        <f>23.6261 * CHOOSE(CONTROL!$C$22, $C$13, 100%, $E$13)</f>
        <v>23.626100000000001</v>
      </c>
      <c r="J724" s="64">
        <f>14.3904 * CHOOSE(CONTROL!$C$22, $C$13, 100%, $E$13)</f>
        <v>14.3904</v>
      </c>
      <c r="K724" s="64">
        <f>14.3919 * CHOOSE(CONTROL!$C$22, $C$13, 100%, $E$13)</f>
        <v>14.3919</v>
      </c>
    </row>
    <row r="725" spans="1:11" ht="15">
      <c r="A725" s="13">
        <v>63706</v>
      </c>
      <c r="B725" s="63">
        <f>12.1589 * CHOOSE(CONTROL!$C$22, $C$13, 100%, $E$13)</f>
        <v>12.158899999999999</v>
      </c>
      <c r="C725" s="63">
        <f>12.1589 * CHOOSE(CONTROL!$C$22, $C$13, 100%, $E$13)</f>
        <v>12.158899999999999</v>
      </c>
      <c r="D725" s="63">
        <f>12.182 * CHOOSE(CONTROL!$C$22, $C$13, 100%, $E$13)</f>
        <v>12.182</v>
      </c>
      <c r="E725" s="64">
        <f>14.3451 * CHOOSE(CONTROL!$C$22, $C$13, 100%, $E$13)</f>
        <v>14.3451</v>
      </c>
      <c r="F725" s="64">
        <f>14.3451 * CHOOSE(CONTROL!$C$22, $C$13, 100%, $E$13)</f>
        <v>14.3451</v>
      </c>
      <c r="G725" s="64">
        <f>14.3466 * CHOOSE(CONTROL!$C$22, $C$13, 100%, $E$13)</f>
        <v>14.3466</v>
      </c>
      <c r="H725" s="64">
        <f>23.6739* CHOOSE(CONTROL!$C$22, $C$13, 100%, $E$13)</f>
        <v>23.6739</v>
      </c>
      <c r="I725" s="64">
        <f>23.6753 * CHOOSE(CONTROL!$C$22, $C$13, 100%, $E$13)</f>
        <v>23.6753</v>
      </c>
      <c r="J725" s="64">
        <f>14.3451 * CHOOSE(CONTROL!$C$22, $C$13, 100%, $E$13)</f>
        <v>14.3451</v>
      </c>
      <c r="K725" s="64">
        <f>14.3466 * CHOOSE(CONTROL!$C$22, $C$13, 100%, $E$13)</f>
        <v>14.3466</v>
      </c>
    </row>
    <row r="726" spans="1:11" ht="15">
      <c r="A726" s="13">
        <v>63736</v>
      </c>
      <c r="B726" s="63">
        <f>12.3511 * CHOOSE(CONTROL!$C$22, $C$13, 100%, $E$13)</f>
        <v>12.351100000000001</v>
      </c>
      <c r="C726" s="63">
        <f>12.3511 * CHOOSE(CONTROL!$C$22, $C$13, 100%, $E$13)</f>
        <v>12.351100000000001</v>
      </c>
      <c r="D726" s="63">
        <f>12.3742 * CHOOSE(CONTROL!$C$22, $C$13, 100%, $E$13)</f>
        <v>12.3742</v>
      </c>
      <c r="E726" s="64">
        <f>14.6198 * CHOOSE(CONTROL!$C$22, $C$13, 100%, $E$13)</f>
        <v>14.6198</v>
      </c>
      <c r="F726" s="64">
        <f>14.6198 * CHOOSE(CONTROL!$C$22, $C$13, 100%, $E$13)</f>
        <v>14.6198</v>
      </c>
      <c r="G726" s="64">
        <f>14.6212 * CHOOSE(CONTROL!$C$22, $C$13, 100%, $E$13)</f>
        <v>14.6212</v>
      </c>
      <c r="H726" s="64">
        <f>23.7232* CHOOSE(CONTROL!$C$22, $C$13, 100%, $E$13)</f>
        <v>23.723199999999999</v>
      </c>
      <c r="I726" s="64">
        <f>23.7247 * CHOOSE(CONTROL!$C$22, $C$13, 100%, $E$13)</f>
        <v>23.724699999999999</v>
      </c>
      <c r="J726" s="64">
        <f>14.6198 * CHOOSE(CONTROL!$C$22, $C$13, 100%, $E$13)</f>
        <v>14.6198</v>
      </c>
      <c r="K726" s="64">
        <f>14.6212 * CHOOSE(CONTROL!$C$22, $C$13, 100%, $E$13)</f>
        <v>14.6212</v>
      </c>
    </row>
    <row r="727" spans="1:11" ht="15">
      <c r="A727" s="13">
        <v>63767</v>
      </c>
      <c r="B727" s="63">
        <f>12.3578 * CHOOSE(CONTROL!$C$22, $C$13, 100%, $E$13)</f>
        <v>12.357799999999999</v>
      </c>
      <c r="C727" s="63">
        <f>12.3578 * CHOOSE(CONTROL!$C$22, $C$13, 100%, $E$13)</f>
        <v>12.357799999999999</v>
      </c>
      <c r="D727" s="63">
        <f>12.3809 * CHOOSE(CONTROL!$C$22, $C$13, 100%, $E$13)</f>
        <v>12.3809</v>
      </c>
      <c r="E727" s="64">
        <f>14.4759 * CHOOSE(CONTROL!$C$22, $C$13, 100%, $E$13)</f>
        <v>14.475899999999999</v>
      </c>
      <c r="F727" s="64">
        <f>14.4759 * CHOOSE(CONTROL!$C$22, $C$13, 100%, $E$13)</f>
        <v>14.475899999999999</v>
      </c>
      <c r="G727" s="64">
        <f>14.4774 * CHOOSE(CONTROL!$C$22, $C$13, 100%, $E$13)</f>
        <v>14.477399999999999</v>
      </c>
      <c r="H727" s="64">
        <f>23.7726* CHOOSE(CONTROL!$C$22, $C$13, 100%, $E$13)</f>
        <v>23.772600000000001</v>
      </c>
      <c r="I727" s="64">
        <f>23.7741 * CHOOSE(CONTROL!$C$22, $C$13, 100%, $E$13)</f>
        <v>23.774100000000001</v>
      </c>
      <c r="J727" s="64">
        <f>14.4759 * CHOOSE(CONTROL!$C$22, $C$13, 100%, $E$13)</f>
        <v>14.475899999999999</v>
      </c>
      <c r="K727" s="64">
        <f>14.4774 * CHOOSE(CONTROL!$C$22, $C$13, 100%, $E$13)</f>
        <v>14.477399999999999</v>
      </c>
    </row>
    <row r="728" spans="1:11" ht="15">
      <c r="A728" s="13">
        <v>63798</v>
      </c>
      <c r="B728" s="63">
        <f>12.3547 * CHOOSE(CONTROL!$C$22, $C$13, 100%, $E$13)</f>
        <v>12.354699999999999</v>
      </c>
      <c r="C728" s="63">
        <f>12.3547 * CHOOSE(CONTROL!$C$22, $C$13, 100%, $E$13)</f>
        <v>12.354699999999999</v>
      </c>
      <c r="D728" s="63">
        <f>12.3778 * CHOOSE(CONTROL!$C$22, $C$13, 100%, $E$13)</f>
        <v>12.377800000000001</v>
      </c>
      <c r="E728" s="64">
        <f>14.4573 * CHOOSE(CONTROL!$C$22, $C$13, 100%, $E$13)</f>
        <v>14.4573</v>
      </c>
      <c r="F728" s="64">
        <f>14.4573 * CHOOSE(CONTROL!$C$22, $C$13, 100%, $E$13)</f>
        <v>14.4573</v>
      </c>
      <c r="G728" s="64">
        <f>14.4588 * CHOOSE(CONTROL!$C$22, $C$13, 100%, $E$13)</f>
        <v>14.4588</v>
      </c>
      <c r="H728" s="64">
        <f>23.8221* CHOOSE(CONTROL!$C$22, $C$13, 100%, $E$13)</f>
        <v>23.822099999999999</v>
      </c>
      <c r="I728" s="64">
        <f>23.8236 * CHOOSE(CONTROL!$C$22, $C$13, 100%, $E$13)</f>
        <v>23.823599999999999</v>
      </c>
      <c r="J728" s="64">
        <f>14.4573 * CHOOSE(CONTROL!$C$22, $C$13, 100%, $E$13)</f>
        <v>14.4573</v>
      </c>
      <c r="K728" s="64">
        <f>14.4588 * CHOOSE(CONTROL!$C$22, $C$13, 100%, $E$13)</f>
        <v>14.4588</v>
      </c>
    </row>
    <row r="729" spans="1:11" ht="15">
      <c r="A729" s="13">
        <v>63828</v>
      </c>
      <c r="B729" s="63">
        <f>12.3773 * CHOOSE(CONTROL!$C$22, $C$13, 100%, $E$13)</f>
        <v>12.3773</v>
      </c>
      <c r="C729" s="63">
        <f>12.3773 * CHOOSE(CONTROL!$C$22, $C$13, 100%, $E$13)</f>
        <v>12.3773</v>
      </c>
      <c r="D729" s="63">
        <f>12.3889 * CHOOSE(CONTROL!$C$22, $C$13, 100%, $E$13)</f>
        <v>12.3889</v>
      </c>
      <c r="E729" s="64">
        <f>14.5099 * CHOOSE(CONTROL!$C$22, $C$13, 100%, $E$13)</f>
        <v>14.5099</v>
      </c>
      <c r="F729" s="64">
        <f>14.5099 * CHOOSE(CONTROL!$C$22, $C$13, 100%, $E$13)</f>
        <v>14.5099</v>
      </c>
      <c r="G729" s="64">
        <f>14.5101 * CHOOSE(CONTROL!$C$22, $C$13, 100%, $E$13)</f>
        <v>14.5101</v>
      </c>
      <c r="H729" s="64">
        <f>23.8718* CHOOSE(CONTROL!$C$22, $C$13, 100%, $E$13)</f>
        <v>23.8718</v>
      </c>
      <c r="I729" s="64">
        <f>23.8719 * CHOOSE(CONTROL!$C$22, $C$13, 100%, $E$13)</f>
        <v>23.8719</v>
      </c>
      <c r="J729" s="64">
        <f>14.5099 * CHOOSE(CONTROL!$C$22, $C$13, 100%, $E$13)</f>
        <v>14.5099</v>
      </c>
      <c r="K729" s="64">
        <f>14.5101 * CHOOSE(CONTROL!$C$22, $C$13, 100%, $E$13)</f>
        <v>14.5101</v>
      </c>
    </row>
    <row r="730" spans="1:11" ht="15">
      <c r="A730" s="13">
        <v>63859</v>
      </c>
      <c r="B730" s="63">
        <f>12.3804 * CHOOSE(CONTROL!$C$22, $C$13, 100%, $E$13)</f>
        <v>12.3804</v>
      </c>
      <c r="C730" s="63">
        <f>12.3804 * CHOOSE(CONTROL!$C$22, $C$13, 100%, $E$13)</f>
        <v>12.3804</v>
      </c>
      <c r="D730" s="63">
        <f>12.3919 * CHOOSE(CONTROL!$C$22, $C$13, 100%, $E$13)</f>
        <v>12.3919</v>
      </c>
      <c r="E730" s="64">
        <f>14.545 * CHOOSE(CONTROL!$C$22, $C$13, 100%, $E$13)</f>
        <v>14.545</v>
      </c>
      <c r="F730" s="64">
        <f>14.545 * CHOOSE(CONTROL!$C$22, $C$13, 100%, $E$13)</f>
        <v>14.545</v>
      </c>
      <c r="G730" s="64">
        <f>14.5452 * CHOOSE(CONTROL!$C$22, $C$13, 100%, $E$13)</f>
        <v>14.545199999999999</v>
      </c>
      <c r="H730" s="64">
        <f>23.9215* CHOOSE(CONTROL!$C$22, $C$13, 100%, $E$13)</f>
        <v>23.921500000000002</v>
      </c>
      <c r="I730" s="64">
        <f>23.9217 * CHOOSE(CONTROL!$C$22, $C$13, 100%, $E$13)</f>
        <v>23.921700000000001</v>
      </c>
      <c r="J730" s="64">
        <f>14.545 * CHOOSE(CONTROL!$C$22, $C$13, 100%, $E$13)</f>
        <v>14.545</v>
      </c>
      <c r="K730" s="64">
        <f>14.5452 * CHOOSE(CONTROL!$C$22, $C$13, 100%, $E$13)</f>
        <v>14.545199999999999</v>
      </c>
    </row>
    <row r="731" spans="1:11" ht="15">
      <c r="A731" s="13">
        <v>63889</v>
      </c>
      <c r="B731" s="63">
        <f>12.3804 * CHOOSE(CONTROL!$C$22, $C$13, 100%, $E$13)</f>
        <v>12.3804</v>
      </c>
      <c r="C731" s="63">
        <f>12.3804 * CHOOSE(CONTROL!$C$22, $C$13, 100%, $E$13)</f>
        <v>12.3804</v>
      </c>
      <c r="D731" s="63">
        <f>12.3919 * CHOOSE(CONTROL!$C$22, $C$13, 100%, $E$13)</f>
        <v>12.3919</v>
      </c>
      <c r="E731" s="64">
        <f>14.4625 * CHOOSE(CONTROL!$C$22, $C$13, 100%, $E$13)</f>
        <v>14.4625</v>
      </c>
      <c r="F731" s="64">
        <f>14.4625 * CHOOSE(CONTROL!$C$22, $C$13, 100%, $E$13)</f>
        <v>14.4625</v>
      </c>
      <c r="G731" s="64">
        <f>14.4627 * CHOOSE(CONTROL!$C$22, $C$13, 100%, $E$13)</f>
        <v>14.4627</v>
      </c>
      <c r="H731" s="64">
        <f>23.9713* CHOOSE(CONTROL!$C$22, $C$13, 100%, $E$13)</f>
        <v>23.971299999999999</v>
      </c>
      <c r="I731" s="64">
        <f>23.9715 * CHOOSE(CONTROL!$C$22, $C$13, 100%, $E$13)</f>
        <v>23.971499999999999</v>
      </c>
      <c r="J731" s="64">
        <f>14.4625 * CHOOSE(CONTROL!$C$22, $C$13, 100%, $E$13)</f>
        <v>14.4625</v>
      </c>
      <c r="K731" s="64">
        <f>14.4627 * CHOOSE(CONTROL!$C$22, $C$13, 100%, $E$13)</f>
        <v>14.4627</v>
      </c>
    </row>
    <row r="732" spans="1:11" ht="15">
      <c r="A732" s="13">
        <v>63920</v>
      </c>
      <c r="B732" s="63">
        <f>12.3996 * CHOOSE(CONTROL!$C$22, $C$13, 100%, $E$13)</f>
        <v>12.3996</v>
      </c>
      <c r="C732" s="63">
        <f>12.3996 * CHOOSE(CONTROL!$C$22, $C$13, 100%, $E$13)</f>
        <v>12.3996</v>
      </c>
      <c r="D732" s="63">
        <f>12.4111 * CHOOSE(CONTROL!$C$22, $C$13, 100%, $E$13)</f>
        <v>12.411099999999999</v>
      </c>
      <c r="E732" s="64">
        <f>14.5428 * CHOOSE(CONTROL!$C$22, $C$13, 100%, $E$13)</f>
        <v>14.5428</v>
      </c>
      <c r="F732" s="64">
        <f>14.5428 * CHOOSE(CONTROL!$C$22, $C$13, 100%, $E$13)</f>
        <v>14.5428</v>
      </c>
      <c r="G732" s="64">
        <f>14.543 * CHOOSE(CONTROL!$C$22, $C$13, 100%, $E$13)</f>
        <v>14.542999999999999</v>
      </c>
      <c r="H732" s="64">
        <f>23.8747* CHOOSE(CONTROL!$C$22, $C$13, 100%, $E$13)</f>
        <v>23.874700000000001</v>
      </c>
      <c r="I732" s="64">
        <f>23.8749 * CHOOSE(CONTROL!$C$22, $C$13, 100%, $E$13)</f>
        <v>23.8749</v>
      </c>
      <c r="J732" s="64">
        <f>14.5428 * CHOOSE(CONTROL!$C$22, $C$13, 100%, $E$13)</f>
        <v>14.5428</v>
      </c>
      <c r="K732" s="64">
        <f>14.543 * CHOOSE(CONTROL!$C$22, $C$13, 100%, $E$13)</f>
        <v>14.542999999999999</v>
      </c>
    </row>
    <row r="733" spans="1:11" ht="15">
      <c r="A733" s="13">
        <v>63951</v>
      </c>
      <c r="B733" s="63">
        <f>12.3965 * CHOOSE(CONTROL!$C$22, $C$13, 100%, $E$13)</f>
        <v>12.3965</v>
      </c>
      <c r="C733" s="63">
        <f>12.3965 * CHOOSE(CONTROL!$C$22, $C$13, 100%, $E$13)</f>
        <v>12.3965</v>
      </c>
      <c r="D733" s="63">
        <f>12.4081 * CHOOSE(CONTROL!$C$22, $C$13, 100%, $E$13)</f>
        <v>12.408099999999999</v>
      </c>
      <c r="E733" s="64">
        <f>14.3815 * CHOOSE(CONTROL!$C$22, $C$13, 100%, $E$13)</f>
        <v>14.381500000000001</v>
      </c>
      <c r="F733" s="64">
        <f>14.3815 * CHOOSE(CONTROL!$C$22, $C$13, 100%, $E$13)</f>
        <v>14.381500000000001</v>
      </c>
      <c r="G733" s="64">
        <f>14.3817 * CHOOSE(CONTROL!$C$22, $C$13, 100%, $E$13)</f>
        <v>14.3817</v>
      </c>
      <c r="H733" s="64">
        <f>23.9244* CHOOSE(CONTROL!$C$22, $C$13, 100%, $E$13)</f>
        <v>23.924399999999999</v>
      </c>
      <c r="I733" s="64">
        <f>23.9246 * CHOOSE(CONTROL!$C$22, $C$13, 100%, $E$13)</f>
        <v>23.924600000000002</v>
      </c>
      <c r="J733" s="64">
        <f>14.3815 * CHOOSE(CONTROL!$C$22, $C$13, 100%, $E$13)</f>
        <v>14.381500000000001</v>
      </c>
      <c r="K733" s="64">
        <f>14.3817 * CHOOSE(CONTROL!$C$22, $C$13, 100%, $E$13)</f>
        <v>14.3817</v>
      </c>
    </row>
    <row r="734" spans="1:11" ht="15">
      <c r="A734" s="13">
        <v>63979</v>
      </c>
      <c r="B734" s="63">
        <f>12.3935 * CHOOSE(CONTROL!$C$22, $C$13, 100%, $E$13)</f>
        <v>12.3935</v>
      </c>
      <c r="C734" s="63">
        <f>12.3935 * CHOOSE(CONTROL!$C$22, $C$13, 100%, $E$13)</f>
        <v>12.3935</v>
      </c>
      <c r="D734" s="63">
        <f>12.4051 * CHOOSE(CONTROL!$C$22, $C$13, 100%, $E$13)</f>
        <v>12.405099999999999</v>
      </c>
      <c r="E734" s="64">
        <f>14.5049 * CHOOSE(CONTROL!$C$22, $C$13, 100%, $E$13)</f>
        <v>14.504899999999999</v>
      </c>
      <c r="F734" s="64">
        <f>14.5049 * CHOOSE(CONTROL!$C$22, $C$13, 100%, $E$13)</f>
        <v>14.504899999999999</v>
      </c>
      <c r="G734" s="64">
        <f>14.505 * CHOOSE(CONTROL!$C$22, $C$13, 100%, $E$13)</f>
        <v>14.505000000000001</v>
      </c>
      <c r="H734" s="64">
        <f>23.9743* CHOOSE(CONTROL!$C$22, $C$13, 100%, $E$13)</f>
        <v>23.974299999999999</v>
      </c>
      <c r="I734" s="64">
        <f>23.9744 * CHOOSE(CONTROL!$C$22, $C$13, 100%, $E$13)</f>
        <v>23.974399999999999</v>
      </c>
      <c r="J734" s="64">
        <f>14.5049 * CHOOSE(CONTROL!$C$22, $C$13, 100%, $E$13)</f>
        <v>14.504899999999999</v>
      </c>
      <c r="K734" s="64">
        <f>14.505 * CHOOSE(CONTROL!$C$22, $C$13, 100%, $E$13)</f>
        <v>14.505000000000001</v>
      </c>
    </row>
    <row r="735" spans="1:11" ht="15">
      <c r="A735" s="13">
        <v>64010</v>
      </c>
      <c r="B735" s="63">
        <f>12.3983 * CHOOSE(CONTROL!$C$22, $C$13, 100%, $E$13)</f>
        <v>12.398300000000001</v>
      </c>
      <c r="C735" s="63">
        <f>12.3983 * CHOOSE(CONTROL!$C$22, $C$13, 100%, $E$13)</f>
        <v>12.398300000000001</v>
      </c>
      <c r="D735" s="63">
        <f>12.4099 * CHOOSE(CONTROL!$C$22, $C$13, 100%, $E$13)</f>
        <v>12.4099</v>
      </c>
      <c r="E735" s="64">
        <f>14.6353 * CHOOSE(CONTROL!$C$22, $C$13, 100%, $E$13)</f>
        <v>14.635300000000001</v>
      </c>
      <c r="F735" s="64">
        <f>14.6353 * CHOOSE(CONTROL!$C$22, $C$13, 100%, $E$13)</f>
        <v>14.635300000000001</v>
      </c>
      <c r="G735" s="64">
        <f>14.6355 * CHOOSE(CONTROL!$C$22, $C$13, 100%, $E$13)</f>
        <v>14.6355</v>
      </c>
      <c r="H735" s="64">
        <f>24.0242* CHOOSE(CONTROL!$C$22, $C$13, 100%, $E$13)</f>
        <v>24.0242</v>
      </c>
      <c r="I735" s="64">
        <f>24.0244 * CHOOSE(CONTROL!$C$22, $C$13, 100%, $E$13)</f>
        <v>24.0244</v>
      </c>
      <c r="J735" s="64">
        <f>14.6353 * CHOOSE(CONTROL!$C$22, $C$13, 100%, $E$13)</f>
        <v>14.635300000000001</v>
      </c>
      <c r="K735" s="64">
        <f>14.6355 * CHOOSE(CONTROL!$C$22, $C$13, 100%, $E$13)</f>
        <v>14.6355</v>
      </c>
    </row>
    <row r="736" spans="1:11" ht="15">
      <c r="A736" s="13">
        <v>64040</v>
      </c>
      <c r="B736" s="63">
        <f>12.3983 * CHOOSE(CONTROL!$C$22, $C$13, 100%, $E$13)</f>
        <v>12.398300000000001</v>
      </c>
      <c r="C736" s="63">
        <f>12.3983 * CHOOSE(CONTROL!$C$22, $C$13, 100%, $E$13)</f>
        <v>12.398300000000001</v>
      </c>
      <c r="D736" s="63">
        <f>12.4215 * CHOOSE(CONTROL!$C$22, $C$13, 100%, $E$13)</f>
        <v>12.4215</v>
      </c>
      <c r="E736" s="64">
        <f>14.6859 * CHOOSE(CONTROL!$C$22, $C$13, 100%, $E$13)</f>
        <v>14.6859</v>
      </c>
      <c r="F736" s="64">
        <f>14.6859 * CHOOSE(CONTROL!$C$22, $C$13, 100%, $E$13)</f>
        <v>14.6859</v>
      </c>
      <c r="G736" s="64">
        <f>14.6873 * CHOOSE(CONTROL!$C$22, $C$13, 100%, $E$13)</f>
        <v>14.6873</v>
      </c>
      <c r="H736" s="64">
        <f>24.0743* CHOOSE(CONTROL!$C$22, $C$13, 100%, $E$13)</f>
        <v>24.074300000000001</v>
      </c>
      <c r="I736" s="64">
        <f>24.0757 * CHOOSE(CONTROL!$C$22, $C$13, 100%, $E$13)</f>
        <v>24.075700000000001</v>
      </c>
      <c r="J736" s="64">
        <f>14.6859 * CHOOSE(CONTROL!$C$22, $C$13, 100%, $E$13)</f>
        <v>14.6859</v>
      </c>
      <c r="K736" s="64">
        <f>14.6873 * CHOOSE(CONTROL!$C$22, $C$13, 100%, $E$13)</f>
        <v>14.6873</v>
      </c>
    </row>
    <row r="737" spans="1:11" ht="15">
      <c r="A737" s="13">
        <v>64071</v>
      </c>
      <c r="B737" s="63">
        <f>12.4044 * CHOOSE(CONTROL!$C$22, $C$13, 100%, $E$13)</f>
        <v>12.404400000000001</v>
      </c>
      <c r="C737" s="63">
        <f>12.4044 * CHOOSE(CONTROL!$C$22, $C$13, 100%, $E$13)</f>
        <v>12.404400000000001</v>
      </c>
      <c r="D737" s="63">
        <f>12.4275 * CHOOSE(CONTROL!$C$22, $C$13, 100%, $E$13)</f>
        <v>12.4275</v>
      </c>
      <c r="E737" s="64">
        <f>14.6396 * CHOOSE(CONTROL!$C$22, $C$13, 100%, $E$13)</f>
        <v>14.6396</v>
      </c>
      <c r="F737" s="64">
        <f>14.6396 * CHOOSE(CONTROL!$C$22, $C$13, 100%, $E$13)</f>
        <v>14.6396</v>
      </c>
      <c r="G737" s="64">
        <f>14.6411 * CHOOSE(CONTROL!$C$22, $C$13, 100%, $E$13)</f>
        <v>14.6411</v>
      </c>
      <c r="H737" s="64">
        <f>24.1244* CHOOSE(CONTROL!$C$22, $C$13, 100%, $E$13)</f>
        <v>24.124400000000001</v>
      </c>
      <c r="I737" s="64">
        <f>24.1259 * CHOOSE(CONTROL!$C$22, $C$13, 100%, $E$13)</f>
        <v>24.125900000000001</v>
      </c>
      <c r="J737" s="64">
        <f>14.6396 * CHOOSE(CONTROL!$C$22, $C$13, 100%, $E$13)</f>
        <v>14.6396</v>
      </c>
      <c r="K737" s="64">
        <f>14.6411 * CHOOSE(CONTROL!$C$22, $C$13, 100%, $E$13)</f>
        <v>14.6411</v>
      </c>
    </row>
    <row r="738" spans="1:11" ht="15">
      <c r="A738" s="13">
        <v>64101</v>
      </c>
      <c r="B738" s="63">
        <f>12.6003 * CHOOSE(CONTROL!$C$22, $C$13, 100%, $E$13)</f>
        <v>12.600300000000001</v>
      </c>
      <c r="C738" s="63">
        <f>12.6003 * CHOOSE(CONTROL!$C$22, $C$13, 100%, $E$13)</f>
        <v>12.600300000000001</v>
      </c>
      <c r="D738" s="63">
        <f>12.6234 * CHOOSE(CONTROL!$C$22, $C$13, 100%, $E$13)</f>
        <v>12.6234</v>
      </c>
      <c r="E738" s="64">
        <f>14.9196 * CHOOSE(CONTROL!$C$22, $C$13, 100%, $E$13)</f>
        <v>14.919600000000001</v>
      </c>
      <c r="F738" s="64">
        <f>14.9196 * CHOOSE(CONTROL!$C$22, $C$13, 100%, $E$13)</f>
        <v>14.919600000000001</v>
      </c>
      <c r="G738" s="64">
        <f>14.9211 * CHOOSE(CONTROL!$C$22, $C$13, 100%, $E$13)</f>
        <v>14.921099999999999</v>
      </c>
      <c r="H738" s="64">
        <f>24.1747* CHOOSE(CONTROL!$C$22, $C$13, 100%, $E$13)</f>
        <v>24.174700000000001</v>
      </c>
      <c r="I738" s="64">
        <f>24.1762 * CHOOSE(CONTROL!$C$22, $C$13, 100%, $E$13)</f>
        <v>24.176200000000001</v>
      </c>
      <c r="J738" s="64">
        <f>14.9196 * CHOOSE(CONTROL!$C$22, $C$13, 100%, $E$13)</f>
        <v>14.919600000000001</v>
      </c>
      <c r="K738" s="64">
        <f>14.9211 * CHOOSE(CONTROL!$C$22, $C$13, 100%, $E$13)</f>
        <v>14.921099999999999</v>
      </c>
    </row>
    <row r="739" spans="1:11" ht="15">
      <c r="A739" s="13">
        <v>64132</v>
      </c>
      <c r="B739" s="63">
        <f>12.607 * CHOOSE(CONTROL!$C$22, $C$13, 100%, $E$13)</f>
        <v>12.606999999999999</v>
      </c>
      <c r="C739" s="63">
        <f>12.607 * CHOOSE(CONTROL!$C$22, $C$13, 100%, $E$13)</f>
        <v>12.606999999999999</v>
      </c>
      <c r="D739" s="63">
        <f>12.6301 * CHOOSE(CONTROL!$C$22, $C$13, 100%, $E$13)</f>
        <v>12.630100000000001</v>
      </c>
      <c r="E739" s="64">
        <f>14.7728 * CHOOSE(CONTROL!$C$22, $C$13, 100%, $E$13)</f>
        <v>14.7728</v>
      </c>
      <c r="F739" s="64">
        <f>14.7728 * CHOOSE(CONTROL!$C$22, $C$13, 100%, $E$13)</f>
        <v>14.7728</v>
      </c>
      <c r="G739" s="64">
        <f>14.7742 * CHOOSE(CONTROL!$C$22, $C$13, 100%, $E$13)</f>
        <v>14.7742</v>
      </c>
      <c r="H739" s="64">
        <f>24.225* CHOOSE(CONTROL!$C$22, $C$13, 100%, $E$13)</f>
        <v>24.225000000000001</v>
      </c>
      <c r="I739" s="64">
        <f>24.2265 * CHOOSE(CONTROL!$C$22, $C$13, 100%, $E$13)</f>
        <v>24.226500000000001</v>
      </c>
      <c r="J739" s="64">
        <f>14.7728 * CHOOSE(CONTROL!$C$22, $C$13, 100%, $E$13)</f>
        <v>14.7728</v>
      </c>
      <c r="K739" s="64">
        <f>14.7742 * CHOOSE(CONTROL!$C$22, $C$13, 100%, $E$13)</f>
        <v>14.7742</v>
      </c>
    </row>
    <row r="740" spans="1:11" ht="15">
      <c r="A740" s="13">
        <v>64163</v>
      </c>
      <c r="B740" s="63">
        <f>12.6039 * CHOOSE(CONTROL!$C$22, $C$13, 100%, $E$13)</f>
        <v>12.603899999999999</v>
      </c>
      <c r="C740" s="63">
        <f>12.6039 * CHOOSE(CONTROL!$C$22, $C$13, 100%, $E$13)</f>
        <v>12.603899999999999</v>
      </c>
      <c r="D740" s="63">
        <f>12.627 * CHOOSE(CONTROL!$C$22, $C$13, 100%, $E$13)</f>
        <v>12.627000000000001</v>
      </c>
      <c r="E740" s="64">
        <f>14.7538 * CHOOSE(CONTROL!$C$22, $C$13, 100%, $E$13)</f>
        <v>14.7538</v>
      </c>
      <c r="F740" s="64">
        <f>14.7538 * CHOOSE(CONTROL!$C$22, $C$13, 100%, $E$13)</f>
        <v>14.7538</v>
      </c>
      <c r="G740" s="64">
        <f>14.7553 * CHOOSE(CONTROL!$C$22, $C$13, 100%, $E$13)</f>
        <v>14.7553</v>
      </c>
      <c r="H740" s="64">
        <f>24.2755* CHOOSE(CONTROL!$C$22, $C$13, 100%, $E$13)</f>
        <v>24.275500000000001</v>
      </c>
      <c r="I740" s="64">
        <f>24.277 * CHOOSE(CONTROL!$C$22, $C$13, 100%, $E$13)</f>
        <v>24.277000000000001</v>
      </c>
      <c r="J740" s="64">
        <f>14.7538 * CHOOSE(CONTROL!$C$22, $C$13, 100%, $E$13)</f>
        <v>14.7538</v>
      </c>
      <c r="K740" s="64">
        <f>14.7553 * CHOOSE(CONTROL!$C$22, $C$13, 100%, $E$13)</f>
        <v>14.7553</v>
      </c>
    </row>
    <row r="741" spans="1:11" ht="15">
      <c r="A741" s="13">
        <v>64193</v>
      </c>
      <c r="B741" s="63">
        <f>12.6274 * CHOOSE(CONTROL!$C$22, $C$13, 100%, $E$13)</f>
        <v>12.6274</v>
      </c>
      <c r="C741" s="63">
        <f>12.6274 * CHOOSE(CONTROL!$C$22, $C$13, 100%, $E$13)</f>
        <v>12.6274</v>
      </c>
      <c r="D741" s="63">
        <f>12.6389 * CHOOSE(CONTROL!$C$22, $C$13, 100%, $E$13)</f>
        <v>12.6389</v>
      </c>
      <c r="E741" s="64">
        <f>14.8077 * CHOOSE(CONTROL!$C$22, $C$13, 100%, $E$13)</f>
        <v>14.807700000000001</v>
      </c>
      <c r="F741" s="64">
        <f>14.8077 * CHOOSE(CONTROL!$C$22, $C$13, 100%, $E$13)</f>
        <v>14.807700000000001</v>
      </c>
      <c r="G741" s="64">
        <f>14.8079 * CHOOSE(CONTROL!$C$22, $C$13, 100%, $E$13)</f>
        <v>14.8079</v>
      </c>
      <c r="H741" s="64">
        <f>24.3261* CHOOSE(CONTROL!$C$22, $C$13, 100%, $E$13)</f>
        <v>24.3261</v>
      </c>
      <c r="I741" s="64">
        <f>24.3263 * CHOOSE(CONTROL!$C$22, $C$13, 100%, $E$13)</f>
        <v>24.3263</v>
      </c>
      <c r="J741" s="64">
        <f>14.8077 * CHOOSE(CONTROL!$C$22, $C$13, 100%, $E$13)</f>
        <v>14.807700000000001</v>
      </c>
      <c r="K741" s="64">
        <f>14.8079 * CHOOSE(CONTROL!$C$22, $C$13, 100%, $E$13)</f>
        <v>14.8079</v>
      </c>
    </row>
    <row r="742" spans="1:11" ht="15">
      <c r="A742" s="13">
        <v>64224</v>
      </c>
      <c r="B742" s="63">
        <f>12.6304 * CHOOSE(CONTROL!$C$22, $C$13, 100%, $E$13)</f>
        <v>12.6304</v>
      </c>
      <c r="C742" s="63">
        <f>12.6304 * CHOOSE(CONTROL!$C$22, $C$13, 100%, $E$13)</f>
        <v>12.6304</v>
      </c>
      <c r="D742" s="63">
        <f>12.6419 * CHOOSE(CONTROL!$C$22, $C$13, 100%, $E$13)</f>
        <v>12.6419</v>
      </c>
      <c r="E742" s="64">
        <f>14.8435 * CHOOSE(CONTROL!$C$22, $C$13, 100%, $E$13)</f>
        <v>14.843500000000001</v>
      </c>
      <c r="F742" s="64">
        <f>14.8435 * CHOOSE(CONTROL!$C$22, $C$13, 100%, $E$13)</f>
        <v>14.843500000000001</v>
      </c>
      <c r="G742" s="64">
        <f>14.8437 * CHOOSE(CONTROL!$C$22, $C$13, 100%, $E$13)</f>
        <v>14.8437</v>
      </c>
      <c r="H742" s="64">
        <f>24.3768* CHOOSE(CONTROL!$C$22, $C$13, 100%, $E$13)</f>
        <v>24.376799999999999</v>
      </c>
      <c r="I742" s="64">
        <f>24.3769 * CHOOSE(CONTROL!$C$22, $C$13, 100%, $E$13)</f>
        <v>24.376899999999999</v>
      </c>
      <c r="J742" s="64">
        <f>14.8435 * CHOOSE(CONTROL!$C$22, $C$13, 100%, $E$13)</f>
        <v>14.843500000000001</v>
      </c>
      <c r="K742" s="64">
        <f>14.8437 * CHOOSE(CONTROL!$C$22, $C$13, 100%, $E$13)</f>
        <v>14.8437</v>
      </c>
    </row>
    <row r="743" spans="1:11" ht="15">
      <c r="A743" s="13">
        <v>64254</v>
      </c>
      <c r="B743" s="63">
        <f>12.6304 * CHOOSE(CONTROL!$C$22, $C$13, 100%, $E$13)</f>
        <v>12.6304</v>
      </c>
      <c r="C743" s="63">
        <f>12.6304 * CHOOSE(CONTROL!$C$22, $C$13, 100%, $E$13)</f>
        <v>12.6304</v>
      </c>
      <c r="D743" s="63">
        <f>12.6419 * CHOOSE(CONTROL!$C$22, $C$13, 100%, $E$13)</f>
        <v>12.6419</v>
      </c>
      <c r="E743" s="64">
        <f>14.7593 * CHOOSE(CONTROL!$C$22, $C$13, 100%, $E$13)</f>
        <v>14.7593</v>
      </c>
      <c r="F743" s="64">
        <f>14.7593 * CHOOSE(CONTROL!$C$22, $C$13, 100%, $E$13)</f>
        <v>14.7593</v>
      </c>
      <c r="G743" s="64">
        <f>14.7595 * CHOOSE(CONTROL!$C$22, $C$13, 100%, $E$13)</f>
        <v>14.759499999999999</v>
      </c>
      <c r="H743" s="64">
        <f>24.4275* CHOOSE(CONTROL!$C$22, $C$13, 100%, $E$13)</f>
        <v>24.427499999999998</v>
      </c>
      <c r="I743" s="64">
        <f>24.4277 * CHOOSE(CONTROL!$C$22, $C$13, 100%, $E$13)</f>
        <v>24.427700000000002</v>
      </c>
      <c r="J743" s="64">
        <f>14.7593 * CHOOSE(CONTROL!$C$22, $C$13, 100%, $E$13)</f>
        <v>14.7593</v>
      </c>
      <c r="K743" s="64">
        <f>14.7595 * CHOOSE(CONTROL!$C$22, $C$13, 100%, $E$13)</f>
        <v>14.759499999999999</v>
      </c>
    </row>
    <row r="744" spans="1:11" ht="15">
      <c r="A744" s="13">
        <v>64285</v>
      </c>
      <c r="B744" s="63">
        <f>12.6449 * CHOOSE(CONTROL!$C$22, $C$13, 100%, $E$13)</f>
        <v>12.6449</v>
      </c>
      <c r="C744" s="63">
        <f>12.6449 * CHOOSE(CONTROL!$C$22, $C$13, 100%, $E$13)</f>
        <v>12.6449</v>
      </c>
      <c r="D744" s="63">
        <f>12.6565 * CHOOSE(CONTROL!$C$22, $C$13, 100%, $E$13)</f>
        <v>12.656499999999999</v>
      </c>
      <c r="E744" s="64">
        <f>14.8352 * CHOOSE(CONTROL!$C$22, $C$13, 100%, $E$13)</f>
        <v>14.8352</v>
      </c>
      <c r="F744" s="64">
        <f>14.8352 * CHOOSE(CONTROL!$C$22, $C$13, 100%, $E$13)</f>
        <v>14.8352</v>
      </c>
      <c r="G744" s="64">
        <f>14.8354 * CHOOSE(CONTROL!$C$22, $C$13, 100%, $E$13)</f>
        <v>14.8354</v>
      </c>
      <c r="H744" s="64">
        <f>24.3206* CHOOSE(CONTROL!$C$22, $C$13, 100%, $E$13)</f>
        <v>24.320599999999999</v>
      </c>
      <c r="I744" s="64">
        <f>24.3207 * CHOOSE(CONTROL!$C$22, $C$13, 100%, $E$13)</f>
        <v>24.320699999999999</v>
      </c>
      <c r="J744" s="64">
        <f>14.8352 * CHOOSE(CONTROL!$C$22, $C$13, 100%, $E$13)</f>
        <v>14.8352</v>
      </c>
      <c r="K744" s="64">
        <f>14.8354 * CHOOSE(CONTROL!$C$22, $C$13, 100%, $E$13)</f>
        <v>14.8354</v>
      </c>
    </row>
    <row r="745" spans="1:11" ht="15">
      <c r="A745" s="13">
        <v>64316</v>
      </c>
      <c r="B745" s="63">
        <f>12.6419 * CHOOSE(CONTROL!$C$22, $C$13, 100%, $E$13)</f>
        <v>12.6419</v>
      </c>
      <c r="C745" s="63">
        <f>12.6419 * CHOOSE(CONTROL!$C$22, $C$13, 100%, $E$13)</f>
        <v>12.6419</v>
      </c>
      <c r="D745" s="63">
        <f>12.6534 * CHOOSE(CONTROL!$C$22, $C$13, 100%, $E$13)</f>
        <v>12.6534</v>
      </c>
      <c r="E745" s="64">
        <f>14.6708 * CHOOSE(CONTROL!$C$22, $C$13, 100%, $E$13)</f>
        <v>14.6708</v>
      </c>
      <c r="F745" s="64">
        <f>14.6708 * CHOOSE(CONTROL!$C$22, $C$13, 100%, $E$13)</f>
        <v>14.6708</v>
      </c>
      <c r="G745" s="64">
        <f>14.6709 * CHOOSE(CONTROL!$C$22, $C$13, 100%, $E$13)</f>
        <v>14.6709</v>
      </c>
      <c r="H745" s="64">
        <f>24.3712* CHOOSE(CONTROL!$C$22, $C$13, 100%, $E$13)</f>
        <v>24.371200000000002</v>
      </c>
      <c r="I745" s="64">
        <f>24.3714 * CHOOSE(CONTROL!$C$22, $C$13, 100%, $E$13)</f>
        <v>24.371400000000001</v>
      </c>
      <c r="J745" s="64">
        <f>14.6708 * CHOOSE(CONTROL!$C$22, $C$13, 100%, $E$13)</f>
        <v>14.6708</v>
      </c>
      <c r="K745" s="64">
        <f>14.6709 * CHOOSE(CONTROL!$C$22, $C$13, 100%, $E$13)</f>
        <v>14.6709</v>
      </c>
    </row>
    <row r="746" spans="1:11" ht="15">
      <c r="A746" s="13">
        <v>64345</v>
      </c>
      <c r="B746" s="63">
        <f>12.6388 * CHOOSE(CONTROL!$C$22, $C$13, 100%, $E$13)</f>
        <v>12.6388</v>
      </c>
      <c r="C746" s="63">
        <f>12.6388 * CHOOSE(CONTROL!$C$22, $C$13, 100%, $E$13)</f>
        <v>12.6388</v>
      </c>
      <c r="D746" s="63">
        <f>12.6504 * CHOOSE(CONTROL!$C$22, $C$13, 100%, $E$13)</f>
        <v>12.650399999999999</v>
      </c>
      <c r="E746" s="64">
        <f>14.7966 * CHOOSE(CONTROL!$C$22, $C$13, 100%, $E$13)</f>
        <v>14.7966</v>
      </c>
      <c r="F746" s="64">
        <f>14.7966 * CHOOSE(CONTROL!$C$22, $C$13, 100%, $E$13)</f>
        <v>14.7966</v>
      </c>
      <c r="G746" s="64">
        <f>14.7968 * CHOOSE(CONTROL!$C$22, $C$13, 100%, $E$13)</f>
        <v>14.796799999999999</v>
      </c>
      <c r="H746" s="64">
        <f>24.422* CHOOSE(CONTROL!$C$22, $C$13, 100%, $E$13)</f>
        <v>24.422000000000001</v>
      </c>
      <c r="I746" s="64">
        <f>24.4222 * CHOOSE(CONTROL!$C$22, $C$13, 100%, $E$13)</f>
        <v>24.4222</v>
      </c>
      <c r="J746" s="64">
        <f>14.7966 * CHOOSE(CONTROL!$C$22, $C$13, 100%, $E$13)</f>
        <v>14.7966</v>
      </c>
      <c r="K746" s="64">
        <f>14.7968 * CHOOSE(CONTROL!$C$22, $C$13, 100%, $E$13)</f>
        <v>14.796799999999999</v>
      </c>
    </row>
    <row r="747" spans="1:11" ht="15">
      <c r="A747" s="13">
        <v>64376</v>
      </c>
      <c r="B747" s="63">
        <f>12.6439 * CHOOSE(CONTROL!$C$22, $C$13, 100%, $E$13)</f>
        <v>12.6439</v>
      </c>
      <c r="C747" s="63">
        <f>12.6439 * CHOOSE(CONTROL!$C$22, $C$13, 100%, $E$13)</f>
        <v>12.6439</v>
      </c>
      <c r="D747" s="63">
        <f>12.6554 * CHOOSE(CONTROL!$C$22, $C$13, 100%, $E$13)</f>
        <v>12.6554</v>
      </c>
      <c r="E747" s="64">
        <f>14.9298 * CHOOSE(CONTROL!$C$22, $C$13, 100%, $E$13)</f>
        <v>14.9298</v>
      </c>
      <c r="F747" s="64">
        <f>14.9298 * CHOOSE(CONTROL!$C$22, $C$13, 100%, $E$13)</f>
        <v>14.9298</v>
      </c>
      <c r="G747" s="64">
        <f>14.93 * CHOOSE(CONTROL!$C$22, $C$13, 100%, $E$13)</f>
        <v>14.93</v>
      </c>
      <c r="H747" s="64">
        <f>24.4729* CHOOSE(CONTROL!$C$22, $C$13, 100%, $E$13)</f>
        <v>24.472899999999999</v>
      </c>
      <c r="I747" s="64">
        <f>24.4731 * CHOOSE(CONTROL!$C$22, $C$13, 100%, $E$13)</f>
        <v>24.473099999999999</v>
      </c>
      <c r="J747" s="64">
        <f>14.9298 * CHOOSE(CONTROL!$C$22, $C$13, 100%, $E$13)</f>
        <v>14.9298</v>
      </c>
      <c r="K747" s="64">
        <f>14.93 * CHOOSE(CONTROL!$C$22, $C$13, 100%, $E$13)</f>
        <v>14.93</v>
      </c>
    </row>
    <row r="748" spans="1:11" ht="15">
      <c r="A748" s="13">
        <v>64406</v>
      </c>
      <c r="B748" s="63">
        <f>12.6439 * CHOOSE(CONTROL!$C$22, $C$13, 100%, $E$13)</f>
        <v>12.6439</v>
      </c>
      <c r="C748" s="63">
        <f>12.6439 * CHOOSE(CONTROL!$C$22, $C$13, 100%, $E$13)</f>
        <v>12.6439</v>
      </c>
      <c r="D748" s="63">
        <f>12.667 * CHOOSE(CONTROL!$C$22, $C$13, 100%, $E$13)</f>
        <v>12.667</v>
      </c>
      <c r="E748" s="64">
        <f>14.9813 * CHOOSE(CONTROL!$C$22, $C$13, 100%, $E$13)</f>
        <v>14.981299999999999</v>
      </c>
      <c r="F748" s="64">
        <f>14.9813 * CHOOSE(CONTROL!$C$22, $C$13, 100%, $E$13)</f>
        <v>14.981299999999999</v>
      </c>
      <c r="G748" s="64">
        <f>14.9828 * CHOOSE(CONTROL!$C$22, $C$13, 100%, $E$13)</f>
        <v>14.982799999999999</v>
      </c>
      <c r="H748" s="64">
        <f>24.5239* CHOOSE(CONTROL!$C$22, $C$13, 100%, $E$13)</f>
        <v>24.523900000000001</v>
      </c>
      <c r="I748" s="64">
        <f>24.5254 * CHOOSE(CONTROL!$C$22, $C$13, 100%, $E$13)</f>
        <v>24.525400000000001</v>
      </c>
      <c r="J748" s="64">
        <f>14.9813 * CHOOSE(CONTROL!$C$22, $C$13, 100%, $E$13)</f>
        <v>14.981299999999999</v>
      </c>
      <c r="K748" s="64">
        <f>14.9828 * CHOOSE(CONTROL!$C$22, $C$13, 100%, $E$13)</f>
        <v>14.982799999999999</v>
      </c>
    </row>
    <row r="749" spans="1:11" ht="15">
      <c r="A749" s="13">
        <v>64437</v>
      </c>
      <c r="B749" s="63">
        <f>12.65 * CHOOSE(CONTROL!$C$22, $C$13, 100%, $E$13)</f>
        <v>12.65</v>
      </c>
      <c r="C749" s="63">
        <f>12.65 * CHOOSE(CONTROL!$C$22, $C$13, 100%, $E$13)</f>
        <v>12.65</v>
      </c>
      <c r="D749" s="63">
        <f>12.6731 * CHOOSE(CONTROL!$C$22, $C$13, 100%, $E$13)</f>
        <v>12.6731</v>
      </c>
      <c r="E749" s="64">
        <f>14.934 * CHOOSE(CONTROL!$C$22, $C$13, 100%, $E$13)</f>
        <v>14.933999999999999</v>
      </c>
      <c r="F749" s="64">
        <f>14.934 * CHOOSE(CONTROL!$C$22, $C$13, 100%, $E$13)</f>
        <v>14.933999999999999</v>
      </c>
      <c r="G749" s="64">
        <f>14.9355 * CHOOSE(CONTROL!$C$22, $C$13, 100%, $E$13)</f>
        <v>14.935499999999999</v>
      </c>
      <c r="H749" s="64">
        <f>24.575* CHOOSE(CONTROL!$C$22, $C$13, 100%, $E$13)</f>
        <v>24.574999999999999</v>
      </c>
      <c r="I749" s="64">
        <f>24.5765 * CHOOSE(CONTROL!$C$22, $C$13, 100%, $E$13)</f>
        <v>24.576499999999999</v>
      </c>
      <c r="J749" s="64">
        <f>14.934 * CHOOSE(CONTROL!$C$22, $C$13, 100%, $E$13)</f>
        <v>14.933999999999999</v>
      </c>
      <c r="K749" s="64">
        <f>14.9355 * CHOOSE(CONTROL!$C$22, $C$13, 100%, $E$13)</f>
        <v>14.935499999999999</v>
      </c>
    </row>
    <row r="750" spans="1:11" ht="15">
      <c r="A750" s="13">
        <v>64467</v>
      </c>
      <c r="B750" s="63">
        <f>12.8495 * CHOOSE(CONTROL!$C$22, $C$13, 100%, $E$13)</f>
        <v>12.849500000000001</v>
      </c>
      <c r="C750" s="63">
        <f>12.8495 * CHOOSE(CONTROL!$C$22, $C$13, 100%, $E$13)</f>
        <v>12.849500000000001</v>
      </c>
      <c r="D750" s="63">
        <f>12.8726 * CHOOSE(CONTROL!$C$22, $C$13, 100%, $E$13)</f>
        <v>12.8726</v>
      </c>
      <c r="E750" s="64">
        <f>15.2195 * CHOOSE(CONTROL!$C$22, $C$13, 100%, $E$13)</f>
        <v>15.2195</v>
      </c>
      <c r="F750" s="64">
        <f>15.2195 * CHOOSE(CONTROL!$C$22, $C$13, 100%, $E$13)</f>
        <v>15.2195</v>
      </c>
      <c r="G750" s="64">
        <f>15.221 * CHOOSE(CONTROL!$C$22, $C$13, 100%, $E$13)</f>
        <v>15.221</v>
      </c>
      <c r="H750" s="64">
        <f>24.6262* CHOOSE(CONTROL!$C$22, $C$13, 100%, $E$13)</f>
        <v>24.626200000000001</v>
      </c>
      <c r="I750" s="64">
        <f>24.6277 * CHOOSE(CONTROL!$C$22, $C$13, 100%, $E$13)</f>
        <v>24.627700000000001</v>
      </c>
      <c r="J750" s="64">
        <f>15.2195 * CHOOSE(CONTROL!$C$22, $C$13, 100%, $E$13)</f>
        <v>15.2195</v>
      </c>
      <c r="K750" s="64">
        <f>15.221 * CHOOSE(CONTROL!$C$22, $C$13, 100%, $E$13)</f>
        <v>15.221</v>
      </c>
    </row>
    <row r="751" spans="1:11" ht="15">
      <c r="A751" s="13">
        <v>64498</v>
      </c>
      <c r="B751" s="63">
        <f>12.8562 * CHOOSE(CONTROL!$C$22, $C$13, 100%, $E$13)</f>
        <v>12.856199999999999</v>
      </c>
      <c r="C751" s="63">
        <f>12.8562 * CHOOSE(CONTROL!$C$22, $C$13, 100%, $E$13)</f>
        <v>12.856199999999999</v>
      </c>
      <c r="D751" s="63">
        <f>12.8793 * CHOOSE(CONTROL!$C$22, $C$13, 100%, $E$13)</f>
        <v>12.879300000000001</v>
      </c>
      <c r="E751" s="64">
        <f>15.0696 * CHOOSE(CONTROL!$C$22, $C$13, 100%, $E$13)</f>
        <v>15.069599999999999</v>
      </c>
      <c r="F751" s="64">
        <f>15.0696 * CHOOSE(CONTROL!$C$22, $C$13, 100%, $E$13)</f>
        <v>15.069599999999999</v>
      </c>
      <c r="G751" s="64">
        <f>15.0711 * CHOOSE(CONTROL!$C$22, $C$13, 100%, $E$13)</f>
        <v>15.071099999999999</v>
      </c>
      <c r="H751" s="64">
        <f>24.6775* CHOOSE(CONTROL!$C$22, $C$13, 100%, $E$13)</f>
        <v>24.677499999999998</v>
      </c>
      <c r="I751" s="64">
        <f>24.679 * CHOOSE(CONTROL!$C$22, $C$13, 100%, $E$13)</f>
        <v>24.678999999999998</v>
      </c>
      <c r="J751" s="64">
        <f>15.0696 * CHOOSE(CONTROL!$C$22, $C$13, 100%, $E$13)</f>
        <v>15.069599999999999</v>
      </c>
      <c r="K751" s="64">
        <f>15.0711 * CHOOSE(CONTROL!$C$22, $C$13, 100%, $E$13)</f>
        <v>15.071099999999999</v>
      </c>
    </row>
    <row r="752" spans="1:11" ht="15">
      <c r="A752" s="13">
        <v>64529</v>
      </c>
      <c r="B752" s="63">
        <f>12.8532 * CHOOSE(CONTROL!$C$22, $C$13, 100%, $E$13)</f>
        <v>12.853199999999999</v>
      </c>
      <c r="C752" s="63">
        <f>12.8532 * CHOOSE(CONTROL!$C$22, $C$13, 100%, $E$13)</f>
        <v>12.853199999999999</v>
      </c>
      <c r="D752" s="63">
        <f>12.8763 * CHOOSE(CONTROL!$C$22, $C$13, 100%, $E$13)</f>
        <v>12.876300000000001</v>
      </c>
      <c r="E752" s="64">
        <f>15.0503 * CHOOSE(CONTROL!$C$22, $C$13, 100%, $E$13)</f>
        <v>15.0503</v>
      </c>
      <c r="F752" s="64">
        <f>15.0503 * CHOOSE(CONTROL!$C$22, $C$13, 100%, $E$13)</f>
        <v>15.0503</v>
      </c>
      <c r="G752" s="64">
        <f>15.0518 * CHOOSE(CONTROL!$C$22, $C$13, 100%, $E$13)</f>
        <v>15.0518</v>
      </c>
      <c r="H752" s="64">
        <f>24.7289* CHOOSE(CONTROL!$C$22, $C$13, 100%, $E$13)</f>
        <v>24.728899999999999</v>
      </c>
      <c r="I752" s="64">
        <f>24.7304 * CHOOSE(CONTROL!$C$22, $C$13, 100%, $E$13)</f>
        <v>24.730399999999999</v>
      </c>
      <c r="J752" s="64">
        <f>15.0503 * CHOOSE(CONTROL!$C$22, $C$13, 100%, $E$13)</f>
        <v>15.0503</v>
      </c>
      <c r="K752" s="64">
        <f>15.0518 * CHOOSE(CONTROL!$C$22, $C$13, 100%, $E$13)</f>
        <v>15.0518</v>
      </c>
    </row>
    <row r="753" spans="1:11" ht="15">
      <c r="A753" s="13">
        <v>64559</v>
      </c>
      <c r="B753" s="63">
        <f>12.8774 * CHOOSE(CONTROL!$C$22, $C$13, 100%, $E$13)</f>
        <v>12.8774</v>
      </c>
      <c r="C753" s="63">
        <f>12.8774 * CHOOSE(CONTROL!$C$22, $C$13, 100%, $E$13)</f>
        <v>12.8774</v>
      </c>
      <c r="D753" s="63">
        <f>12.8889 * CHOOSE(CONTROL!$C$22, $C$13, 100%, $E$13)</f>
        <v>12.8889</v>
      </c>
      <c r="E753" s="64">
        <f>15.1056 * CHOOSE(CONTROL!$C$22, $C$13, 100%, $E$13)</f>
        <v>15.105600000000001</v>
      </c>
      <c r="F753" s="64">
        <f>15.1056 * CHOOSE(CONTROL!$C$22, $C$13, 100%, $E$13)</f>
        <v>15.105600000000001</v>
      </c>
      <c r="G753" s="64">
        <f>15.1058 * CHOOSE(CONTROL!$C$22, $C$13, 100%, $E$13)</f>
        <v>15.1058</v>
      </c>
      <c r="H753" s="64">
        <f>24.7804* CHOOSE(CONTROL!$C$22, $C$13, 100%, $E$13)</f>
        <v>24.7804</v>
      </c>
      <c r="I753" s="64">
        <f>24.7806 * CHOOSE(CONTROL!$C$22, $C$13, 100%, $E$13)</f>
        <v>24.7806</v>
      </c>
      <c r="J753" s="64">
        <f>15.1056 * CHOOSE(CONTROL!$C$22, $C$13, 100%, $E$13)</f>
        <v>15.105600000000001</v>
      </c>
      <c r="K753" s="64">
        <f>15.1058 * CHOOSE(CONTROL!$C$22, $C$13, 100%, $E$13)</f>
        <v>15.1058</v>
      </c>
    </row>
    <row r="754" spans="1:11" ht="15">
      <c r="A754" s="13">
        <v>64590</v>
      </c>
      <c r="B754" s="63">
        <f>12.8804 * CHOOSE(CONTROL!$C$22, $C$13, 100%, $E$13)</f>
        <v>12.8804</v>
      </c>
      <c r="C754" s="63">
        <f>12.8804 * CHOOSE(CONTROL!$C$22, $C$13, 100%, $E$13)</f>
        <v>12.8804</v>
      </c>
      <c r="D754" s="63">
        <f>12.892 * CHOOSE(CONTROL!$C$22, $C$13, 100%, $E$13)</f>
        <v>12.891999999999999</v>
      </c>
      <c r="E754" s="64">
        <f>15.1421 * CHOOSE(CONTROL!$C$22, $C$13, 100%, $E$13)</f>
        <v>15.142099999999999</v>
      </c>
      <c r="F754" s="64">
        <f>15.1421 * CHOOSE(CONTROL!$C$22, $C$13, 100%, $E$13)</f>
        <v>15.142099999999999</v>
      </c>
      <c r="G754" s="64">
        <f>15.1422 * CHOOSE(CONTROL!$C$22, $C$13, 100%, $E$13)</f>
        <v>15.142200000000001</v>
      </c>
      <c r="H754" s="64">
        <f>24.832* CHOOSE(CONTROL!$C$22, $C$13, 100%, $E$13)</f>
        <v>24.832000000000001</v>
      </c>
      <c r="I754" s="64">
        <f>24.8322 * CHOOSE(CONTROL!$C$22, $C$13, 100%, $E$13)</f>
        <v>24.8322</v>
      </c>
      <c r="J754" s="64">
        <f>15.1421 * CHOOSE(CONTROL!$C$22, $C$13, 100%, $E$13)</f>
        <v>15.142099999999999</v>
      </c>
      <c r="K754" s="64">
        <f>15.1422 * CHOOSE(CONTROL!$C$22, $C$13, 100%, $E$13)</f>
        <v>15.142200000000001</v>
      </c>
    </row>
    <row r="755" spans="1:11" ht="15">
      <c r="A755" s="13">
        <v>64620</v>
      </c>
      <c r="B755" s="63">
        <f>12.8804 * CHOOSE(CONTROL!$C$22, $C$13, 100%, $E$13)</f>
        <v>12.8804</v>
      </c>
      <c r="C755" s="63">
        <f>12.8804 * CHOOSE(CONTROL!$C$22, $C$13, 100%, $E$13)</f>
        <v>12.8804</v>
      </c>
      <c r="D755" s="63">
        <f>12.892 * CHOOSE(CONTROL!$C$22, $C$13, 100%, $E$13)</f>
        <v>12.891999999999999</v>
      </c>
      <c r="E755" s="64">
        <f>15.0562 * CHOOSE(CONTROL!$C$22, $C$13, 100%, $E$13)</f>
        <v>15.0562</v>
      </c>
      <c r="F755" s="64">
        <f>15.0562 * CHOOSE(CONTROL!$C$22, $C$13, 100%, $E$13)</f>
        <v>15.0562</v>
      </c>
      <c r="G755" s="64">
        <f>15.0563 * CHOOSE(CONTROL!$C$22, $C$13, 100%, $E$13)</f>
        <v>15.0563</v>
      </c>
      <c r="H755" s="64">
        <f>24.8838* CHOOSE(CONTROL!$C$22, $C$13, 100%, $E$13)</f>
        <v>24.883800000000001</v>
      </c>
      <c r="I755" s="64">
        <f>24.8839 * CHOOSE(CONTROL!$C$22, $C$13, 100%, $E$13)</f>
        <v>24.883900000000001</v>
      </c>
      <c r="J755" s="64">
        <f>15.0562 * CHOOSE(CONTROL!$C$22, $C$13, 100%, $E$13)</f>
        <v>15.0562</v>
      </c>
      <c r="K755" s="64">
        <f>15.0563 * CHOOSE(CONTROL!$C$22, $C$13, 100%, $E$13)</f>
        <v>15.0563</v>
      </c>
    </row>
    <row r="756" spans="1:11" ht="15">
      <c r="A756" s="13">
        <v>64651</v>
      </c>
      <c r="B756" s="63">
        <f>12.8902 * CHOOSE(CONTROL!$C$22, $C$13, 100%, $E$13)</f>
        <v>12.8902</v>
      </c>
      <c r="C756" s="63">
        <f>12.8902 * CHOOSE(CONTROL!$C$22, $C$13, 100%, $E$13)</f>
        <v>12.8902</v>
      </c>
      <c r="D756" s="63">
        <f>12.9018 * CHOOSE(CONTROL!$C$22, $C$13, 100%, $E$13)</f>
        <v>12.9018</v>
      </c>
      <c r="E756" s="64">
        <f>15.1276 * CHOOSE(CONTROL!$C$22, $C$13, 100%, $E$13)</f>
        <v>15.127599999999999</v>
      </c>
      <c r="F756" s="64">
        <f>15.1276 * CHOOSE(CONTROL!$C$22, $C$13, 100%, $E$13)</f>
        <v>15.127599999999999</v>
      </c>
      <c r="G756" s="64">
        <f>15.1278 * CHOOSE(CONTROL!$C$22, $C$13, 100%, $E$13)</f>
        <v>15.127800000000001</v>
      </c>
      <c r="H756" s="64">
        <f>24.7665* CHOOSE(CONTROL!$C$22, $C$13, 100%, $E$13)</f>
        <v>24.766500000000001</v>
      </c>
      <c r="I756" s="64">
        <f>24.7666 * CHOOSE(CONTROL!$C$22, $C$13, 100%, $E$13)</f>
        <v>24.7666</v>
      </c>
      <c r="J756" s="64">
        <f>15.1276 * CHOOSE(CONTROL!$C$22, $C$13, 100%, $E$13)</f>
        <v>15.127599999999999</v>
      </c>
      <c r="K756" s="64">
        <f>15.1278 * CHOOSE(CONTROL!$C$22, $C$13, 100%, $E$13)</f>
        <v>15.127800000000001</v>
      </c>
    </row>
    <row r="757" spans="1:11" ht="15">
      <c r="A757" s="13">
        <v>64682</v>
      </c>
      <c r="B757" s="63">
        <f>12.8872 * CHOOSE(CONTROL!$C$22, $C$13, 100%, $E$13)</f>
        <v>12.8872</v>
      </c>
      <c r="C757" s="63">
        <f>12.8872 * CHOOSE(CONTROL!$C$22, $C$13, 100%, $E$13)</f>
        <v>12.8872</v>
      </c>
      <c r="D757" s="63">
        <f>12.8987 * CHOOSE(CONTROL!$C$22, $C$13, 100%, $E$13)</f>
        <v>12.8987</v>
      </c>
      <c r="E757" s="64">
        <f>14.96 * CHOOSE(CONTROL!$C$22, $C$13, 100%, $E$13)</f>
        <v>14.96</v>
      </c>
      <c r="F757" s="64">
        <f>14.96 * CHOOSE(CONTROL!$C$22, $C$13, 100%, $E$13)</f>
        <v>14.96</v>
      </c>
      <c r="G757" s="64">
        <f>14.9601 * CHOOSE(CONTROL!$C$22, $C$13, 100%, $E$13)</f>
        <v>14.960100000000001</v>
      </c>
      <c r="H757" s="64">
        <f>24.8181* CHOOSE(CONTROL!$C$22, $C$13, 100%, $E$13)</f>
        <v>24.818100000000001</v>
      </c>
      <c r="I757" s="64">
        <f>24.8182 * CHOOSE(CONTROL!$C$22, $C$13, 100%, $E$13)</f>
        <v>24.818200000000001</v>
      </c>
      <c r="J757" s="64">
        <f>14.96 * CHOOSE(CONTROL!$C$22, $C$13, 100%, $E$13)</f>
        <v>14.96</v>
      </c>
      <c r="K757" s="64">
        <f>14.9601 * CHOOSE(CONTROL!$C$22, $C$13, 100%, $E$13)</f>
        <v>14.960100000000001</v>
      </c>
    </row>
    <row r="758" spans="1:11" ht="15">
      <c r="A758" s="13">
        <v>64710</v>
      </c>
      <c r="B758" s="63">
        <f>12.8841 * CHOOSE(CONTROL!$C$22, $C$13, 100%, $E$13)</f>
        <v>12.8841</v>
      </c>
      <c r="C758" s="63">
        <f>12.8841 * CHOOSE(CONTROL!$C$22, $C$13, 100%, $E$13)</f>
        <v>12.8841</v>
      </c>
      <c r="D758" s="63">
        <f>12.8957 * CHOOSE(CONTROL!$C$22, $C$13, 100%, $E$13)</f>
        <v>12.8957</v>
      </c>
      <c r="E758" s="64">
        <f>15.0883 * CHOOSE(CONTROL!$C$22, $C$13, 100%, $E$13)</f>
        <v>15.0883</v>
      </c>
      <c r="F758" s="64">
        <f>15.0883 * CHOOSE(CONTROL!$C$22, $C$13, 100%, $E$13)</f>
        <v>15.0883</v>
      </c>
      <c r="G758" s="64">
        <f>15.0885 * CHOOSE(CONTROL!$C$22, $C$13, 100%, $E$13)</f>
        <v>15.0885</v>
      </c>
      <c r="H758" s="64">
        <f>24.8698* CHOOSE(CONTROL!$C$22, $C$13, 100%, $E$13)</f>
        <v>24.869800000000001</v>
      </c>
      <c r="I758" s="64">
        <f>24.8699 * CHOOSE(CONTROL!$C$22, $C$13, 100%, $E$13)</f>
        <v>24.869900000000001</v>
      </c>
      <c r="J758" s="64">
        <f>15.0883 * CHOOSE(CONTROL!$C$22, $C$13, 100%, $E$13)</f>
        <v>15.0883</v>
      </c>
      <c r="K758" s="64">
        <f>15.0885 * CHOOSE(CONTROL!$C$22, $C$13, 100%, $E$13)</f>
        <v>15.0885</v>
      </c>
    </row>
    <row r="759" spans="1:11" ht="15">
      <c r="A759" s="13">
        <v>64741</v>
      </c>
      <c r="B759" s="63">
        <f>12.8894 * CHOOSE(CONTROL!$C$22, $C$13, 100%, $E$13)</f>
        <v>12.8894</v>
      </c>
      <c r="C759" s="63">
        <f>12.8894 * CHOOSE(CONTROL!$C$22, $C$13, 100%, $E$13)</f>
        <v>12.8894</v>
      </c>
      <c r="D759" s="63">
        <f>12.901 * CHOOSE(CONTROL!$C$22, $C$13, 100%, $E$13)</f>
        <v>12.901</v>
      </c>
      <c r="E759" s="64">
        <f>15.2242 * CHOOSE(CONTROL!$C$22, $C$13, 100%, $E$13)</f>
        <v>15.2242</v>
      </c>
      <c r="F759" s="64">
        <f>15.2242 * CHOOSE(CONTROL!$C$22, $C$13, 100%, $E$13)</f>
        <v>15.2242</v>
      </c>
      <c r="G759" s="64">
        <f>15.2244 * CHOOSE(CONTROL!$C$22, $C$13, 100%, $E$13)</f>
        <v>15.224399999999999</v>
      </c>
      <c r="H759" s="64">
        <f>24.9216* CHOOSE(CONTROL!$C$22, $C$13, 100%, $E$13)</f>
        <v>24.921600000000002</v>
      </c>
      <c r="I759" s="64">
        <f>24.9217 * CHOOSE(CONTROL!$C$22, $C$13, 100%, $E$13)</f>
        <v>24.921700000000001</v>
      </c>
      <c r="J759" s="64">
        <f>15.2242 * CHOOSE(CONTROL!$C$22, $C$13, 100%, $E$13)</f>
        <v>15.2242</v>
      </c>
      <c r="K759" s="64">
        <f>15.2244 * CHOOSE(CONTROL!$C$22, $C$13, 100%, $E$13)</f>
        <v>15.224399999999999</v>
      </c>
    </row>
    <row r="760" spans="1:11" ht="15">
      <c r="A760" s="13">
        <v>64771</v>
      </c>
      <c r="B760" s="63">
        <f>12.8894 * CHOOSE(CONTROL!$C$22, $C$13, 100%, $E$13)</f>
        <v>12.8894</v>
      </c>
      <c r="C760" s="63">
        <f>12.8894 * CHOOSE(CONTROL!$C$22, $C$13, 100%, $E$13)</f>
        <v>12.8894</v>
      </c>
      <c r="D760" s="63">
        <f>12.9125 * CHOOSE(CONTROL!$C$22, $C$13, 100%, $E$13)</f>
        <v>12.9125</v>
      </c>
      <c r="E760" s="64">
        <f>15.2768 * CHOOSE(CONTROL!$C$22, $C$13, 100%, $E$13)</f>
        <v>15.2768</v>
      </c>
      <c r="F760" s="64">
        <f>15.2768 * CHOOSE(CONTROL!$C$22, $C$13, 100%, $E$13)</f>
        <v>15.2768</v>
      </c>
      <c r="G760" s="64">
        <f>15.2783 * CHOOSE(CONTROL!$C$22, $C$13, 100%, $E$13)</f>
        <v>15.2783</v>
      </c>
      <c r="H760" s="64">
        <f>24.9735* CHOOSE(CONTROL!$C$22, $C$13, 100%, $E$13)</f>
        <v>24.973500000000001</v>
      </c>
      <c r="I760" s="64">
        <f>24.975 * CHOOSE(CONTROL!$C$22, $C$13, 100%, $E$13)</f>
        <v>24.975000000000001</v>
      </c>
      <c r="J760" s="64">
        <f>15.2768 * CHOOSE(CONTROL!$C$22, $C$13, 100%, $E$13)</f>
        <v>15.2768</v>
      </c>
      <c r="K760" s="64">
        <f>15.2783 * CHOOSE(CONTROL!$C$22, $C$13, 100%, $E$13)</f>
        <v>15.2783</v>
      </c>
    </row>
    <row r="761" spans="1:11" ht="15">
      <c r="A761" s="13">
        <v>64802</v>
      </c>
      <c r="B761" s="63">
        <f>12.8955 * CHOOSE(CONTROL!$C$22, $C$13, 100%, $E$13)</f>
        <v>12.8955</v>
      </c>
      <c r="C761" s="63">
        <f>12.8955 * CHOOSE(CONTROL!$C$22, $C$13, 100%, $E$13)</f>
        <v>12.8955</v>
      </c>
      <c r="D761" s="63">
        <f>12.9186 * CHOOSE(CONTROL!$C$22, $C$13, 100%, $E$13)</f>
        <v>12.9186</v>
      </c>
      <c r="E761" s="64">
        <f>15.2285 * CHOOSE(CONTROL!$C$22, $C$13, 100%, $E$13)</f>
        <v>15.2285</v>
      </c>
      <c r="F761" s="64">
        <f>15.2285 * CHOOSE(CONTROL!$C$22, $C$13, 100%, $E$13)</f>
        <v>15.2285</v>
      </c>
      <c r="G761" s="64">
        <f>15.23 * CHOOSE(CONTROL!$C$22, $C$13, 100%, $E$13)</f>
        <v>15.23</v>
      </c>
      <c r="H761" s="64">
        <f>25.0255* CHOOSE(CONTROL!$C$22, $C$13, 100%, $E$13)</f>
        <v>25.025500000000001</v>
      </c>
      <c r="I761" s="64">
        <f>25.027 * CHOOSE(CONTROL!$C$22, $C$13, 100%, $E$13)</f>
        <v>25.027000000000001</v>
      </c>
      <c r="J761" s="64">
        <f>15.2285 * CHOOSE(CONTROL!$C$22, $C$13, 100%, $E$13)</f>
        <v>15.2285</v>
      </c>
      <c r="K761" s="64">
        <f>15.23 * CHOOSE(CONTROL!$C$22, $C$13, 100%, $E$13)</f>
        <v>15.23</v>
      </c>
    </row>
    <row r="762" spans="1:11" ht="15">
      <c r="A762" s="13">
        <v>64832</v>
      </c>
      <c r="B762" s="63">
        <f>13.0987 * CHOOSE(CONTROL!$C$22, $C$13, 100%, $E$13)</f>
        <v>13.098699999999999</v>
      </c>
      <c r="C762" s="63">
        <f>13.0987 * CHOOSE(CONTROL!$C$22, $C$13, 100%, $E$13)</f>
        <v>13.098699999999999</v>
      </c>
      <c r="D762" s="63">
        <f>13.1218 * CHOOSE(CONTROL!$C$22, $C$13, 100%, $E$13)</f>
        <v>13.1218</v>
      </c>
      <c r="E762" s="64">
        <f>15.5194 * CHOOSE(CONTROL!$C$22, $C$13, 100%, $E$13)</f>
        <v>15.519399999999999</v>
      </c>
      <c r="F762" s="64">
        <f>15.5194 * CHOOSE(CONTROL!$C$22, $C$13, 100%, $E$13)</f>
        <v>15.519399999999999</v>
      </c>
      <c r="G762" s="64">
        <f>15.5209 * CHOOSE(CONTROL!$C$22, $C$13, 100%, $E$13)</f>
        <v>15.520899999999999</v>
      </c>
      <c r="H762" s="64">
        <f>25.0777* CHOOSE(CONTROL!$C$22, $C$13, 100%, $E$13)</f>
        <v>25.0777</v>
      </c>
      <c r="I762" s="64">
        <f>25.0791 * CHOOSE(CONTROL!$C$22, $C$13, 100%, $E$13)</f>
        <v>25.0791</v>
      </c>
      <c r="J762" s="64">
        <f>15.5194 * CHOOSE(CONTROL!$C$22, $C$13, 100%, $E$13)</f>
        <v>15.519399999999999</v>
      </c>
      <c r="K762" s="64">
        <f>15.5209 * CHOOSE(CONTROL!$C$22, $C$13, 100%, $E$13)</f>
        <v>15.520899999999999</v>
      </c>
    </row>
    <row r="763" spans="1:11" ht="15">
      <c r="A763" s="13">
        <v>64863</v>
      </c>
      <c r="B763" s="63">
        <f>13.1054 * CHOOSE(CONTROL!$C$22, $C$13, 100%, $E$13)</f>
        <v>13.105399999999999</v>
      </c>
      <c r="C763" s="63">
        <f>13.1054 * CHOOSE(CONTROL!$C$22, $C$13, 100%, $E$13)</f>
        <v>13.105399999999999</v>
      </c>
      <c r="D763" s="63">
        <f>13.1285 * CHOOSE(CONTROL!$C$22, $C$13, 100%, $E$13)</f>
        <v>13.128500000000001</v>
      </c>
      <c r="E763" s="64">
        <f>15.3664 * CHOOSE(CONTROL!$C$22, $C$13, 100%, $E$13)</f>
        <v>15.366400000000001</v>
      </c>
      <c r="F763" s="64">
        <f>15.3664 * CHOOSE(CONTROL!$C$22, $C$13, 100%, $E$13)</f>
        <v>15.366400000000001</v>
      </c>
      <c r="G763" s="64">
        <f>15.3679 * CHOOSE(CONTROL!$C$22, $C$13, 100%, $E$13)</f>
        <v>15.367900000000001</v>
      </c>
      <c r="H763" s="64">
        <f>25.1299* CHOOSE(CONTROL!$C$22, $C$13, 100%, $E$13)</f>
        <v>25.129899999999999</v>
      </c>
      <c r="I763" s="64">
        <f>25.1314 * CHOOSE(CONTROL!$C$22, $C$13, 100%, $E$13)</f>
        <v>25.131399999999999</v>
      </c>
      <c r="J763" s="64">
        <f>15.3664 * CHOOSE(CONTROL!$C$22, $C$13, 100%, $E$13)</f>
        <v>15.366400000000001</v>
      </c>
      <c r="K763" s="64">
        <f>15.3679 * CHOOSE(CONTROL!$C$22, $C$13, 100%, $E$13)</f>
        <v>15.367900000000001</v>
      </c>
    </row>
    <row r="764" spans="1:11" ht="15">
      <c r="A764" s="13">
        <v>64894</v>
      </c>
      <c r="B764" s="63">
        <f>13.1024 * CHOOSE(CONTROL!$C$22, $C$13, 100%, $E$13)</f>
        <v>13.102399999999999</v>
      </c>
      <c r="C764" s="63">
        <f>13.1024 * CHOOSE(CONTROL!$C$22, $C$13, 100%, $E$13)</f>
        <v>13.102399999999999</v>
      </c>
      <c r="D764" s="63">
        <f>13.1255 * CHOOSE(CONTROL!$C$22, $C$13, 100%, $E$13)</f>
        <v>13.125500000000001</v>
      </c>
      <c r="E764" s="64">
        <f>15.3468 * CHOOSE(CONTROL!$C$22, $C$13, 100%, $E$13)</f>
        <v>15.3468</v>
      </c>
      <c r="F764" s="64">
        <f>15.3468 * CHOOSE(CONTROL!$C$22, $C$13, 100%, $E$13)</f>
        <v>15.3468</v>
      </c>
      <c r="G764" s="64">
        <f>15.3483 * CHOOSE(CONTROL!$C$22, $C$13, 100%, $E$13)</f>
        <v>15.3483</v>
      </c>
      <c r="H764" s="64">
        <f>25.1823* CHOOSE(CONTROL!$C$22, $C$13, 100%, $E$13)</f>
        <v>25.182300000000001</v>
      </c>
      <c r="I764" s="64">
        <f>25.1837 * CHOOSE(CONTROL!$C$22, $C$13, 100%, $E$13)</f>
        <v>25.183700000000002</v>
      </c>
      <c r="J764" s="64">
        <f>15.3468 * CHOOSE(CONTROL!$C$22, $C$13, 100%, $E$13)</f>
        <v>15.3468</v>
      </c>
      <c r="K764" s="64">
        <f>15.3483 * CHOOSE(CONTROL!$C$22, $C$13, 100%, $E$13)</f>
        <v>15.3483</v>
      </c>
    </row>
    <row r="765" spans="1:11" ht="15">
      <c r="A765" s="13">
        <v>64924</v>
      </c>
      <c r="B765" s="63">
        <f>13.1274 * CHOOSE(CONTROL!$C$22, $C$13, 100%, $E$13)</f>
        <v>13.1274</v>
      </c>
      <c r="C765" s="63">
        <f>13.1274 * CHOOSE(CONTROL!$C$22, $C$13, 100%, $E$13)</f>
        <v>13.1274</v>
      </c>
      <c r="D765" s="63">
        <f>13.1389 * CHOOSE(CONTROL!$C$22, $C$13, 100%, $E$13)</f>
        <v>13.1389</v>
      </c>
      <c r="E765" s="64">
        <f>15.4034 * CHOOSE(CONTROL!$C$22, $C$13, 100%, $E$13)</f>
        <v>15.4034</v>
      </c>
      <c r="F765" s="64">
        <f>15.4034 * CHOOSE(CONTROL!$C$22, $C$13, 100%, $E$13)</f>
        <v>15.4034</v>
      </c>
      <c r="G765" s="64">
        <f>15.4036 * CHOOSE(CONTROL!$C$22, $C$13, 100%, $E$13)</f>
        <v>15.403600000000001</v>
      </c>
      <c r="H765" s="64">
        <f>25.2347* CHOOSE(CONTROL!$C$22, $C$13, 100%, $E$13)</f>
        <v>25.2347</v>
      </c>
      <c r="I765" s="64">
        <f>25.2349 * CHOOSE(CONTROL!$C$22, $C$13, 100%, $E$13)</f>
        <v>25.2349</v>
      </c>
      <c r="J765" s="64">
        <f>15.4034 * CHOOSE(CONTROL!$C$22, $C$13, 100%, $E$13)</f>
        <v>15.4034</v>
      </c>
      <c r="K765" s="64">
        <f>15.4036 * CHOOSE(CONTROL!$C$22, $C$13, 100%, $E$13)</f>
        <v>15.403600000000001</v>
      </c>
    </row>
    <row r="766" spans="1:11" ht="15">
      <c r="A766" s="13">
        <v>64955</v>
      </c>
      <c r="B766" s="63">
        <f>13.1304 * CHOOSE(CONTROL!$C$22, $C$13, 100%, $E$13)</f>
        <v>13.1304</v>
      </c>
      <c r="C766" s="63">
        <f>13.1304 * CHOOSE(CONTROL!$C$22, $C$13, 100%, $E$13)</f>
        <v>13.1304</v>
      </c>
      <c r="D766" s="63">
        <f>13.142 * CHOOSE(CONTROL!$C$22, $C$13, 100%, $E$13)</f>
        <v>13.141999999999999</v>
      </c>
      <c r="E766" s="64">
        <f>15.4406 * CHOOSE(CONTROL!$C$22, $C$13, 100%, $E$13)</f>
        <v>15.4406</v>
      </c>
      <c r="F766" s="64">
        <f>15.4406 * CHOOSE(CONTROL!$C$22, $C$13, 100%, $E$13)</f>
        <v>15.4406</v>
      </c>
      <c r="G766" s="64">
        <f>15.4408 * CHOOSE(CONTROL!$C$22, $C$13, 100%, $E$13)</f>
        <v>15.440799999999999</v>
      </c>
      <c r="H766" s="64">
        <f>25.2873* CHOOSE(CONTROL!$C$22, $C$13, 100%, $E$13)</f>
        <v>25.287299999999998</v>
      </c>
      <c r="I766" s="64">
        <f>25.2875 * CHOOSE(CONTROL!$C$22, $C$13, 100%, $E$13)</f>
        <v>25.287500000000001</v>
      </c>
      <c r="J766" s="64">
        <f>15.4406 * CHOOSE(CONTROL!$C$22, $C$13, 100%, $E$13)</f>
        <v>15.4406</v>
      </c>
      <c r="K766" s="64">
        <f>15.4408 * CHOOSE(CONTROL!$C$22, $C$13, 100%, $E$13)</f>
        <v>15.440799999999999</v>
      </c>
    </row>
    <row r="767" spans="1:11" ht="15">
      <c r="A767" s="13">
        <v>64985</v>
      </c>
      <c r="B767" s="63">
        <f>13.1304 * CHOOSE(CONTROL!$C$22, $C$13, 100%, $E$13)</f>
        <v>13.1304</v>
      </c>
      <c r="C767" s="63">
        <f>13.1304 * CHOOSE(CONTROL!$C$22, $C$13, 100%, $E$13)</f>
        <v>13.1304</v>
      </c>
      <c r="D767" s="63">
        <f>13.142 * CHOOSE(CONTROL!$C$22, $C$13, 100%, $E$13)</f>
        <v>13.141999999999999</v>
      </c>
      <c r="E767" s="64">
        <f>15.353 * CHOOSE(CONTROL!$C$22, $C$13, 100%, $E$13)</f>
        <v>15.353</v>
      </c>
      <c r="F767" s="64">
        <f>15.353 * CHOOSE(CONTROL!$C$22, $C$13, 100%, $E$13)</f>
        <v>15.353</v>
      </c>
      <c r="G767" s="64">
        <f>15.3532 * CHOOSE(CONTROL!$C$22, $C$13, 100%, $E$13)</f>
        <v>15.353199999999999</v>
      </c>
      <c r="H767" s="64">
        <f>25.34* CHOOSE(CONTROL!$C$22, $C$13, 100%, $E$13)</f>
        <v>25.34</v>
      </c>
      <c r="I767" s="64">
        <f>25.3401 * CHOOSE(CONTROL!$C$22, $C$13, 100%, $E$13)</f>
        <v>25.3401</v>
      </c>
      <c r="J767" s="64">
        <f>15.353 * CHOOSE(CONTROL!$C$22, $C$13, 100%, $E$13)</f>
        <v>15.353</v>
      </c>
      <c r="K767" s="64">
        <f>15.3532 * CHOOSE(CONTROL!$C$22, $C$13, 100%, $E$13)</f>
        <v>15.353199999999999</v>
      </c>
    </row>
    <row r="768" spans="1:11" ht="15">
      <c r="A768" s="13">
        <v>65016</v>
      </c>
      <c r="B768" s="63">
        <f>13.1355 * CHOOSE(CONTROL!$C$22, $C$13, 100%, $E$13)</f>
        <v>13.1355</v>
      </c>
      <c r="C768" s="63">
        <f>13.1355 * CHOOSE(CONTROL!$C$22, $C$13, 100%, $E$13)</f>
        <v>13.1355</v>
      </c>
      <c r="D768" s="63">
        <f>13.1471 * CHOOSE(CONTROL!$C$22, $C$13, 100%, $E$13)</f>
        <v>13.1471</v>
      </c>
      <c r="E768" s="64">
        <f>15.42 * CHOOSE(CONTROL!$C$22, $C$13, 100%, $E$13)</f>
        <v>15.42</v>
      </c>
      <c r="F768" s="64">
        <f>15.42 * CHOOSE(CONTROL!$C$22, $C$13, 100%, $E$13)</f>
        <v>15.42</v>
      </c>
      <c r="G768" s="64">
        <f>15.4202 * CHOOSE(CONTROL!$C$22, $C$13, 100%, $E$13)</f>
        <v>15.420199999999999</v>
      </c>
      <c r="H768" s="64">
        <f>25.2123* CHOOSE(CONTROL!$C$22, $C$13, 100%, $E$13)</f>
        <v>25.212299999999999</v>
      </c>
      <c r="I768" s="64">
        <f>25.2125 * CHOOSE(CONTROL!$C$22, $C$13, 100%, $E$13)</f>
        <v>25.212499999999999</v>
      </c>
      <c r="J768" s="64">
        <f>15.42 * CHOOSE(CONTROL!$C$22, $C$13, 100%, $E$13)</f>
        <v>15.42</v>
      </c>
      <c r="K768" s="64">
        <f>15.4202 * CHOOSE(CONTROL!$C$22, $C$13, 100%, $E$13)</f>
        <v>15.420199999999999</v>
      </c>
    </row>
    <row r="769" spans="1:11" ht="15">
      <c r="A769" s="13">
        <v>65047</v>
      </c>
      <c r="B769" s="63">
        <f>13.1325 * CHOOSE(CONTROL!$C$22, $C$13, 100%, $E$13)</f>
        <v>13.1325</v>
      </c>
      <c r="C769" s="63">
        <f>13.1325 * CHOOSE(CONTROL!$C$22, $C$13, 100%, $E$13)</f>
        <v>13.1325</v>
      </c>
      <c r="D769" s="63">
        <f>13.1441 * CHOOSE(CONTROL!$C$22, $C$13, 100%, $E$13)</f>
        <v>13.1441</v>
      </c>
      <c r="E769" s="64">
        <f>15.2492 * CHOOSE(CONTROL!$C$22, $C$13, 100%, $E$13)</f>
        <v>15.2492</v>
      </c>
      <c r="F769" s="64">
        <f>15.2492 * CHOOSE(CONTROL!$C$22, $C$13, 100%, $E$13)</f>
        <v>15.2492</v>
      </c>
      <c r="G769" s="64">
        <f>15.2493 * CHOOSE(CONTROL!$C$22, $C$13, 100%, $E$13)</f>
        <v>15.2493</v>
      </c>
      <c r="H769" s="64">
        <f>25.2649* CHOOSE(CONTROL!$C$22, $C$13, 100%, $E$13)</f>
        <v>25.264900000000001</v>
      </c>
      <c r="I769" s="64">
        <f>25.2651 * CHOOSE(CONTROL!$C$22, $C$13, 100%, $E$13)</f>
        <v>25.2651</v>
      </c>
      <c r="J769" s="64">
        <f>15.2492 * CHOOSE(CONTROL!$C$22, $C$13, 100%, $E$13)</f>
        <v>15.2492</v>
      </c>
      <c r="K769" s="64">
        <f>15.2493 * CHOOSE(CONTROL!$C$22, $C$13, 100%, $E$13)</f>
        <v>15.2493</v>
      </c>
    </row>
    <row r="770" spans="1:11" ht="15">
      <c r="A770" s="13">
        <v>65075</v>
      </c>
      <c r="B770" s="63">
        <f>13.1295 * CHOOSE(CONTROL!$C$22, $C$13, 100%, $E$13)</f>
        <v>13.1295</v>
      </c>
      <c r="C770" s="63">
        <f>13.1295 * CHOOSE(CONTROL!$C$22, $C$13, 100%, $E$13)</f>
        <v>13.1295</v>
      </c>
      <c r="D770" s="63">
        <f>13.141 * CHOOSE(CONTROL!$C$22, $C$13, 100%, $E$13)</f>
        <v>13.141</v>
      </c>
      <c r="E770" s="64">
        <f>15.3801 * CHOOSE(CONTROL!$C$22, $C$13, 100%, $E$13)</f>
        <v>15.380100000000001</v>
      </c>
      <c r="F770" s="64">
        <f>15.3801 * CHOOSE(CONTROL!$C$22, $C$13, 100%, $E$13)</f>
        <v>15.380100000000001</v>
      </c>
      <c r="G770" s="64">
        <f>15.3802 * CHOOSE(CONTROL!$C$22, $C$13, 100%, $E$13)</f>
        <v>15.3802</v>
      </c>
      <c r="H770" s="64">
        <f>25.3175* CHOOSE(CONTROL!$C$22, $C$13, 100%, $E$13)</f>
        <v>25.317499999999999</v>
      </c>
      <c r="I770" s="64">
        <f>25.3177 * CHOOSE(CONTROL!$C$22, $C$13, 100%, $E$13)</f>
        <v>25.317699999999999</v>
      </c>
      <c r="J770" s="64">
        <f>15.3801 * CHOOSE(CONTROL!$C$22, $C$13, 100%, $E$13)</f>
        <v>15.380100000000001</v>
      </c>
      <c r="K770" s="64">
        <f>15.3802 * CHOOSE(CONTROL!$C$22, $C$13, 100%, $E$13)</f>
        <v>15.3802</v>
      </c>
    </row>
    <row r="771" spans="1:11" ht="15">
      <c r="A771" s="13">
        <v>65106</v>
      </c>
      <c r="B771" s="63">
        <f>13.1349 * CHOOSE(CONTROL!$C$22, $C$13, 100%, $E$13)</f>
        <v>13.1349</v>
      </c>
      <c r="C771" s="63">
        <f>13.1349 * CHOOSE(CONTROL!$C$22, $C$13, 100%, $E$13)</f>
        <v>13.1349</v>
      </c>
      <c r="D771" s="63">
        <f>13.1465 * CHOOSE(CONTROL!$C$22, $C$13, 100%, $E$13)</f>
        <v>13.1465</v>
      </c>
      <c r="E771" s="64">
        <f>15.5187 * CHOOSE(CONTROL!$C$22, $C$13, 100%, $E$13)</f>
        <v>15.518700000000001</v>
      </c>
      <c r="F771" s="64">
        <f>15.5187 * CHOOSE(CONTROL!$C$22, $C$13, 100%, $E$13)</f>
        <v>15.518700000000001</v>
      </c>
      <c r="G771" s="64">
        <f>15.5189 * CHOOSE(CONTROL!$C$22, $C$13, 100%, $E$13)</f>
        <v>15.5189</v>
      </c>
      <c r="H771" s="64">
        <f>25.3703* CHOOSE(CONTROL!$C$22, $C$13, 100%, $E$13)</f>
        <v>25.3703</v>
      </c>
      <c r="I771" s="64">
        <f>25.3704 * CHOOSE(CONTROL!$C$22, $C$13, 100%, $E$13)</f>
        <v>25.3704</v>
      </c>
      <c r="J771" s="64">
        <f>15.5187 * CHOOSE(CONTROL!$C$22, $C$13, 100%, $E$13)</f>
        <v>15.518700000000001</v>
      </c>
      <c r="K771" s="64">
        <f>15.5189 * CHOOSE(CONTROL!$C$22, $C$13, 100%, $E$13)</f>
        <v>15.5189</v>
      </c>
    </row>
    <row r="772" spans="1:11" ht="15">
      <c r="A772" s="13">
        <v>65136</v>
      </c>
      <c r="B772" s="63">
        <f>13.1349 * CHOOSE(CONTROL!$C$22, $C$13, 100%, $E$13)</f>
        <v>13.1349</v>
      </c>
      <c r="C772" s="63">
        <f>13.1349 * CHOOSE(CONTROL!$C$22, $C$13, 100%, $E$13)</f>
        <v>13.1349</v>
      </c>
      <c r="D772" s="63">
        <f>13.158 * CHOOSE(CONTROL!$C$22, $C$13, 100%, $E$13)</f>
        <v>13.157999999999999</v>
      </c>
      <c r="E772" s="64">
        <f>15.5722 * CHOOSE(CONTROL!$C$22, $C$13, 100%, $E$13)</f>
        <v>15.5722</v>
      </c>
      <c r="F772" s="64">
        <f>15.5722 * CHOOSE(CONTROL!$C$22, $C$13, 100%, $E$13)</f>
        <v>15.5722</v>
      </c>
      <c r="G772" s="64">
        <f>15.5737 * CHOOSE(CONTROL!$C$22, $C$13, 100%, $E$13)</f>
        <v>15.573700000000001</v>
      </c>
      <c r="H772" s="64">
        <f>25.4231* CHOOSE(CONTROL!$C$22, $C$13, 100%, $E$13)</f>
        <v>25.423100000000002</v>
      </c>
      <c r="I772" s="64">
        <f>25.4246 * CHOOSE(CONTROL!$C$22, $C$13, 100%, $E$13)</f>
        <v>25.424600000000002</v>
      </c>
      <c r="J772" s="64">
        <f>15.5722 * CHOOSE(CONTROL!$C$22, $C$13, 100%, $E$13)</f>
        <v>15.5722</v>
      </c>
      <c r="K772" s="64">
        <f>15.5737 * CHOOSE(CONTROL!$C$22, $C$13, 100%, $E$13)</f>
        <v>15.573700000000001</v>
      </c>
    </row>
    <row r="773" spans="1:11" ht="15">
      <c r="A773" s="13">
        <v>65167</v>
      </c>
      <c r="B773" s="63">
        <f>13.141 * CHOOSE(CONTROL!$C$22, $C$13, 100%, $E$13)</f>
        <v>13.141</v>
      </c>
      <c r="C773" s="63">
        <f>13.141 * CHOOSE(CONTROL!$C$22, $C$13, 100%, $E$13)</f>
        <v>13.141</v>
      </c>
      <c r="D773" s="63">
        <f>13.1641 * CHOOSE(CONTROL!$C$22, $C$13, 100%, $E$13)</f>
        <v>13.164099999999999</v>
      </c>
      <c r="E773" s="64">
        <f>15.5229 * CHOOSE(CONTROL!$C$22, $C$13, 100%, $E$13)</f>
        <v>15.5229</v>
      </c>
      <c r="F773" s="64">
        <f>15.5229 * CHOOSE(CONTROL!$C$22, $C$13, 100%, $E$13)</f>
        <v>15.5229</v>
      </c>
      <c r="G773" s="64">
        <f>15.5244 * CHOOSE(CONTROL!$C$22, $C$13, 100%, $E$13)</f>
        <v>15.5244</v>
      </c>
      <c r="H773" s="64">
        <f>25.4761* CHOOSE(CONTROL!$C$22, $C$13, 100%, $E$13)</f>
        <v>25.476099999999999</v>
      </c>
      <c r="I773" s="64">
        <f>25.4776 * CHOOSE(CONTROL!$C$22, $C$13, 100%, $E$13)</f>
        <v>25.477599999999999</v>
      </c>
      <c r="J773" s="64">
        <f>15.5229 * CHOOSE(CONTROL!$C$22, $C$13, 100%, $E$13)</f>
        <v>15.5229</v>
      </c>
      <c r="K773" s="64">
        <f>15.5244 * CHOOSE(CONTROL!$C$22, $C$13, 100%, $E$13)</f>
        <v>15.5244</v>
      </c>
    </row>
    <row r="774" spans="1:11" ht="15">
      <c r="A774" s="13">
        <v>65197</v>
      </c>
      <c r="B774" s="63">
        <f>13.3479 * CHOOSE(CONTROL!$C$22, $C$13, 100%, $E$13)</f>
        <v>13.347899999999999</v>
      </c>
      <c r="C774" s="63">
        <f>13.3479 * CHOOSE(CONTROL!$C$22, $C$13, 100%, $E$13)</f>
        <v>13.347899999999999</v>
      </c>
      <c r="D774" s="63">
        <f>13.371 * CHOOSE(CONTROL!$C$22, $C$13, 100%, $E$13)</f>
        <v>13.371</v>
      </c>
      <c r="E774" s="64">
        <f>15.8193 * CHOOSE(CONTROL!$C$22, $C$13, 100%, $E$13)</f>
        <v>15.8193</v>
      </c>
      <c r="F774" s="64">
        <f>15.8193 * CHOOSE(CONTROL!$C$22, $C$13, 100%, $E$13)</f>
        <v>15.8193</v>
      </c>
      <c r="G774" s="64">
        <f>15.8208 * CHOOSE(CONTROL!$C$22, $C$13, 100%, $E$13)</f>
        <v>15.8208</v>
      </c>
      <c r="H774" s="64">
        <f>25.5291* CHOOSE(CONTROL!$C$22, $C$13, 100%, $E$13)</f>
        <v>25.5291</v>
      </c>
      <c r="I774" s="64">
        <f>25.5306 * CHOOSE(CONTROL!$C$22, $C$13, 100%, $E$13)</f>
        <v>25.5306</v>
      </c>
      <c r="J774" s="64">
        <f>15.8193 * CHOOSE(CONTROL!$C$22, $C$13, 100%, $E$13)</f>
        <v>15.8193</v>
      </c>
      <c r="K774" s="64">
        <f>15.8208 * CHOOSE(CONTROL!$C$22, $C$13, 100%, $E$13)</f>
        <v>15.8208</v>
      </c>
    </row>
    <row r="775" spans="1:11" ht="15">
      <c r="A775" s="13">
        <v>65228</v>
      </c>
      <c r="B775" s="63">
        <f>13.3546 * CHOOSE(CONTROL!$C$22, $C$13, 100%, $E$13)</f>
        <v>13.3546</v>
      </c>
      <c r="C775" s="63">
        <f>13.3546 * CHOOSE(CONTROL!$C$22, $C$13, 100%, $E$13)</f>
        <v>13.3546</v>
      </c>
      <c r="D775" s="63">
        <f>13.3777 * CHOOSE(CONTROL!$C$22, $C$13, 100%, $E$13)</f>
        <v>13.377700000000001</v>
      </c>
      <c r="E775" s="64">
        <f>15.6632 * CHOOSE(CONTROL!$C$22, $C$13, 100%, $E$13)</f>
        <v>15.6632</v>
      </c>
      <c r="F775" s="64">
        <f>15.6632 * CHOOSE(CONTROL!$C$22, $C$13, 100%, $E$13)</f>
        <v>15.6632</v>
      </c>
      <c r="G775" s="64">
        <f>15.6647 * CHOOSE(CONTROL!$C$22, $C$13, 100%, $E$13)</f>
        <v>15.6647</v>
      </c>
      <c r="H775" s="64">
        <f>25.5823* CHOOSE(CONTROL!$C$22, $C$13, 100%, $E$13)</f>
        <v>25.5823</v>
      </c>
      <c r="I775" s="64">
        <f>25.5838 * CHOOSE(CONTROL!$C$22, $C$13, 100%, $E$13)</f>
        <v>25.5838</v>
      </c>
      <c r="J775" s="64">
        <f>15.6632 * CHOOSE(CONTROL!$C$22, $C$13, 100%, $E$13)</f>
        <v>15.6632</v>
      </c>
      <c r="K775" s="64">
        <f>15.6647 * CHOOSE(CONTROL!$C$22, $C$13, 100%, $E$13)</f>
        <v>15.6647</v>
      </c>
    </row>
    <row r="776" spans="1:11" ht="15">
      <c r="A776" s="13">
        <v>65259</v>
      </c>
      <c r="B776" s="63">
        <f>13.3516 * CHOOSE(CONTROL!$C$22, $C$13, 100%, $E$13)</f>
        <v>13.351599999999999</v>
      </c>
      <c r="C776" s="63">
        <f>13.3516 * CHOOSE(CONTROL!$C$22, $C$13, 100%, $E$13)</f>
        <v>13.351599999999999</v>
      </c>
      <c r="D776" s="63">
        <f>13.3747 * CHOOSE(CONTROL!$C$22, $C$13, 100%, $E$13)</f>
        <v>13.374700000000001</v>
      </c>
      <c r="E776" s="64">
        <f>15.6433 * CHOOSE(CONTROL!$C$22, $C$13, 100%, $E$13)</f>
        <v>15.6433</v>
      </c>
      <c r="F776" s="64">
        <f>15.6433 * CHOOSE(CONTROL!$C$22, $C$13, 100%, $E$13)</f>
        <v>15.6433</v>
      </c>
      <c r="G776" s="64">
        <f>15.6448 * CHOOSE(CONTROL!$C$22, $C$13, 100%, $E$13)</f>
        <v>15.6448</v>
      </c>
      <c r="H776" s="64">
        <f>25.6356* CHOOSE(CONTROL!$C$22, $C$13, 100%, $E$13)</f>
        <v>25.6356</v>
      </c>
      <c r="I776" s="64">
        <f>25.6371 * CHOOSE(CONTROL!$C$22, $C$13, 100%, $E$13)</f>
        <v>25.6371</v>
      </c>
      <c r="J776" s="64">
        <f>15.6433 * CHOOSE(CONTROL!$C$22, $C$13, 100%, $E$13)</f>
        <v>15.6433</v>
      </c>
      <c r="K776" s="64">
        <f>15.6448 * CHOOSE(CONTROL!$C$22, $C$13, 100%, $E$13)</f>
        <v>15.6448</v>
      </c>
    </row>
    <row r="777" spans="1:11" ht="15">
      <c r="A777" s="13">
        <v>65289</v>
      </c>
      <c r="B777" s="63">
        <f>13.3774 * CHOOSE(CONTROL!$C$22, $C$13, 100%, $E$13)</f>
        <v>13.3774</v>
      </c>
      <c r="C777" s="63">
        <f>13.3774 * CHOOSE(CONTROL!$C$22, $C$13, 100%, $E$13)</f>
        <v>13.3774</v>
      </c>
      <c r="D777" s="63">
        <f>13.389 * CHOOSE(CONTROL!$C$22, $C$13, 100%, $E$13)</f>
        <v>13.388999999999999</v>
      </c>
      <c r="E777" s="64">
        <f>15.7013 * CHOOSE(CONTROL!$C$22, $C$13, 100%, $E$13)</f>
        <v>15.7013</v>
      </c>
      <c r="F777" s="64">
        <f>15.7013 * CHOOSE(CONTROL!$C$22, $C$13, 100%, $E$13)</f>
        <v>15.7013</v>
      </c>
      <c r="G777" s="64">
        <f>15.7015 * CHOOSE(CONTROL!$C$22, $C$13, 100%, $E$13)</f>
        <v>15.701499999999999</v>
      </c>
      <c r="H777" s="64">
        <f>25.689* CHOOSE(CONTROL!$C$22, $C$13, 100%, $E$13)</f>
        <v>25.689</v>
      </c>
      <c r="I777" s="64">
        <f>25.6892 * CHOOSE(CONTROL!$C$22, $C$13, 100%, $E$13)</f>
        <v>25.6892</v>
      </c>
      <c r="J777" s="64">
        <f>15.7013 * CHOOSE(CONTROL!$C$22, $C$13, 100%, $E$13)</f>
        <v>15.7013</v>
      </c>
      <c r="K777" s="64">
        <f>15.7015 * CHOOSE(CONTROL!$C$22, $C$13, 100%, $E$13)</f>
        <v>15.701499999999999</v>
      </c>
    </row>
    <row r="778" spans="1:11" ht="15">
      <c r="A778" s="13">
        <v>65320</v>
      </c>
      <c r="B778" s="63">
        <f>13.3804 * CHOOSE(CONTROL!$C$22, $C$13, 100%, $E$13)</f>
        <v>13.3804</v>
      </c>
      <c r="C778" s="63">
        <f>13.3804 * CHOOSE(CONTROL!$C$22, $C$13, 100%, $E$13)</f>
        <v>13.3804</v>
      </c>
      <c r="D778" s="63">
        <f>13.392 * CHOOSE(CONTROL!$C$22, $C$13, 100%, $E$13)</f>
        <v>13.391999999999999</v>
      </c>
      <c r="E778" s="64">
        <f>15.7391 * CHOOSE(CONTROL!$C$22, $C$13, 100%, $E$13)</f>
        <v>15.739100000000001</v>
      </c>
      <c r="F778" s="64">
        <f>15.7391 * CHOOSE(CONTROL!$C$22, $C$13, 100%, $E$13)</f>
        <v>15.739100000000001</v>
      </c>
      <c r="G778" s="64">
        <f>15.7393 * CHOOSE(CONTROL!$C$22, $C$13, 100%, $E$13)</f>
        <v>15.7393</v>
      </c>
      <c r="H778" s="64">
        <f>25.7426* CHOOSE(CONTROL!$C$22, $C$13, 100%, $E$13)</f>
        <v>25.742599999999999</v>
      </c>
      <c r="I778" s="64">
        <f>25.7427 * CHOOSE(CONTROL!$C$22, $C$13, 100%, $E$13)</f>
        <v>25.742699999999999</v>
      </c>
      <c r="J778" s="64">
        <f>15.7391 * CHOOSE(CONTROL!$C$22, $C$13, 100%, $E$13)</f>
        <v>15.739100000000001</v>
      </c>
      <c r="K778" s="64">
        <f>15.7393 * CHOOSE(CONTROL!$C$22, $C$13, 100%, $E$13)</f>
        <v>15.7393</v>
      </c>
    </row>
    <row r="779" spans="1:11" ht="15">
      <c r="A779" s="13">
        <v>65350</v>
      </c>
      <c r="B779" s="63">
        <f>13.3804 * CHOOSE(CONTROL!$C$22, $C$13, 100%, $E$13)</f>
        <v>13.3804</v>
      </c>
      <c r="C779" s="63">
        <f>13.3804 * CHOOSE(CONTROL!$C$22, $C$13, 100%, $E$13)</f>
        <v>13.3804</v>
      </c>
      <c r="D779" s="63">
        <f>13.392 * CHOOSE(CONTROL!$C$22, $C$13, 100%, $E$13)</f>
        <v>13.391999999999999</v>
      </c>
      <c r="E779" s="64">
        <f>15.6498 * CHOOSE(CONTROL!$C$22, $C$13, 100%, $E$13)</f>
        <v>15.649800000000001</v>
      </c>
      <c r="F779" s="64">
        <f>15.6498 * CHOOSE(CONTROL!$C$22, $C$13, 100%, $E$13)</f>
        <v>15.649800000000001</v>
      </c>
      <c r="G779" s="64">
        <f>15.65 * CHOOSE(CONTROL!$C$22, $C$13, 100%, $E$13)</f>
        <v>15.65</v>
      </c>
      <c r="H779" s="64">
        <f>25.7962* CHOOSE(CONTROL!$C$22, $C$13, 100%, $E$13)</f>
        <v>25.796199999999999</v>
      </c>
      <c r="I779" s="64">
        <f>25.7964 * CHOOSE(CONTROL!$C$22, $C$13, 100%, $E$13)</f>
        <v>25.796399999999998</v>
      </c>
      <c r="J779" s="64">
        <f>15.6498 * CHOOSE(CONTROL!$C$22, $C$13, 100%, $E$13)</f>
        <v>15.649800000000001</v>
      </c>
      <c r="K779" s="64">
        <f>15.65 * CHOOSE(CONTROL!$C$22, $C$13, 100%, $E$13)</f>
        <v>15.65</v>
      </c>
    </row>
    <row r="780" spans="1:11" ht="15">
      <c r="A780" s="13">
        <v>65381</v>
      </c>
      <c r="B780" s="63">
        <f>13.3809 * CHOOSE(CONTROL!$C$22, $C$13, 100%, $E$13)</f>
        <v>13.3809</v>
      </c>
      <c r="C780" s="63">
        <f>13.3809 * CHOOSE(CONTROL!$C$22, $C$13, 100%, $E$13)</f>
        <v>13.3809</v>
      </c>
      <c r="D780" s="63">
        <f>13.3924 * CHOOSE(CONTROL!$C$22, $C$13, 100%, $E$13)</f>
        <v>13.3924</v>
      </c>
      <c r="E780" s="64">
        <f>15.7124 * CHOOSE(CONTROL!$C$22, $C$13, 100%, $E$13)</f>
        <v>15.712400000000001</v>
      </c>
      <c r="F780" s="64">
        <f>15.7124 * CHOOSE(CONTROL!$C$22, $C$13, 100%, $E$13)</f>
        <v>15.712400000000001</v>
      </c>
      <c r="G780" s="64">
        <f>15.7126 * CHOOSE(CONTROL!$C$22, $C$13, 100%, $E$13)</f>
        <v>15.7126</v>
      </c>
      <c r="H780" s="64">
        <f>25.6582* CHOOSE(CONTROL!$C$22, $C$13, 100%, $E$13)</f>
        <v>25.658200000000001</v>
      </c>
      <c r="I780" s="64">
        <f>25.6584 * CHOOSE(CONTROL!$C$22, $C$13, 100%, $E$13)</f>
        <v>25.6584</v>
      </c>
      <c r="J780" s="64">
        <f>15.7124 * CHOOSE(CONTROL!$C$22, $C$13, 100%, $E$13)</f>
        <v>15.712400000000001</v>
      </c>
      <c r="K780" s="64">
        <f>15.7126 * CHOOSE(CONTROL!$C$22, $C$13, 100%, $E$13)</f>
        <v>15.7126</v>
      </c>
    </row>
    <row r="781" spans="1:11" ht="15">
      <c r="A781" s="13">
        <v>65412</v>
      </c>
      <c r="B781" s="63">
        <f>13.3778 * CHOOSE(CONTROL!$C$22, $C$13, 100%, $E$13)</f>
        <v>13.377800000000001</v>
      </c>
      <c r="C781" s="63">
        <f>13.3778 * CHOOSE(CONTROL!$C$22, $C$13, 100%, $E$13)</f>
        <v>13.377800000000001</v>
      </c>
      <c r="D781" s="63">
        <f>13.3894 * CHOOSE(CONTROL!$C$22, $C$13, 100%, $E$13)</f>
        <v>13.3894</v>
      </c>
      <c r="E781" s="64">
        <f>15.5384 * CHOOSE(CONTROL!$C$22, $C$13, 100%, $E$13)</f>
        <v>15.538399999999999</v>
      </c>
      <c r="F781" s="64">
        <f>15.5384 * CHOOSE(CONTROL!$C$22, $C$13, 100%, $E$13)</f>
        <v>15.538399999999999</v>
      </c>
      <c r="G781" s="64">
        <f>15.5385 * CHOOSE(CONTROL!$C$22, $C$13, 100%, $E$13)</f>
        <v>15.538500000000001</v>
      </c>
      <c r="H781" s="64">
        <f>25.7117* CHOOSE(CONTROL!$C$22, $C$13, 100%, $E$13)</f>
        <v>25.7117</v>
      </c>
      <c r="I781" s="64">
        <f>25.7119 * CHOOSE(CONTROL!$C$22, $C$13, 100%, $E$13)</f>
        <v>25.7119</v>
      </c>
      <c r="J781" s="64">
        <f>15.5384 * CHOOSE(CONTROL!$C$22, $C$13, 100%, $E$13)</f>
        <v>15.538399999999999</v>
      </c>
      <c r="K781" s="64">
        <f>15.5385 * CHOOSE(CONTROL!$C$22, $C$13, 100%, $E$13)</f>
        <v>15.538500000000001</v>
      </c>
    </row>
    <row r="782" spans="1:11" ht="15">
      <c r="A782" s="13">
        <v>65440</v>
      </c>
      <c r="B782" s="63">
        <f>13.3748 * CHOOSE(CONTROL!$C$22, $C$13, 100%, $E$13)</f>
        <v>13.3748</v>
      </c>
      <c r="C782" s="63">
        <f>13.3748 * CHOOSE(CONTROL!$C$22, $C$13, 100%, $E$13)</f>
        <v>13.3748</v>
      </c>
      <c r="D782" s="63">
        <f>13.3863 * CHOOSE(CONTROL!$C$22, $C$13, 100%, $E$13)</f>
        <v>13.3863</v>
      </c>
      <c r="E782" s="64">
        <f>15.6718 * CHOOSE(CONTROL!$C$22, $C$13, 100%, $E$13)</f>
        <v>15.671799999999999</v>
      </c>
      <c r="F782" s="64">
        <f>15.6718 * CHOOSE(CONTROL!$C$22, $C$13, 100%, $E$13)</f>
        <v>15.671799999999999</v>
      </c>
      <c r="G782" s="64">
        <f>15.672 * CHOOSE(CONTROL!$C$22, $C$13, 100%, $E$13)</f>
        <v>15.672000000000001</v>
      </c>
      <c r="H782" s="64">
        <f>25.7653* CHOOSE(CONTROL!$C$22, $C$13, 100%, $E$13)</f>
        <v>25.7653</v>
      </c>
      <c r="I782" s="64">
        <f>25.7654 * CHOOSE(CONTROL!$C$22, $C$13, 100%, $E$13)</f>
        <v>25.7654</v>
      </c>
      <c r="J782" s="64">
        <f>15.6718 * CHOOSE(CONTROL!$C$22, $C$13, 100%, $E$13)</f>
        <v>15.671799999999999</v>
      </c>
      <c r="K782" s="64">
        <f>15.672 * CHOOSE(CONTROL!$C$22, $C$13, 100%, $E$13)</f>
        <v>15.672000000000001</v>
      </c>
    </row>
    <row r="783" spans="1:11" ht="15">
      <c r="A783" s="13">
        <v>65471</v>
      </c>
      <c r="B783" s="63">
        <f>13.3804 * CHOOSE(CONTROL!$C$22, $C$13, 100%, $E$13)</f>
        <v>13.3804</v>
      </c>
      <c r="C783" s="63">
        <f>13.3804 * CHOOSE(CONTROL!$C$22, $C$13, 100%, $E$13)</f>
        <v>13.3804</v>
      </c>
      <c r="D783" s="63">
        <f>13.392 * CHOOSE(CONTROL!$C$22, $C$13, 100%, $E$13)</f>
        <v>13.391999999999999</v>
      </c>
      <c r="E783" s="64">
        <f>15.8131 * CHOOSE(CONTROL!$C$22, $C$13, 100%, $E$13)</f>
        <v>15.8131</v>
      </c>
      <c r="F783" s="64">
        <f>15.8131 * CHOOSE(CONTROL!$C$22, $C$13, 100%, $E$13)</f>
        <v>15.8131</v>
      </c>
      <c r="G783" s="64">
        <f>15.8133 * CHOOSE(CONTROL!$C$22, $C$13, 100%, $E$13)</f>
        <v>15.8133</v>
      </c>
      <c r="H783" s="64">
        <f>25.8189* CHOOSE(CONTROL!$C$22, $C$13, 100%, $E$13)</f>
        <v>25.818899999999999</v>
      </c>
      <c r="I783" s="64">
        <f>25.8191 * CHOOSE(CONTROL!$C$22, $C$13, 100%, $E$13)</f>
        <v>25.819099999999999</v>
      </c>
      <c r="J783" s="64">
        <f>15.8131 * CHOOSE(CONTROL!$C$22, $C$13, 100%, $E$13)</f>
        <v>15.8131</v>
      </c>
      <c r="K783" s="64">
        <f>15.8133 * CHOOSE(CONTROL!$C$22, $C$13, 100%, $E$13)</f>
        <v>15.8133</v>
      </c>
    </row>
    <row r="784" spans="1:11" ht="15">
      <c r="A784" s="13">
        <v>65501</v>
      </c>
      <c r="B784" s="63">
        <f>13.3804 * CHOOSE(CONTROL!$C$22, $C$13, 100%, $E$13)</f>
        <v>13.3804</v>
      </c>
      <c r="C784" s="63">
        <f>13.3804 * CHOOSE(CONTROL!$C$22, $C$13, 100%, $E$13)</f>
        <v>13.3804</v>
      </c>
      <c r="D784" s="63">
        <f>13.4036 * CHOOSE(CONTROL!$C$22, $C$13, 100%, $E$13)</f>
        <v>13.403600000000001</v>
      </c>
      <c r="E784" s="64">
        <f>15.8677 * CHOOSE(CONTROL!$C$22, $C$13, 100%, $E$13)</f>
        <v>15.867699999999999</v>
      </c>
      <c r="F784" s="64">
        <f>15.8677 * CHOOSE(CONTROL!$C$22, $C$13, 100%, $E$13)</f>
        <v>15.867699999999999</v>
      </c>
      <c r="G784" s="64">
        <f>15.8692 * CHOOSE(CONTROL!$C$22, $C$13, 100%, $E$13)</f>
        <v>15.869199999999999</v>
      </c>
      <c r="H784" s="64">
        <f>25.8727* CHOOSE(CONTROL!$C$22, $C$13, 100%, $E$13)</f>
        <v>25.872699999999998</v>
      </c>
      <c r="I784" s="64">
        <f>25.8742 * CHOOSE(CONTROL!$C$22, $C$13, 100%, $E$13)</f>
        <v>25.874199999999998</v>
      </c>
      <c r="J784" s="64">
        <f>15.8677 * CHOOSE(CONTROL!$C$22, $C$13, 100%, $E$13)</f>
        <v>15.867699999999999</v>
      </c>
      <c r="K784" s="64">
        <f>15.8692 * CHOOSE(CONTROL!$C$22, $C$13, 100%, $E$13)</f>
        <v>15.869199999999999</v>
      </c>
    </row>
    <row r="785" spans="1:11" ht="15">
      <c r="A785" s="13">
        <v>65532</v>
      </c>
      <c r="B785" s="63">
        <f>13.3865 * CHOOSE(CONTROL!$C$22, $C$13, 100%, $E$13)</f>
        <v>13.3865</v>
      </c>
      <c r="C785" s="63">
        <f>13.3865 * CHOOSE(CONTROL!$C$22, $C$13, 100%, $E$13)</f>
        <v>13.3865</v>
      </c>
      <c r="D785" s="63">
        <f>13.4096 * CHOOSE(CONTROL!$C$22, $C$13, 100%, $E$13)</f>
        <v>13.409599999999999</v>
      </c>
      <c r="E785" s="64">
        <f>15.8174 * CHOOSE(CONTROL!$C$22, $C$13, 100%, $E$13)</f>
        <v>15.817399999999999</v>
      </c>
      <c r="F785" s="64">
        <f>15.8174 * CHOOSE(CONTROL!$C$22, $C$13, 100%, $E$13)</f>
        <v>15.817399999999999</v>
      </c>
      <c r="G785" s="64">
        <f>15.8188 * CHOOSE(CONTROL!$C$22, $C$13, 100%, $E$13)</f>
        <v>15.8188</v>
      </c>
      <c r="H785" s="64">
        <f>25.9266* CHOOSE(CONTROL!$C$22, $C$13, 100%, $E$13)</f>
        <v>25.926600000000001</v>
      </c>
      <c r="I785" s="64">
        <f>25.9281 * CHOOSE(CONTROL!$C$22, $C$13, 100%, $E$13)</f>
        <v>25.928100000000001</v>
      </c>
      <c r="J785" s="64">
        <f>15.8174 * CHOOSE(CONTROL!$C$22, $C$13, 100%, $E$13)</f>
        <v>15.817399999999999</v>
      </c>
      <c r="K785" s="64">
        <f>15.8188 * CHOOSE(CONTROL!$C$22, $C$13, 100%, $E$13)</f>
        <v>15.8188</v>
      </c>
    </row>
    <row r="786" spans="1:11" ht="15">
      <c r="A786" s="13">
        <v>65562</v>
      </c>
      <c r="B786" s="63">
        <f>13.5972 * CHOOSE(CONTROL!$C$22, $C$13, 100%, $E$13)</f>
        <v>13.597200000000001</v>
      </c>
      <c r="C786" s="63">
        <f>13.5972 * CHOOSE(CONTROL!$C$22, $C$13, 100%, $E$13)</f>
        <v>13.597200000000001</v>
      </c>
      <c r="D786" s="63">
        <f>13.6203 * CHOOSE(CONTROL!$C$22, $C$13, 100%, $E$13)</f>
        <v>13.6203</v>
      </c>
      <c r="E786" s="64">
        <f>16.1192 * CHOOSE(CONTROL!$C$22, $C$13, 100%, $E$13)</f>
        <v>16.119199999999999</v>
      </c>
      <c r="F786" s="64">
        <f>16.1192 * CHOOSE(CONTROL!$C$22, $C$13, 100%, $E$13)</f>
        <v>16.119199999999999</v>
      </c>
      <c r="G786" s="64">
        <f>16.1207 * CHOOSE(CONTROL!$C$22, $C$13, 100%, $E$13)</f>
        <v>16.120699999999999</v>
      </c>
      <c r="H786" s="64">
        <f>25.9806* CHOOSE(CONTROL!$C$22, $C$13, 100%, $E$13)</f>
        <v>25.980599999999999</v>
      </c>
      <c r="I786" s="64">
        <f>25.9821 * CHOOSE(CONTROL!$C$22, $C$13, 100%, $E$13)</f>
        <v>25.982099999999999</v>
      </c>
      <c r="J786" s="64">
        <f>16.1192 * CHOOSE(CONTROL!$C$22, $C$13, 100%, $E$13)</f>
        <v>16.119199999999999</v>
      </c>
      <c r="K786" s="64">
        <f>16.1207 * CHOOSE(CONTROL!$C$22, $C$13, 100%, $E$13)</f>
        <v>16.120699999999999</v>
      </c>
    </row>
    <row r="787" spans="1:11" ht="15">
      <c r="A787" s="13">
        <v>65593</v>
      </c>
      <c r="B787" s="63">
        <f>13.6038 * CHOOSE(CONTROL!$C$22, $C$13, 100%, $E$13)</f>
        <v>13.6038</v>
      </c>
      <c r="C787" s="63">
        <f>13.6038 * CHOOSE(CONTROL!$C$22, $C$13, 100%, $E$13)</f>
        <v>13.6038</v>
      </c>
      <c r="D787" s="63">
        <f>13.6269 * CHOOSE(CONTROL!$C$22, $C$13, 100%, $E$13)</f>
        <v>13.626899999999999</v>
      </c>
      <c r="E787" s="64">
        <f>15.9601 * CHOOSE(CONTROL!$C$22, $C$13, 100%, $E$13)</f>
        <v>15.960100000000001</v>
      </c>
      <c r="F787" s="64">
        <f>15.9601 * CHOOSE(CONTROL!$C$22, $C$13, 100%, $E$13)</f>
        <v>15.960100000000001</v>
      </c>
      <c r="G787" s="64">
        <f>15.9616 * CHOOSE(CONTROL!$C$22, $C$13, 100%, $E$13)</f>
        <v>15.961600000000001</v>
      </c>
      <c r="H787" s="64">
        <f>26.0348* CHOOSE(CONTROL!$C$22, $C$13, 100%, $E$13)</f>
        <v>26.034800000000001</v>
      </c>
      <c r="I787" s="64">
        <f>26.0363 * CHOOSE(CONTROL!$C$22, $C$13, 100%, $E$13)</f>
        <v>26.036300000000001</v>
      </c>
      <c r="J787" s="64">
        <f>15.9601 * CHOOSE(CONTROL!$C$22, $C$13, 100%, $E$13)</f>
        <v>15.960100000000001</v>
      </c>
      <c r="K787" s="64">
        <f>15.9616 * CHOOSE(CONTROL!$C$22, $C$13, 100%, $E$13)</f>
        <v>15.961600000000001</v>
      </c>
    </row>
    <row r="788" spans="1:11" ht="15">
      <c r="A788" s="13">
        <v>65624</v>
      </c>
      <c r="B788" s="63">
        <f>13.6008 * CHOOSE(CONTROL!$C$22, $C$13, 100%, $E$13)</f>
        <v>13.6008</v>
      </c>
      <c r="C788" s="63">
        <f>13.6008 * CHOOSE(CONTROL!$C$22, $C$13, 100%, $E$13)</f>
        <v>13.6008</v>
      </c>
      <c r="D788" s="63">
        <f>13.6239 * CHOOSE(CONTROL!$C$22, $C$13, 100%, $E$13)</f>
        <v>13.623900000000001</v>
      </c>
      <c r="E788" s="64">
        <f>15.9398 * CHOOSE(CONTROL!$C$22, $C$13, 100%, $E$13)</f>
        <v>15.9398</v>
      </c>
      <c r="F788" s="64">
        <f>15.9398 * CHOOSE(CONTROL!$C$22, $C$13, 100%, $E$13)</f>
        <v>15.9398</v>
      </c>
      <c r="G788" s="64">
        <f>15.9412 * CHOOSE(CONTROL!$C$22, $C$13, 100%, $E$13)</f>
        <v>15.9412</v>
      </c>
      <c r="H788" s="64">
        <f>26.089* CHOOSE(CONTROL!$C$22, $C$13, 100%, $E$13)</f>
        <v>26.088999999999999</v>
      </c>
      <c r="I788" s="64">
        <f>26.0905 * CHOOSE(CONTROL!$C$22, $C$13, 100%, $E$13)</f>
        <v>26.090499999999999</v>
      </c>
      <c r="J788" s="64">
        <f>15.9398 * CHOOSE(CONTROL!$C$22, $C$13, 100%, $E$13)</f>
        <v>15.9398</v>
      </c>
      <c r="K788" s="64">
        <f>15.9412 * CHOOSE(CONTROL!$C$22, $C$13, 100%, $E$13)</f>
        <v>15.9412</v>
      </c>
    </row>
    <row r="789" spans="1:11" ht="15">
      <c r="A789" s="13">
        <v>65654</v>
      </c>
      <c r="B789" s="63">
        <f>13.6274 * CHOOSE(CONTROL!$C$22, $C$13, 100%, $E$13)</f>
        <v>13.6274</v>
      </c>
      <c r="C789" s="63">
        <f>13.6274 * CHOOSE(CONTROL!$C$22, $C$13, 100%, $E$13)</f>
        <v>13.6274</v>
      </c>
      <c r="D789" s="63">
        <f>13.639 * CHOOSE(CONTROL!$C$22, $C$13, 100%, $E$13)</f>
        <v>13.638999999999999</v>
      </c>
      <c r="E789" s="64">
        <f>15.9991 * CHOOSE(CONTROL!$C$22, $C$13, 100%, $E$13)</f>
        <v>15.9991</v>
      </c>
      <c r="F789" s="64">
        <f>15.9991 * CHOOSE(CONTROL!$C$22, $C$13, 100%, $E$13)</f>
        <v>15.9991</v>
      </c>
      <c r="G789" s="64">
        <f>15.9993 * CHOOSE(CONTROL!$C$22, $C$13, 100%, $E$13)</f>
        <v>15.9993</v>
      </c>
      <c r="H789" s="64">
        <f>26.1434* CHOOSE(CONTROL!$C$22, $C$13, 100%, $E$13)</f>
        <v>26.1434</v>
      </c>
      <c r="I789" s="64">
        <f>26.1435 * CHOOSE(CONTROL!$C$22, $C$13, 100%, $E$13)</f>
        <v>26.1435</v>
      </c>
      <c r="J789" s="64">
        <f>15.9991 * CHOOSE(CONTROL!$C$22, $C$13, 100%, $E$13)</f>
        <v>15.9991</v>
      </c>
      <c r="K789" s="64">
        <f>15.9993 * CHOOSE(CONTROL!$C$22, $C$13, 100%, $E$13)</f>
        <v>15.9993</v>
      </c>
    </row>
    <row r="790" spans="1:11" ht="15">
      <c r="A790" s="13">
        <v>65685</v>
      </c>
      <c r="B790" s="63">
        <f>13.6305 * CHOOSE(CONTROL!$C$22, $C$13, 100%, $E$13)</f>
        <v>13.6305</v>
      </c>
      <c r="C790" s="63">
        <f>13.6305 * CHOOSE(CONTROL!$C$22, $C$13, 100%, $E$13)</f>
        <v>13.6305</v>
      </c>
      <c r="D790" s="63">
        <f>13.642 * CHOOSE(CONTROL!$C$22, $C$13, 100%, $E$13)</f>
        <v>13.641999999999999</v>
      </c>
      <c r="E790" s="64">
        <f>16.0376 * CHOOSE(CONTROL!$C$22, $C$13, 100%, $E$13)</f>
        <v>16.037600000000001</v>
      </c>
      <c r="F790" s="64">
        <f>16.0376 * CHOOSE(CONTROL!$C$22, $C$13, 100%, $E$13)</f>
        <v>16.037600000000001</v>
      </c>
      <c r="G790" s="64">
        <f>16.0378 * CHOOSE(CONTROL!$C$22, $C$13, 100%, $E$13)</f>
        <v>16.037800000000001</v>
      </c>
      <c r="H790" s="64">
        <f>26.1978* CHOOSE(CONTROL!$C$22, $C$13, 100%, $E$13)</f>
        <v>26.197800000000001</v>
      </c>
      <c r="I790" s="64">
        <f>26.198 * CHOOSE(CONTROL!$C$22, $C$13, 100%, $E$13)</f>
        <v>26.198</v>
      </c>
      <c r="J790" s="64">
        <f>16.0376 * CHOOSE(CONTROL!$C$22, $C$13, 100%, $E$13)</f>
        <v>16.037600000000001</v>
      </c>
      <c r="K790" s="64">
        <f>16.0378 * CHOOSE(CONTROL!$C$22, $C$13, 100%, $E$13)</f>
        <v>16.037800000000001</v>
      </c>
    </row>
    <row r="791" spans="1:11" ht="15">
      <c r="A791" s="13">
        <v>65715</v>
      </c>
      <c r="B791" s="63">
        <f>13.6305 * CHOOSE(CONTROL!$C$22, $C$13, 100%, $E$13)</f>
        <v>13.6305</v>
      </c>
      <c r="C791" s="63">
        <f>13.6305 * CHOOSE(CONTROL!$C$22, $C$13, 100%, $E$13)</f>
        <v>13.6305</v>
      </c>
      <c r="D791" s="63">
        <f>13.642 * CHOOSE(CONTROL!$C$22, $C$13, 100%, $E$13)</f>
        <v>13.641999999999999</v>
      </c>
      <c r="E791" s="64">
        <f>15.9467 * CHOOSE(CONTROL!$C$22, $C$13, 100%, $E$13)</f>
        <v>15.9467</v>
      </c>
      <c r="F791" s="64">
        <f>15.9467 * CHOOSE(CONTROL!$C$22, $C$13, 100%, $E$13)</f>
        <v>15.9467</v>
      </c>
      <c r="G791" s="64">
        <f>15.9468 * CHOOSE(CONTROL!$C$22, $C$13, 100%, $E$13)</f>
        <v>15.9468</v>
      </c>
      <c r="H791" s="64">
        <f>26.2524* CHOOSE(CONTROL!$C$22, $C$13, 100%, $E$13)</f>
        <v>26.252400000000002</v>
      </c>
      <c r="I791" s="64">
        <f>26.2526 * CHOOSE(CONTROL!$C$22, $C$13, 100%, $E$13)</f>
        <v>26.252600000000001</v>
      </c>
      <c r="J791" s="64">
        <f>15.9467 * CHOOSE(CONTROL!$C$22, $C$13, 100%, $E$13)</f>
        <v>15.9467</v>
      </c>
      <c r="K791" s="64">
        <f>15.9468 * CHOOSE(CONTROL!$C$22, $C$13, 100%, $E$13)</f>
        <v>15.9468</v>
      </c>
    </row>
    <row r="792" spans="1:11" ht="15">
      <c r="A792" s="13">
        <v>65746</v>
      </c>
      <c r="B792" s="63">
        <f>13.6262 * CHOOSE(CONTROL!$C$22, $C$13, 100%, $E$13)</f>
        <v>13.626200000000001</v>
      </c>
      <c r="C792" s="63">
        <f>13.6262 * CHOOSE(CONTROL!$C$22, $C$13, 100%, $E$13)</f>
        <v>13.626200000000001</v>
      </c>
      <c r="D792" s="63">
        <f>13.6377 * CHOOSE(CONTROL!$C$22, $C$13, 100%, $E$13)</f>
        <v>13.637700000000001</v>
      </c>
      <c r="E792" s="64">
        <f>16.0048 * CHOOSE(CONTROL!$C$22, $C$13, 100%, $E$13)</f>
        <v>16.004799999999999</v>
      </c>
      <c r="F792" s="64">
        <f>16.0048 * CHOOSE(CONTROL!$C$22, $C$13, 100%, $E$13)</f>
        <v>16.004799999999999</v>
      </c>
      <c r="G792" s="64">
        <f>16.005 * CHOOSE(CONTROL!$C$22, $C$13, 100%, $E$13)</f>
        <v>16.004999999999999</v>
      </c>
      <c r="H792" s="64">
        <f>26.1041* CHOOSE(CONTROL!$C$22, $C$13, 100%, $E$13)</f>
        <v>26.104099999999999</v>
      </c>
      <c r="I792" s="64">
        <f>26.1043 * CHOOSE(CONTROL!$C$22, $C$13, 100%, $E$13)</f>
        <v>26.104299999999999</v>
      </c>
      <c r="J792" s="64">
        <f>16.0048 * CHOOSE(CONTROL!$C$22, $C$13, 100%, $E$13)</f>
        <v>16.004799999999999</v>
      </c>
      <c r="K792" s="64">
        <f>16.005 * CHOOSE(CONTROL!$C$22, $C$13, 100%, $E$13)</f>
        <v>16.004999999999999</v>
      </c>
    </row>
    <row r="793" spans="1:11" ht="15">
      <c r="A793" s="13">
        <v>65777</v>
      </c>
      <c r="B793" s="63">
        <f>13.6231 * CHOOSE(CONTROL!$C$22, $C$13, 100%, $E$13)</f>
        <v>13.623100000000001</v>
      </c>
      <c r="C793" s="63">
        <f>13.6231 * CHOOSE(CONTROL!$C$22, $C$13, 100%, $E$13)</f>
        <v>13.623100000000001</v>
      </c>
      <c r="D793" s="63">
        <f>13.6347 * CHOOSE(CONTROL!$C$22, $C$13, 100%, $E$13)</f>
        <v>13.6347</v>
      </c>
      <c r="E793" s="64">
        <f>15.8276 * CHOOSE(CONTROL!$C$22, $C$13, 100%, $E$13)</f>
        <v>15.8276</v>
      </c>
      <c r="F793" s="64">
        <f>15.8276 * CHOOSE(CONTROL!$C$22, $C$13, 100%, $E$13)</f>
        <v>15.8276</v>
      </c>
      <c r="G793" s="64">
        <f>15.8278 * CHOOSE(CONTROL!$C$22, $C$13, 100%, $E$13)</f>
        <v>15.8278</v>
      </c>
      <c r="H793" s="64">
        <f>26.1585* CHOOSE(CONTROL!$C$22, $C$13, 100%, $E$13)</f>
        <v>26.1585</v>
      </c>
      <c r="I793" s="64">
        <f>26.1587 * CHOOSE(CONTROL!$C$22, $C$13, 100%, $E$13)</f>
        <v>26.1587</v>
      </c>
      <c r="J793" s="64">
        <f>15.8276 * CHOOSE(CONTROL!$C$22, $C$13, 100%, $E$13)</f>
        <v>15.8276</v>
      </c>
      <c r="K793" s="64">
        <f>15.8278 * CHOOSE(CONTROL!$C$22, $C$13, 100%, $E$13)</f>
        <v>15.8278</v>
      </c>
    </row>
    <row r="794" spans="1:11" ht="15">
      <c r="A794" s="13">
        <v>65806</v>
      </c>
      <c r="B794" s="63">
        <f>13.6201 * CHOOSE(CONTROL!$C$22, $C$13, 100%, $E$13)</f>
        <v>13.620100000000001</v>
      </c>
      <c r="C794" s="63">
        <f>13.6201 * CHOOSE(CONTROL!$C$22, $C$13, 100%, $E$13)</f>
        <v>13.620100000000001</v>
      </c>
      <c r="D794" s="63">
        <f>13.6316 * CHOOSE(CONTROL!$C$22, $C$13, 100%, $E$13)</f>
        <v>13.631600000000001</v>
      </c>
      <c r="E794" s="64">
        <f>15.9635 * CHOOSE(CONTROL!$C$22, $C$13, 100%, $E$13)</f>
        <v>15.9635</v>
      </c>
      <c r="F794" s="64">
        <f>15.9635 * CHOOSE(CONTROL!$C$22, $C$13, 100%, $E$13)</f>
        <v>15.9635</v>
      </c>
      <c r="G794" s="64">
        <f>15.9637 * CHOOSE(CONTROL!$C$22, $C$13, 100%, $E$13)</f>
        <v>15.963699999999999</v>
      </c>
      <c r="H794" s="64">
        <f>26.213* CHOOSE(CONTROL!$C$22, $C$13, 100%, $E$13)</f>
        <v>26.213000000000001</v>
      </c>
      <c r="I794" s="64">
        <f>26.2132 * CHOOSE(CONTROL!$C$22, $C$13, 100%, $E$13)</f>
        <v>26.213200000000001</v>
      </c>
      <c r="J794" s="64">
        <f>15.9635 * CHOOSE(CONTROL!$C$22, $C$13, 100%, $E$13)</f>
        <v>15.9635</v>
      </c>
      <c r="K794" s="64">
        <f>15.9637 * CHOOSE(CONTROL!$C$22, $C$13, 100%, $E$13)</f>
        <v>15.963699999999999</v>
      </c>
    </row>
    <row r="795" spans="1:11" ht="15">
      <c r="A795" s="13">
        <v>65837</v>
      </c>
      <c r="B795" s="63">
        <f>13.626 * CHOOSE(CONTROL!$C$22, $C$13, 100%, $E$13)</f>
        <v>13.625999999999999</v>
      </c>
      <c r="C795" s="63">
        <f>13.626 * CHOOSE(CONTROL!$C$22, $C$13, 100%, $E$13)</f>
        <v>13.625999999999999</v>
      </c>
      <c r="D795" s="63">
        <f>13.6375 * CHOOSE(CONTROL!$C$22, $C$13, 100%, $E$13)</f>
        <v>13.637499999999999</v>
      </c>
      <c r="E795" s="64">
        <f>16.1076 * CHOOSE(CONTROL!$C$22, $C$13, 100%, $E$13)</f>
        <v>16.107600000000001</v>
      </c>
      <c r="F795" s="64">
        <f>16.1076 * CHOOSE(CONTROL!$C$22, $C$13, 100%, $E$13)</f>
        <v>16.107600000000001</v>
      </c>
      <c r="G795" s="64">
        <f>16.1077 * CHOOSE(CONTROL!$C$22, $C$13, 100%, $E$13)</f>
        <v>16.107700000000001</v>
      </c>
      <c r="H795" s="64">
        <f>26.2676* CHOOSE(CONTROL!$C$22, $C$13, 100%, $E$13)</f>
        <v>26.267600000000002</v>
      </c>
      <c r="I795" s="64">
        <f>26.2678 * CHOOSE(CONTROL!$C$22, $C$13, 100%, $E$13)</f>
        <v>26.267800000000001</v>
      </c>
      <c r="J795" s="64">
        <f>16.1076 * CHOOSE(CONTROL!$C$22, $C$13, 100%, $E$13)</f>
        <v>16.107600000000001</v>
      </c>
      <c r="K795" s="64">
        <f>16.1077 * CHOOSE(CONTROL!$C$22, $C$13, 100%, $E$13)</f>
        <v>16.107700000000001</v>
      </c>
    </row>
    <row r="796" spans="1:11" ht="15">
      <c r="A796" s="13">
        <v>65867</v>
      </c>
      <c r="B796" s="63">
        <f>13.626 * CHOOSE(CONTROL!$C$22, $C$13, 100%, $E$13)</f>
        <v>13.625999999999999</v>
      </c>
      <c r="C796" s="63">
        <f>13.626 * CHOOSE(CONTROL!$C$22, $C$13, 100%, $E$13)</f>
        <v>13.625999999999999</v>
      </c>
      <c r="D796" s="63">
        <f>13.6491 * CHOOSE(CONTROL!$C$22, $C$13, 100%, $E$13)</f>
        <v>13.649100000000001</v>
      </c>
      <c r="E796" s="64">
        <f>16.1632 * CHOOSE(CONTROL!$C$22, $C$13, 100%, $E$13)</f>
        <v>16.1632</v>
      </c>
      <c r="F796" s="64">
        <f>16.1632 * CHOOSE(CONTROL!$C$22, $C$13, 100%, $E$13)</f>
        <v>16.1632</v>
      </c>
      <c r="G796" s="64">
        <f>16.1647 * CHOOSE(CONTROL!$C$22, $C$13, 100%, $E$13)</f>
        <v>16.1647</v>
      </c>
      <c r="H796" s="64">
        <f>26.3223* CHOOSE(CONTROL!$C$22, $C$13, 100%, $E$13)</f>
        <v>26.322299999999998</v>
      </c>
      <c r="I796" s="64">
        <f>26.3238 * CHOOSE(CONTROL!$C$22, $C$13, 100%, $E$13)</f>
        <v>26.323799999999999</v>
      </c>
      <c r="J796" s="64">
        <f>16.1632 * CHOOSE(CONTROL!$C$22, $C$13, 100%, $E$13)</f>
        <v>16.1632</v>
      </c>
      <c r="K796" s="64">
        <f>16.1647 * CHOOSE(CONTROL!$C$22, $C$13, 100%, $E$13)</f>
        <v>16.1647</v>
      </c>
    </row>
    <row r="797" spans="1:11" ht="15">
      <c r="A797" s="13">
        <v>65898</v>
      </c>
      <c r="B797" s="63">
        <f>13.6321 * CHOOSE(CONTROL!$C$22, $C$13, 100%, $E$13)</f>
        <v>13.632099999999999</v>
      </c>
      <c r="C797" s="63">
        <f>13.6321 * CHOOSE(CONTROL!$C$22, $C$13, 100%, $E$13)</f>
        <v>13.632099999999999</v>
      </c>
      <c r="D797" s="63">
        <f>13.6552 * CHOOSE(CONTROL!$C$22, $C$13, 100%, $E$13)</f>
        <v>13.655200000000001</v>
      </c>
      <c r="E797" s="64">
        <f>16.1118 * CHOOSE(CONTROL!$C$22, $C$13, 100%, $E$13)</f>
        <v>16.111799999999999</v>
      </c>
      <c r="F797" s="64">
        <f>16.1118 * CHOOSE(CONTROL!$C$22, $C$13, 100%, $E$13)</f>
        <v>16.111799999999999</v>
      </c>
      <c r="G797" s="64">
        <f>16.1133 * CHOOSE(CONTROL!$C$22, $C$13, 100%, $E$13)</f>
        <v>16.113299999999999</v>
      </c>
      <c r="H797" s="64">
        <f>26.3772* CHOOSE(CONTROL!$C$22, $C$13, 100%, $E$13)</f>
        <v>26.377199999999998</v>
      </c>
      <c r="I797" s="64">
        <f>26.3787 * CHOOSE(CONTROL!$C$22, $C$13, 100%, $E$13)</f>
        <v>26.378699999999998</v>
      </c>
      <c r="J797" s="64">
        <f>16.1118 * CHOOSE(CONTROL!$C$22, $C$13, 100%, $E$13)</f>
        <v>16.111799999999999</v>
      </c>
      <c r="K797" s="64">
        <f>16.1133 * CHOOSE(CONTROL!$C$22, $C$13, 100%, $E$13)</f>
        <v>16.113299999999999</v>
      </c>
    </row>
    <row r="798" spans="1:11" ht="15">
      <c r="A798" s="13">
        <v>65928</v>
      </c>
      <c r="B798" s="63">
        <f>13.8464 * CHOOSE(CONTROL!$C$22, $C$13, 100%, $E$13)</f>
        <v>13.846399999999999</v>
      </c>
      <c r="C798" s="63">
        <f>13.8464 * CHOOSE(CONTROL!$C$22, $C$13, 100%, $E$13)</f>
        <v>13.846399999999999</v>
      </c>
      <c r="D798" s="63">
        <f>13.8695 * CHOOSE(CONTROL!$C$22, $C$13, 100%, $E$13)</f>
        <v>13.8695</v>
      </c>
      <c r="E798" s="64">
        <f>16.4191 * CHOOSE(CONTROL!$C$22, $C$13, 100%, $E$13)</f>
        <v>16.4191</v>
      </c>
      <c r="F798" s="64">
        <f>16.4191 * CHOOSE(CONTROL!$C$22, $C$13, 100%, $E$13)</f>
        <v>16.4191</v>
      </c>
      <c r="G798" s="64">
        <f>16.4205 * CHOOSE(CONTROL!$C$22, $C$13, 100%, $E$13)</f>
        <v>16.420500000000001</v>
      </c>
      <c r="H798" s="64">
        <f>26.4321* CHOOSE(CONTROL!$C$22, $C$13, 100%, $E$13)</f>
        <v>26.432099999999998</v>
      </c>
      <c r="I798" s="64">
        <f>26.4336 * CHOOSE(CONTROL!$C$22, $C$13, 100%, $E$13)</f>
        <v>26.433599999999998</v>
      </c>
      <c r="J798" s="64">
        <f>16.4191 * CHOOSE(CONTROL!$C$22, $C$13, 100%, $E$13)</f>
        <v>16.4191</v>
      </c>
      <c r="K798" s="64">
        <f>16.4205 * CHOOSE(CONTROL!$C$22, $C$13, 100%, $E$13)</f>
        <v>16.420500000000001</v>
      </c>
    </row>
    <row r="799" spans="1:11" ht="15">
      <c r="A799" s="13">
        <v>65959</v>
      </c>
      <c r="B799" s="63">
        <f>13.8531 * CHOOSE(CONTROL!$C$22, $C$13, 100%, $E$13)</f>
        <v>13.8531</v>
      </c>
      <c r="C799" s="63">
        <f>13.8531 * CHOOSE(CONTROL!$C$22, $C$13, 100%, $E$13)</f>
        <v>13.8531</v>
      </c>
      <c r="D799" s="63">
        <f>13.8762 * CHOOSE(CONTROL!$C$22, $C$13, 100%, $E$13)</f>
        <v>13.876200000000001</v>
      </c>
      <c r="E799" s="64">
        <f>16.2569 * CHOOSE(CONTROL!$C$22, $C$13, 100%, $E$13)</f>
        <v>16.256900000000002</v>
      </c>
      <c r="F799" s="64">
        <f>16.2569 * CHOOSE(CONTROL!$C$22, $C$13, 100%, $E$13)</f>
        <v>16.256900000000002</v>
      </c>
      <c r="G799" s="64">
        <f>16.2584 * CHOOSE(CONTROL!$C$22, $C$13, 100%, $E$13)</f>
        <v>16.258400000000002</v>
      </c>
      <c r="H799" s="64">
        <f>26.4872* CHOOSE(CONTROL!$C$22, $C$13, 100%, $E$13)</f>
        <v>26.487200000000001</v>
      </c>
      <c r="I799" s="64">
        <f>26.4887 * CHOOSE(CONTROL!$C$22, $C$13, 100%, $E$13)</f>
        <v>26.488700000000001</v>
      </c>
      <c r="J799" s="64">
        <f>16.2569 * CHOOSE(CONTROL!$C$22, $C$13, 100%, $E$13)</f>
        <v>16.256900000000002</v>
      </c>
      <c r="K799" s="64">
        <f>16.2584 * CHOOSE(CONTROL!$C$22, $C$13, 100%, $E$13)</f>
        <v>16.258400000000002</v>
      </c>
    </row>
    <row r="800" spans="1:11" ht="15">
      <c r="A800" s="13">
        <v>65990</v>
      </c>
      <c r="B800" s="63">
        <f>13.85 * CHOOSE(CONTROL!$C$22, $C$13, 100%, $E$13)</f>
        <v>13.85</v>
      </c>
      <c r="C800" s="63">
        <f>13.85 * CHOOSE(CONTROL!$C$22, $C$13, 100%, $E$13)</f>
        <v>13.85</v>
      </c>
      <c r="D800" s="63">
        <f>13.8731 * CHOOSE(CONTROL!$C$22, $C$13, 100%, $E$13)</f>
        <v>13.873100000000001</v>
      </c>
      <c r="E800" s="64">
        <f>16.2362 * CHOOSE(CONTROL!$C$22, $C$13, 100%, $E$13)</f>
        <v>16.2362</v>
      </c>
      <c r="F800" s="64">
        <f>16.2362 * CHOOSE(CONTROL!$C$22, $C$13, 100%, $E$13)</f>
        <v>16.2362</v>
      </c>
      <c r="G800" s="64">
        <f>16.2377 * CHOOSE(CONTROL!$C$22, $C$13, 100%, $E$13)</f>
        <v>16.2377</v>
      </c>
      <c r="H800" s="64">
        <f>26.5424* CHOOSE(CONTROL!$C$22, $C$13, 100%, $E$13)</f>
        <v>26.542400000000001</v>
      </c>
      <c r="I800" s="64">
        <f>26.5439 * CHOOSE(CONTROL!$C$22, $C$13, 100%, $E$13)</f>
        <v>26.543900000000001</v>
      </c>
      <c r="J800" s="64">
        <f>16.2362 * CHOOSE(CONTROL!$C$22, $C$13, 100%, $E$13)</f>
        <v>16.2362</v>
      </c>
      <c r="K800" s="64">
        <f>16.2377 * CHOOSE(CONTROL!$C$22, $C$13, 100%, $E$13)</f>
        <v>16.2377</v>
      </c>
    </row>
    <row r="801" spans="1:11" ht="15">
      <c r="A801" s="13">
        <v>66020</v>
      </c>
      <c r="B801" s="63">
        <f>13.8774 * CHOOSE(CONTROL!$C$22, $C$13, 100%, $E$13)</f>
        <v>13.8774</v>
      </c>
      <c r="C801" s="63">
        <f>13.8774 * CHOOSE(CONTROL!$C$22, $C$13, 100%, $E$13)</f>
        <v>13.8774</v>
      </c>
      <c r="D801" s="63">
        <f>13.889 * CHOOSE(CONTROL!$C$22, $C$13, 100%, $E$13)</f>
        <v>13.888999999999999</v>
      </c>
      <c r="E801" s="64">
        <f>16.297 * CHOOSE(CONTROL!$C$22, $C$13, 100%, $E$13)</f>
        <v>16.297000000000001</v>
      </c>
      <c r="F801" s="64">
        <f>16.297 * CHOOSE(CONTROL!$C$22, $C$13, 100%, $E$13)</f>
        <v>16.297000000000001</v>
      </c>
      <c r="G801" s="64">
        <f>16.2971 * CHOOSE(CONTROL!$C$22, $C$13, 100%, $E$13)</f>
        <v>16.2971</v>
      </c>
      <c r="H801" s="64">
        <f>26.5977* CHOOSE(CONTROL!$C$22, $C$13, 100%, $E$13)</f>
        <v>26.5977</v>
      </c>
      <c r="I801" s="64">
        <f>26.5979 * CHOOSE(CONTROL!$C$22, $C$13, 100%, $E$13)</f>
        <v>26.597899999999999</v>
      </c>
      <c r="J801" s="64">
        <f>16.297 * CHOOSE(CONTROL!$C$22, $C$13, 100%, $E$13)</f>
        <v>16.297000000000001</v>
      </c>
      <c r="K801" s="64">
        <f>16.2971 * CHOOSE(CONTROL!$C$22, $C$13, 100%, $E$13)</f>
        <v>16.2971</v>
      </c>
    </row>
    <row r="802" spans="1:11" ht="15">
      <c r="A802" s="13">
        <v>66051</v>
      </c>
      <c r="B802" s="63">
        <f>13.8805 * CHOOSE(CONTROL!$C$22, $C$13, 100%, $E$13)</f>
        <v>13.8805</v>
      </c>
      <c r="C802" s="63">
        <f>13.8805 * CHOOSE(CONTROL!$C$22, $C$13, 100%, $E$13)</f>
        <v>13.8805</v>
      </c>
      <c r="D802" s="63">
        <f>13.892 * CHOOSE(CONTROL!$C$22, $C$13, 100%, $E$13)</f>
        <v>13.891999999999999</v>
      </c>
      <c r="E802" s="64">
        <f>16.3362 * CHOOSE(CONTROL!$C$22, $C$13, 100%, $E$13)</f>
        <v>16.336200000000002</v>
      </c>
      <c r="F802" s="64">
        <f>16.3362 * CHOOSE(CONTROL!$C$22, $C$13, 100%, $E$13)</f>
        <v>16.336200000000002</v>
      </c>
      <c r="G802" s="64">
        <f>16.3363 * CHOOSE(CONTROL!$C$22, $C$13, 100%, $E$13)</f>
        <v>16.336300000000001</v>
      </c>
      <c r="H802" s="64">
        <f>26.6531* CHOOSE(CONTROL!$C$22, $C$13, 100%, $E$13)</f>
        <v>26.653099999999998</v>
      </c>
      <c r="I802" s="64">
        <f>26.6533 * CHOOSE(CONTROL!$C$22, $C$13, 100%, $E$13)</f>
        <v>26.653300000000002</v>
      </c>
      <c r="J802" s="64">
        <f>16.3362 * CHOOSE(CONTROL!$C$22, $C$13, 100%, $E$13)</f>
        <v>16.336200000000002</v>
      </c>
      <c r="K802" s="64">
        <f>16.3363 * CHOOSE(CONTROL!$C$22, $C$13, 100%, $E$13)</f>
        <v>16.336300000000001</v>
      </c>
    </row>
    <row r="803" spans="1:11" ht="15">
      <c r="A803" s="13">
        <v>66081</v>
      </c>
      <c r="B803" s="63">
        <f>13.8805 * CHOOSE(CONTROL!$C$22, $C$13, 100%, $E$13)</f>
        <v>13.8805</v>
      </c>
      <c r="C803" s="63">
        <f>13.8805 * CHOOSE(CONTROL!$C$22, $C$13, 100%, $E$13)</f>
        <v>13.8805</v>
      </c>
      <c r="D803" s="63">
        <f>13.892 * CHOOSE(CONTROL!$C$22, $C$13, 100%, $E$13)</f>
        <v>13.891999999999999</v>
      </c>
      <c r="E803" s="64">
        <f>16.2435 * CHOOSE(CONTROL!$C$22, $C$13, 100%, $E$13)</f>
        <v>16.243500000000001</v>
      </c>
      <c r="F803" s="64">
        <f>16.2435 * CHOOSE(CONTROL!$C$22, $C$13, 100%, $E$13)</f>
        <v>16.243500000000001</v>
      </c>
      <c r="G803" s="64">
        <f>16.2437 * CHOOSE(CONTROL!$C$22, $C$13, 100%, $E$13)</f>
        <v>16.2437</v>
      </c>
      <c r="H803" s="64">
        <f>26.7086* CHOOSE(CONTROL!$C$22, $C$13, 100%, $E$13)</f>
        <v>26.708600000000001</v>
      </c>
      <c r="I803" s="64">
        <f>26.7088 * CHOOSE(CONTROL!$C$22, $C$13, 100%, $E$13)</f>
        <v>26.7088</v>
      </c>
      <c r="J803" s="64">
        <f>16.2435 * CHOOSE(CONTROL!$C$22, $C$13, 100%, $E$13)</f>
        <v>16.243500000000001</v>
      </c>
      <c r="K803" s="64">
        <f>16.2437 * CHOOSE(CONTROL!$C$22, $C$13, 100%, $E$13)</f>
        <v>16.2437</v>
      </c>
    </row>
    <row r="804" spans="1:11" ht="15">
      <c r="A804" s="13">
        <v>66112</v>
      </c>
      <c r="B804" s="63">
        <f>13.8715 * CHOOSE(CONTROL!$C$22, $C$13, 100%, $E$13)</f>
        <v>13.871499999999999</v>
      </c>
      <c r="C804" s="63">
        <f>13.8715 * CHOOSE(CONTROL!$C$22, $C$13, 100%, $E$13)</f>
        <v>13.871499999999999</v>
      </c>
      <c r="D804" s="63">
        <f>13.883 * CHOOSE(CONTROL!$C$22, $C$13, 100%, $E$13)</f>
        <v>13.882999999999999</v>
      </c>
      <c r="E804" s="64">
        <f>16.2972 * CHOOSE(CONTROL!$C$22, $C$13, 100%, $E$13)</f>
        <v>16.2972</v>
      </c>
      <c r="F804" s="64">
        <f>16.2972 * CHOOSE(CONTROL!$C$22, $C$13, 100%, $E$13)</f>
        <v>16.2972</v>
      </c>
      <c r="G804" s="64">
        <f>16.2974 * CHOOSE(CONTROL!$C$22, $C$13, 100%, $E$13)</f>
        <v>16.2974</v>
      </c>
      <c r="H804" s="64">
        <f>26.55* CHOOSE(CONTROL!$C$22, $C$13, 100%, $E$13)</f>
        <v>26.55</v>
      </c>
      <c r="I804" s="64">
        <f>26.5502 * CHOOSE(CONTROL!$C$22, $C$13, 100%, $E$13)</f>
        <v>26.5502</v>
      </c>
      <c r="J804" s="64">
        <f>16.2972 * CHOOSE(CONTROL!$C$22, $C$13, 100%, $E$13)</f>
        <v>16.2972</v>
      </c>
      <c r="K804" s="64">
        <f>16.2974 * CHOOSE(CONTROL!$C$22, $C$13, 100%, $E$13)</f>
        <v>16.2974</v>
      </c>
    </row>
    <row r="805" spans="1:11" ht="15">
      <c r="A805" s="13">
        <v>66143</v>
      </c>
      <c r="B805" s="63">
        <f>13.8685 * CHOOSE(CONTROL!$C$22, $C$13, 100%, $E$13)</f>
        <v>13.868499999999999</v>
      </c>
      <c r="C805" s="63">
        <f>13.8685 * CHOOSE(CONTROL!$C$22, $C$13, 100%, $E$13)</f>
        <v>13.868499999999999</v>
      </c>
      <c r="D805" s="63">
        <f>13.88 * CHOOSE(CONTROL!$C$22, $C$13, 100%, $E$13)</f>
        <v>13.88</v>
      </c>
      <c r="E805" s="64">
        <f>16.1168 * CHOOSE(CONTROL!$C$22, $C$13, 100%, $E$13)</f>
        <v>16.116800000000001</v>
      </c>
      <c r="F805" s="64">
        <f>16.1168 * CHOOSE(CONTROL!$C$22, $C$13, 100%, $E$13)</f>
        <v>16.116800000000001</v>
      </c>
      <c r="G805" s="64">
        <f>16.117 * CHOOSE(CONTROL!$C$22, $C$13, 100%, $E$13)</f>
        <v>16.117000000000001</v>
      </c>
      <c r="H805" s="64">
        <f>26.6053* CHOOSE(CONTROL!$C$22, $C$13, 100%, $E$13)</f>
        <v>26.6053</v>
      </c>
      <c r="I805" s="64">
        <f>26.6055 * CHOOSE(CONTROL!$C$22, $C$13, 100%, $E$13)</f>
        <v>26.605499999999999</v>
      </c>
      <c r="J805" s="64">
        <f>16.1168 * CHOOSE(CONTROL!$C$22, $C$13, 100%, $E$13)</f>
        <v>16.116800000000001</v>
      </c>
      <c r="K805" s="64">
        <f>16.117 * CHOOSE(CONTROL!$C$22, $C$13, 100%, $E$13)</f>
        <v>16.117000000000001</v>
      </c>
    </row>
    <row r="806" spans="1:11" ht="15">
      <c r="A806" s="13">
        <v>66171</v>
      </c>
      <c r="B806" s="63">
        <f>13.8654 * CHOOSE(CONTROL!$C$22, $C$13, 100%, $E$13)</f>
        <v>13.865399999999999</v>
      </c>
      <c r="C806" s="63">
        <f>13.8654 * CHOOSE(CONTROL!$C$22, $C$13, 100%, $E$13)</f>
        <v>13.865399999999999</v>
      </c>
      <c r="D806" s="63">
        <f>13.877 * CHOOSE(CONTROL!$C$22, $C$13, 100%, $E$13)</f>
        <v>13.877000000000001</v>
      </c>
      <c r="E806" s="64">
        <f>16.2553 * CHOOSE(CONTROL!$C$22, $C$13, 100%, $E$13)</f>
        <v>16.255299999999998</v>
      </c>
      <c r="F806" s="64">
        <f>16.2553 * CHOOSE(CONTROL!$C$22, $C$13, 100%, $E$13)</f>
        <v>16.255299999999998</v>
      </c>
      <c r="G806" s="64">
        <f>16.2554 * CHOOSE(CONTROL!$C$22, $C$13, 100%, $E$13)</f>
        <v>16.255400000000002</v>
      </c>
      <c r="H806" s="64">
        <f>26.6608* CHOOSE(CONTROL!$C$22, $C$13, 100%, $E$13)</f>
        <v>26.660799999999998</v>
      </c>
      <c r="I806" s="64">
        <f>26.6609 * CHOOSE(CONTROL!$C$22, $C$13, 100%, $E$13)</f>
        <v>26.660900000000002</v>
      </c>
      <c r="J806" s="64">
        <f>16.2553 * CHOOSE(CONTROL!$C$22, $C$13, 100%, $E$13)</f>
        <v>16.255299999999998</v>
      </c>
      <c r="K806" s="64">
        <f>16.2554 * CHOOSE(CONTROL!$C$22, $C$13, 100%, $E$13)</f>
        <v>16.255400000000002</v>
      </c>
    </row>
    <row r="807" spans="1:11" ht="15">
      <c r="A807" s="13">
        <v>66202</v>
      </c>
      <c r="B807" s="63">
        <f>13.8715 * CHOOSE(CONTROL!$C$22, $C$13, 100%, $E$13)</f>
        <v>13.871499999999999</v>
      </c>
      <c r="C807" s="63">
        <f>13.8715 * CHOOSE(CONTROL!$C$22, $C$13, 100%, $E$13)</f>
        <v>13.871499999999999</v>
      </c>
      <c r="D807" s="63">
        <f>13.8831 * CHOOSE(CONTROL!$C$22, $C$13, 100%, $E$13)</f>
        <v>13.883100000000001</v>
      </c>
      <c r="E807" s="64">
        <f>16.402 * CHOOSE(CONTROL!$C$22, $C$13, 100%, $E$13)</f>
        <v>16.402000000000001</v>
      </c>
      <c r="F807" s="64">
        <f>16.402 * CHOOSE(CONTROL!$C$22, $C$13, 100%, $E$13)</f>
        <v>16.402000000000001</v>
      </c>
      <c r="G807" s="64">
        <f>16.4022 * CHOOSE(CONTROL!$C$22, $C$13, 100%, $E$13)</f>
        <v>16.402200000000001</v>
      </c>
      <c r="H807" s="64">
        <f>26.7163* CHOOSE(CONTROL!$C$22, $C$13, 100%, $E$13)</f>
        <v>26.7163</v>
      </c>
      <c r="I807" s="64">
        <f>26.7165 * CHOOSE(CONTROL!$C$22, $C$13, 100%, $E$13)</f>
        <v>26.7165</v>
      </c>
      <c r="J807" s="64">
        <f>16.402 * CHOOSE(CONTROL!$C$22, $C$13, 100%, $E$13)</f>
        <v>16.402000000000001</v>
      </c>
      <c r="K807" s="64">
        <f>16.4022 * CHOOSE(CONTROL!$C$22, $C$13, 100%, $E$13)</f>
        <v>16.402200000000001</v>
      </c>
    </row>
    <row r="808" spans="1:11" ht="15">
      <c r="A808" s="13">
        <v>66232</v>
      </c>
      <c r="B808" s="63">
        <f>13.8715 * CHOOSE(CONTROL!$C$22, $C$13, 100%, $E$13)</f>
        <v>13.871499999999999</v>
      </c>
      <c r="C808" s="63">
        <f>13.8715 * CHOOSE(CONTROL!$C$22, $C$13, 100%, $E$13)</f>
        <v>13.871499999999999</v>
      </c>
      <c r="D808" s="63">
        <f>13.8946 * CHOOSE(CONTROL!$C$22, $C$13, 100%, $E$13)</f>
        <v>13.894600000000001</v>
      </c>
      <c r="E808" s="64">
        <f>16.4586 * CHOOSE(CONTROL!$C$22, $C$13, 100%, $E$13)</f>
        <v>16.458600000000001</v>
      </c>
      <c r="F808" s="64">
        <f>16.4586 * CHOOSE(CONTROL!$C$22, $C$13, 100%, $E$13)</f>
        <v>16.458600000000001</v>
      </c>
      <c r="G808" s="64">
        <f>16.4601 * CHOOSE(CONTROL!$C$22, $C$13, 100%, $E$13)</f>
        <v>16.460100000000001</v>
      </c>
      <c r="H808" s="64">
        <f>26.772* CHOOSE(CONTROL!$C$22, $C$13, 100%, $E$13)</f>
        <v>26.771999999999998</v>
      </c>
      <c r="I808" s="64">
        <f>26.7735 * CHOOSE(CONTROL!$C$22, $C$13, 100%, $E$13)</f>
        <v>26.773499999999999</v>
      </c>
      <c r="J808" s="64">
        <f>16.4586 * CHOOSE(CONTROL!$C$22, $C$13, 100%, $E$13)</f>
        <v>16.458600000000001</v>
      </c>
      <c r="K808" s="64">
        <f>16.4601 * CHOOSE(CONTROL!$C$22, $C$13, 100%, $E$13)</f>
        <v>16.460100000000001</v>
      </c>
    </row>
    <row r="809" spans="1:11" ht="15">
      <c r="A809" s="13">
        <v>66263</v>
      </c>
      <c r="B809" s="63">
        <f>13.8776 * CHOOSE(CONTROL!$C$22, $C$13, 100%, $E$13)</f>
        <v>13.877599999999999</v>
      </c>
      <c r="C809" s="63">
        <f>13.8776 * CHOOSE(CONTROL!$C$22, $C$13, 100%, $E$13)</f>
        <v>13.877599999999999</v>
      </c>
      <c r="D809" s="63">
        <f>13.9007 * CHOOSE(CONTROL!$C$22, $C$13, 100%, $E$13)</f>
        <v>13.900700000000001</v>
      </c>
      <c r="E809" s="64">
        <f>16.4063 * CHOOSE(CONTROL!$C$22, $C$13, 100%, $E$13)</f>
        <v>16.406300000000002</v>
      </c>
      <c r="F809" s="64">
        <f>16.4063 * CHOOSE(CONTROL!$C$22, $C$13, 100%, $E$13)</f>
        <v>16.406300000000002</v>
      </c>
      <c r="G809" s="64">
        <f>16.4077 * CHOOSE(CONTROL!$C$22, $C$13, 100%, $E$13)</f>
        <v>16.407699999999998</v>
      </c>
      <c r="H809" s="64">
        <f>26.8277* CHOOSE(CONTROL!$C$22, $C$13, 100%, $E$13)</f>
        <v>26.8277</v>
      </c>
      <c r="I809" s="64">
        <f>26.8292 * CHOOSE(CONTROL!$C$22, $C$13, 100%, $E$13)</f>
        <v>26.8292</v>
      </c>
      <c r="J809" s="64">
        <f>16.4063 * CHOOSE(CONTROL!$C$22, $C$13, 100%, $E$13)</f>
        <v>16.406300000000002</v>
      </c>
      <c r="K809" s="64">
        <f>16.4077 * CHOOSE(CONTROL!$C$22, $C$13, 100%, $E$13)</f>
        <v>16.407699999999998</v>
      </c>
    </row>
    <row r="810" spans="1:11" ht="15">
      <c r="A810" s="13">
        <v>66293</v>
      </c>
      <c r="B810" s="63">
        <f>14.0956 * CHOOSE(CONTROL!$C$22, $C$13, 100%, $E$13)</f>
        <v>14.095599999999999</v>
      </c>
      <c r="C810" s="63">
        <f>14.0956 * CHOOSE(CONTROL!$C$22, $C$13, 100%, $E$13)</f>
        <v>14.095599999999999</v>
      </c>
      <c r="D810" s="63">
        <f>14.1187 * CHOOSE(CONTROL!$C$22, $C$13, 100%, $E$13)</f>
        <v>14.1187</v>
      </c>
      <c r="E810" s="64">
        <f>16.7189 * CHOOSE(CONTROL!$C$22, $C$13, 100%, $E$13)</f>
        <v>16.718900000000001</v>
      </c>
      <c r="F810" s="64">
        <f>16.7189 * CHOOSE(CONTROL!$C$22, $C$13, 100%, $E$13)</f>
        <v>16.718900000000001</v>
      </c>
      <c r="G810" s="64">
        <f>16.7204 * CHOOSE(CONTROL!$C$22, $C$13, 100%, $E$13)</f>
        <v>16.720400000000001</v>
      </c>
      <c r="H810" s="64">
        <f>26.8836* CHOOSE(CONTROL!$C$22, $C$13, 100%, $E$13)</f>
        <v>26.883600000000001</v>
      </c>
      <c r="I810" s="64">
        <f>26.8851 * CHOOSE(CONTROL!$C$22, $C$13, 100%, $E$13)</f>
        <v>26.885100000000001</v>
      </c>
      <c r="J810" s="64">
        <f>16.7189 * CHOOSE(CONTROL!$C$22, $C$13, 100%, $E$13)</f>
        <v>16.718900000000001</v>
      </c>
      <c r="K810" s="64">
        <f>16.7204 * CHOOSE(CONTROL!$C$22, $C$13, 100%, $E$13)</f>
        <v>16.720400000000001</v>
      </c>
    </row>
    <row r="811" spans="1:11" ht="15">
      <c r="A811" s="13">
        <v>66324</v>
      </c>
      <c r="B811" s="63">
        <f>14.1023 * CHOOSE(CONTROL!$C$22, $C$13, 100%, $E$13)</f>
        <v>14.1023</v>
      </c>
      <c r="C811" s="63">
        <f>14.1023 * CHOOSE(CONTROL!$C$22, $C$13, 100%, $E$13)</f>
        <v>14.1023</v>
      </c>
      <c r="D811" s="63">
        <f>14.1254 * CHOOSE(CONTROL!$C$22, $C$13, 100%, $E$13)</f>
        <v>14.125400000000001</v>
      </c>
      <c r="E811" s="64">
        <f>16.5537 * CHOOSE(CONTROL!$C$22, $C$13, 100%, $E$13)</f>
        <v>16.553699999999999</v>
      </c>
      <c r="F811" s="64">
        <f>16.5537 * CHOOSE(CONTROL!$C$22, $C$13, 100%, $E$13)</f>
        <v>16.553699999999999</v>
      </c>
      <c r="G811" s="64">
        <f>16.5552 * CHOOSE(CONTROL!$C$22, $C$13, 100%, $E$13)</f>
        <v>16.555199999999999</v>
      </c>
      <c r="H811" s="64">
        <f>26.9396* CHOOSE(CONTROL!$C$22, $C$13, 100%, $E$13)</f>
        <v>26.939599999999999</v>
      </c>
      <c r="I811" s="64">
        <f>26.9411 * CHOOSE(CONTROL!$C$22, $C$13, 100%, $E$13)</f>
        <v>26.941099999999999</v>
      </c>
      <c r="J811" s="64">
        <f>16.5537 * CHOOSE(CONTROL!$C$22, $C$13, 100%, $E$13)</f>
        <v>16.553699999999999</v>
      </c>
      <c r="K811" s="64">
        <f>16.5552 * CHOOSE(CONTROL!$C$22, $C$13, 100%, $E$13)</f>
        <v>16.555199999999999</v>
      </c>
    </row>
    <row r="812" spans="1:11" ht="15">
      <c r="A812" s="13">
        <v>66355</v>
      </c>
      <c r="B812" s="63">
        <f>14.0992 * CHOOSE(CONTROL!$C$22, $C$13, 100%, $E$13)</f>
        <v>14.0992</v>
      </c>
      <c r="C812" s="63">
        <f>14.0992 * CHOOSE(CONTROL!$C$22, $C$13, 100%, $E$13)</f>
        <v>14.0992</v>
      </c>
      <c r="D812" s="63">
        <f>14.1223 * CHOOSE(CONTROL!$C$22, $C$13, 100%, $E$13)</f>
        <v>14.122299999999999</v>
      </c>
      <c r="E812" s="64">
        <f>16.5327 * CHOOSE(CONTROL!$C$22, $C$13, 100%, $E$13)</f>
        <v>16.532699999999998</v>
      </c>
      <c r="F812" s="64">
        <f>16.5327 * CHOOSE(CONTROL!$C$22, $C$13, 100%, $E$13)</f>
        <v>16.532699999999998</v>
      </c>
      <c r="G812" s="64">
        <f>16.5342 * CHOOSE(CONTROL!$C$22, $C$13, 100%, $E$13)</f>
        <v>16.534199999999998</v>
      </c>
      <c r="H812" s="64">
        <f>26.9958* CHOOSE(CONTROL!$C$22, $C$13, 100%, $E$13)</f>
        <v>26.995799999999999</v>
      </c>
      <c r="I812" s="64">
        <f>26.9973 * CHOOSE(CONTROL!$C$22, $C$13, 100%, $E$13)</f>
        <v>26.997299999999999</v>
      </c>
      <c r="J812" s="64">
        <f>16.5327 * CHOOSE(CONTROL!$C$22, $C$13, 100%, $E$13)</f>
        <v>16.532699999999998</v>
      </c>
      <c r="K812" s="64">
        <f>16.5342 * CHOOSE(CONTROL!$C$22, $C$13, 100%, $E$13)</f>
        <v>16.534199999999998</v>
      </c>
    </row>
    <row r="813" spans="1:11" ht="15">
      <c r="A813" s="13">
        <v>66385</v>
      </c>
      <c r="B813" s="63">
        <f>14.1275 * CHOOSE(CONTROL!$C$22, $C$13, 100%, $E$13)</f>
        <v>14.1275</v>
      </c>
      <c r="C813" s="63">
        <f>14.1275 * CHOOSE(CONTROL!$C$22, $C$13, 100%, $E$13)</f>
        <v>14.1275</v>
      </c>
      <c r="D813" s="63">
        <f>14.139 * CHOOSE(CONTROL!$C$22, $C$13, 100%, $E$13)</f>
        <v>14.138999999999999</v>
      </c>
      <c r="E813" s="64">
        <f>16.5948 * CHOOSE(CONTROL!$C$22, $C$13, 100%, $E$13)</f>
        <v>16.594799999999999</v>
      </c>
      <c r="F813" s="64">
        <f>16.5948 * CHOOSE(CONTROL!$C$22, $C$13, 100%, $E$13)</f>
        <v>16.594799999999999</v>
      </c>
      <c r="G813" s="64">
        <f>16.595 * CHOOSE(CONTROL!$C$22, $C$13, 100%, $E$13)</f>
        <v>16.594999999999999</v>
      </c>
      <c r="H813" s="64">
        <f>27.052* CHOOSE(CONTROL!$C$22, $C$13, 100%, $E$13)</f>
        <v>27.052</v>
      </c>
      <c r="I813" s="64">
        <f>27.0522 * CHOOSE(CONTROL!$C$22, $C$13, 100%, $E$13)</f>
        <v>27.052199999999999</v>
      </c>
      <c r="J813" s="64">
        <f>16.5948 * CHOOSE(CONTROL!$C$22, $C$13, 100%, $E$13)</f>
        <v>16.594799999999999</v>
      </c>
      <c r="K813" s="64">
        <f>16.595 * CHOOSE(CONTROL!$C$22, $C$13, 100%, $E$13)</f>
        <v>16.594999999999999</v>
      </c>
    </row>
    <row r="814" spans="1:11" ht="15">
      <c r="A814" s="13">
        <v>66416</v>
      </c>
      <c r="B814" s="63">
        <f>14.1305 * CHOOSE(CONTROL!$C$22, $C$13, 100%, $E$13)</f>
        <v>14.1305</v>
      </c>
      <c r="C814" s="63">
        <f>14.1305 * CHOOSE(CONTROL!$C$22, $C$13, 100%, $E$13)</f>
        <v>14.1305</v>
      </c>
      <c r="D814" s="63">
        <f>14.1421 * CHOOSE(CONTROL!$C$22, $C$13, 100%, $E$13)</f>
        <v>14.142099999999999</v>
      </c>
      <c r="E814" s="64">
        <f>16.6347 * CHOOSE(CONTROL!$C$22, $C$13, 100%, $E$13)</f>
        <v>16.634699999999999</v>
      </c>
      <c r="F814" s="64">
        <f>16.6347 * CHOOSE(CONTROL!$C$22, $C$13, 100%, $E$13)</f>
        <v>16.634699999999999</v>
      </c>
      <c r="G814" s="64">
        <f>16.6349 * CHOOSE(CONTROL!$C$22, $C$13, 100%, $E$13)</f>
        <v>16.634899999999998</v>
      </c>
      <c r="H814" s="64">
        <f>27.1084* CHOOSE(CONTROL!$C$22, $C$13, 100%, $E$13)</f>
        <v>27.1084</v>
      </c>
      <c r="I814" s="64">
        <f>27.1085 * CHOOSE(CONTROL!$C$22, $C$13, 100%, $E$13)</f>
        <v>27.108499999999999</v>
      </c>
      <c r="J814" s="64">
        <f>16.6347 * CHOOSE(CONTROL!$C$22, $C$13, 100%, $E$13)</f>
        <v>16.634699999999999</v>
      </c>
      <c r="K814" s="64">
        <f>16.6349 * CHOOSE(CONTROL!$C$22, $C$13, 100%, $E$13)</f>
        <v>16.634899999999998</v>
      </c>
    </row>
    <row r="815" spans="1:11" ht="15">
      <c r="A815" s="13">
        <v>66446</v>
      </c>
      <c r="B815" s="63">
        <f>14.1305 * CHOOSE(CONTROL!$C$22, $C$13, 100%, $E$13)</f>
        <v>14.1305</v>
      </c>
      <c r="C815" s="63">
        <f>14.1305 * CHOOSE(CONTROL!$C$22, $C$13, 100%, $E$13)</f>
        <v>14.1305</v>
      </c>
      <c r="D815" s="63">
        <f>14.1421 * CHOOSE(CONTROL!$C$22, $C$13, 100%, $E$13)</f>
        <v>14.142099999999999</v>
      </c>
      <c r="E815" s="64">
        <f>16.5403 * CHOOSE(CONTROL!$C$22, $C$13, 100%, $E$13)</f>
        <v>16.540299999999998</v>
      </c>
      <c r="F815" s="64">
        <f>16.5403 * CHOOSE(CONTROL!$C$22, $C$13, 100%, $E$13)</f>
        <v>16.540299999999998</v>
      </c>
      <c r="G815" s="64">
        <f>16.5405 * CHOOSE(CONTROL!$C$22, $C$13, 100%, $E$13)</f>
        <v>16.540500000000002</v>
      </c>
      <c r="H815" s="64">
        <f>27.1648* CHOOSE(CONTROL!$C$22, $C$13, 100%, $E$13)</f>
        <v>27.1648</v>
      </c>
      <c r="I815" s="64">
        <f>27.165 * CHOOSE(CONTROL!$C$22, $C$13, 100%, $E$13)</f>
        <v>27.164999999999999</v>
      </c>
      <c r="J815" s="64">
        <f>16.5403 * CHOOSE(CONTROL!$C$22, $C$13, 100%, $E$13)</f>
        <v>16.540299999999998</v>
      </c>
      <c r="K815" s="64">
        <f>16.5405 * CHOOSE(CONTROL!$C$22, $C$13, 100%, $E$13)</f>
        <v>16.540500000000002</v>
      </c>
    </row>
    <row r="816" spans="1:11" ht="15">
      <c r="A816" s="13">
        <v>66477</v>
      </c>
      <c r="B816" s="63">
        <f>14.1168 * CHOOSE(CONTROL!$C$22, $C$13, 100%, $E$13)</f>
        <v>14.1168</v>
      </c>
      <c r="C816" s="63">
        <f>14.1168 * CHOOSE(CONTROL!$C$22, $C$13, 100%, $E$13)</f>
        <v>14.1168</v>
      </c>
      <c r="D816" s="63">
        <f>14.1284 * CHOOSE(CONTROL!$C$22, $C$13, 100%, $E$13)</f>
        <v>14.128399999999999</v>
      </c>
      <c r="E816" s="64">
        <f>16.5897 * CHOOSE(CONTROL!$C$22, $C$13, 100%, $E$13)</f>
        <v>16.589700000000001</v>
      </c>
      <c r="F816" s="64">
        <f>16.5897 * CHOOSE(CONTROL!$C$22, $C$13, 100%, $E$13)</f>
        <v>16.589700000000001</v>
      </c>
      <c r="G816" s="64">
        <f>16.5898 * CHOOSE(CONTROL!$C$22, $C$13, 100%, $E$13)</f>
        <v>16.5898</v>
      </c>
      <c r="H816" s="64">
        <f>26.9959* CHOOSE(CONTROL!$C$22, $C$13, 100%, $E$13)</f>
        <v>26.995899999999999</v>
      </c>
      <c r="I816" s="64">
        <f>26.9961 * CHOOSE(CONTROL!$C$22, $C$13, 100%, $E$13)</f>
        <v>26.996099999999998</v>
      </c>
      <c r="J816" s="64">
        <f>16.5897 * CHOOSE(CONTROL!$C$22, $C$13, 100%, $E$13)</f>
        <v>16.589700000000001</v>
      </c>
      <c r="K816" s="64">
        <f>16.5898 * CHOOSE(CONTROL!$C$22, $C$13, 100%, $E$13)</f>
        <v>16.5898</v>
      </c>
    </row>
    <row r="817" spans="1:11" ht="15">
      <c r="A817" s="13">
        <v>66508</v>
      </c>
      <c r="B817" s="63">
        <f>14.1138 * CHOOSE(CONTROL!$C$22, $C$13, 100%, $E$13)</f>
        <v>14.113799999999999</v>
      </c>
      <c r="C817" s="63">
        <f>14.1138 * CHOOSE(CONTROL!$C$22, $C$13, 100%, $E$13)</f>
        <v>14.113799999999999</v>
      </c>
      <c r="D817" s="63">
        <f>14.1253 * CHOOSE(CONTROL!$C$22, $C$13, 100%, $E$13)</f>
        <v>14.125299999999999</v>
      </c>
      <c r="E817" s="64">
        <f>16.406 * CHOOSE(CONTROL!$C$22, $C$13, 100%, $E$13)</f>
        <v>16.405999999999999</v>
      </c>
      <c r="F817" s="64">
        <f>16.406 * CHOOSE(CONTROL!$C$22, $C$13, 100%, $E$13)</f>
        <v>16.405999999999999</v>
      </c>
      <c r="G817" s="64">
        <f>16.4062 * CHOOSE(CONTROL!$C$22, $C$13, 100%, $E$13)</f>
        <v>16.406199999999998</v>
      </c>
      <c r="H817" s="64">
        <f>27.0522* CHOOSE(CONTROL!$C$22, $C$13, 100%, $E$13)</f>
        <v>27.052199999999999</v>
      </c>
      <c r="I817" s="64">
        <f>27.0523 * CHOOSE(CONTROL!$C$22, $C$13, 100%, $E$13)</f>
        <v>27.052299999999999</v>
      </c>
      <c r="J817" s="64">
        <f>16.406 * CHOOSE(CONTROL!$C$22, $C$13, 100%, $E$13)</f>
        <v>16.405999999999999</v>
      </c>
      <c r="K817" s="64">
        <f>16.4062 * CHOOSE(CONTROL!$C$22, $C$13, 100%, $E$13)</f>
        <v>16.406199999999998</v>
      </c>
    </row>
    <row r="818" spans="1:11" ht="15">
      <c r="A818" s="13">
        <v>66536</v>
      </c>
      <c r="B818" s="63">
        <f>14.1107 * CHOOSE(CONTROL!$C$22, $C$13, 100%, $E$13)</f>
        <v>14.1107</v>
      </c>
      <c r="C818" s="63">
        <f>14.1107 * CHOOSE(CONTROL!$C$22, $C$13, 100%, $E$13)</f>
        <v>14.1107</v>
      </c>
      <c r="D818" s="63">
        <f>14.1223 * CHOOSE(CONTROL!$C$22, $C$13, 100%, $E$13)</f>
        <v>14.122299999999999</v>
      </c>
      <c r="E818" s="64">
        <f>16.547 * CHOOSE(CONTROL!$C$22, $C$13, 100%, $E$13)</f>
        <v>16.547000000000001</v>
      </c>
      <c r="F818" s="64">
        <f>16.547 * CHOOSE(CONTROL!$C$22, $C$13, 100%, $E$13)</f>
        <v>16.547000000000001</v>
      </c>
      <c r="G818" s="64">
        <f>16.5472 * CHOOSE(CONTROL!$C$22, $C$13, 100%, $E$13)</f>
        <v>16.5472</v>
      </c>
      <c r="H818" s="64">
        <f>27.1085* CHOOSE(CONTROL!$C$22, $C$13, 100%, $E$13)</f>
        <v>27.108499999999999</v>
      </c>
      <c r="I818" s="64">
        <f>27.1087 * CHOOSE(CONTROL!$C$22, $C$13, 100%, $E$13)</f>
        <v>27.108699999999999</v>
      </c>
      <c r="J818" s="64">
        <f>16.547 * CHOOSE(CONTROL!$C$22, $C$13, 100%, $E$13)</f>
        <v>16.547000000000001</v>
      </c>
      <c r="K818" s="64">
        <f>16.5472 * CHOOSE(CONTROL!$C$22, $C$13, 100%, $E$13)</f>
        <v>16.5472</v>
      </c>
    </row>
    <row r="819" spans="1:11" ht="15">
      <c r="A819" s="13">
        <v>66567</v>
      </c>
      <c r="B819" s="63">
        <f>14.117 * CHOOSE(CONTROL!$C$22, $C$13, 100%, $E$13)</f>
        <v>14.117000000000001</v>
      </c>
      <c r="C819" s="63">
        <f>14.117 * CHOOSE(CONTROL!$C$22, $C$13, 100%, $E$13)</f>
        <v>14.117000000000001</v>
      </c>
      <c r="D819" s="63">
        <f>14.1286 * CHOOSE(CONTROL!$C$22, $C$13, 100%, $E$13)</f>
        <v>14.1286</v>
      </c>
      <c r="E819" s="64">
        <f>16.6965 * CHOOSE(CONTROL!$C$22, $C$13, 100%, $E$13)</f>
        <v>16.6965</v>
      </c>
      <c r="F819" s="64">
        <f>16.6965 * CHOOSE(CONTROL!$C$22, $C$13, 100%, $E$13)</f>
        <v>16.6965</v>
      </c>
      <c r="G819" s="64">
        <f>16.6966 * CHOOSE(CONTROL!$C$22, $C$13, 100%, $E$13)</f>
        <v>16.6966</v>
      </c>
      <c r="H819" s="64">
        <f>27.165* CHOOSE(CONTROL!$C$22, $C$13, 100%, $E$13)</f>
        <v>27.164999999999999</v>
      </c>
      <c r="I819" s="64">
        <f>27.1652 * CHOOSE(CONTROL!$C$22, $C$13, 100%, $E$13)</f>
        <v>27.165199999999999</v>
      </c>
      <c r="J819" s="64">
        <f>16.6965 * CHOOSE(CONTROL!$C$22, $C$13, 100%, $E$13)</f>
        <v>16.6965</v>
      </c>
      <c r="K819" s="64">
        <f>16.6966 * CHOOSE(CONTROL!$C$22, $C$13, 100%, $E$13)</f>
        <v>16.6966</v>
      </c>
    </row>
    <row r="820" spans="1:11" ht="15">
      <c r="A820" s="13">
        <v>66597</v>
      </c>
      <c r="B820" s="63">
        <f>14.117 * CHOOSE(CONTROL!$C$22, $C$13, 100%, $E$13)</f>
        <v>14.117000000000001</v>
      </c>
      <c r="C820" s="63">
        <f>14.117 * CHOOSE(CONTROL!$C$22, $C$13, 100%, $E$13)</f>
        <v>14.117000000000001</v>
      </c>
      <c r="D820" s="63">
        <f>14.1401 * CHOOSE(CONTROL!$C$22, $C$13, 100%, $E$13)</f>
        <v>14.1401</v>
      </c>
      <c r="E820" s="64">
        <f>16.7541 * CHOOSE(CONTROL!$C$22, $C$13, 100%, $E$13)</f>
        <v>16.754100000000001</v>
      </c>
      <c r="F820" s="64">
        <f>16.7541 * CHOOSE(CONTROL!$C$22, $C$13, 100%, $E$13)</f>
        <v>16.754100000000001</v>
      </c>
      <c r="G820" s="64">
        <f>16.7556 * CHOOSE(CONTROL!$C$22, $C$13, 100%, $E$13)</f>
        <v>16.755600000000001</v>
      </c>
      <c r="H820" s="64">
        <f>27.2216* CHOOSE(CONTROL!$C$22, $C$13, 100%, $E$13)</f>
        <v>27.221599999999999</v>
      </c>
      <c r="I820" s="64">
        <f>27.2231 * CHOOSE(CONTROL!$C$22, $C$13, 100%, $E$13)</f>
        <v>27.223099999999999</v>
      </c>
      <c r="J820" s="64">
        <f>16.7541 * CHOOSE(CONTROL!$C$22, $C$13, 100%, $E$13)</f>
        <v>16.754100000000001</v>
      </c>
      <c r="K820" s="64">
        <f>16.7556 * CHOOSE(CONTROL!$C$22, $C$13, 100%, $E$13)</f>
        <v>16.755600000000001</v>
      </c>
    </row>
    <row r="821" spans="1:11" ht="15">
      <c r="A821" s="13">
        <v>66628</v>
      </c>
      <c r="B821" s="63">
        <f>14.1231 * CHOOSE(CONTROL!$C$22, $C$13, 100%, $E$13)</f>
        <v>14.123100000000001</v>
      </c>
      <c r="C821" s="63">
        <f>14.1231 * CHOOSE(CONTROL!$C$22, $C$13, 100%, $E$13)</f>
        <v>14.123100000000001</v>
      </c>
      <c r="D821" s="63">
        <f>14.1462 * CHOOSE(CONTROL!$C$22, $C$13, 100%, $E$13)</f>
        <v>14.1462</v>
      </c>
      <c r="E821" s="64">
        <f>16.7007 * CHOOSE(CONTROL!$C$22, $C$13, 100%, $E$13)</f>
        <v>16.700700000000001</v>
      </c>
      <c r="F821" s="64">
        <f>16.7007 * CHOOSE(CONTROL!$C$22, $C$13, 100%, $E$13)</f>
        <v>16.700700000000001</v>
      </c>
      <c r="G821" s="64">
        <f>16.7022 * CHOOSE(CONTROL!$C$22, $C$13, 100%, $E$13)</f>
        <v>16.702200000000001</v>
      </c>
      <c r="H821" s="64">
        <f>27.2783* CHOOSE(CONTROL!$C$22, $C$13, 100%, $E$13)</f>
        <v>27.278300000000002</v>
      </c>
      <c r="I821" s="64">
        <f>27.2798 * CHOOSE(CONTROL!$C$22, $C$13, 100%, $E$13)</f>
        <v>27.279800000000002</v>
      </c>
      <c r="J821" s="64">
        <f>16.7007 * CHOOSE(CONTROL!$C$22, $C$13, 100%, $E$13)</f>
        <v>16.700700000000001</v>
      </c>
      <c r="K821" s="64">
        <f>16.7022 * CHOOSE(CONTROL!$C$22, $C$13, 100%, $E$13)</f>
        <v>16.702200000000001</v>
      </c>
    </row>
    <row r="822" spans="1:11" ht="15">
      <c r="A822" s="13">
        <v>66658</v>
      </c>
      <c r="B822" s="63">
        <f>14.3448 * CHOOSE(CONTROL!$C$22, $C$13, 100%, $E$13)</f>
        <v>14.344799999999999</v>
      </c>
      <c r="C822" s="63">
        <f>14.3448 * CHOOSE(CONTROL!$C$22, $C$13, 100%, $E$13)</f>
        <v>14.344799999999999</v>
      </c>
      <c r="D822" s="63">
        <f>14.3679 * CHOOSE(CONTROL!$C$22, $C$13, 100%, $E$13)</f>
        <v>14.367900000000001</v>
      </c>
      <c r="E822" s="64">
        <f>17.0188 * CHOOSE(CONTROL!$C$22, $C$13, 100%, $E$13)</f>
        <v>17.018799999999999</v>
      </c>
      <c r="F822" s="64">
        <f>17.0188 * CHOOSE(CONTROL!$C$22, $C$13, 100%, $E$13)</f>
        <v>17.018799999999999</v>
      </c>
      <c r="G822" s="64">
        <f>17.0203 * CHOOSE(CONTROL!$C$22, $C$13, 100%, $E$13)</f>
        <v>17.020299999999999</v>
      </c>
      <c r="H822" s="64">
        <f>27.3351* CHOOSE(CONTROL!$C$22, $C$13, 100%, $E$13)</f>
        <v>27.335100000000001</v>
      </c>
      <c r="I822" s="64">
        <f>27.3366 * CHOOSE(CONTROL!$C$22, $C$13, 100%, $E$13)</f>
        <v>27.336600000000001</v>
      </c>
      <c r="J822" s="64">
        <f>17.0188 * CHOOSE(CONTROL!$C$22, $C$13, 100%, $E$13)</f>
        <v>17.018799999999999</v>
      </c>
      <c r="K822" s="64">
        <f>17.0203 * CHOOSE(CONTROL!$C$22, $C$13, 100%, $E$13)</f>
        <v>17.020299999999999</v>
      </c>
    </row>
    <row r="823" spans="1:11" ht="15">
      <c r="A823" s="13">
        <v>66689</v>
      </c>
      <c r="B823" s="63">
        <f>14.3515 * CHOOSE(CONTROL!$C$22, $C$13, 100%, $E$13)</f>
        <v>14.3515</v>
      </c>
      <c r="C823" s="63">
        <f>14.3515 * CHOOSE(CONTROL!$C$22, $C$13, 100%, $E$13)</f>
        <v>14.3515</v>
      </c>
      <c r="D823" s="63">
        <f>14.3746 * CHOOSE(CONTROL!$C$22, $C$13, 100%, $E$13)</f>
        <v>14.374599999999999</v>
      </c>
      <c r="E823" s="64">
        <f>16.8506 * CHOOSE(CONTROL!$C$22, $C$13, 100%, $E$13)</f>
        <v>16.8506</v>
      </c>
      <c r="F823" s="64">
        <f>16.8506 * CHOOSE(CONTROL!$C$22, $C$13, 100%, $E$13)</f>
        <v>16.8506</v>
      </c>
      <c r="G823" s="64">
        <f>16.8521 * CHOOSE(CONTROL!$C$22, $C$13, 100%, $E$13)</f>
        <v>16.8521</v>
      </c>
      <c r="H823" s="64">
        <f>27.3921* CHOOSE(CONTROL!$C$22, $C$13, 100%, $E$13)</f>
        <v>27.392099999999999</v>
      </c>
      <c r="I823" s="64">
        <f>27.3936 * CHOOSE(CONTROL!$C$22, $C$13, 100%, $E$13)</f>
        <v>27.393599999999999</v>
      </c>
      <c r="J823" s="64">
        <f>16.8506 * CHOOSE(CONTROL!$C$22, $C$13, 100%, $E$13)</f>
        <v>16.8506</v>
      </c>
      <c r="K823" s="64">
        <f>16.8521 * CHOOSE(CONTROL!$C$22, $C$13, 100%, $E$13)</f>
        <v>16.8521</v>
      </c>
    </row>
    <row r="824" spans="1:11" ht="15">
      <c r="A824" s="13">
        <v>66720</v>
      </c>
      <c r="B824" s="63">
        <f>14.3484 * CHOOSE(CONTROL!$C$22, $C$13, 100%, $E$13)</f>
        <v>14.3484</v>
      </c>
      <c r="C824" s="63">
        <f>14.3484 * CHOOSE(CONTROL!$C$22, $C$13, 100%, $E$13)</f>
        <v>14.3484</v>
      </c>
      <c r="D824" s="63">
        <f>14.3716 * CHOOSE(CONTROL!$C$22, $C$13, 100%, $E$13)</f>
        <v>14.371600000000001</v>
      </c>
      <c r="E824" s="64">
        <f>16.8292 * CHOOSE(CONTROL!$C$22, $C$13, 100%, $E$13)</f>
        <v>16.8292</v>
      </c>
      <c r="F824" s="64">
        <f>16.8292 * CHOOSE(CONTROL!$C$22, $C$13, 100%, $E$13)</f>
        <v>16.8292</v>
      </c>
      <c r="G824" s="64">
        <f>16.8307 * CHOOSE(CONTROL!$C$22, $C$13, 100%, $E$13)</f>
        <v>16.8307</v>
      </c>
      <c r="H824" s="64">
        <f>27.4491* CHOOSE(CONTROL!$C$22, $C$13, 100%, $E$13)</f>
        <v>27.449100000000001</v>
      </c>
      <c r="I824" s="64">
        <f>27.4506 * CHOOSE(CONTROL!$C$22, $C$13, 100%, $E$13)</f>
        <v>27.450600000000001</v>
      </c>
      <c r="J824" s="64">
        <f>16.8292 * CHOOSE(CONTROL!$C$22, $C$13, 100%, $E$13)</f>
        <v>16.8292</v>
      </c>
      <c r="K824" s="64">
        <f>16.8307 * CHOOSE(CONTROL!$C$22, $C$13, 100%, $E$13)</f>
        <v>16.8307</v>
      </c>
    </row>
    <row r="825" spans="1:11" ht="15">
      <c r="A825" s="13">
        <v>66750</v>
      </c>
      <c r="B825" s="63">
        <f>14.3775 * CHOOSE(CONTROL!$C$22, $C$13, 100%, $E$13)</f>
        <v>14.3775</v>
      </c>
      <c r="C825" s="63">
        <f>14.3775 * CHOOSE(CONTROL!$C$22, $C$13, 100%, $E$13)</f>
        <v>14.3775</v>
      </c>
      <c r="D825" s="63">
        <f>14.389 * CHOOSE(CONTROL!$C$22, $C$13, 100%, $E$13)</f>
        <v>14.388999999999999</v>
      </c>
      <c r="E825" s="64">
        <f>16.8927 * CHOOSE(CONTROL!$C$22, $C$13, 100%, $E$13)</f>
        <v>16.892700000000001</v>
      </c>
      <c r="F825" s="64">
        <f>16.8927 * CHOOSE(CONTROL!$C$22, $C$13, 100%, $E$13)</f>
        <v>16.892700000000001</v>
      </c>
      <c r="G825" s="64">
        <f>16.8928 * CHOOSE(CONTROL!$C$22, $C$13, 100%, $E$13)</f>
        <v>16.892800000000001</v>
      </c>
      <c r="H825" s="64">
        <f>27.5063* CHOOSE(CONTROL!$C$22, $C$13, 100%, $E$13)</f>
        <v>27.5063</v>
      </c>
      <c r="I825" s="64">
        <f>27.5065 * CHOOSE(CONTROL!$C$22, $C$13, 100%, $E$13)</f>
        <v>27.506499999999999</v>
      </c>
      <c r="J825" s="64">
        <f>16.8927 * CHOOSE(CONTROL!$C$22, $C$13, 100%, $E$13)</f>
        <v>16.892700000000001</v>
      </c>
      <c r="K825" s="64">
        <f>16.8928 * CHOOSE(CONTROL!$C$22, $C$13, 100%, $E$13)</f>
        <v>16.892800000000001</v>
      </c>
    </row>
    <row r="826" spans="1:11" ht="15">
      <c r="A826" s="13">
        <v>66781</v>
      </c>
      <c r="B826" s="63">
        <f>14.3805 * CHOOSE(CONTROL!$C$22, $C$13, 100%, $E$13)</f>
        <v>14.3805</v>
      </c>
      <c r="C826" s="63">
        <f>14.3805 * CHOOSE(CONTROL!$C$22, $C$13, 100%, $E$13)</f>
        <v>14.3805</v>
      </c>
      <c r="D826" s="63">
        <f>14.3921 * CHOOSE(CONTROL!$C$22, $C$13, 100%, $E$13)</f>
        <v>14.392099999999999</v>
      </c>
      <c r="E826" s="64">
        <f>16.9332 * CHOOSE(CONTROL!$C$22, $C$13, 100%, $E$13)</f>
        <v>16.933199999999999</v>
      </c>
      <c r="F826" s="64">
        <f>16.9332 * CHOOSE(CONTROL!$C$22, $C$13, 100%, $E$13)</f>
        <v>16.933199999999999</v>
      </c>
      <c r="G826" s="64">
        <f>16.9334 * CHOOSE(CONTROL!$C$22, $C$13, 100%, $E$13)</f>
        <v>16.933399999999999</v>
      </c>
      <c r="H826" s="64">
        <f>27.5636* CHOOSE(CONTROL!$C$22, $C$13, 100%, $E$13)</f>
        <v>27.563600000000001</v>
      </c>
      <c r="I826" s="64">
        <f>27.5638 * CHOOSE(CONTROL!$C$22, $C$13, 100%, $E$13)</f>
        <v>27.563800000000001</v>
      </c>
      <c r="J826" s="64">
        <f>16.9332 * CHOOSE(CONTROL!$C$22, $C$13, 100%, $E$13)</f>
        <v>16.933199999999999</v>
      </c>
      <c r="K826" s="64">
        <f>16.9334 * CHOOSE(CONTROL!$C$22, $C$13, 100%, $E$13)</f>
        <v>16.933399999999999</v>
      </c>
    </row>
    <row r="827" spans="1:11" ht="15">
      <c r="A827" s="13">
        <v>66811</v>
      </c>
      <c r="B827" s="63">
        <f>14.3805 * CHOOSE(CONTROL!$C$22, $C$13, 100%, $E$13)</f>
        <v>14.3805</v>
      </c>
      <c r="C827" s="63">
        <f>14.3805 * CHOOSE(CONTROL!$C$22, $C$13, 100%, $E$13)</f>
        <v>14.3805</v>
      </c>
      <c r="D827" s="63">
        <f>14.3921 * CHOOSE(CONTROL!$C$22, $C$13, 100%, $E$13)</f>
        <v>14.392099999999999</v>
      </c>
      <c r="E827" s="64">
        <f>16.8371 * CHOOSE(CONTROL!$C$22, $C$13, 100%, $E$13)</f>
        <v>16.8371</v>
      </c>
      <c r="F827" s="64">
        <f>16.8371 * CHOOSE(CONTROL!$C$22, $C$13, 100%, $E$13)</f>
        <v>16.8371</v>
      </c>
      <c r="G827" s="64">
        <f>16.8373 * CHOOSE(CONTROL!$C$22, $C$13, 100%, $E$13)</f>
        <v>16.837299999999999</v>
      </c>
      <c r="H827" s="64">
        <f>27.6211* CHOOSE(CONTROL!$C$22, $C$13, 100%, $E$13)</f>
        <v>27.621099999999998</v>
      </c>
      <c r="I827" s="64">
        <f>27.6212 * CHOOSE(CONTROL!$C$22, $C$13, 100%, $E$13)</f>
        <v>27.621200000000002</v>
      </c>
      <c r="J827" s="64">
        <f>16.8371 * CHOOSE(CONTROL!$C$22, $C$13, 100%, $E$13)</f>
        <v>16.8371</v>
      </c>
      <c r="K827" s="64">
        <f>16.8373 * CHOOSE(CONTROL!$C$22, $C$13, 100%, $E$13)</f>
        <v>16.837299999999999</v>
      </c>
    </row>
    <row r="828" spans="1:11" ht="15">
      <c r="A828" s="13">
        <v>66842</v>
      </c>
      <c r="B828" s="63">
        <f>14.3621 * CHOOSE(CONTROL!$C$22, $C$13, 100%, $E$13)</f>
        <v>14.3621</v>
      </c>
      <c r="C828" s="63">
        <f>14.3621 * CHOOSE(CONTROL!$C$22, $C$13, 100%, $E$13)</f>
        <v>14.3621</v>
      </c>
      <c r="D828" s="63">
        <f>14.3737 * CHOOSE(CONTROL!$C$22, $C$13, 100%, $E$13)</f>
        <v>14.373699999999999</v>
      </c>
      <c r="E828" s="64">
        <f>16.8821 * CHOOSE(CONTROL!$C$22, $C$13, 100%, $E$13)</f>
        <v>16.882100000000001</v>
      </c>
      <c r="F828" s="64">
        <f>16.8821 * CHOOSE(CONTROL!$C$22, $C$13, 100%, $E$13)</f>
        <v>16.882100000000001</v>
      </c>
      <c r="G828" s="64">
        <f>16.8822 * CHOOSE(CONTROL!$C$22, $C$13, 100%, $E$13)</f>
        <v>16.882200000000001</v>
      </c>
      <c r="H828" s="64">
        <f>27.4418* CHOOSE(CONTROL!$C$22, $C$13, 100%, $E$13)</f>
        <v>27.441800000000001</v>
      </c>
      <c r="I828" s="64">
        <f>27.442 * CHOOSE(CONTROL!$C$22, $C$13, 100%, $E$13)</f>
        <v>27.442</v>
      </c>
      <c r="J828" s="64">
        <f>16.8821 * CHOOSE(CONTROL!$C$22, $C$13, 100%, $E$13)</f>
        <v>16.882100000000001</v>
      </c>
      <c r="K828" s="64">
        <f>16.8822 * CHOOSE(CONTROL!$C$22, $C$13, 100%, $E$13)</f>
        <v>16.882200000000001</v>
      </c>
    </row>
    <row r="829" spans="1:11" ht="15">
      <c r="A829" s="13">
        <v>66873</v>
      </c>
      <c r="B829" s="63">
        <f>14.3591 * CHOOSE(CONTROL!$C$22, $C$13, 100%, $E$13)</f>
        <v>14.3591</v>
      </c>
      <c r="C829" s="63">
        <f>14.3591 * CHOOSE(CONTROL!$C$22, $C$13, 100%, $E$13)</f>
        <v>14.3591</v>
      </c>
      <c r="D829" s="63">
        <f>14.3706 * CHOOSE(CONTROL!$C$22, $C$13, 100%, $E$13)</f>
        <v>14.3706</v>
      </c>
      <c r="E829" s="64">
        <f>16.6952 * CHOOSE(CONTROL!$C$22, $C$13, 100%, $E$13)</f>
        <v>16.6952</v>
      </c>
      <c r="F829" s="64">
        <f>16.6952 * CHOOSE(CONTROL!$C$22, $C$13, 100%, $E$13)</f>
        <v>16.6952</v>
      </c>
      <c r="G829" s="64">
        <f>16.6954 * CHOOSE(CONTROL!$C$22, $C$13, 100%, $E$13)</f>
        <v>16.695399999999999</v>
      </c>
      <c r="H829" s="64">
        <f>27.499* CHOOSE(CONTROL!$C$22, $C$13, 100%, $E$13)</f>
        <v>27.498999999999999</v>
      </c>
      <c r="I829" s="64">
        <f>27.4992 * CHOOSE(CONTROL!$C$22, $C$13, 100%, $E$13)</f>
        <v>27.499199999999998</v>
      </c>
      <c r="J829" s="64">
        <f>16.6952 * CHOOSE(CONTROL!$C$22, $C$13, 100%, $E$13)</f>
        <v>16.6952</v>
      </c>
      <c r="K829" s="64">
        <f>16.6954 * CHOOSE(CONTROL!$C$22, $C$13, 100%, $E$13)</f>
        <v>16.695399999999999</v>
      </c>
    </row>
    <row r="830" spans="1:11" ht="15">
      <c r="A830" s="13">
        <v>66901</v>
      </c>
      <c r="B830" s="63">
        <f>14.3561 * CHOOSE(CONTROL!$C$22, $C$13, 100%, $E$13)</f>
        <v>14.3561</v>
      </c>
      <c r="C830" s="63">
        <f>14.3561 * CHOOSE(CONTROL!$C$22, $C$13, 100%, $E$13)</f>
        <v>14.3561</v>
      </c>
      <c r="D830" s="63">
        <f>14.3676 * CHOOSE(CONTROL!$C$22, $C$13, 100%, $E$13)</f>
        <v>14.367599999999999</v>
      </c>
      <c r="E830" s="64">
        <f>16.8387 * CHOOSE(CONTROL!$C$22, $C$13, 100%, $E$13)</f>
        <v>16.838699999999999</v>
      </c>
      <c r="F830" s="64">
        <f>16.8387 * CHOOSE(CONTROL!$C$22, $C$13, 100%, $E$13)</f>
        <v>16.838699999999999</v>
      </c>
      <c r="G830" s="64">
        <f>16.8389 * CHOOSE(CONTROL!$C$22, $C$13, 100%, $E$13)</f>
        <v>16.838899999999999</v>
      </c>
      <c r="H830" s="64">
        <f>27.5563* CHOOSE(CONTROL!$C$22, $C$13, 100%, $E$13)</f>
        <v>27.5563</v>
      </c>
      <c r="I830" s="64">
        <f>27.5564 * CHOOSE(CONTROL!$C$22, $C$13, 100%, $E$13)</f>
        <v>27.5564</v>
      </c>
      <c r="J830" s="64">
        <f>16.8387 * CHOOSE(CONTROL!$C$22, $C$13, 100%, $E$13)</f>
        <v>16.838699999999999</v>
      </c>
      <c r="K830" s="64">
        <f>16.8389 * CHOOSE(CONTROL!$C$22, $C$13, 100%, $E$13)</f>
        <v>16.838899999999999</v>
      </c>
    </row>
    <row r="831" spans="1:11" ht="15">
      <c r="A831" s="13">
        <v>66932</v>
      </c>
      <c r="B831" s="63">
        <f>14.3625 * CHOOSE(CONTROL!$C$22, $C$13, 100%, $E$13)</f>
        <v>14.362500000000001</v>
      </c>
      <c r="C831" s="63">
        <f>14.3625 * CHOOSE(CONTROL!$C$22, $C$13, 100%, $E$13)</f>
        <v>14.362500000000001</v>
      </c>
      <c r="D831" s="63">
        <f>14.3741 * CHOOSE(CONTROL!$C$22, $C$13, 100%, $E$13)</f>
        <v>14.3741</v>
      </c>
      <c r="E831" s="64">
        <f>16.9909 * CHOOSE(CONTROL!$C$22, $C$13, 100%, $E$13)</f>
        <v>16.9909</v>
      </c>
      <c r="F831" s="64">
        <f>16.9909 * CHOOSE(CONTROL!$C$22, $C$13, 100%, $E$13)</f>
        <v>16.9909</v>
      </c>
      <c r="G831" s="64">
        <f>16.9911 * CHOOSE(CONTROL!$C$22, $C$13, 100%, $E$13)</f>
        <v>16.991099999999999</v>
      </c>
      <c r="H831" s="64">
        <f>27.6137* CHOOSE(CONTROL!$C$22, $C$13, 100%, $E$13)</f>
        <v>27.613700000000001</v>
      </c>
      <c r="I831" s="64">
        <f>27.6138 * CHOOSE(CONTROL!$C$22, $C$13, 100%, $E$13)</f>
        <v>27.613800000000001</v>
      </c>
      <c r="J831" s="64">
        <f>16.9909 * CHOOSE(CONTROL!$C$22, $C$13, 100%, $E$13)</f>
        <v>16.9909</v>
      </c>
      <c r="K831" s="64">
        <f>16.9911 * CHOOSE(CONTROL!$C$22, $C$13, 100%, $E$13)</f>
        <v>16.991099999999999</v>
      </c>
    </row>
    <row r="832" spans="1:11" ht="15">
      <c r="A832" s="13">
        <v>66962</v>
      </c>
      <c r="B832" s="63">
        <f>14.3625 * CHOOSE(CONTROL!$C$22, $C$13, 100%, $E$13)</f>
        <v>14.362500000000001</v>
      </c>
      <c r="C832" s="63">
        <f>14.3625 * CHOOSE(CONTROL!$C$22, $C$13, 100%, $E$13)</f>
        <v>14.362500000000001</v>
      </c>
      <c r="D832" s="63">
        <f>14.3857 * CHOOSE(CONTROL!$C$22, $C$13, 100%, $E$13)</f>
        <v>14.3857</v>
      </c>
      <c r="E832" s="64">
        <f>17.0496 * CHOOSE(CONTROL!$C$22, $C$13, 100%, $E$13)</f>
        <v>17.049600000000002</v>
      </c>
      <c r="F832" s="64">
        <f>17.0496 * CHOOSE(CONTROL!$C$22, $C$13, 100%, $E$13)</f>
        <v>17.049600000000002</v>
      </c>
      <c r="G832" s="64">
        <f>17.0511 * CHOOSE(CONTROL!$C$22, $C$13, 100%, $E$13)</f>
        <v>17.051100000000002</v>
      </c>
      <c r="H832" s="64">
        <f>27.6712* CHOOSE(CONTROL!$C$22, $C$13, 100%, $E$13)</f>
        <v>27.671199999999999</v>
      </c>
      <c r="I832" s="64">
        <f>27.6727 * CHOOSE(CONTROL!$C$22, $C$13, 100%, $E$13)</f>
        <v>27.672699999999999</v>
      </c>
      <c r="J832" s="64">
        <f>17.0496 * CHOOSE(CONTROL!$C$22, $C$13, 100%, $E$13)</f>
        <v>17.049600000000002</v>
      </c>
      <c r="K832" s="64">
        <f>17.0511 * CHOOSE(CONTROL!$C$22, $C$13, 100%, $E$13)</f>
        <v>17.051100000000002</v>
      </c>
    </row>
    <row r="833" spans="1:11" ht="15">
      <c r="A833" s="13">
        <v>66993</v>
      </c>
      <c r="B833" s="63">
        <f>14.3686 * CHOOSE(CONTROL!$C$22, $C$13, 100%, $E$13)</f>
        <v>14.368600000000001</v>
      </c>
      <c r="C833" s="63">
        <f>14.3686 * CHOOSE(CONTROL!$C$22, $C$13, 100%, $E$13)</f>
        <v>14.368600000000001</v>
      </c>
      <c r="D833" s="63">
        <f>14.3917 * CHOOSE(CONTROL!$C$22, $C$13, 100%, $E$13)</f>
        <v>14.3917</v>
      </c>
      <c r="E833" s="64">
        <f>16.9951 * CHOOSE(CONTROL!$C$22, $C$13, 100%, $E$13)</f>
        <v>16.995100000000001</v>
      </c>
      <c r="F833" s="64">
        <f>16.9951 * CHOOSE(CONTROL!$C$22, $C$13, 100%, $E$13)</f>
        <v>16.995100000000001</v>
      </c>
      <c r="G833" s="64">
        <f>16.9966 * CHOOSE(CONTROL!$C$22, $C$13, 100%, $E$13)</f>
        <v>16.996600000000001</v>
      </c>
      <c r="H833" s="64">
        <f>27.7288* CHOOSE(CONTROL!$C$22, $C$13, 100%, $E$13)</f>
        <v>27.7288</v>
      </c>
      <c r="I833" s="64">
        <f>27.7303 * CHOOSE(CONTROL!$C$22, $C$13, 100%, $E$13)</f>
        <v>27.7303</v>
      </c>
      <c r="J833" s="64">
        <f>16.9951 * CHOOSE(CONTROL!$C$22, $C$13, 100%, $E$13)</f>
        <v>16.995100000000001</v>
      </c>
      <c r="K833" s="64">
        <f>16.9966 * CHOOSE(CONTROL!$C$22, $C$13, 100%, $E$13)</f>
        <v>16.996600000000001</v>
      </c>
    </row>
    <row r="834" spans="1:11" ht="15">
      <c r="A834" s="13">
        <v>67023</v>
      </c>
      <c r="B834" s="63">
        <f>14.594 * CHOOSE(CONTROL!$C$22, $C$13, 100%, $E$13)</f>
        <v>14.593999999999999</v>
      </c>
      <c r="C834" s="63">
        <f>14.594 * CHOOSE(CONTROL!$C$22, $C$13, 100%, $E$13)</f>
        <v>14.593999999999999</v>
      </c>
      <c r="D834" s="63">
        <f>14.6171 * CHOOSE(CONTROL!$C$22, $C$13, 100%, $E$13)</f>
        <v>14.617100000000001</v>
      </c>
      <c r="E834" s="64">
        <f>17.3187 * CHOOSE(CONTROL!$C$22, $C$13, 100%, $E$13)</f>
        <v>17.3187</v>
      </c>
      <c r="F834" s="64">
        <f>17.3187 * CHOOSE(CONTROL!$C$22, $C$13, 100%, $E$13)</f>
        <v>17.3187</v>
      </c>
      <c r="G834" s="64">
        <f>17.3202 * CHOOSE(CONTROL!$C$22, $C$13, 100%, $E$13)</f>
        <v>17.3202</v>
      </c>
      <c r="H834" s="64">
        <f>27.7866* CHOOSE(CONTROL!$C$22, $C$13, 100%, $E$13)</f>
        <v>27.7866</v>
      </c>
      <c r="I834" s="64">
        <f>27.7881 * CHOOSE(CONTROL!$C$22, $C$13, 100%, $E$13)</f>
        <v>27.7881</v>
      </c>
      <c r="J834" s="64">
        <f>17.3187 * CHOOSE(CONTROL!$C$22, $C$13, 100%, $E$13)</f>
        <v>17.3187</v>
      </c>
      <c r="K834" s="64">
        <f>17.3202 * CHOOSE(CONTROL!$C$22, $C$13, 100%, $E$13)</f>
        <v>17.3202</v>
      </c>
    </row>
    <row r="835" spans="1:11" ht="15">
      <c r="A835" s="13">
        <v>67054</v>
      </c>
      <c r="B835" s="63">
        <f>14.6007 * CHOOSE(CONTROL!$C$22, $C$13, 100%, $E$13)</f>
        <v>14.6007</v>
      </c>
      <c r="C835" s="63">
        <f>14.6007 * CHOOSE(CONTROL!$C$22, $C$13, 100%, $E$13)</f>
        <v>14.6007</v>
      </c>
      <c r="D835" s="63">
        <f>14.6238 * CHOOSE(CONTROL!$C$22, $C$13, 100%, $E$13)</f>
        <v>14.623799999999999</v>
      </c>
      <c r="E835" s="64">
        <f>17.1474 * CHOOSE(CONTROL!$C$22, $C$13, 100%, $E$13)</f>
        <v>17.147400000000001</v>
      </c>
      <c r="F835" s="64">
        <f>17.1474 * CHOOSE(CONTROL!$C$22, $C$13, 100%, $E$13)</f>
        <v>17.147400000000001</v>
      </c>
      <c r="G835" s="64">
        <f>17.1489 * CHOOSE(CONTROL!$C$22, $C$13, 100%, $E$13)</f>
        <v>17.148900000000001</v>
      </c>
      <c r="H835" s="64">
        <f>27.8445* CHOOSE(CONTROL!$C$22, $C$13, 100%, $E$13)</f>
        <v>27.8445</v>
      </c>
      <c r="I835" s="64">
        <f>27.846 * CHOOSE(CONTROL!$C$22, $C$13, 100%, $E$13)</f>
        <v>27.846</v>
      </c>
      <c r="J835" s="64">
        <f>17.1474 * CHOOSE(CONTROL!$C$22, $C$13, 100%, $E$13)</f>
        <v>17.147400000000001</v>
      </c>
      <c r="K835" s="64">
        <f>17.1489 * CHOOSE(CONTROL!$C$22, $C$13, 100%, $E$13)</f>
        <v>17.148900000000001</v>
      </c>
    </row>
    <row r="836" spans="1:11" ht="15">
      <c r="A836" s="13">
        <v>67085</v>
      </c>
      <c r="B836" s="63">
        <f>14.5977 * CHOOSE(CONTROL!$C$22, $C$13, 100%, $E$13)</f>
        <v>14.5977</v>
      </c>
      <c r="C836" s="63">
        <f>14.5977 * CHOOSE(CONTROL!$C$22, $C$13, 100%, $E$13)</f>
        <v>14.5977</v>
      </c>
      <c r="D836" s="63">
        <f>14.6208 * CHOOSE(CONTROL!$C$22, $C$13, 100%, $E$13)</f>
        <v>14.620799999999999</v>
      </c>
      <c r="E836" s="64">
        <f>17.1257 * CHOOSE(CONTROL!$C$22, $C$13, 100%, $E$13)</f>
        <v>17.125699999999998</v>
      </c>
      <c r="F836" s="64">
        <f>17.1257 * CHOOSE(CONTROL!$C$22, $C$13, 100%, $E$13)</f>
        <v>17.125699999999998</v>
      </c>
      <c r="G836" s="64">
        <f>17.1272 * CHOOSE(CONTROL!$C$22, $C$13, 100%, $E$13)</f>
        <v>17.127199999999998</v>
      </c>
      <c r="H836" s="64">
        <f>27.9025* CHOOSE(CONTROL!$C$22, $C$13, 100%, $E$13)</f>
        <v>27.9025</v>
      </c>
      <c r="I836" s="64">
        <f>27.904 * CHOOSE(CONTROL!$C$22, $C$13, 100%, $E$13)</f>
        <v>27.904</v>
      </c>
      <c r="J836" s="64">
        <f>17.1257 * CHOOSE(CONTROL!$C$22, $C$13, 100%, $E$13)</f>
        <v>17.125699999999998</v>
      </c>
      <c r="K836" s="64">
        <f>17.1272 * CHOOSE(CONTROL!$C$22, $C$13, 100%, $E$13)</f>
        <v>17.127199999999998</v>
      </c>
    </row>
    <row r="837" spans="1:11" ht="15">
      <c r="A837" s="13">
        <v>67115</v>
      </c>
      <c r="B837" s="63">
        <f>14.6275 * CHOOSE(CONTROL!$C$22, $C$13, 100%, $E$13)</f>
        <v>14.6275</v>
      </c>
      <c r="C837" s="63">
        <f>14.6275 * CHOOSE(CONTROL!$C$22, $C$13, 100%, $E$13)</f>
        <v>14.6275</v>
      </c>
      <c r="D837" s="63">
        <f>14.639 * CHOOSE(CONTROL!$C$22, $C$13, 100%, $E$13)</f>
        <v>14.638999999999999</v>
      </c>
      <c r="E837" s="64">
        <f>17.1905 * CHOOSE(CONTROL!$C$22, $C$13, 100%, $E$13)</f>
        <v>17.1905</v>
      </c>
      <c r="F837" s="64">
        <f>17.1905 * CHOOSE(CONTROL!$C$22, $C$13, 100%, $E$13)</f>
        <v>17.1905</v>
      </c>
      <c r="G837" s="64">
        <f>17.1907 * CHOOSE(CONTROL!$C$22, $C$13, 100%, $E$13)</f>
        <v>17.1907</v>
      </c>
      <c r="H837" s="64">
        <f>27.9606* CHOOSE(CONTROL!$C$22, $C$13, 100%, $E$13)</f>
        <v>27.960599999999999</v>
      </c>
      <c r="I837" s="64">
        <f>27.9608 * CHOOSE(CONTROL!$C$22, $C$13, 100%, $E$13)</f>
        <v>27.960799999999999</v>
      </c>
      <c r="J837" s="64">
        <f>17.1905 * CHOOSE(CONTROL!$C$22, $C$13, 100%, $E$13)</f>
        <v>17.1905</v>
      </c>
      <c r="K837" s="64">
        <f>17.1907 * CHOOSE(CONTROL!$C$22, $C$13, 100%, $E$13)</f>
        <v>17.1907</v>
      </c>
    </row>
    <row r="838" spans="1:11" ht="15">
      <c r="A838" s="13">
        <v>67146</v>
      </c>
      <c r="B838" s="63">
        <f>14.6305 * CHOOSE(CONTROL!$C$22, $C$13, 100%, $E$13)</f>
        <v>14.6305</v>
      </c>
      <c r="C838" s="63">
        <f>14.6305 * CHOOSE(CONTROL!$C$22, $C$13, 100%, $E$13)</f>
        <v>14.6305</v>
      </c>
      <c r="D838" s="63">
        <f>14.6421 * CHOOSE(CONTROL!$C$22, $C$13, 100%, $E$13)</f>
        <v>14.642099999999999</v>
      </c>
      <c r="E838" s="64">
        <f>17.2317 * CHOOSE(CONTROL!$C$22, $C$13, 100%, $E$13)</f>
        <v>17.2317</v>
      </c>
      <c r="F838" s="64">
        <f>17.2317 * CHOOSE(CONTROL!$C$22, $C$13, 100%, $E$13)</f>
        <v>17.2317</v>
      </c>
      <c r="G838" s="64">
        <f>17.2319 * CHOOSE(CONTROL!$C$22, $C$13, 100%, $E$13)</f>
        <v>17.2319</v>
      </c>
      <c r="H838" s="64">
        <f>28.0189* CHOOSE(CONTROL!$C$22, $C$13, 100%, $E$13)</f>
        <v>28.018899999999999</v>
      </c>
      <c r="I838" s="64">
        <f>28.0191 * CHOOSE(CONTROL!$C$22, $C$13, 100%, $E$13)</f>
        <v>28.019100000000002</v>
      </c>
      <c r="J838" s="64">
        <f>17.2317 * CHOOSE(CONTROL!$C$22, $C$13, 100%, $E$13)</f>
        <v>17.2317</v>
      </c>
      <c r="K838" s="64">
        <f>17.2319 * CHOOSE(CONTROL!$C$22, $C$13, 100%, $E$13)</f>
        <v>17.2319</v>
      </c>
    </row>
    <row r="839" spans="1:11" ht="15">
      <c r="A839" s="13">
        <v>67176</v>
      </c>
      <c r="B839" s="63">
        <f>14.6305 * CHOOSE(CONTROL!$C$22, $C$13, 100%, $E$13)</f>
        <v>14.6305</v>
      </c>
      <c r="C839" s="63">
        <f>14.6305 * CHOOSE(CONTROL!$C$22, $C$13, 100%, $E$13)</f>
        <v>14.6305</v>
      </c>
      <c r="D839" s="63">
        <f>14.6421 * CHOOSE(CONTROL!$C$22, $C$13, 100%, $E$13)</f>
        <v>14.642099999999999</v>
      </c>
      <c r="E839" s="64">
        <f>17.134 * CHOOSE(CONTROL!$C$22, $C$13, 100%, $E$13)</f>
        <v>17.134</v>
      </c>
      <c r="F839" s="64">
        <f>17.134 * CHOOSE(CONTROL!$C$22, $C$13, 100%, $E$13)</f>
        <v>17.134</v>
      </c>
      <c r="G839" s="64">
        <f>17.1342 * CHOOSE(CONTROL!$C$22, $C$13, 100%, $E$13)</f>
        <v>17.1342</v>
      </c>
      <c r="H839" s="64">
        <f>28.0773* CHOOSE(CONTROL!$C$22, $C$13, 100%, $E$13)</f>
        <v>28.077300000000001</v>
      </c>
      <c r="I839" s="64">
        <f>28.0774 * CHOOSE(CONTROL!$C$22, $C$13, 100%, $E$13)</f>
        <v>28.077400000000001</v>
      </c>
      <c r="J839" s="64">
        <f>17.134 * CHOOSE(CONTROL!$C$22, $C$13, 100%, $E$13)</f>
        <v>17.134</v>
      </c>
      <c r="K839" s="64">
        <f>17.1342 * CHOOSE(CONTROL!$C$22, $C$13, 100%, $E$13)</f>
        <v>17.1342</v>
      </c>
    </row>
    <row r="840" spans="1:11" ht="15">
      <c r="A840" s="13">
        <v>67207</v>
      </c>
      <c r="B840" s="63">
        <f>14.6075 * CHOOSE(CONTROL!$C$22, $C$13, 100%, $E$13)</f>
        <v>14.6075</v>
      </c>
      <c r="C840" s="63">
        <f>14.6075 * CHOOSE(CONTROL!$C$22, $C$13, 100%, $E$13)</f>
        <v>14.6075</v>
      </c>
      <c r="D840" s="63">
        <f>14.619 * CHOOSE(CONTROL!$C$22, $C$13, 100%, $E$13)</f>
        <v>14.619</v>
      </c>
      <c r="E840" s="64">
        <f>17.1745 * CHOOSE(CONTROL!$C$22, $C$13, 100%, $E$13)</f>
        <v>17.174499999999998</v>
      </c>
      <c r="F840" s="64">
        <f>17.1745 * CHOOSE(CONTROL!$C$22, $C$13, 100%, $E$13)</f>
        <v>17.174499999999998</v>
      </c>
      <c r="G840" s="64">
        <f>17.1747 * CHOOSE(CONTROL!$C$22, $C$13, 100%, $E$13)</f>
        <v>17.174700000000001</v>
      </c>
      <c r="H840" s="64">
        <f>27.8877* CHOOSE(CONTROL!$C$22, $C$13, 100%, $E$13)</f>
        <v>27.887699999999999</v>
      </c>
      <c r="I840" s="64">
        <f>27.8879 * CHOOSE(CONTROL!$C$22, $C$13, 100%, $E$13)</f>
        <v>27.887899999999998</v>
      </c>
      <c r="J840" s="64">
        <f>17.1745 * CHOOSE(CONTROL!$C$22, $C$13, 100%, $E$13)</f>
        <v>17.174499999999998</v>
      </c>
      <c r="K840" s="64">
        <f>17.1747 * CHOOSE(CONTROL!$C$22, $C$13, 100%, $E$13)</f>
        <v>17.174700000000001</v>
      </c>
    </row>
    <row r="841" spans="1:11" ht="15">
      <c r="A841" s="13">
        <v>67238</v>
      </c>
      <c r="B841" s="63">
        <f>14.6044 * CHOOSE(CONTROL!$C$22, $C$13, 100%, $E$13)</f>
        <v>14.6044</v>
      </c>
      <c r="C841" s="63">
        <f>14.6044 * CHOOSE(CONTROL!$C$22, $C$13, 100%, $E$13)</f>
        <v>14.6044</v>
      </c>
      <c r="D841" s="63">
        <f>14.616 * CHOOSE(CONTROL!$C$22, $C$13, 100%, $E$13)</f>
        <v>14.616</v>
      </c>
      <c r="E841" s="64">
        <f>16.9844 * CHOOSE(CONTROL!$C$22, $C$13, 100%, $E$13)</f>
        <v>16.984400000000001</v>
      </c>
      <c r="F841" s="64">
        <f>16.9844 * CHOOSE(CONTROL!$C$22, $C$13, 100%, $E$13)</f>
        <v>16.984400000000001</v>
      </c>
      <c r="G841" s="64">
        <f>16.9846 * CHOOSE(CONTROL!$C$22, $C$13, 100%, $E$13)</f>
        <v>16.9846</v>
      </c>
      <c r="H841" s="64">
        <f>27.9458* CHOOSE(CONTROL!$C$22, $C$13, 100%, $E$13)</f>
        <v>27.945799999999998</v>
      </c>
      <c r="I841" s="64">
        <f>27.946 * CHOOSE(CONTROL!$C$22, $C$13, 100%, $E$13)</f>
        <v>27.946000000000002</v>
      </c>
      <c r="J841" s="64">
        <f>16.9844 * CHOOSE(CONTROL!$C$22, $C$13, 100%, $E$13)</f>
        <v>16.984400000000001</v>
      </c>
      <c r="K841" s="64">
        <f>16.9846 * CHOOSE(CONTROL!$C$22, $C$13, 100%, $E$13)</f>
        <v>16.9846</v>
      </c>
    </row>
    <row r="842" spans="1:11" ht="15">
      <c r="A842" s="13">
        <v>67267</v>
      </c>
      <c r="B842" s="63">
        <f>14.6014 * CHOOSE(CONTROL!$C$22, $C$13, 100%, $E$13)</f>
        <v>14.6014</v>
      </c>
      <c r="C842" s="63">
        <f>14.6014 * CHOOSE(CONTROL!$C$22, $C$13, 100%, $E$13)</f>
        <v>14.6014</v>
      </c>
      <c r="D842" s="63">
        <f>14.6129 * CHOOSE(CONTROL!$C$22, $C$13, 100%, $E$13)</f>
        <v>14.6129</v>
      </c>
      <c r="E842" s="64">
        <f>17.1305 * CHOOSE(CONTROL!$C$22, $C$13, 100%, $E$13)</f>
        <v>17.130500000000001</v>
      </c>
      <c r="F842" s="64">
        <f>17.1305 * CHOOSE(CONTROL!$C$22, $C$13, 100%, $E$13)</f>
        <v>17.130500000000001</v>
      </c>
      <c r="G842" s="64">
        <f>17.1306 * CHOOSE(CONTROL!$C$22, $C$13, 100%, $E$13)</f>
        <v>17.130600000000001</v>
      </c>
      <c r="H842" s="64">
        <f>28.004* CHOOSE(CONTROL!$C$22, $C$13, 100%, $E$13)</f>
        <v>28.004000000000001</v>
      </c>
      <c r="I842" s="64">
        <f>28.0042 * CHOOSE(CONTROL!$C$22, $C$13, 100%, $E$13)</f>
        <v>28.004200000000001</v>
      </c>
      <c r="J842" s="64">
        <f>17.1305 * CHOOSE(CONTROL!$C$22, $C$13, 100%, $E$13)</f>
        <v>17.130500000000001</v>
      </c>
      <c r="K842" s="64">
        <f>17.1306 * CHOOSE(CONTROL!$C$22, $C$13, 100%, $E$13)</f>
        <v>17.130600000000001</v>
      </c>
    </row>
    <row r="843" spans="1:11" ht="15">
      <c r="A843" s="13">
        <v>67298</v>
      </c>
      <c r="B843" s="63">
        <f>14.6081 * CHOOSE(CONTROL!$C$22, $C$13, 100%, $E$13)</f>
        <v>14.6081</v>
      </c>
      <c r="C843" s="63">
        <f>14.6081 * CHOOSE(CONTROL!$C$22, $C$13, 100%, $E$13)</f>
        <v>14.6081</v>
      </c>
      <c r="D843" s="63">
        <f>14.6196 * CHOOSE(CONTROL!$C$22, $C$13, 100%, $E$13)</f>
        <v>14.6196</v>
      </c>
      <c r="E843" s="64">
        <f>17.2854 * CHOOSE(CONTROL!$C$22, $C$13, 100%, $E$13)</f>
        <v>17.285399999999999</v>
      </c>
      <c r="F843" s="64">
        <f>17.2854 * CHOOSE(CONTROL!$C$22, $C$13, 100%, $E$13)</f>
        <v>17.285399999999999</v>
      </c>
      <c r="G843" s="64">
        <f>17.2855 * CHOOSE(CONTROL!$C$22, $C$13, 100%, $E$13)</f>
        <v>17.285499999999999</v>
      </c>
      <c r="H843" s="64">
        <f>28.0624* CHOOSE(CONTROL!$C$22, $C$13, 100%, $E$13)</f>
        <v>28.0624</v>
      </c>
      <c r="I843" s="64">
        <f>28.0625 * CHOOSE(CONTROL!$C$22, $C$13, 100%, $E$13)</f>
        <v>28.0625</v>
      </c>
      <c r="J843" s="64">
        <f>17.2854 * CHOOSE(CONTROL!$C$22, $C$13, 100%, $E$13)</f>
        <v>17.285399999999999</v>
      </c>
      <c r="K843" s="64">
        <f>17.2855 * CHOOSE(CONTROL!$C$22, $C$13, 100%, $E$13)</f>
        <v>17.285499999999999</v>
      </c>
    </row>
    <row r="844" spans="1:11" ht="15">
      <c r="A844" s="13">
        <v>67328</v>
      </c>
      <c r="B844" s="63">
        <f>14.6081 * CHOOSE(CONTROL!$C$22, $C$13, 100%, $E$13)</f>
        <v>14.6081</v>
      </c>
      <c r="C844" s="63">
        <f>14.6081 * CHOOSE(CONTROL!$C$22, $C$13, 100%, $E$13)</f>
        <v>14.6081</v>
      </c>
      <c r="D844" s="63">
        <f>14.6312 * CHOOSE(CONTROL!$C$22, $C$13, 100%, $E$13)</f>
        <v>14.6312</v>
      </c>
      <c r="E844" s="64">
        <f>17.345 * CHOOSE(CONTROL!$C$22, $C$13, 100%, $E$13)</f>
        <v>17.344999999999999</v>
      </c>
      <c r="F844" s="64">
        <f>17.345 * CHOOSE(CONTROL!$C$22, $C$13, 100%, $E$13)</f>
        <v>17.344999999999999</v>
      </c>
      <c r="G844" s="64">
        <f>17.3465 * CHOOSE(CONTROL!$C$22, $C$13, 100%, $E$13)</f>
        <v>17.346499999999999</v>
      </c>
      <c r="H844" s="64">
        <f>28.1208* CHOOSE(CONTROL!$C$22, $C$13, 100%, $E$13)</f>
        <v>28.120799999999999</v>
      </c>
      <c r="I844" s="64">
        <f>28.1223 * CHOOSE(CONTROL!$C$22, $C$13, 100%, $E$13)</f>
        <v>28.122299999999999</v>
      </c>
      <c r="J844" s="64">
        <f>17.345 * CHOOSE(CONTROL!$C$22, $C$13, 100%, $E$13)</f>
        <v>17.344999999999999</v>
      </c>
      <c r="K844" s="64">
        <f>17.3465 * CHOOSE(CONTROL!$C$22, $C$13, 100%, $E$13)</f>
        <v>17.346499999999999</v>
      </c>
    </row>
    <row r="845" spans="1:11" ht="15">
      <c r="A845" s="13">
        <v>67359</v>
      </c>
      <c r="B845" s="63">
        <f>14.6142 * CHOOSE(CONTROL!$C$22, $C$13, 100%, $E$13)</f>
        <v>14.6142</v>
      </c>
      <c r="C845" s="63">
        <f>14.6142 * CHOOSE(CONTROL!$C$22, $C$13, 100%, $E$13)</f>
        <v>14.6142</v>
      </c>
      <c r="D845" s="63">
        <f>14.6373 * CHOOSE(CONTROL!$C$22, $C$13, 100%, $E$13)</f>
        <v>14.6373</v>
      </c>
      <c r="E845" s="64">
        <f>17.2896 * CHOOSE(CONTROL!$C$22, $C$13, 100%, $E$13)</f>
        <v>17.2896</v>
      </c>
      <c r="F845" s="64">
        <f>17.2896 * CHOOSE(CONTROL!$C$22, $C$13, 100%, $E$13)</f>
        <v>17.2896</v>
      </c>
      <c r="G845" s="64">
        <f>17.2911 * CHOOSE(CONTROL!$C$22, $C$13, 100%, $E$13)</f>
        <v>17.2911</v>
      </c>
      <c r="H845" s="64">
        <f>28.1794* CHOOSE(CONTROL!$C$22, $C$13, 100%, $E$13)</f>
        <v>28.179400000000001</v>
      </c>
      <c r="I845" s="64">
        <f>28.1809 * CHOOSE(CONTROL!$C$22, $C$13, 100%, $E$13)</f>
        <v>28.180900000000001</v>
      </c>
      <c r="J845" s="64">
        <f>17.2896 * CHOOSE(CONTROL!$C$22, $C$13, 100%, $E$13)</f>
        <v>17.2896</v>
      </c>
      <c r="K845" s="64">
        <f>17.2911 * CHOOSE(CONTROL!$C$22, $C$13, 100%, $E$13)</f>
        <v>17.2911</v>
      </c>
    </row>
    <row r="846" spans="1:11" ht="15">
      <c r="A846" s="13">
        <v>67389</v>
      </c>
      <c r="B846" s="63">
        <f>14.8432 * CHOOSE(CONTROL!$C$22, $C$13, 100%, $E$13)</f>
        <v>14.8432</v>
      </c>
      <c r="C846" s="63">
        <f>14.8432 * CHOOSE(CONTROL!$C$22, $C$13, 100%, $E$13)</f>
        <v>14.8432</v>
      </c>
      <c r="D846" s="63">
        <f>14.8663 * CHOOSE(CONTROL!$C$22, $C$13, 100%, $E$13)</f>
        <v>14.866300000000001</v>
      </c>
      <c r="E846" s="64">
        <f>17.6186 * CHOOSE(CONTROL!$C$22, $C$13, 100%, $E$13)</f>
        <v>17.618600000000001</v>
      </c>
      <c r="F846" s="64">
        <f>17.6186 * CHOOSE(CONTROL!$C$22, $C$13, 100%, $E$13)</f>
        <v>17.618600000000001</v>
      </c>
      <c r="G846" s="64">
        <f>17.6201 * CHOOSE(CONTROL!$C$22, $C$13, 100%, $E$13)</f>
        <v>17.620100000000001</v>
      </c>
      <c r="H846" s="64">
        <f>28.2381* CHOOSE(CONTROL!$C$22, $C$13, 100%, $E$13)</f>
        <v>28.238099999999999</v>
      </c>
      <c r="I846" s="64">
        <f>28.2396 * CHOOSE(CONTROL!$C$22, $C$13, 100%, $E$13)</f>
        <v>28.239599999999999</v>
      </c>
      <c r="J846" s="64">
        <f>17.6186 * CHOOSE(CONTROL!$C$22, $C$13, 100%, $E$13)</f>
        <v>17.618600000000001</v>
      </c>
      <c r="K846" s="64">
        <f>17.6201 * CHOOSE(CONTROL!$C$22, $C$13, 100%, $E$13)</f>
        <v>17.620100000000001</v>
      </c>
    </row>
    <row r="847" spans="1:11" ht="15">
      <c r="A847" s="13">
        <v>67420</v>
      </c>
      <c r="B847" s="63">
        <f>14.8499 * CHOOSE(CONTROL!$C$22, $C$13, 100%, $E$13)</f>
        <v>14.8499</v>
      </c>
      <c r="C847" s="63">
        <f>14.8499 * CHOOSE(CONTROL!$C$22, $C$13, 100%, $E$13)</f>
        <v>14.8499</v>
      </c>
      <c r="D847" s="63">
        <f>14.873 * CHOOSE(CONTROL!$C$22, $C$13, 100%, $E$13)</f>
        <v>14.872999999999999</v>
      </c>
      <c r="E847" s="64">
        <f>17.4442 * CHOOSE(CONTROL!$C$22, $C$13, 100%, $E$13)</f>
        <v>17.444199999999999</v>
      </c>
      <c r="F847" s="64">
        <f>17.4442 * CHOOSE(CONTROL!$C$22, $C$13, 100%, $E$13)</f>
        <v>17.444199999999999</v>
      </c>
      <c r="G847" s="64">
        <f>17.4457 * CHOOSE(CONTROL!$C$22, $C$13, 100%, $E$13)</f>
        <v>17.445699999999999</v>
      </c>
      <c r="H847" s="64">
        <f>28.2969* CHOOSE(CONTROL!$C$22, $C$13, 100%, $E$13)</f>
        <v>28.296900000000001</v>
      </c>
      <c r="I847" s="64">
        <f>28.2984 * CHOOSE(CONTROL!$C$22, $C$13, 100%, $E$13)</f>
        <v>28.298400000000001</v>
      </c>
      <c r="J847" s="64">
        <f>17.4442 * CHOOSE(CONTROL!$C$22, $C$13, 100%, $E$13)</f>
        <v>17.444199999999999</v>
      </c>
      <c r="K847" s="64">
        <f>17.4457 * CHOOSE(CONTROL!$C$22, $C$13, 100%, $E$13)</f>
        <v>17.445699999999999</v>
      </c>
    </row>
    <row r="848" spans="1:11" ht="15">
      <c r="A848" s="13">
        <v>67451</v>
      </c>
      <c r="B848" s="63">
        <f>14.8469 * CHOOSE(CONTROL!$C$22, $C$13, 100%, $E$13)</f>
        <v>14.8469</v>
      </c>
      <c r="C848" s="63">
        <f>14.8469 * CHOOSE(CONTROL!$C$22, $C$13, 100%, $E$13)</f>
        <v>14.8469</v>
      </c>
      <c r="D848" s="63">
        <f>14.87 * CHOOSE(CONTROL!$C$22, $C$13, 100%, $E$13)</f>
        <v>14.87</v>
      </c>
      <c r="E848" s="64">
        <f>17.4222 * CHOOSE(CONTROL!$C$22, $C$13, 100%, $E$13)</f>
        <v>17.4222</v>
      </c>
      <c r="F848" s="64">
        <f>17.4222 * CHOOSE(CONTROL!$C$22, $C$13, 100%, $E$13)</f>
        <v>17.4222</v>
      </c>
      <c r="G848" s="64">
        <f>17.4237 * CHOOSE(CONTROL!$C$22, $C$13, 100%, $E$13)</f>
        <v>17.4237</v>
      </c>
      <c r="H848" s="64">
        <f>28.3559* CHOOSE(CONTROL!$C$22, $C$13, 100%, $E$13)</f>
        <v>28.355899999999998</v>
      </c>
      <c r="I848" s="64">
        <f>28.3574 * CHOOSE(CONTROL!$C$22, $C$13, 100%, $E$13)</f>
        <v>28.357399999999998</v>
      </c>
      <c r="J848" s="64">
        <f>17.4222 * CHOOSE(CONTROL!$C$22, $C$13, 100%, $E$13)</f>
        <v>17.4222</v>
      </c>
      <c r="K848" s="64">
        <f>17.4237 * CHOOSE(CONTROL!$C$22, $C$13, 100%, $E$13)</f>
        <v>17.4237</v>
      </c>
    </row>
    <row r="849" spans="1:11" ht="15">
      <c r="A849" s="13">
        <v>67481</v>
      </c>
      <c r="B849" s="63">
        <f>14.8775 * CHOOSE(CONTROL!$C$22, $C$13, 100%, $E$13)</f>
        <v>14.8775</v>
      </c>
      <c r="C849" s="63">
        <f>14.8775 * CHOOSE(CONTROL!$C$22, $C$13, 100%, $E$13)</f>
        <v>14.8775</v>
      </c>
      <c r="D849" s="63">
        <f>14.8891 * CHOOSE(CONTROL!$C$22, $C$13, 100%, $E$13)</f>
        <v>14.889099999999999</v>
      </c>
      <c r="E849" s="64">
        <f>17.4884 * CHOOSE(CONTROL!$C$22, $C$13, 100%, $E$13)</f>
        <v>17.488399999999999</v>
      </c>
      <c r="F849" s="64">
        <f>17.4884 * CHOOSE(CONTROL!$C$22, $C$13, 100%, $E$13)</f>
        <v>17.488399999999999</v>
      </c>
      <c r="G849" s="64">
        <f>17.4885 * CHOOSE(CONTROL!$C$22, $C$13, 100%, $E$13)</f>
        <v>17.488499999999998</v>
      </c>
      <c r="H849" s="64">
        <f>28.415* CHOOSE(CONTROL!$C$22, $C$13, 100%, $E$13)</f>
        <v>28.414999999999999</v>
      </c>
      <c r="I849" s="64">
        <f>28.4151 * CHOOSE(CONTROL!$C$22, $C$13, 100%, $E$13)</f>
        <v>28.415099999999999</v>
      </c>
      <c r="J849" s="64">
        <f>17.4884 * CHOOSE(CONTROL!$C$22, $C$13, 100%, $E$13)</f>
        <v>17.488399999999999</v>
      </c>
      <c r="K849" s="64">
        <f>17.4885 * CHOOSE(CONTROL!$C$22, $C$13, 100%, $E$13)</f>
        <v>17.488499999999998</v>
      </c>
    </row>
    <row r="850" spans="1:11" ht="15">
      <c r="A850" s="13">
        <v>67512</v>
      </c>
      <c r="B850" s="63">
        <f>14.8806 * CHOOSE(CONTROL!$C$22, $C$13, 100%, $E$13)</f>
        <v>14.880599999999999</v>
      </c>
      <c r="C850" s="63">
        <f>14.8806 * CHOOSE(CONTROL!$C$22, $C$13, 100%, $E$13)</f>
        <v>14.880599999999999</v>
      </c>
      <c r="D850" s="63">
        <f>14.8921 * CHOOSE(CONTROL!$C$22, $C$13, 100%, $E$13)</f>
        <v>14.892099999999999</v>
      </c>
      <c r="E850" s="64">
        <f>17.5303 * CHOOSE(CONTROL!$C$22, $C$13, 100%, $E$13)</f>
        <v>17.5303</v>
      </c>
      <c r="F850" s="64">
        <f>17.5303 * CHOOSE(CONTROL!$C$22, $C$13, 100%, $E$13)</f>
        <v>17.5303</v>
      </c>
      <c r="G850" s="64">
        <f>17.5304 * CHOOSE(CONTROL!$C$22, $C$13, 100%, $E$13)</f>
        <v>17.5304</v>
      </c>
      <c r="H850" s="64">
        <f>28.4742* CHOOSE(CONTROL!$C$22, $C$13, 100%, $E$13)</f>
        <v>28.4742</v>
      </c>
      <c r="I850" s="64">
        <f>28.4743 * CHOOSE(CONTROL!$C$22, $C$13, 100%, $E$13)</f>
        <v>28.474299999999999</v>
      </c>
      <c r="J850" s="64">
        <f>17.5303 * CHOOSE(CONTROL!$C$22, $C$13, 100%, $E$13)</f>
        <v>17.5303</v>
      </c>
      <c r="K850" s="64">
        <f>17.5304 * CHOOSE(CONTROL!$C$22, $C$13, 100%, $E$13)</f>
        <v>17.5304</v>
      </c>
    </row>
    <row r="851" spans="1:11" ht="15">
      <c r="A851" s="13">
        <v>67542</v>
      </c>
      <c r="B851" s="63">
        <f>14.8806 * CHOOSE(CONTROL!$C$22, $C$13, 100%, $E$13)</f>
        <v>14.880599999999999</v>
      </c>
      <c r="C851" s="63">
        <f>14.8806 * CHOOSE(CONTROL!$C$22, $C$13, 100%, $E$13)</f>
        <v>14.880599999999999</v>
      </c>
      <c r="D851" s="63">
        <f>14.8921 * CHOOSE(CONTROL!$C$22, $C$13, 100%, $E$13)</f>
        <v>14.892099999999999</v>
      </c>
      <c r="E851" s="64">
        <f>17.4308 * CHOOSE(CONTROL!$C$22, $C$13, 100%, $E$13)</f>
        <v>17.430800000000001</v>
      </c>
      <c r="F851" s="64">
        <f>17.4308 * CHOOSE(CONTROL!$C$22, $C$13, 100%, $E$13)</f>
        <v>17.430800000000001</v>
      </c>
      <c r="G851" s="64">
        <f>17.431 * CHOOSE(CONTROL!$C$22, $C$13, 100%, $E$13)</f>
        <v>17.431000000000001</v>
      </c>
      <c r="H851" s="64">
        <f>28.5335* CHOOSE(CONTROL!$C$22, $C$13, 100%, $E$13)</f>
        <v>28.5335</v>
      </c>
      <c r="I851" s="64">
        <f>28.5337 * CHOOSE(CONTROL!$C$22, $C$13, 100%, $E$13)</f>
        <v>28.5337</v>
      </c>
      <c r="J851" s="64">
        <f>17.4308 * CHOOSE(CONTROL!$C$22, $C$13, 100%, $E$13)</f>
        <v>17.430800000000001</v>
      </c>
      <c r="K851" s="64">
        <f>17.431 * CHOOSE(CONTROL!$C$22, $C$13, 100%, $E$13)</f>
        <v>17.431000000000001</v>
      </c>
    </row>
    <row r="852" spans="1:11" ht="15">
      <c r="A852" s="13">
        <v>67573</v>
      </c>
      <c r="B852" s="63">
        <f>14.8528 * CHOOSE(CONTROL!$C$22, $C$13, 100%, $E$13)</f>
        <v>14.8528</v>
      </c>
      <c r="C852" s="63">
        <f>14.8528 * CHOOSE(CONTROL!$C$22, $C$13, 100%, $E$13)</f>
        <v>14.8528</v>
      </c>
      <c r="D852" s="63">
        <f>14.8643 * CHOOSE(CONTROL!$C$22, $C$13, 100%, $E$13)</f>
        <v>14.8643</v>
      </c>
      <c r="E852" s="64">
        <f>17.4669 * CHOOSE(CONTROL!$C$22, $C$13, 100%, $E$13)</f>
        <v>17.466899999999999</v>
      </c>
      <c r="F852" s="64">
        <f>17.4669 * CHOOSE(CONTROL!$C$22, $C$13, 100%, $E$13)</f>
        <v>17.466899999999999</v>
      </c>
      <c r="G852" s="64">
        <f>17.4671 * CHOOSE(CONTROL!$C$22, $C$13, 100%, $E$13)</f>
        <v>17.467099999999999</v>
      </c>
      <c r="H852" s="64">
        <f>28.3336* CHOOSE(CONTROL!$C$22, $C$13, 100%, $E$13)</f>
        <v>28.333600000000001</v>
      </c>
      <c r="I852" s="64">
        <f>28.3338 * CHOOSE(CONTROL!$C$22, $C$13, 100%, $E$13)</f>
        <v>28.3338</v>
      </c>
      <c r="J852" s="64">
        <f>17.4669 * CHOOSE(CONTROL!$C$22, $C$13, 100%, $E$13)</f>
        <v>17.466899999999999</v>
      </c>
      <c r="K852" s="64">
        <f>17.4671 * CHOOSE(CONTROL!$C$22, $C$13, 100%, $E$13)</f>
        <v>17.467099999999999</v>
      </c>
    </row>
    <row r="853" spans="1:11" ht="15">
      <c r="A853" s="13">
        <v>67604</v>
      </c>
      <c r="B853" s="63">
        <f>14.8497 * CHOOSE(CONTROL!$C$22, $C$13, 100%, $E$13)</f>
        <v>14.8497</v>
      </c>
      <c r="C853" s="63">
        <f>14.8497 * CHOOSE(CONTROL!$C$22, $C$13, 100%, $E$13)</f>
        <v>14.8497</v>
      </c>
      <c r="D853" s="63">
        <f>14.8613 * CHOOSE(CONTROL!$C$22, $C$13, 100%, $E$13)</f>
        <v>14.8613</v>
      </c>
      <c r="E853" s="64">
        <f>17.2736 * CHOOSE(CONTROL!$C$22, $C$13, 100%, $E$13)</f>
        <v>17.273599999999998</v>
      </c>
      <c r="F853" s="64">
        <f>17.2736 * CHOOSE(CONTROL!$C$22, $C$13, 100%, $E$13)</f>
        <v>17.273599999999998</v>
      </c>
      <c r="G853" s="64">
        <f>17.2738 * CHOOSE(CONTROL!$C$22, $C$13, 100%, $E$13)</f>
        <v>17.273800000000001</v>
      </c>
      <c r="H853" s="64">
        <f>28.3926* CHOOSE(CONTROL!$C$22, $C$13, 100%, $E$13)</f>
        <v>28.392600000000002</v>
      </c>
      <c r="I853" s="64">
        <f>28.3928 * CHOOSE(CONTROL!$C$22, $C$13, 100%, $E$13)</f>
        <v>28.392800000000001</v>
      </c>
      <c r="J853" s="64">
        <f>17.2736 * CHOOSE(CONTROL!$C$22, $C$13, 100%, $E$13)</f>
        <v>17.273599999999998</v>
      </c>
      <c r="K853" s="64">
        <f>17.2738 * CHOOSE(CONTROL!$C$22, $C$13, 100%, $E$13)</f>
        <v>17.273800000000001</v>
      </c>
    </row>
    <row r="854" spans="1:11" ht="15">
      <c r="A854" s="13">
        <v>67632</v>
      </c>
      <c r="B854" s="63">
        <f>14.8467 * CHOOSE(CONTROL!$C$22, $C$13, 100%, $E$13)</f>
        <v>14.8467</v>
      </c>
      <c r="C854" s="63">
        <f>14.8467 * CHOOSE(CONTROL!$C$22, $C$13, 100%, $E$13)</f>
        <v>14.8467</v>
      </c>
      <c r="D854" s="63">
        <f>14.8582 * CHOOSE(CONTROL!$C$22, $C$13, 100%, $E$13)</f>
        <v>14.8582</v>
      </c>
      <c r="E854" s="64">
        <f>17.4222 * CHOOSE(CONTROL!$C$22, $C$13, 100%, $E$13)</f>
        <v>17.4222</v>
      </c>
      <c r="F854" s="64">
        <f>17.4222 * CHOOSE(CONTROL!$C$22, $C$13, 100%, $E$13)</f>
        <v>17.4222</v>
      </c>
      <c r="G854" s="64">
        <f>17.4224 * CHOOSE(CONTROL!$C$22, $C$13, 100%, $E$13)</f>
        <v>17.4224</v>
      </c>
      <c r="H854" s="64">
        <f>28.4518* CHOOSE(CONTROL!$C$22, $C$13, 100%, $E$13)</f>
        <v>28.451799999999999</v>
      </c>
      <c r="I854" s="64">
        <f>28.4519 * CHOOSE(CONTROL!$C$22, $C$13, 100%, $E$13)</f>
        <v>28.451899999999998</v>
      </c>
      <c r="J854" s="64">
        <f>17.4222 * CHOOSE(CONTROL!$C$22, $C$13, 100%, $E$13)</f>
        <v>17.4222</v>
      </c>
      <c r="K854" s="64">
        <f>17.4224 * CHOOSE(CONTROL!$C$22, $C$13, 100%, $E$13)</f>
        <v>17.4224</v>
      </c>
    </row>
    <row r="855" spans="1:11" ht="15">
      <c r="A855" s="13">
        <v>67663</v>
      </c>
      <c r="B855" s="63">
        <f>14.8536 * CHOOSE(CONTROL!$C$22, $C$13, 100%, $E$13)</f>
        <v>14.8536</v>
      </c>
      <c r="C855" s="63">
        <f>14.8536 * CHOOSE(CONTROL!$C$22, $C$13, 100%, $E$13)</f>
        <v>14.8536</v>
      </c>
      <c r="D855" s="63">
        <f>14.8651 * CHOOSE(CONTROL!$C$22, $C$13, 100%, $E$13)</f>
        <v>14.8651</v>
      </c>
      <c r="E855" s="64">
        <f>17.5798 * CHOOSE(CONTROL!$C$22, $C$13, 100%, $E$13)</f>
        <v>17.579799999999999</v>
      </c>
      <c r="F855" s="64">
        <f>17.5798 * CHOOSE(CONTROL!$C$22, $C$13, 100%, $E$13)</f>
        <v>17.579799999999999</v>
      </c>
      <c r="G855" s="64">
        <f>17.58 * CHOOSE(CONTROL!$C$22, $C$13, 100%, $E$13)</f>
        <v>17.579999999999998</v>
      </c>
      <c r="H855" s="64">
        <f>28.511* CHOOSE(CONTROL!$C$22, $C$13, 100%, $E$13)</f>
        <v>28.510999999999999</v>
      </c>
      <c r="I855" s="64">
        <f>28.5112 * CHOOSE(CONTROL!$C$22, $C$13, 100%, $E$13)</f>
        <v>28.511199999999999</v>
      </c>
      <c r="J855" s="64">
        <f>17.5798 * CHOOSE(CONTROL!$C$22, $C$13, 100%, $E$13)</f>
        <v>17.579799999999999</v>
      </c>
      <c r="K855" s="64">
        <f>17.58 * CHOOSE(CONTROL!$C$22, $C$13, 100%, $E$13)</f>
        <v>17.579999999999998</v>
      </c>
    </row>
    <row r="856" spans="1:11" ht="15">
      <c r="A856" s="13">
        <v>67693</v>
      </c>
      <c r="B856" s="63">
        <f>14.8536 * CHOOSE(CONTROL!$C$22, $C$13, 100%, $E$13)</f>
        <v>14.8536</v>
      </c>
      <c r="C856" s="63">
        <f>14.8536 * CHOOSE(CONTROL!$C$22, $C$13, 100%, $E$13)</f>
        <v>14.8536</v>
      </c>
      <c r="D856" s="63">
        <f>14.8767 * CHOOSE(CONTROL!$C$22, $C$13, 100%, $E$13)</f>
        <v>14.8767</v>
      </c>
      <c r="E856" s="64">
        <f>17.6405 * CHOOSE(CONTROL!$C$22, $C$13, 100%, $E$13)</f>
        <v>17.640499999999999</v>
      </c>
      <c r="F856" s="64">
        <f>17.6405 * CHOOSE(CONTROL!$C$22, $C$13, 100%, $E$13)</f>
        <v>17.640499999999999</v>
      </c>
      <c r="G856" s="64">
        <f>17.642 * CHOOSE(CONTROL!$C$22, $C$13, 100%, $E$13)</f>
        <v>17.641999999999999</v>
      </c>
      <c r="H856" s="64">
        <f>28.5704* CHOOSE(CONTROL!$C$22, $C$13, 100%, $E$13)</f>
        <v>28.570399999999999</v>
      </c>
      <c r="I856" s="64">
        <f>28.5719 * CHOOSE(CONTROL!$C$22, $C$13, 100%, $E$13)</f>
        <v>28.571899999999999</v>
      </c>
      <c r="J856" s="64">
        <f>17.6405 * CHOOSE(CONTROL!$C$22, $C$13, 100%, $E$13)</f>
        <v>17.640499999999999</v>
      </c>
      <c r="K856" s="64">
        <f>17.642 * CHOOSE(CONTROL!$C$22, $C$13, 100%, $E$13)</f>
        <v>17.641999999999999</v>
      </c>
    </row>
    <row r="857" spans="1:11" ht="15">
      <c r="A857" s="13">
        <v>67724</v>
      </c>
      <c r="B857" s="63">
        <f>14.8597 * CHOOSE(CONTROL!$C$22, $C$13, 100%, $E$13)</f>
        <v>14.8597</v>
      </c>
      <c r="C857" s="63">
        <f>14.8597 * CHOOSE(CONTROL!$C$22, $C$13, 100%, $E$13)</f>
        <v>14.8597</v>
      </c>
      <c r="D857" s="63">
        <f>14.8828 * CHOOSE(CONTROL!$C$22, $C$13, 100%, $E$13)</f>
        <v>14.8828</v>
      </c>
      <c r="E857" s="64">
        <f>17.584 * CHOOSE(CONTROL!$C$22, $C$13, 100%, $E$13)</f>
        <v>17.584</v>
      </c>
      <c r="F857" s="64">
        <f>17.584 * CHOOSE(CONTROL!$C$22, $C$13, 100%, $E$13)</f>
        <v>17.584</v>
      </c>
      <c r="G857" s="64">
        <f>17.5855 * CHOOSE(CONTROL!$C$22, $C$13, 100%, $E$13)</f>
        <v>17.5855</v>
      </c>
      <c r="H857" s="64">
        <f>28.63* CHOOSE(CONTROL!$C$22, $C$13, 100%, $E$13)</f>
        <v>28.63</v>
      </c>
      <c r="I857" s="64">
        <f>28.6314 * CHOOSE(CONTROL!$C$22, $C$13, 100%, $E$13)</f>
        <v>28.631399999999999</v>
      </c>
      <c r="J857" s="64">
        <f>17.584 * CHOOSE(CONTROL!$C$22, $C$13, 100%, $E$13)</f>
        <v>17.584</v>
      </c>
      <c r="K857" s="64">
        <f>17.5855 * CHOOSE(CONTROL!$C$22, $C$13, 100%, $E$13)</f>
        <v>17.5855</v>
      </c>
    </row>
    <row r="858" spans="1:11" ht="15">
      <c r="A858" s="13">
        <v>67754</v>
      </c>
      <c r="B858" s="63">
        <f>15.0924 * CHOOSE(CONTROL!$C$22, $C$13, 100%, $E$13)</f>
        <v>15.0924</v>
      </c>
      <c r="C858" s="63">
        <f>15.0924 * CHOOSE(CONTROL!$C$22, $C$13, 100%, $E$13)</f>
        <v>15.0924</v>
      </c>
      <c r="D858" s="63">
        <f>15.1156 * CHOOSE(CONTROL!$C$22, $C$13, 100%, $E$13)</f>
        <v>15.115600000000001</v>
      </c>
      <c r="E858" s="64">
        <f>17.9185 * CHOOSE(CONTROL!$C$22, $C$13, 100%, $E$13)</f>
        <v>17.918500000000002</v>
      </c>
      <c r="F858" s="64">
        <f>17.9185 * CHOOSE(CONTROL!$C$22, $C$13, 100%, $E$13)</f>
        <v>17.918500000000002</v>
      </c>
      <c r="G858" s="64">
        <f>17.92 * CHOOSE(CONTROL!$C$22, $C$13, 100%, $E$13)</f>
        <v>17.920000000000002</v>
      </c>
      <c r="H858" s="64">
        <f>28.6896* CHOOSE(CONTROL!$C$22, $C$13, 100%, $E$13)</f>
        <v>28.689599999999999</v>
      </c>
      <c r="I858" s="64">
        <f>28.6911 * CHOOSE(CONTROL!$C$22, $C$13, 100%, $E$13)</f>
        <v>28.691099999999999</v>
      </c>
      <c r="J858" s="64">
        <f>17.9185 * CHOOSE(CONTROL!$C$22, $C$13, 100%, $E$13)</f>
        <v>17.918500000000002</v>
      </c>
      <c r="K858" s="64">
        <f>17.92 * CHOOSE(CONTROL!$C$22, $C$13, 100%, $E$13)</f>
        <v>17.920000000000002</v>
      </c>
    </row>
    <row r="859" spans="1:11" ht="15">
      <c r="A859" s="13">
        <v>67785</v>
      </c>
      <c r="B859" s="63">
        <f>15.0991 * CHOOSE(CONTROL!$C$22, $C$13, 100%, $E$13)</f>
        <v>15.0991</v>
      </c>
      <c r="C859" s="63">
        <f>15.0991 * CHOOSE(CONTROL!$C$22, $C$13, 100%, $E$13)</f>
        <v>15.0991</v>
      </c>
      <c r="D859" s="63">
        <f>15.1222 * CHOOSE(CONTROL!$C$22, $C$13, 100%, $E$13)</f>
        <v>15.122199999999999</v>
      </c>
      <c r="E859" s="64">
        <f>17.7411 * CHOOSE(CONTROL!$C$22, $C$13, 100%, $E$13)</f>
        <v>17.741099999999999</v>
      </c>
      <c r="F859" s="64">
        <f>17.7411 * CHOOSE(CONTROL!$C$22, $C$13, 100%, $E$13)</f>
        <v>17.741099999999999</v>
      </c>
      <c r="G859" s="64">
        <f>17.7425 * CHOOSE(CONTROL!$C$22, $C$13, 100%, $E$13)</f>
        <v>17.7425</v>
      </c>
      <c r="H859" s="64">
        <f>28.7494* CHOOSE(CONTROL!$C$22, $C$13, 100%, $E$13)</f>
        <v>28.749400000000001</v>
      </c>
      <c r="I859" s="64">
        <f>28.7509 * CHOOSE(CONTROL!$C$22, $C$13, 100%, $E$13)</f>
        <v>28.750900000000001</v>
      </c>
      <c r="J859" s="64">
        <f>17.7411 * CHOOSE(CONTROL!$C$22, $C$13, 100%, $E$13)</f>
        <v>17.741099999999999</v>
      </c>
      <c r="K859" s="64">
        <f>17.7425 * CHOOSE(CONTROL!$C$22, $C$13, 100%, $E$13)</f>
        <v>17.7425</v>
      </c>
    </row>
    <row r="860" spans="1:11" ht="15">
      <c r="A860" s="13">
        <v>67816</v>
      </c>
      <c r="B860" s="63">
        <f>15.0961 * CHOOSE(CONTROL!$C$22, $C$13, 100%, $E$13)</f>
        <v>15.0961</v>
      </c>
      <c r="C860" s="63">
        <f>15.0961 * CHOOSE(CONTROL!$C$22, $C$13, 100%, $E$13)</f>
        <v>15.0961</v>
      </c>
      <c r="D860" s="63">
        <f>15.1192 * CHOOSE(CONTROL!$C$22, $C$13, 100%, $E$13)</f>
        <v>15.119199999999999</v>
      </c>
      <c r="E860" s="64">
        <f>17.7187 * CHOOSE(CONTROL!$C$22, $C$13, 100%, $E$13)</f>
        <v>17.718699999999998</v>
      </c>
      <c r="F860" s="64">
        <f>17.7187 * CHOOSE(CONTROL!$C$22, $C$13, 100%, $E$13)</f>
        <v>17.718699999999998</v>
      </c>
      <c r="G860" s="64">
        <f>17.7202 * CHOOSE(CONTROL!$C$22, $C$13, 100%, $E$13)</f>
        <v>17.720199999999998</v>
      </c>
      <c r="H860" s="64">
        <f>28.8093* CHOOSE(CONTROL!$C$22, $C$13, 100%, $E$13)</f>
        <v>28.8093</v>
      </c>
      <c r="I860" s="64">
        <f>28.8108 * CHOOSE(CONTROL!$C$22, $C$13, 100%, $E$13)</f>
        <v>28.8108</v>
      </c>
      <c r="J860" s="64">
        <f>17.7187 * CHOOSE(CONTROL!$C$22, $C$13, 100%, $E$13)</f>
        <v>17.718699999999998</v>
      </c>
      <c r="K860" s="64">
        <f>17.7202 * CHOOSE(CONTROL!$C$22, $C$13, 100%, $E$13)</f>
        <v>17.720199999999998</v>
      </c>
    </row>
    <row r="861" spans="1:11" ht="15">
      <c r="A861" s="13">
        <v>67846</v>
      </c>
      <c r="B861" s="63">
        <f>15.1275 * CHOOSE(CONTROL!$C$22, $C$13, 100%, $E$13)</f>
        <v>15.1275</v>
      </c>
      <c r="C861" s="63">
        <f>15.1275 * CHOOSE(CONTROL!$C$22, $C$13, 100%, $E$13)</f>
        <v>15.1275</v>
      </c>
      <c r="D861" s="63">
        <f>15.1391 * CHOOSE(CONTROL!$C$22, $C$13, 100%, $E$13)</f>
        <v>15.139099999999999</v>
      </c>
      <c r="E861" s="64">
        <f>17.7862 * CHOOSE(CONTROL!$C$22, $C$13, 100%, $E$13)</f>
        <v>17.786200000000001</v>
      </c>
      <c r="F861" s="64">
        <f>17.7862 * CHOOSE(CONTROL!$C$22, $C$13, 100%, $E$13)</f>
        <v>17.786200000000001</v>
      </c>
      <c r="G861" s="64">
        <f>17.7864 * CHOOSE(CONTROL!$C$22, $C$13, 100%, $E$13)</f>
        <v>17.7864</v>
      </c>
      <c r="H861" s="64">
        <f>28.8693* CHOOSE(CONTROL!$C$22, $C$13, 100%, $E$13)</f>
        <v>28.869299999999999</v>
      </c>
      <c r="I861" s="64">
        <f>28.8695 * CHOOSE(CONTROL!$C$22, $C$13, 100%, $E$13)</f>
        <v>28.869499999999999</v>
      </c>
      <c r="J861" s="64">
        <f>17.7862 * CHOOSE(CONTROL!$C$22, $C$13, 100%, $E$13)</f>
        <v>17.786200000000001</v>
      </c>
      <c r="K861" s="64">
        <f>17.7864 * CHOOSE(CONTROL!$C$22, $C$13, 100%, $E$13)</f>
        <v>17.7864</v>
      </c>
    </row>
    <row r="862" spans="1:11" ht="15">
      <c r="A862" s="13">
        <v>67877</v>
      </c>
      <c r="B862" s="63">
        <f>15.1306 * CHOOSE(CONTROL!$C$22, $C$13, 100%, $E$13)</f>
        <v>15.130599999999999</v>
      </c>
      <c r="C862" s="63">
        <f>15.1306 * CHOOSE(CONTROL!$C$22, $C$13, 100%, $E$13)</f>
        <v>15.130599999999999</v>
      </c>
      <c r="D862" s="63">
        <f>15.1421 * CHOOSE(CONTROL!$C$22, $C$13, 100%, $E$13)</f>
        <v>15.142099999999999</v>
      </c>
      <c r="E862" s="64">
        <f>17.8288 * CHOOSE(CONTROL!$C$22, $C$13, 100%, $E$13)</f>
        <v>17.828800000000001</v>
      </c>
      <c r="F862" s="64">
        <f>17.8288 * CHOOSE(CONTROL!$C$22, $C$13, 100%, $E$13)</f>
        <v>17.828800000000001</v>
      </c>
      <c r="G862" s="64">
        <f>17.829 * CHOOSE(CONTROL!$C$22, $C$13, 100%, $E$13)</f>
        <v>17.829000000000001</v>
      </c>
      <c r="H862" s="64">
        <f>28.9294* CHOOSE(CONTROL!$C$22, $C$13, 100%, $E$13)</f>
        <v>28.929400000000001</v>
      </c>
      <c r="I862" s="64">
        <f>28.9296 * CHOOSE(CONTROL!$C$22, $C$13, 100%, $E$13)</f>
        <v>28.929600000000001</v>
      </c>
      <c r="J862" s="64">
        <f>17.8288 * CHOOSE(CONTROL!$C$22, $C$13, 100%, $E$13)</f>
        <v>17.828800000000001</v>
      </c>
      <c r="K862" s="64">
        <f>17.829 * CHOOSE(CONTROL!$C$22, $C$13, 100%, $E$13)</f>
        <v>17.829000000000001</v>
      </c>
    </row>
    <row r="863" spans="1:11" ht="15">
      <c r="A863" s="13">
        <v>67907</v>
      </c>
      <c r="B863" s="63">
        <f>15.1306 * CHOOSE(CONTROL!$C$22, $C$13, 100%, $E$13)</f>
        <v>15.130599999999999</v>
      </c>
      <c r="C863" s="63">
        <f>15.1306 * CHOOSE(CONTROL!$C$22, $C$13, 100%, $E$13)</f>
        <v>15.130599999999999</v>
      </c>
      <c r="D863" s="63">
        <f>15.1421 * CHOOSE(CONTROL!$C$22, $C$13, 100%, $E$13)</f>
        <v>15.142099999999999</v>
      </c>
      <c r="E863" s="64">
        <f>17.7276 * CHOOSE(CONTROL!$C$22, $C$13, 100%, $E$13)</f>
        <v>17.727599999999999</v>
      </c>
      <c r="F863" s="64">
        <f>17.7276 * CHOOSE(CONTROL!$C$22, $C$13, 100%, $E$13)</f>
        <v>17.727599999999999</v>
      </c>
      <c r="G863" s="64">
        <f>17.7278 * CHOOSE(CONTROL!$C$22, $C$13, 100%, $E$13)</f>
        <v>17.727799999999998</v>
      </c>
      <c r="H863" s="64">
        <f>28.9897* CHOOSE(CONTROL!$C$22, $C$13, 100%, $E$13)</f>
        <v>28.989699999999999</v>
      </c>
      <c r="I863" s="64">
        <f>28.9899 * CHOOSE(CONTROL!$C$22, $C$13, 100%, $E$13)</f>
        <v>28.989899999999999</v>
      </c>
      <c r="J863" s="64">
        <f>17.7276 * CHOOSE(CONTROL!$C$22, $C$13, 100%, $E$13)</f>
        <v>17.727599999999999</v>
      </c>
      <c r="K863" s="64">
        <f>17.7278 * CHOOSE(CONTROL!$C$22, $C$13, 100%, $E$13)</f>
        <v>17.727799999999998</v>
      </c>
    </row>
    <row r="864" spans="1:11" ht="15">
      <c r="A864" s="13">
        <v>67938</v>
      </c>
      <c r="B864" s="63">
        <f>15.0981 * CHOOSE(CONTROL!$C$22, $C$13, 100%, $E$13)</f>
        <v>15.098100000000001</v>
      </c>
      <c r="C864" s="63">
        <f>15.0981 * CHOOSE(CONTROL!$C$22, $C$13, 100%, $E$13)</f>
        <v>15.098100000000001</v>
      </c>
      <c r="D864" s="63">
        <f>15.1096 * CHOOSE(CONTROL!$C$22, $C$13, 100%, $E$13)</f>
        <v>15.1096</v>
      </c>
      <c r="E864" s="64">
        <f>17.7593 * CHOOSE(CONTROL!$C$22, $C$13, 100%, $E$13)</f>
        <v>17.7593</v>
      </c>
      <c r="F864" s="64">
        <f>17.7593 * CHOOSE(CONTROL!$C$22, $C$13, 100%, $E$13)</f>
        <v>17.7593</v>
      </c>
      <c r="G864" s="64">
        <f>17.7595 * CHOOSE(CONTROL!$C$22, $C$13, 100%, $E$13)</f>
        <v>17.759499999999999</v>
      </c>
      <c r="H864" s="64">
        <f>28.7795* CHOOSE(CONTROL!$C$22, $C$13, 100%, $E$13)</f>
        <v>28.779499999999999</v>
      </c>
      <c r="I864" s="64">
        <f>28.7797 * CHOOSE(CONTROL!$C$22, $C$13, 100%, $E$13)</f>
        <v>28.779699999999998</v>
      </c>
      <c r="J864" s="64">
        <f>17.7593 * CHOOSE(CONTROL!$C$22, $C$13, 100%, $E$13)</f>
        <v>17.7593</v>
      </c>
      <c r="K864" s="64">
        <f>17.7595 * CHOOSE(CONTROL!$C$22, $C$13, 100%, $E$13)</f>
        <v>17.759499999999999</v>
      </c>
    </row>
    <row r="865" spans="1:11" ht="15">
      <c r="A865" s="13">
        <v>67969</v>
      </c>
      <c r="B865" s="63">
        <f>15.0951 * CHOOSE(CONTROL!$C$22, $C$13, 100%, $E$13)</f>
        <v>15.0951</v>
      </c>
      <c r="C865" s="63">
        <f>15.0951 * CHOOSE(CONTROL!$C$22, $C$13, 100%, $E$13)</f>
        <v>15.0951</v>
      </c>
      <c r="D865" s="63">
        <f>15.1066 * CHOOSE(CONTROL!$C$22, $C$13, 100%, $E$13)</f>
        <v>15.1066</v>
      </c>
      <c r="E865" s="64">
        <f>17.5628 * CHOOSE(CONTROL!$C$22, $C$13, 100%, $E$13)</f>
        <v>17.562799999999999</v>
      </c>
      <c r="F865" s="64">
        <f>17.5628 * CHOOSE(CONTROL!$C$22, $C$13, 100%, $E$13)</f>
        <v>17.562799999999999</v>
      </c>
      <c r="G865" s="64">
        <f>17.563 * CHOOSE(CONTROL!$C$22, $C$13, 100%, $E$13)</f>
        <v>17.562999999999999</v>
      </c>
      <c r="H865" s="64">
        <f>28.8394* CHOOSE(CONTROL!$C$22, $C$13, 100%, $E$13)</f>
        <v>28.839400000000001</v>
      </c>
      <c r="I865" s="64">
        <f>28.8396 * CHOOSE(CONTROL!$C$22, $C$13, 100%, $E$13)</f>
        <v>28.839600000000001</v>
      </c>
      <c r="J865" s="64">
        <f>17.5628 * CHOOSE(CONTROL!$C$22, $C$13, 100%, $E$13)</f>
        <v>17.562799999999999</v>
      </c>
      <c r="K865" s="64">
        <f>17.563 * CHOOSE(CONTROL!$C$22, $C$13, 100%, $E$13)</f>
        <v>17.562999999999999</v>
      </c>
    </row>
    <row r="866" spans="1:11" ht="15">
      <c r="A866" s="13">
        <v>67997</v>
      </c>
      <c r="B866" s="63">
        <f>15.092 * CHOOSE(CONTROL!$C$22, $C$13, 100%, $E$13)</f>
        <v>15.092000000000001</v>
      </c>
      <c r="C866" s="63">
        <f>15.092 * CHOOSE(CONTROL!$C$22, $C$13, 100%, $E$13)</f>
        <v>15.092000000000001</v>
      </c>
      <c r="D866" s="63">
        <f>15.1036 * CHOOSE(CONTROL!$C$22, $C$13, 100%, $E$13)</f>
        <v>15.1036</v>
      </c>
      <c r="E866" s="64">
        <f>17.7139 * CHOOSE(CONTROL!$C$22, $C$13, 100%, $E$13)</f>
        <v>17.713899999999999</v>
      </c>
      <c r="F866" s="64">
        <f>17.7139 * CHOOSE(CONTROL!$C$22, $C$13, 100%, $E$13)</f>
        <v>17.713899999999999</v>
      </c>
      <c r="G866" s="64">
        <f>17.7141 * CHOOSE(CONTROL!$C$22, $C$13, 100%, $E$13)</f>
        <v>17.714099999999998</v>
      </c>
      <c r="H866" s="64">
        <f>28.8995* CHOOSE(CONTROL!$C$22, $C$13, 100%, $E$13)</f>
        <v>28.8995</v>
      </c>
      <c r="I866" s="64">
        <f>28.8997 * CHOOSE(CONTROL!$C$22, $C$13, 100%, $E$13)</f>
        <v>28.899699999999999</v>
      </c>
      <c r="J866" s="64">
        <f>17.7139 * CHOOSE(CONTROL!$C$22, $C$13, 100%, $E$13)</f>
        <v>17.713899999999999</v>
      </c>
      <c r="K866" s="64">
        <f>17.7141 * CHOOSE(CONTROL!$C$22, $C$13, 100%, $E$13)</f>
        <v>17.714099999999998</v>
      </c>
    </row>
    <row r="867" spans="1:11" ht="15">
      <c r="A867" s="13">
        <v>68028</v>
      </c>
      <c r="B867" s="63">
        <f>15.0991 * CHOOSE(CONTROL!$C$22, $C$13, 100%, $E$13)</f>
        <v>15.0991</v>
      </c>
      <c r="C867" s="63">
        <f>15.0991 * CHOOSE(CONTROL!$C$22, $C$13, 100%, $E$13)</f>
        <v>15.0991</v>
      </c>
      <c r="D867" s="63">
        <f>15.1107 * CHOOSE(CONTROL!$C$22, $C$13, 100%, $E$13)</f>
        <v>15.1107</v>
      </c>
      <c r="E867" s="64">
        <f>17.8742 * CHOOSE(CONTROL!$C$22, $C$13, 100%, $E$13)</f>
        <v>17.874199999999998</v>
      </c>
      <c r="F867" s="64">
        <f>17.8742 * CHOOSE(CONTROL!$C$22, $C$13, 100%, $E$13)</f>
        <v>17.874199999999998</v>
      </c>
      <c r="G867" s="64">
        <f>17.8744 * CHOOSE(CONTROL!$C$22, $C$13, 100%, $E$13)</f>
        <v>17.874400000000001</v>
      </c>
      <c r="H867" s="64">
        <f>28.9597* CHOOSE(CONTROL!$C$22, $C$13, 100%, $E$13)</f>
        <v>28.959700000000002</v>
      </c>
      <c r="I867" s="64">
        <f>28.9599 * CHOOSE(CONTROL!$C$22, $C$13, 100%, $E$13)</f>
        <v>28.959900000000001</v>
      </c>
      <c r="J867" s="64">
        <f>17.8742 * CHOOSE(CONTROL!$C$22, $C$13, 100%, $E$13)</f>
        <v>17.874199999999998</v>
      </c>
      <c r="K867" s="64">
        <f>17.8744 * CHOOSE(CONTROL!$C$22, $C$13, 100%, $E$13)</f>
        <v>17.874400000000001</v>
      </c>
    </row>
    <row r="868" spans="1:11" ht="15">
      <c r="A868" s="13">
        <v>68058</v>
      </c>
      <c r="B868" s="63">
        <f>15.0991 * CHOOSE(CONTROL!$C$22, $C$13, 100%, $E$13)</f>
        <v>15.0991</v>
      </c>
      <c r="C868" s="63">
        <f>15.0991 * CHOOSE(CONTROL!$C$22, $C$13, 100%, $E$13)</f>
        <v>15.0991</v>
      </c>
      <c r="D868" s="63">
        <f>15.1222 * CHOOSE(CONTROL!$C$22, $C$13, 100%, $E$13)</f>
        <v>15.122199999999999</v>
      </c>
      <c r="E868" s="64">
        <f>17.936 * CHOOSE(CONTROL!$C$22, $C$13, 100%, $E$13)</f>
        <v>17.936</v>
      </c>
      <c r="F868" s="64">
        <f>17.936 * CHOOSE(CONTROL!$C$22, $C$13, 100%, $E$13)</f>
        <v>17.936</v>
      </c>
      <c r="G868" s="64">
        <f>17.9374 * CHOOSE(CONTROL!$C$22, $C$13, 100%, $E$13)</f>
        <v>17.9374</v>
      </c>
      <c r="H868" s="64">
        <f>29.0201* CHOOSE(CONTROL!$C$22, $C$13, 100%, $E$13)</f>
        <v>29.020099999999999</v>
      </c>
      <c r="I868" s="64">
        <f>29.0215 * CHOOSE(CONTROL!$C$22, $C$13, 100%, $E$13)</f>
        <v>29.0215</v>
      </c>
      <c r="J868" s="64">
        <f>17.936 * CHOOSE(CONTROL!$C$22, $C$13, 100%, $E$13)</f>
        <v>17.936</v>
      </c>
      <c r="K868" s="64">
        <f>17.9374 * CHOOSE(CONTROL!$C$22, $C$13, 100%, $E$13)</f>
        <v>17.9374</v>
      </c>
    </row>
    <row r="869" spans="1:11" ht="15">
      <c r="A869" s="13">
        <v>68089</v>
      </c>
      <c r="B869" s="63">
        <f>15.1052 * CHOOSE(CONTROL!$C$22, $C$13, 100%, $E$13)</f>
        <v>15.1052</v>
      </c>
      <c r="C869" s="63">
        <f>15.1052 * CHOOSE(CONTROL!$C$22, $C$13, 100%, $E$13)</f>
        <v>15.1052</v>
      </c>
      <c r="D869" s="63">
        <f>15.1283 * CHOOSE(CONTROL!$C$22, $C$13, 100%, $E$13)</f>
        <v>15.128299999999999</v>
      </c>
      <c r="E869" s="64">
        <f>17.8785 * CHOOSE(CONTROL!$C$22, $C$13, 100%, $E$13)</f>
        <v>17.878499999999999</v>
      </c>
      <c r="F869" s="64">
        <f>17.8785 * CHOOSE(CONTROL!$C$22, $C$13, 100%, $E$13)</f>
        <v>17.878499999999999</v>
      </c>
      <c r="G869" s="64">
        <f>17.88 * CHOOSE(CONTROL!$C$22, $C$13, 100%, $E$13)</f>
        <v>17.88</v>
      </c>
      <c r="H869" s="64">
        <f>29.0805* CHOOSE(CONTROL!$C$22, $C$13, 100%, $E$13)</f>
        <v>29.080500000000001</v>
      </c>
      <c r="I869" s="64">
        <f>29.082 * CHOOSE(CONTROL!$C$22, $C$13, 100%, $E$13)</f>
        <v>29.082000000000001</v>
      </c>
      <c r="J869" s="64">
        <f>17.8785 * CHOOSE(CONTROL!$C$22, $C$13, 100%, $E$13)</f>
        <v>17.878499999999999</v>
      </c>
      <c r="K869" s="64">
        <f>17.88 * CHOOSE(CONTROL!$C$22, $C$13, 100%, $E$13)</f>
        <v>17.88</v>
      </c>
    </row>
    <row r="870" spans="1:11" ht="15">
      <c r="A870" s="13">
        <v>68119</v>
      </c>
      <c r="B870" s="63">
        <f>15.3417 * CHOOSE(CONTROL!$C$22, $C$13, 100%, $E$13)</f>
        <v>15.341699999999999</v>
      </c>
      <c r="C870" s="63">
        <f>15.3417 * CHOOSE(CONTROL!$C$22, $C$13, 100%, $E$13)</f>
        <v>15.341699999999999</v>
      </c>
      <c r="D870" s="63">
        <f>15.3648 * CHOOSE(CONTROL!$C$22, $C$13, 100%, $E$13)</f>
        <v>15.364800000000001</v>
      </c>
      <c r="E870" s="64">
        <f>18.2184 * CHOOSE(CONTROL!$C$22, $C$13, 100%, $E$13)</f>
        <v>18.218399999999999</v>
      </c>
      <c r="F870" s="64">
        <f>18.2184 * CHOOSE(CONTROL!$C$22, $C$13, 100%, $E$13)</f>
        <v>18.218399999999999</v>
      </c>
      <c r="G870" s="64">
        <f>18.2198 * CHOOSE(CONTROL!$C$22, $C$13, 100%, $E$13)</f>
        <v>18.219799999999999</v>
      </c>
      <c r="H870" s="64">
        <f>29.1411* CHOOSE(CONTROL!$C$22, $C$13, 100%, $E$13)</f>
        <v>29.141100000000002</v>
      </c>
      <c r="I870" s="64">
        <f>29.1426 * CHOOSE(CONTROL!$C$22, $C$13, 100%, $E$13)</f>
        <v>29.142600000000002</v>
      </c>
      <c r="J870" s="64">
        <f>18.2184 * CHOOSE(CONTROL!$C$22, $C$13, 100%, $E$13)</f>
        <v>18.218399999999999</v>
      </c>
      <c r="K870" s="64">
        <f>18.2198 * CHOOSE(CONTROL!$C$22, $C$13, 100%, $E$13)</f>
        <v>18.219799999999999</v>
      </c>
    </row>
    <row r="871" spans="1:11" ht="15">
      <c r="A871" s="13">
        <v>68150</v>
      </c>
      <c r="B871" s="63">
        <f>15.3483 * CHOOSE(CONTROL!$C$22, $C$13, 100%, $E$13)</f>
        <v>15.3483</v>
      </c>
      <c r="C871" s="63">
        <f>15.3483 * CHOOSE(CONTROL!$C$22, $C$13, 100%, $E$13)</f>
        <v>15.3483</v>
      </c>
      <c r="D871" s="63">
        <f>15.3715 * CHOOSE(CONTROL!$C$22, $C$13, 100%, $E$13)</f>
        <v>15.371499999999999</v>
      </c>
      <c r="E871" s="64">
        <f>18.0379 * CHOOSE(CONTROL!$C$22, $C$13, 100%, $E$13)</f>
        <v>18.0379</v>
      </c>
      <c r="F871" s="64">
        <f>18.0379 * CHOOSE(CONTROL!$C$22, $C$13, 100%, $E$13)</f>
        <v>18.0379</v>
      </c>
      <c r="G871" s="64">
        <f>18.0394 * CHOOSE(CONTROL!$C$22, $C$13, 100%, $E$13)</f>
        <v>18.039400000000001</v>
      </c>
      <c r="H871" s="64">
        <f>29.2018* CHOOSE(CONTROL!$C$22, $C$13, 100%, $E$13)</f>
        <v>29.201799999999999</v>
      </c>
      <c r="I871" s="64">
        <f>29.2033 * CHOOSE(CONTROL!$C$22, $C$13, 100%, $E$13)</f>
        <v>29.203299999999999</v>
      </c>
      <c r="J871" s="64">
        <f>18.0379 * CHOOSE(CONTROL!$C$22, $C$13, 100%, $E$13)</f>
        <v>18.0379</v>
      </c>
      <c r="K871" s="64">
        <f>18.0394 * CHOOSE(CONTROL!$C$22, $C$13, 100%, $E$13)</f>
        <v>18.039400000000001</v>
      </c>
    </row>
    <row r="872" spans="1:11" ht="15">
      <c r="A872" s="13">
        <v>68181</v>
      </c>
      <c r="B872" s="63">
        <f>15.3453 * CHOOSE(CONTROL!$C$22, $C$13, 100%, $E$13)</f>
        <v>15.3453</v>
      </c>
      <c r="C872" s="63">
        <f>15.3453 * CHOOSE(CONTROL!$C$22, $C$13, 100%, $E$13)</f>
        <v>15.3453</v>
      </c>
      <c r="D872" s="63">
        <f>15.3684 * CHOOSE(CONTROL!$C$22, $C$13, 100%, $E$13)</f>
        <v>15.368399999999999</v>
      </c>
      <c r="E872" s="64">
        <f>18.0152 * CHOOSE(CONTROL!$C$22, $C$13, 100%, $E$13)</f>
        <v>18.0152</v>
      </c>
      <c r="F872" s="64">
        <f>18.0152 * CHOOSE(CONTROL!$C$22, $C$13, 100%, $E$13)</f>
        <v>18.0152</v>
      </c>
      <c r="G872" s="64">
        <f>18.0167 * CHOOSE(CONTROL!$C$22, $C$13, 100%, $E$13)</f>
        <v>18.0167</v>
      </c>
      <c r="H872" s="64">
        <f>29.2626* CHOOSE(CONTROL!$C$22, $C$13, 100%, $E$13)</f>
        <v>29.262599999999999</v>
      </c>
      <c r="I872" s="64">
        <f>29.2641 * CHOOSE(CONTROL!$C$22, $C$13, 100%, $E$13)</f>
        <v>29.264099999999999</v>
      </c>
      <c r="J872" s="64">
        <f>18.0152 * CHOOSE(CONTROL!$C$22, $C$13, 100%, $E$13)</f>
        <v>18.0152</v>
      </c>
      <c r="K872" s="64">
        <f>18.0167 * CHOOSE(CONTROL!$C$22, $C$13, 100%, $E$13)</f>
        <v>18.0167</v>
      </c>
    </row>
    <row r="873" spans="1:11" ht="15">
      <c r="A873" s="13">
        <v>68211</v>
      </c>
      <c r="B873" s="63">
        <f>15.3775 * CHOOSE(CONTROL!$C$22, $C$13, 100%, $E$13)</f>
        <v>15.3775</v>
      </c>
      <c r="C873" s="63">
        <f>15.3775 * CHOOSE(CONTROL!$C$22, $C$13, 100%, $E$13)</f>
        <v>15.3775</v>
      </c>
      <c r="D873" s="63">
        <f>15.3891 * CHOOSE(CONTROL!$C$22, $C$13, 100%, $E$13)</f>
        <v>15.389099999999999</v>
      </c>
      <c r="E873" s="64">
        <f>18.0841 * CHOOSE(CONTROL!$C$22, $C$13, 100%, $E$13)</f>
        <v>18.084099999999999</v>
      </c>
      <c r="F873" s="64">
        <f>18.0841 * CHOOSE(CONTROL!$C$22, $C$13, 100%, $E$13)</f>
        <v>18.084099999999999</v>
      </c>
      <c r="G873" s="64">
        <f>18.0842 * CHOOSE(CONTROL!$C$22, $C$13, 100%, $E$13)</f>
        <v>18.084199999999999</v>
      </c>
      <c r="H873" s="64">
        <f>29.3236* CHOOSE(CONTROL!$C$22, $C$13, 100%, $E$13)</f>
        <v>29.323599999999999</v>
      </c>
      <c r="I873" s="64">
        <f>29.3238 * CHOOSE(CONTROL!$C$22, $C$13, 100%, $E$13)</f>
        <v>29.323799999999999</v>
      </c>
      <c r="J873" s="64">
        <f>18.0841 * CHOOSE(CONTROL!$C$22, $C$13, 100%, $E$13)</f>
        <v>18.084099999999999</v>
      </c>
      <c r="K873" s="64">
        <f>18.0842 * CHOOSE(CONTROL!$C$22, $C$13, 100%, $E$13)</f>
        <v>18.084199999999999</v>
      </c>
    </row>
    <row r="874" spans="1:11" ht="15">
      <c r="A874" s="13">
        <v>68242</v>
      </c>
      <c r="B874" s="63">
        <f>15.3806 * CHOOSE(CONTROL!$C$22, $C$13, 100%, $E$13)</f>
        <v>15.380599999999999</v>
      </c>
      <c r="C874" s="63">
        <f>15.3806 * CHOOSE(CONTROL!$C$22, $C$13, 100%, $E$13)</f>
        <v>15.380599999999999</v>
      </c>
      <c r="D874" s="63">
        <f>15.3921 * CHOOSE(CONTROL!$C$22, $C$13, 100%, $E$13)</f>
        <v>15.392099999999999</v>
      </c>
      <c r="E874" s="64">
        <f>18.1273 * CHOOSE(CONTROL!$C$22, $C$13, 100%, $E$13)</f>
        <v>18.127300000000002</v>
      </c>
      <c r="F874" s="64">
        <f>18.1273 * CHOOSE(CONTROL!$C$22, $C$13, 100%, $E$13)</f>
        <v>18.127300000000002</v>
      </c>
      <c r="G874" s="64">
        <f>18.1275 * CHOOSE(CONTROL!$C$22, $C$13, 100%, $E$13)</f>
        <v>18.127500000000001</v>
      </c>
      <c r="H874" s="64">
        <f>29.3847* CHOOSE(CONTROL!$C$22, $C$13, 100%, $E$13)</f>
        <v>29.384699999999999</v>
      </c>
      <c r="I874" s="64">
        <f>29.3849 * CHOOSE(CONTROL!$C$22, $C$13, 100%, $E$13)</f>
        <v>29.384899999999998</v>
      </c>
      <c r="J874" s="64">
        <f>18.1273 * CHOOSE(CONTROL!$C$22, $C$13, 100%, $E$13)</f>
        <v>18.127300000000002</v>
      </c>
      <c r="K874" s="64">
        <f>18.1275 * CHOOSE(CONTROL!$C$22, $C$13, 100%, $E$13)</f>
        <v>18.127500000000001</v>
      </c>
    </row>
    <row r="875" spans="1:11" ht="15">
      <c r="A875" s="13">
        <v>68272</v>
      </c>
      <c r="B875" s="63">
        <f>15.3806 * CHOOSE(CONTROL!$C$22, $C$13, 100%, $E$13)</f>
        <v>15.380599999999999</v>
      </c>
      <c r="C875" s="63">
        <f>15.3806 * CHOOSE(CONTROL!$C$22, $C$13, 100%, $E$13)</f>
        <v>15.380599999999999</v>
      </c>
      <c r="D875" s="63">
        <f>15.3921 * CHOOSE(CONTROL!$C$22, $C$13, 100%, $E$13)</f>
        <v>15.392099999999999</v>
      </c>
      <c r="E875" s="64">
        <f>18.0245 * CHOOSE(CONTROL!$C$22, $C$13, 100%, $E$13)</f>
        <v>18.0245</v>
      </c>
      <c r="F875" s="64">
        <f>18.0245 * CHOOSE(CONTROL!$C$22, $C$13, 100%, $E$13)</f>
        <v>18.0245</v>
      </c>
      <c r="G875" s="64">
        <f>18.0246 * CHOOSE(CONTROL!$C$22, $C$13, 100%, $E$13)</f>
        <v>18.0246</v>
      </c>
      <c r="H875" s="64">
        <f>29.4459* CHOOSE(CONTROL!$C$22, $C$13, 100%, $E$13)</f>
        <v>29.445900000000002</v>
      </c>
      <c r="I875" s="64">
        <f>29.4461 * CHOOSE(CONTROL!$C$22, $C$13, 100%, $E$13)</f>
        <v>29.446100000000001</v>
      </c>
      <c r="J875" s="64">
        <f>18.0245 * CHOOSE(CONTROL!$C$22, $C$13, 100%, $E$13)</f>
        <v>18.0245</v>
      </c>
      <c r="K875" s="64">
        <f>18.0246 * CHOOSE(CONTROL!$C$22, $C$13, 100%, $E$13)</f>
        <v>18.0246</v>
      </c>
    </row>
    <row r="876" spans="1:11" ht="15">
      <c r="A876" s="13">
        <v>68303</v>
      </c>
      <c r="B876" s="63">
        <f>15.3434 * CHOOSE(CONTROL!$C$22, $C$13, 100%, $E$13)</f>
        <v>15.343400000000001</v>
      </c>
      <c r="C876" s="63">
        <f>15.3434 * CHOOSE(CONTROL!$C$22, $C$13, 100%, $E$13)</f>
        <v>15.343400000000001</v>
      </c>
      <c r="D876" s="63">
        <f>15.355 * CHOOSE(CONTROL!$C$22, $C$13, 100%, $E$13)</f>
        <v>15.355</v>
      </c>
      <c r="E876" s="64">
        <f>18.0517 * CHOOSE(CONTROL!$C$22, $C$13, 100%, $E$13)</f>
        <v>18.0517</v>
      </c>
      <c r="F876" s="64">
        <f>18.0517 * CHOOSE(CONTROL!$C$22, $C$13, 100%, $E$13)</f>
        <v>18.0517</v>
      </c>
      <c r="G876" s="64">
        <f>18.0519 * CHOOSE(CONTROL!$C$22, $C$13, 100%, $E$13)</f>
        <v>18.0519</v>
      </c>
      <c r="H876" s="64">
        <f>29.2254* CHOOSE(CONTROL!$C$22, $C$13, 100%, $E$13)</f>
        <v>29.2254</v>
      </c>
      <c r="I876" s="64">
        <f>29.2255 * CHOOSE(CONTROL!$C$22, $C$13, 100%, $E$13)</f>
        <v>29.2255</v>
      </c>
      <c r="J876" s="64">
        <f>18.0517 * CHOOSE(CONTROL!$C$22, $C$13, 100%, $E$13)</f>
        <v>18.0517</v>
      </c>
      <c r="K876" s="64">
        <f>18.0519 * CHOOSE(CONTROL!$C$22, $C$13, 100%, $E$13)</f>
        <v>18.0519</v>
      </c>
    </row>
    <row r="877" spans="1:11" ht="15">
      <c r="A877" s="13">
        <v>68334</v>
      </c>
      <c r="B877" s="63">
        <f>15.3404 * CHOOSE(CONTROL!$C$22, $C$13, 100%, $E$13)</f>
        <v>15.340400000000001</v>
      </c>
      <c r="C877" s="63">
        <f>15.3404 * CHOOSE(CONTROL!$C$22, $C$13, 100%, $E$13)</f>
        <v>15.340400000000001</v>
      </c>
      <c r="D877" s="63">
        <f>15.3519 * CHOOSE(CONTROL!$C$22, $C$13, 100%, $E$13)</f>
        <v>15.351900000000001</v>
      </c>
      <c r="E877" s="64">
        <f>17.852 * CHOOSE(CONTROL!$C$22, $C$13, 100%, $E$13)</f>
        <v>17.852</v>
      </c>
      <c r="F877" s="64">
        <f>17.852 * CHOOSE(CONTROL!$C$22, $C$13, 100%, $E$13)</f>
        <v>17.852</v>
      </c>
      <c r="G877" s="64">
        <f>17.8522 * CHOOSE(CONTROL!$C$22, $C$13, 100%, $E$13)</f>
        <v>17.8522</v>
      </c>
      <c r="H877" s="64">
        <f>29.2863* CHOOSE(CONTROL!$C$22, $C$13, 100%, $E$13)</f>
        <v>29.286300000000001</v>
      </c>
      <c r="I877" s="64">
        <f>29.2864 * CHOOSE(CONTROL!$C$22, $C$13, 100%, $E$13)</f>
        <v>29.2864</v>
      </c>
      <c r="J877" s="64">
        <f>17.852 * CHOOSE(CONTROL!$C$22, $C$13, 100%, $E$13)</f>
        <v>17.852</v>
      </c>
      <c r="K877" s="64">
        <f>17.8522 * CHOOSE(CONTROL!$C$22, $C$13, 100%, $E$13)</f>
        <v>17.8522</v>
      </c>
    </row>
    <row r="878" spans="1:11" ht="15">
      <c r="A878" s="13">
        <v>68362</v>
      </c>
      <c r="B878" s="63">
        <f>15.3373 * CHOOSE(CONTROL!$C$22, $C$13, 100%, $E$13)</f>
        <v>15.337300000000001</v>
      </c>
      <c r="C878" s="63">
        <f>15.3373 * CHOOSE(CONTROL!$C$22, $C$13, 100%, $E$13)</f>
        <v>15.337300000000001</v>
      </c>
      <c r="D878" s="63">
        <f>15.3489 * CHOOSE(CONTROL!$C$22, $C$13, 100%, $E$13)</f>
        <v>15.3489</v>
      </c>
      <c r="E878" s="64">
        <f>18.0057 * CHOOSE(CONTROL!$C$22, $C$13, 100%, $E$13)</f>
        <v>18.005700000000001</v>
      </c>
      <c r="F878" s="64">
        <f>18.0057 * CHOOSE(CONTROL!$C$22, $C$13, 100%, $E$13)</f>
        <v>18.005700000000001</v>
      </c>
      <c r="G878" s="64">
        <f>18.0058 * CHOOSE(CONTROL!$C$22, $C$13, 100%, $E$13)</f>
        <v>18.005800000000001</v>
      </c>
      <c r="H878" s="64">
        <f>29.3473* CHOOSE(CONTROL!$C$22, $C$13, 100%, $E$13)</f>
        <v>29.347300000000001</v>
      </c>
      <c r="I878" s="64">
        <f>29.3474 * CHOOSE(CONTROL!$C$22, $C$13, 100%, $E$13)</f>
        <v>29.3474</v>
      </c>
      <c r="J878" s="64">
        <f>18.0057 * CHOOSE(CONTROL!$C$22, $C$13, 100%, $E$13)</f>
        <v>18.005700000000001</v>
      </c>
      <c r="K878" s="64">
        <f>18.0058 * CHOOSE(CONTROL!$C$22, $C$13, 100%, $E$13)</f>
        <v>18.005800000000001</v>
      </c>
    </row>
    <row r="879" spans="1:11" ht="15">
      <c r="A879" s="13">
        <v>68393</v>
      </c>
      <c r="B879" s="63">
        <f>15.3446 * CHOOSE(CONTROL!$C$22, $C$13, 100%, $E$13)</f>
        <v>15.3446</v>
      </c>
      <c r="C879" s="63">
        <f>15.3446 * CHOOSE(CONTROL!$C$22, $C$13, 100%, $E$13)</f>
        <v>15.3446</v>
      </c>
      <c r="D879" s="63">
        <f>15.3562 * CHOOSE(CONTROL!$C$22, $C$13, 100%, $E$13)</f>
        <v>15.356199999999999</v>
      </c>
      <c r="E879" s="64">
        <f>18.1687 * CHOOSE(CONTROL!$C$22, $C$13, 100%, $E$13)</f>
        <v>18.168700000000001</v>
      </c>
      <c r="F879" s="64">
        <f>18.1687 * CHOOSE(CONTROL!$C$22, $C$13, 100%, $E$13)</f>
        <v>18.168700000000001</v>
      </c>
      <c r="G879" s="64">
        <f>18.1689 * CHOOSE(CONTROL!$C$22, $C$13, 100%, $E$13)</f>
        <v>18.168900000000001</v>
      </c>
      <c r="H879" s="64">
        <f>29.4084* CHOOSE(CONTROL!$C$22, $C$13, 100%, $E$13)</f>
        <v>29.4084</v>
      </c>
      <c r="I879" s="64">
        <f>29.4086 * CHOOSE(CONTROL!$C$22, $C$13, 100%, $E$13)</f>
        <v>29.4086</v>
      </c>
      <c r="J879" s="64">
        <f>18.1687 * CHOOSE(CONTROL!$C$22, $C$13, 100%, $E$13)</f>
        <v>18.168700000000001</v>
      </c>
      <c r="K879" s="64">
        <f>18.1689 * CHOOSE(CONTROL!$C$22, $C$13, 100%, $E$13)</f>
        <v>18.168900000000001</v>
      </c>
    </row>
    <row r="880" spans="1:11" ht="15">
      <c r="A880" s="13">
        <v>68423</v>
      </c>
      <c r="B880" s="63">
        <f>15.3446 * CHOOSE(CONTROL!$C$22, $C$13, 100%, $E$13)</f>
        <v>15.3446</v>
      </c>
      <c r="C880" s="63">
        <f>15.3446 * CHOOSE(CONTROL!$C$22, $C$13, 100%, $E$13)</f>
        <v>15.3446</v>
      </c>
      <c r="D880" s="63">
        <f>15.3677 * CHOOSE(CONTROL!$C$22, $C$13, 100%, $E$13)</f>
        <v>15.367699999999999</v>
      </c>
      <c r="E880" s="64">
        <f>18.2314 * CHOOSE(CONTROL!$C$22, $C$13, 100%, $E$13)</f>
        <v>18.231400000000001</v>
      </c>
      <c r="F880" s="64">
        <f>18.2314 * CHOOSE(CONTROL!$C$22, $C$13, 100%, $E$13)</f>
        <v>18.231400000000001</v>
      </c>
      <c r="G880" s="64">
        <f>18.2329 * CHOOSE(CONTROL!$C$22, $C$13, 100%, $E$13)</f>
        <v>18.232900000000001</v>
      </c>
      <c r="H880" s="64">
        <f>29.4697* CHOOSE(CONTROL!$C$22, $C$13, 100%, $E$13)</f>
        <v>29.4697</v>
      </c>
      <c r="I880" s="64">
        <f>29.4712 * CHOOSE(CONTROL!$C$22, $C$13, 100%, $E$13)</f>
        <v>29.4712</v>
      </c>
      <c r="J880" s="64">
        <f>18.2314 * CHOOSE(CONTROL!$C$22, $C$13, 100%, $E$13)</f>
        <v>18.231400000000001</v>
      </c>
      <c r="K880" s="64">
        <f>18.2329 * CHOOSE(CONTROL!$C$22, $C$13, 100%, $E$13)</f>
        <v>18.232900000000001</v>
      </c>
    </row>
    <row r="881" spans="1:11" ht="15">
      <c r="A881" s="13">
        <v>68454</v>
      </c>
      <c r="B881" s="63">
        <f>15.3507 * CHOOSE(CONTROL!$C$22, $C$13, 100%, $E$13)</f>
        <v>15.3507</v>
      </c>
      <c r="C881" s="63">
        <f>15.3507 * CHOOSE(CONTROL!$C$22, $C$13, 100%, $E$13)</f>
        <v>15.3507</v>
      </c>
      <c r="D881" s="63">
        <f>15.3738 * CHOOSE(CONTROL!$C$22, $C$13, 100%, $E$13)</f>
        <v>15.373799999999999</v>
      </c>
      <c r="E881" s="64">
        <f>18.1729 * CHOOSE(CONTROL!$C$22, $C$13, 100%, $E$13)</f>
        <v>18.172899999999998</v>
      </c>
      <c r="F881" s="64">
        <f>18.1729 * CHOOSE(CONTROL!$C$22, $C$13, 100%, $E$13)</f>
        <v>18.172899999999998</v>
      </c>
      <c r="G881" s="64">
        <f>18.1744 * CHOOSE(CONTROL!$C$22, $C$13, 100%, $E$13)</f>
        <v>18.174399999999999</v>
      </c>
      <c r="H881" s="64">
        <f>29.5311* CHOOSE(CONTROL!$C$22, $C$13, 100%, $E$13)</f>
        <v>29.531099999999999</v>
      </c>
      <c r="I881" s="64">
        <f>29.5326 * CHOOSE(CONTROL!$C$22, $C$13, 100%, $E$13)</f>
        <v>29.532599999999999</v>
      </c>
      <c r="J881" s="64">
        <f>18.1729 * CHOOSE(CONTROL!$C$22, $C$13, 100%, $E$13)</f>
        <v>18.172899999999998</v>
      </c>
      <c r="K881" s="64">
        <f>18.1744 * CHOOSE(CONTROL!$C$22, $C$13, 100%, $E$13)</f>
        <v>18.174399999999999</v>
      </c>
    </row>
    <row r="882" spans="1:11" ht="15">
      <c r="A882" s="13">
        <v>68484</v>
      </c>
      <c r="B882" s="63">
        <f>15.5909 * CHOOSE(CONTROL!$C$22, $C$13, 100%, $E$13)</f>
        <v>15.5909</v>
      </c>
      <c r="C882" s="63">
        <f>15.5909 * CHOOSE(CONTROL!$C$22, $C$13, 100%, $E$13)</f>
        <v>15.5909</v>
      </c>
      <c r="D882" s="63">
        <f>15.614 * CHOOSE(CONTROL!$C$22, $C$13, 100%, $E$13)</f>
        <v>15.614000000000001</v>
      </c>
      <c r="E882" s="64">
        <f>18.5182 * CHOOSE(CONTROL!$C$22, $C$13, 100%, $E$13)</f>
        <v>18.5182</v>
      </c>
      <c r="F882" s="64">
        <f>18.5182 * CHOOSE(CONTROL!$C$22, $C$13, 100%, $E$13)</f>
        <v>18.5182</v>
      </c>
      <c r="G882" s="64">
        <f>18.5197 * CHOOSE(CONTROL!$C$22, $C$13, 100%, $E$13)</f>
        <v>18.5197</v>
      </c>
      <c r="H882" s="64">
        <f>29.5926* CHOOSE(CONTROL!$C$22, $C$13, 100%, $E$13)</f>
        <v>29.592600000000001</v>
      </c>
      <c r="I882" s="64">
        <f>29.5941 * CHOOSE(CONTROL!$C$22, $C$13, 100%, $E$13)</f>
        <v>29.594100000000001</v>
      </c>
      <c r="J882" s="64">
        <f>18.5182 * CHOOSE(CONTROL!$C$22, $C$13, 100%, $E$13)</f>
        <v>18.5182</v>
      </c>
      <c r="K882" s="64">
        <f>18.5197 * CHOOSE(CONTROL!$C$22, $C$13, 100%, $E$13)</f>
        <v>18.5197</v>
      </c>
    </row>
    <row r="883" spans="1:11" ht="15">
      <c r="A883" s="13">
        <v>68515</v>
      </c>
      <c r="B883" s="63">
        <f>15.5976 * CHOOSE(CONTROL!$C$22, $C$13, 100%, $E$13)</f>
        <v>15.5976</v>
      </c>
      <c r="C883" s="63">
        <f>15.5976 * CHOOSE(CONTROL!$C$22, $C$13, 100%, $E$13)</f>
        <v>15.5976</v>
      </c>
      <c r="D883" s="63">
        <f>15.6207 * CHOOSE(CONTROL!$C$22, $C$13, 100%, $E$13)</f>
        <v>15.620699999999999</v>
      </c>
      <c r="E883" s="64">
        <f>18.3347 * CHOOSE(CONTROL!$C$22, $C$13, 100%, $E$13)</f>
        <v>18.334700000000002</v>
      </c>
      <c r="F883" s="64">
        <f>18.3347 * CHOOSE(CONTROL!$C$22, $C$13, 100%, $E$13)</f>
        <v>18.334700000000002</v>
      </c>
      <c r="G883" s="64">
        <f>18.3362 * CHOOSE(CONTROL!$C$22, $C$13, 100%, $E$13)</f>
        <v>18.336200000000002</v>
      </c>
      <c r="H883" s="64">
        <f>29.6542* CHOOSE(CONTROL!$C$22, $C$13, 100%, $E$13)</f>
        <v>29.654199999999999</v>
      </c>
      <c r="I883" s="64">
        <f>29.6557 * CHOOSE(CONTROL!$C$22, $C$13, 100%, $E$13)</f>
        <v>29.6557</v>
      </c>
      <c r="J883" s="64">
        <f>18.3347 * CHOOSE(CONTROL!$C$22, $C$13, 100%, $E$13)</f>
        <v>18.334700000000002</v>
      </c>
      <c r="K883" s="64">
        <f>18.3362 * CHOOSE(CONTROL!$C$22, $C$13, 100%, $E$13)</f>
        <v>18.336200000000002</v>
      </c>
    </row>
    <row r="884" spans="1:11" ht="15">
      <c r="A884" s="13">
        <v>68546</v>
      </c>
      <c r="B884" s="63">
        <f>15.5945 * CHOOSE(CONTROL!$C$22, $C$13, 100%, $E$13)</f>
        <v>15.5945</v>
      </c>
      <c r="C884" s="63">
        <f>15.5945 * CHOOSE(CONTROL!$C$22, $C$13, 100%, $E$13)</f>
        <v>15.5945</v>
      </c>
      <c r="D884" s="63">
        <f>15.6176 * CHOOSE(CONTROL!$C$22, $C$13, 100%, $E$13)</f>
        <v>15.617599999999999</v>
      </c>
      <c r="E884" s="64">
        <f>18.3117 * CHOOSE(CONTROL!$C$22, $C$13, 100%, $E$13)</f>
        <v>18.311699999999998</v>
      </c>
      <c r="F884" s="64">
        <f>18.3117 * CHOOSE(CONTROL!$C$22, $C$13, 100%, $E$13)</f>
        <v>18.311699999999998</v>
      </c>
      <c r="G884" s="64">
        <f>18.3132 * CHOOSE(CONTROL!$C$22, $C$13, 100%, $E$13)</f>
        <v>18.313199999999998</v>
      </c>
      <c r="H884" s="64">
        <f>29.716* CHOOSE(CONTROL!$C$22, $C$13, 100%, $E$13)</f>
        <v>29.716000000000001</v>
      </c>
      <c r="I884" s="64">
        <f>29.7175 * CHOOSE(CONTROL!$C$22, $C$13, 100%, $E$13)</f>
        <v>29.717500000000001</v>
      </c>
      <c r="J884" s="64">
        <f>18.3117 * CHOOSE(CONTROL!$C$22, $C$13, 100%, $E$13)</f>
        <v>18.311699999999998</v>
      </c>
      <c r="K884" s="64">
        <f>18.3132 * CHOOSE(CONTROL!$C$22, $C$13, 100%, $E$13)</f>
        <v>18.313199999999998</v>
      </c>
    </row>
    <row r="885" spans="1:11" ht="15">
      <c r="A885" s="13">
        <v>68576</v>
      </c>
      <c r="B885" s="63">
        <f>15.6276 * CHOOSE(CONTROL!$C$22, $C$13, 100%, $E$13)</f>
        <v>15.627599999999999</v>
      </c>
      <c r="C885" s="63">
        <f>15.6276 * CHOOSE(CONTROL!$C$22, $C$13, 100%, $E$13)</f>
        <v>15.627599999999999</v>
      </c>
      <c r="D885" s="63">
        <f>15.6391 * CHOOSE(CONTROL!$C$22, $C$13, 100%, $E$13)</f>
        <v>15.639099999999999</v>
      </c>
      <c r="E885" s="64">
        <f>18.3819 * CHOOSE(CONTROL!$C$22, $C$13, 100%, $E$13)</f>
        <v>18.381900000000002</v>
      </c>
      <c r="F885" s="64">
        <f>18.3819 * CHOOSE(CONTROL!$C$22, $C$13, 100%, $E$13)</f>
        <v>18.381900000000002</v>
      </c>
      <c r="G885" s="64">
        <f>18.3821 * CHOOSE(CONTROL!$C$22, $C$13, 100%, $E$13)</f>
        <v>18.382100000000001</v>
      </c>
      <c r="H885" s="64">
        <f>29.7779* CHOOSE(CONTROL!$C$22, $C$13, 100%, $E$13)</f>
        <v>29.777899999999999</v>
      </c>
      <c r="I885" s="64">
        <f>29.7781 * CHOOSE(CONTROL!$C$22, $C$13, 100%, $E$13)</f>
        <v>29.778099999999998</v>
      </c>
      <c r="J885" s="64">
        <f>18.3819 * CHOOSE(CONTROL!$C$22, $C$13, 100%, $E$13)</f>
        <v>18.381900000000002</v>
      </c>
      <c r="K885" s="64">
        <f>18.3821 * CHOOSE(CONTROL!$C$22, $C$13, 100%, $E$13)</f>
        <v>18.382100000000001</v>
      </c>
    </row>
    <row r="886" spans="1:11" ht="15">
      <c r="A886" s="13">
        <v>68607</v>
      </c>
      <c r="B886" s="63">
        <f>15.6306 * CHOOSE(CONTROL!$C$22, $C$13, 100%, $E$13)</f>
        <v>15.630599999999999</v>
      </c>
      <c r="C886" s="63">
        <f>15.6306 * CHOOSE(CONTROL!$C$22, $C$13, 100%, $E$13)</f>
        <v>15.630599999999999</v>
      </c>
      <c r="D886" s="63">
        <f>15.6422 * CHOOSE(CONTROL!$C$22, $C$13, 100%, $E$13)</f>
        <v>15.642200000000001</v>
      </c>
      <c r="E886" s="64">
        <f>18.4258 * CHOOSE(CONTROL!$C$22, $C$13, 100%, $E$13)</f>
        <v>18.425799999999999</v>
      </c>
      <c r="F886" s="64">
        <f>18.4258 * CHOOSE(CONTROL!$C$22, $C$13, 100%, $E$13)</f>
        <v>18.425799999999999</v>
      </c>
      <c r="G886" s="64">
        <f>18.426 * CHOOSE(CONTROL!$C$22, $C$13, 100%, $E$13)</f>
        <v>18.425999999999998</v>
      </c>
      <c r="H886" s="64">
        <f>29.84* CHOOSE(CONTROL!$C$22, $C$13, 100%, $E$13)</f>
        <v>29.84</v>
      </c>
      <c r="I886" s="64">
        <f>29.8401 * CHOOSE(CONTROL!$C$22, $C$13, 100%, $E$13)</f>
        <v>29.8401</v>
      </c>
      <c r="J886" s="64">
        <f>18.4258 * CHOOSE(CONTROL!$C$22, $C$13, 100%, $E$13)</f>
        <v>18.425799999999999</v>
      </c>
      <c r="K886" s="64">
        <f>18.426 * CHOOSE(CONTROL!$C$22, $C$13, 100%, $E$13)</f>
        <v>18.425999999999998</v>
      </c>
    </row>
    <row r="887" spans="1:11" ht="15">
      <c r="A887" s="13">
        <v>68637</v>
      </c>
      <c r="B887" s="63">
        <f>15.6306 * CHOOSE(CONTROL!$C$22, $C$13, 100%, $E$13)</f>
        <v>15.630599999999999</v>
      </c>
      <c r="C887" s="63">
        <f>15.6306 * CHOOSE(CONTROL!$C$22, $C$13, 100%, $E$13)</f>
        <v>15.630599999999999</v>
      </c>
      <c r="D887" s="63">
        <f>15.6422 * CHOOSE(CONTROL!$C$22, $C$13, 100%, $E$13)</f>
        <v>15.642200000000001</v>
      </c>
      <c r="E887" s="64">
        <f>18.3213 * CHOOSE(CONTROL!$C$22, $C$13, 100%, $E$13)</f>
        <v>18.321300000000001</v>
      </c>
      <c r="F887" s="64">
        <f>18.3213 * CHOOSE(CONTROL!$C$22, $C$13, 100%, $E$13)</f>
        <v>18.321300000000001</v>
      </c>
      <c r="G887" s="64">
        <f>18.3215 * CHOOSE(CONTROL!$C$22, $C$13, 100%, $E$13)</f>
        <v>18.3215</v>
      </c>
      <c r="H887" s="64">
        <f>29.9021* CHOOSE(CONTROL!$C$22, $C$13, 100%, $E$13)</f>
        <v>29.902100000000001</v>
      </c>
      <c r="I887" s="64">
        <f>29.9023 * CHOOSE(CONTROL!$C$22, $C$13, 100%, $E$13)</f>
        <v>29.9023</v>
      </c>
      <c r="J887" s="64">
        <f>18.3213 * CHOOSE(CONTROL!$C$22, $C$13, 100%, $E$13)</f>
        <v>18.321300000000001</v>
      </c>
      <c r="K887" s="64">
        <f>18.3215 * CHOOSE(CONTROL!$C$22, $C$13, 100%, $E$13)</f>
        <v>18.3215</v>
      </c>
    </row>
    <row r="888" spans="1:11" ht="15">
      <c r="A888" s="13">
        <v>68668</v>
      </c>
      <c r="B888" s="63">
        <f>15.5887 * CHOOSE(CONTROL!$C$22, $C$13, 100%, $E$13)</f>
        <v>15.588699999999999</v>
      </c>
      <c r="C888" s="63">
        <f>15.5887 * CHOOSE(CONTROL!$C$22, $C$13, 100%, $E$13)</f>
        <v>15.588699999999999</v>
      </c>
      <c r="D888" s="63">
        <f>15.6003 * CHOOSE(CONTROL!$C$22, $C$13, 100%, $E$13)</f>
        <v>15.600300000000001</v>
      </c>
      <c r="E888" s="64">
        <f>18.3441 * CHOOSE(CONTROL!$C$22, $C$13, 100%, $E$13)</f>
        <v>18.344100000000001</v>
      </c>
      <c r="F888" s="64">
        <f>18.3441 * CHOOSE(CONTROL!$C$22, $C$13, 100%, $E$13)</f>
        <v>18.344100000000001</v>
      </c>
      <c r="G888" s="64">
        <f>18.3443 * CHOOSE(CONTROL!$C$22, $C$13, 100%, $E$13)</f>
        <v>18.3443</v>
      </c>
      <c r="H888" s="64">
        <f>29.6713* CHOOSE(CONTROL!$C$22, $C$13, 100%, $E$13)</f>
        <v>29.671299999999999</v>
      </c>
      <c r="I888" s="64">
        <f>29.6714 * CHOOSE(CONTROL!$C$22, $C$13, 100%, $E$13)</f>
        <v>29.671399999999998</v>
      </c>
      <c r="J888" s="64">
        <f>18.3441 * CHOOSE(CONTROL!$C$22, $C$13, 100%, $E$13)</f>
        <v>18.344100000000001</v>
      </c>
      <c r="K888" s="64">
        <f>18.3443 * CHOOSE(CONTROL!$C$22, $C$13, 100%, $E$13)</f>
        <v>18.3443</v>
      </c>
    </row>
    <row r="889" spans="1:11" ht="15">
      <c r="A889" s="13">
        <v>68699</v>
      </c>
      <c r="B889" s="63">
        <f>15.5857 * CHOOSE(CONTROL!$C$22, $C$13, 100%, $E$13)</f>
        <v>15.585699999999999</v>
      </c>
      <c r="C889" s="63">
        <f>15.5857 * CHOOSE(CONTROL!$C$22, $C$13, 100%, $E$13)</f>
        <v>15.585699999999999</v>
      </c>
      <c r="D889" s="63">
        <f>15.5972 * CHOOSE(CONTROL!$C$22, $C$13, 100%, $E$13)</f>
        <v>15.597200000000001</v>
      </c>
      <c r="E889" s="64">
        <f>18.1412 * CHOOSE(CONTROL!$C$22, $C$13, 100%, $E$13)</f>
        <v>18.141200000000001</v>
      </c>
      <c r="F889" s="64">
        <f>18.1412 * CHOOSE(CONTROL!$C$22, $C$13, 100%, $E$13)</f>
        <v>18.141200000000001</v>
      </c>
      <c r="G889" s="64">
        <f>18.1414 * CHOOSE(CONTROL!$C$22, $C$13, 100%, $E$13)</f>
        <v>18.141400000000001</v>
      </c>
      <c r="H889" s="64">
        <f>29.7331* CHOOSE(CONTROL!$C$22, $C$13, 100%, $E$13)</f>
        <v>29.7331</v>
      </c>
      <c r="I889" s="64">
        <f>29.7333 * CHOOSE(CONTROL!$C$22, $C$13, 100%, $E$13)</f>
        <v>29.7333</v>
      </c>
      <c r="J889" s="64">
        <f>18.1412 * CHOOSE(CONTROL!$C$22, $C$13, 100%, $E$13)</f>
        <v>18.141200000000001</v>
      </c>
      <c r="K889" s="64">
        <f>18.1414 * CHOOSE(CONTROL!$C$22, $C$13, 100%, $E$13)</f>
        <v>18.141400000000001</v>
      </c>
    </row>
    <row r="890" spans="1:11" ht="15">
      <c r="A890" s="13">
        <v>68728</v>
      </c>
      <c r="B890" s="63">
        <f>15.5826 * CHOOSE(CONTROL!$C$22, $C$13, 100%, $E$13)</f>
        <v>15.582599999999999</v>
      </c>
      <c r="C890" s="63">
        <f>15.5826 * CHOOSE(CONTROL!$C$22, $C$13, 100%, $E$13)</f>
        <v>15.582599999999999</v>
      </c>
      <c r="D890" s="63">
        <f>15.5942 * CHOOSE(CONTROL!$C$22, $C$13, 100%, $E$13)</f>
        <v>15.594200000000001</v>
      </c>
      <c r="E890" s="64">
        <f>18.2974 * CHOOSE(CONTROL!$C$22, $C$13, 100%, $E$13)</f>
        <v>18.2974</v>
      </c>
      <c r="F890" s="64">
        <f>18.2974 * CHOOSE(CONTROL!$C$22, $C$13, 100%, $E$13)</f>
        <v>18.2974</v>
      </c>
      <c r="G890" s="64">
        <f>18.2976 * CHOOSE(CONTROL!$C$22, $C$13, 100%, $E$13)</f>
        <v>18.297599999999999</v>
      </c>
      <c r="H890" s="64">
        <f>29.795* CHOOSE(CONTROL!$C$22, $C$13, 100%, $E$13)</f>
        <v>29.795000000000002</v>
      </c>
      <c r="I890" s="64">
        <f>29.7952 * CHOOSE(CONTROL!$C$22, $C$13, 100%, $E$13)</f>
        <v>29.795200000000001</v>
      </c>
      <c r="J890" s="64">
        <f>18.2974 * CHOOSE(CONTROL!$C$22, $C$13, 100%, $E$13)</f>
        <v>18.2974</v>
      </c>
      <c r="K890" s="64">
        <f>18.2976 * CHOOSE(CONTROL!$C$22, $C$13, 100%, $E$13)</f>
        <v>18.297599999999999</v>
      </c>
    </row>
    <row r="891" spans="1:11" ht="15">
      <c r="A891" s="13">
        <v>68759</v>
      </c>
      <c r="B891" s="63">
        <f>15.5902 * CHOOSE(CONTROL!$C$22, $C$13, 100%, $E$13)</f>
        <v>15.590199999999999</v>
      </c>
      <c r="C891" s="63">
        <f>15.5902 * CHOOSE(CONTROL!$C$22, $C$13, 100%, $E$13)</f>
        <v>15.590199999999999</v>
      </c>
      <c r="D891" s="63">
        <f>15.6017 * CHOOSE(CONTROL!$C$22, $C$13, 100%, $E$13)</f>
        <v>15.601699999999999</v>
      </c>
      <c r="E891" s="64">
        <f>18.4631 * CHOOSE(CONTROL!$C$22, $C$13, 100%, $E$13)</f>
        <v>18.463100000000001</v>
      </c>
      <c r="F891" s="64">
        <f>18.4631 * CHOOSE(CONTROL!$C$22, $C$13, 100%, $E$13)</f>
        <v>18.463100000000001</v>
      </c>
      <c r="G891" s="64">
        <f>18.4633 * CHOOSE(CONTROL!$C$22, $C$13, 100%, $E$13)</f>
        <v>18.4633</v>
      </c>
      <c r="H891" s="64">
        <f>29.8571* CHOOSE(CONTROL!$C$22, $C$13, 100%, $E$13)</f>
        <v>29.857099999999999</v>
      </c>
      <c r="I891" s="64">
        <f>29.8573 * CHOOSE(CONTROL!$C$22, $C$13, 100%, $E$13)</f>
        <v>29.857299999999999</v>
      </c>
      <c r="J891" s="64">
        <f>18.4631 * CHOOSE(CONTROL!$C$22, $C$13, 100%, $E$13)</f>
        <v>18.463100000000001</v>
      </c>
      <c r="K891" s="64">
        <f>18.4633 * CHOOSE(CONTROL!$C$22, $C$13, 100%, $E$13)</f>
        <v>18.4633</v>
      </c>
    </row>
    <row r="892" spans="1:11" ht="15">
      <c r="A892" s="13">
        <v>68789</v>
      </c>
      <c r="B892" s="63">
        <f>15.5902 * CHOOSE(CONTROL!$C$22, $C$13, 100%, $E$13)</f>
        <v>15.590199999999999</v>
      </c>
      <c r="C892" s="63">
        <f>15.5902 * CHOOSE(CONTROL!$C$22, $C$13, 100%, $E$13)</f>
        <v>15.590199999999999</v>
      </c>
      <c r="D892" s="63">
        <f>15.6133 * CHOOSE(CONTROL!$C$22, $C$13, 100%, $E$13)</f>
        <v>15.613300000000001</v>
      </c>
      <c r="E892" s="64">
        <f>18.5269 * CHOOSE(CONTROL!$C$22, $C$13, 100%, $E$13)</f>
        <v>18.526900000000001</v>
      </c>
      <c r="F892" s="64">
        <f>18.5269 * CHOOSE(CONTROL!$C$22, $C$13, 100%, $E$13)</f>
        <v>18.526900000000001</v>
      </c>
      <c r="G892" s="64">
        <f>18.5284 * CHOOSE(CONTROL!$C$22, $C$13, 100%, $E$13)</f>
        <v>18.528400000000001</v>
      </c>
      <c r="H892" s="64">
        <f>29.9193* CHOOSE(CONTROL!$C$22, $C$13, 100%, $E$13)</f>
        <v>29.9193</v>
      </c>
      <c r="I892" s="64">
        <f>29.9208 * CHOOSE(CONTROL!$C$22, $C$13, 100%, $E$13)</f>
        <v>29.9208</v>
      </c>
      <c r="J892" s="64">
        <f>18.5269 * CHOOSE(CONTROL!$C$22, $C$13, 100%, $E$13)</f>
        <v>18.526900000000001</v>
      </c>
      <c r="K892" s="64">
        <f>18.5284 * CHOOSE(CONTROL!$C$22, $C$13, 100%, $E$13)</f>
        <v>18.528400000000001</v>
      </c>
    </row>
    <row r="893" spans="1:11" ht="15">
      <c r="A893" s="13">
        <v>68820</v>
      </c>
      <c r="B893" s="63">
        <f>15.5963 * CHOOSE(CONTROL!$C$22, $C$13, 100%, $E$13)</f>
        <v>15.596299999999999</v>
      </c>
      <c r="C893" s="63">
        <f>15.5963 * CHOOSE(CONTROL!$C$22, $C$13, 100%, $E$13)</f>
        <v>15.596299999999999</v>
      </c>
      <c r="D893" s="63">
        <f>15.6194 * CHOOSE(CONTROL!$C$22, $C$13, 100%, $E$13)</f>
        <v>15.619400000000001</v>
      </c>
      <c r="E893" s="64">
        <f>18.4674 * CHOOSE(CONTROL!$C$22, $C$13, 100%, $E$13)</f>
        <v>18.467400000000001</v>
      </c>
      <c r="F893" s="64">
        <f>18.4674 * CHOOSE(CONTROL!$C$22, $C$13, 100%, $E$13)</f>
        <v>18.467400000000001</v>
      </c>
      <c r="G893" s="64">
        <f>18.4689 * CHOOSE(CONTROL!$C$22, $C$13, 100%, $E$13)</f>
        <v>18.468900000000001</v>
      </c>
      <c r="H893" s="64">
        <f>29.9816* CHOOSE(CONTROL!$C$22, $C$13, 100%, $E$13)</f>
        <v>29.9816</v>
      </c>
      <c r="I893" s="64">
        <f>29.9831 * CHOOSE(CONTROL!$C$22, $C$13, 100%, $E$13)</f>
        <v>29.9831</v>
      </c>
      <c r="J893" s="64">
        <f>18.4674 * CHOOSE(CONTROL!$C$22, $C$13, 100%, $E$13)</f>
        <v>18.467400000000001</v>
      </c>
      <c r="K893" s="64">
        <f>18.4689 * CHOOSE(CONTROL!$C$22, $C$13, 100%, $E$13)</f>
        <v>18.468900000000001</v>
      </c>
    </row>
    <row r="894" spans="1:11" ht="15">
      <c r="A894" s="13">
        <v>68850</v>
      </c>
      <c r="B894" s="63">
        <f>15.8401 * CHOOSE(CONTROL!$C$22, $C$13, 100%, $E$13)</f>
        <v>15.8401</v>
      </c>
      <c r="C894" s="63">
        <f>15.8401 * CHOOSE(CONTROL!$C$22, $C$13, 100%, $E$13)</f>
        <v>15.8401</v>
      </c>
      <c r="D894" s="63">
        <f>15.8632 * CHOOSE(CONTROL!$C$22, $C$13, 100%, $E$13)</f>
        <v>15.863200000000001</v>
      </c>
      <c r="E894" s="64">
        <f>18.8181 * CHOOSE(CONTROL!$C$22, $C$13, 100%, $E$13)</f>
        <v>18.818100000000001</v>
      </c>
      <c r="F894" s="64">
        <f>18.8181 * CHOOSE(CONTROL!$C$22, $C$13, 100%, $E$13)</f>
        <v>18.818100000000001</v>
      </c>
      <c r="G894" s="64">
        <f>18.8196 * CHOOSE(CONTROL!$C$22, $C$13, 100%, $E$13)</f>
        <v>18.819600000000001</v>
      </c>
      <c r="H894" s="64">
        <f>30.0441* CHOOSE(CONTROL!$C$22, $C$13, 100%, $E$13)</f>
        <v>30.0441</v>
      </c>
      <c r="I894" s="64">
        <f>30.0456 * CHOOSE(CONTROL!$C$22, $C$13, 100%, $E$13)</f>
        <v>30.0456</v>
      </c>
      <c r="J894" s="64">
        <f>18.8181 * CHOOSE(CONTROL!$C$22, $C$13, 100%, $E$13)</f>
        <v>18.818100000000001</v>
      </c>
      <c r="K894" s="64">
        <f>18.8196 * CHOOSE(CONTROL!$C$22, $C$13, 100%, $E$13)</f>
        <v>18.819600000000001</v>
      </c>
    </row>
    <row r="895" spans="1:11" ht="15">
      <c r="A895" s="13">
        <v>68881</v>
      </c>
      <c r="B895" s="63">
        <f>15.8468 * CHOOSE(CONTROL!$C$22, $C$13, 100%, $E$13)</f>
        <v>15.8468</v>
      </c>
      <c r="C895" s="63">
        <f>15.8468 * CHOOSE(CONTROL!$C$22, $C$13, 100%, $E$13)</f>
        <v>15.8468</v>
      </c>
      <c r="D895" s="63">
        <f>15.8699 * CHOOSE(CONTROL!$C$22, $C$13, 100%, $E$13)</f>
        <v>15.869899999999999</v>
      </c>
      <c r="E895" s="64">
        <f>18.6315 * CHOOSE(CONTROL!$C$22, $C$13, 100%, $E$13)</f>
        <v>18.631499999999999</v>
      </c>
      <c r="F895" s="64">
        <f>18.6315 * CHOOSE(CONTROL!$C$22, $C$13, 100%, $E$13)</f>
        <v>18.631499999999999</v>
      </c>
      <c r="G895" s="64">
        <f>18.633 * CHOOSE(CONTROL!$C$22, $C$13, 100%, $E$13)</f>
        <v>18.632999999999999</v>
      </c>
      <c r="H895" s="64">
        <f>30.1067* CHOOSE(CONTROL!$C$22, $C$13, 100%, $E$13)</f>
        <v>30.1067</v>
      </c>
      <c r="I895" s="64">
        <f>30.1082 * CHOOSE(CONTROL!$C$22, $C$13, 100%, $E$13)</f>
        <v>30.1082</v>
      </c>
      <c r="J895" s="64">
        <f>18.6315 * CHOOSE(CONTROL!$C$22, $C$13, 100%, $E$13)</f>
        <v>18.631499999999999</v>
      </c>
      <c r="K895" s="64">
        <f>18.633 * CHOOSE(CONTROL!$C$22, $C$13, 100%, $E$13)</f>
        <v>18.632999999999999</v>
      </c>
    </row>
    <row r="896" spans="1:11" ht="15">
      <c r="A896" s="13">
        <v>68912</v>
      </c>
      <c r="B896" s="63">
        <f>15.8437 * CHOOSE(CONTROL!$C$22, $C$13, 100%, $E$13)</f>
        <v>15.8437</v>
      </c>
      <c r="C896" s="63">
        <f>15.8437 * CHOOSE(CONTROL!$C$22, $C$13, 100%, $E$13)</f>
        <v>15.8437</v>
      </c>
      <c r="D896" s="63">
        <f>15.8668 * CHOOSE(CONTROL!$C$22, $C$13, 100%, $E$13)</f>
        <v>15.8668</v>
      </c>
      <c r="E896" s="64">
        <f>18.6082 * CHOOSE(CONTROL!$C$22, $C$13, 100%, $E$13)</f>
        <v>18.6082</v>
      </c>
      <c r="F896" s="64">
        <f>18.6082 * CHOOSE(CONTROL!$C$22, $C$13, 100%, $E$13)</f>
        <v>18.6082</v>
      </c>
      <c r="G896" s="64">
        <f>18.6097 * CHOOSE(CONTROL!$C$22, $C$13, 100%, $E$13)</f>
        <v>18.6097</v>
      </c>
      <c r="H896" s="64">
        <f>30.1694* CHOOSE(CONTROL!$C$22, $C$13, 100%, $E$13)</f>
        <v>30.1694</v>
      </c>
      <c r="I896" s="64">
        <f>30.1709 * CHOOSE(CONTROL!$C$22, $C$13, 100%, $E$13)</f>
        <v>30.1709</v>
      </c>
      <c r="J896" s="64">
        <f>18.6082 * CHOOSE(CONTROL!$C$22, $C$13, 100%, $E$13)</f>
        <v>18.6082</v>
      </c>
      <c r="K896" s="64">
        <f>18.6097 * CHOOSE(CONTROL!$C$22, $C$13, 100%, $E$13)</f>
        <v>18.6097</v>
      </c>
    </row>
    <row r="897" spans="1:11" ht="15">
      <c r="A897" s="13">
        <v>68942</v>
      </c>
      <c r="B897" s="63">
        <f>15.8776 * CHOOSE(CONTROL!$C$22, $C$13, 100%, $E$13)</f>
        <v>15.877599999999999</v>
      </c>
      <c r="C897" s="63">
        <f>15.8776 * CHOOSE(CONTROL!$C$22, $C$13, 100%, $E$13)</f>
        <v>15.877599999999999</v>
      </c>
      <c r="D897" s="63">
        <f>15.8891 * CHOOSE(CONTROL!$C$22, $C$13, 100%, $E$13)</f>
        <v>15.889099999999999</v>
      </c>
      <c r="E897" s="64">
        <f>18.6798 * CHOOSE(CONTROL!$C$22, $C$13, 100%, $E$13)</f>
        <v>18.6798</v>
      </c>
      <c r="F897" s="64">
        <f>18.6798 * CHOOSE(CONTROL!$C$22, $C$13, 100%, $E$13)</f>
        <v>18.6798</v>
      </c>
      <c r="G897" s="64">
        <f>18.6799 * CHOOSE(CONTROL!$C$22, $C$13, 100%, $E$13)</f>
        <v>18.6799</v>
      </c>
      <c r="H897" s="64">
        <f>30.2323* CHOOSE(CONTROL!$C$22, $C$13, 100%, $E$13)</f>
        <v>30.232299999999999</v>
      </c>
      <c r="I897" s="64">
        <f>30.2324 * CHOOSE(CONTROL!$C$22, $C$13, 100%, $E$13)</f>
        <v>30.232399999999998</v>
      </c>
      <c r="J897" s="64">
        <f>18.6798 * CHOOSE(CONTROL!$C$22, $C$13, 100%, $E$13)</f>
        <v>18.6798</v>
      </c>
      <c r="K897" s="64">
        <f>18.6799 * CHOOSE(CONTROL!$C$22, $C$13, 100%, $E$13)</f>
        <v>18.6799</v>
      </c>
    </row>
    <row r="898" spans="1:11" ht="15">
      <c r="A898" s="13">
        <v>68973</v>
      </c>
      <c r="B898" s="63">
        <f>15.8806 * CHOOSE(CONTROL!$C$22, $C$13, 100%, $E$13)</f>
        <v>15.880599999999999</v>
      </c>
      <c r="C898" s="63">
        <f>15.8806 * CHOOSE(CONTROL!$C$22, $C$13, 100%, $E$13)</f>
        <v>15.880599999999999</v>
      </c>
      <c r="D898" s="63">
        <f>15.8922 * CHOOSE(CONTROL!$C$22, $C$13, 100%, $E$13)</f>
        <v>15.892200000000001</v>
      </c>
      <c r="E898" s="64">
        <f>18.7244 * CHOOSE(CONTROL!$C$22, $C$13, 100%, $E$13)</f>
        <v>18.724399999999999</v>
      </c>
      <c r="F898" s="64">
        <f>18.7244 * CHOOSE(CONTROL!$C$22, $C$13, 100%, $E$13)</f>
        <v>18.724399999999999</v>
      </c>
      <c r="G898" s="64">
        <f>18.7245 * CHOOSE(CONTROL!$C$22, $C$13, 100%, $E$13)</f>
        <v>18.724499999999999</v>
      </c>
      <c r="H898" s="64">
        <f>30.2952* CHOOSE(CONTROL!$C$22, $C$13, 100%, $E$13)</f>
        <v>30.295200000000001</v>
      </c>
      <c r="I898" s="64">
        <f>30.2954 * CHOOSE(CONTROL!$C$22, $C$13, 100%, $E$13)</f>
        <v>30.295400000000001</v>
      </c>
      <c r="J898" s="64">
        <f>18.7244 * CHOOSE(CONTROL!$C$22, $C$13, 100%, $E$13)</f>
        <v>18.724399999999999</v>
      </c>
      <c r="K898" s="64">
        <f>18.7245 * CHOOSE(CONTROL!$C$22, $C$13, 100%, $E$13)</f>
        <v>18.724499999999999</v>
      </c>
    </row>
    <row r="899" spans="1:11" ht="15">
      <c r="A899" s="13">
        <v>69003</v>
      </c>
      <c r="B899" s="63">
        <f>15.8806 * CHOOSE(CONTROL!$C$22, $C$13, 100%, $E$13)</f>
        <v>15.880599999999999</v>
      </c>
      <c r="C899" s="63">
        <f>15.8806 * CHOOSE(CONTROL!$C$22, $C$13, 100%, $E$13)</f>
        <v>15.880599999999999</v>
      </c>
      <c r="D899" s="63">
        <f>15.8922 * CHOOSE(CONTROL!$C$22, $C$13, 100%, $E$13)</f>
        <v>15.892200000000001</v>
      </c>
      <c r="E899" s="64">
        <f>18.6181 * CHOOSE(CONTROL!$C$22, $C$13, 100%, $E$13)</f>
        <v>18.618099999999998</v>
      </c>
      <c r="F899" s="64">
        <f>18.6181 * CHOOSE(CONTROL!$C$22, $C$13, 100%, $E$13)</f>
        <v>18.618099999999998</v>
      </c>
      <c r="G899" s="64">
        <f>18.6183 * CHOOSE(CONTROL!$C$22, $C$13, 100%, $E$13)</f>
        <v>18.618300000000001</v>
      </c>
      <c r="H899" s="64">
        <f>30.3584* CHOOSE(CONTROL!$C$22, $C$13, 100%, $E$13)</f>
        <v>30.3584</v>
      </c>
      <c r="I899" s="64">
        <f>30.3585 * CHOOSE(CONTROL!$C$22, $C$13, 100%, $E$13)</f>
        <v>30.358499999999999</v>
      </c>
      <c r="J899" s="64">
        <f>18.6181 * CHOOSE(CONTROL!$C$22, $C$13, 100%, $E$13)</f>
        <v>18.618099999999998</v>
      </c>
      <c r="K899" s="64">
        <f>18.6183 * CHOOSE(CONTROL!$C$22, $C$13, 100%, $E$13)</f>
        <v>18.618300000000001</v>
      </c>
    </row>
    <row r="900" spans="1:11" ht="15">
      <c r="A900" s="13">
        <v>69034</v>
      </c>
      <c r="B900" s="63">
        <f>15.834 * CHOOSE(CONTROL!$C$22, $C$13, 100%, $E$13)</f>
        <v>15.834</v>
      </c>
      <c r="C900" s="63">
        <f>15.834 * CHOOSE(CONTROL!$C$22, $C$13, 100%, $E$13)</f>
        <v>15.834</v>
      </c>
      <c r="D900" s="63">
        <f>15.8456 * CHOOSE(CONTROL!$C$22, $C$13, 100%, $E$13)</f>
        <v>15.845599999999999</v>
      </c>
      <c r="E900" s="64">
        <f>18.6365 * CHOOSE(CONTROL!$C$22, $C$13, 100%, $E$13)</f>
        <v>18.636500000000002</v>
      </c>
      <c r="F900" s="64">
        <f>18.6365 * CHOOSE(CONTROL!$C$22, $C$13, 100%, $E$13)</f>
        <v>18.636500000000002</v>
      </c>
      <c r="G900" s="64">
        <f>18.6367 * CHOOSE(CONTROL!$C$22, $C$13, 100%, $E$13)</f>
        <v>18.636700000000001</v>
      </c>
      <c r="H900" s="64">
        <f>30.1172* CHOOSE(CONTROL!$C$22, $C$13, 100%, $E$13)</f>
        <v>30.1172</v>
      </c>
      <c r="I900" s="64">
        <f>30.1173 * CHOOSE(CONTROL!$C$22, $C$13, 100%, $E$13)</f>
        <v>30.1173</v>
      </c>
      <c r="J900" s="64">
        <f>18.6365 * CHOOSE(CONTROL!$C$22, $C$13, 100%, $E$13)</f>
        <v>18.636500000000002</v>
      </c>
      <c r="K900" s="64">
        <f>18.6367 * CHOOSE(CONTROL!$C$22, $C$13, 100%, $E$13)</f>
        <v>18.636700000000001</v>
      </c>
    </row>
    <row r="901" spans="1:11" ht="15">
      <c r="A901" s="13">
        <v>69065</v>
      </c>
      <c r="B901" s="63">
        <f>15.831 * CHOOSE(CONTROL!$C$22, $C$13, 100%, $E$13)</f>
        <v>15.831</v>
      </c>
      <c r="C901" s="63">
        <f>15.831 * CHOOSE(CONTROL!$C$22, $C$13, 100%, $E$13)</f>
        <v>15.831</v>
      </c>
      <c r="D901" s="63">
        <f>15.8426 * CHOOSE(CONTROL!$C$22, $C$13, 100%, $E$13)</f>
        <v>15.842599999999999</v>
      </c>
      <c r="E901" s="64">
        <f>18.4304 * CHOOSE(CONTROL!$C$22, $C$13, 100%, $E$13)</f>
        <v>18.430399999999999</v>
      </c>
      <c r="F901" s="64">
        <f>18.4304 * CHOOSE(CONTROL!$C$22, $C$13, 100%, $E$13)</f>
        <v>18.430399999999999</v>
      </c>
      <c r="G901" s="64">
        <f>18.4306 * CHOOSE(CONTROL!$C$22, $C$13, 100%, $E$13)</f>
        <v>18.430599999999998</v>
      </c>
      <c r="H901" s="64">
        <f>30.1799* CHOOSE(CONTROL!$C$22, $C$13, 100%, $E$13)</f>
        <v>30.1799</v>
      </c>
      <c r="I901" s="64">
        <f>30.1801 * CHOOSE(CONTROL!$C$22, $C$13, 100%, $E$13)</f>
        <v>30.180099999999999</v>
      </c>
      <c r="J901" s="64">
        <f>18.4304 * CHOOSE(CONTROL!$C$22, $C$13, 100%, $E$13)</f>
        <v>18.430399999999999</v>
      </c>
      <c r="K901" s="64">
        <f>18.4306 * CHOOSE(CONTROL!$C$22, $C$13, 100%, $E$13)</f>
        <v>18.430599999999998</v>
      </c>
    </row>
    <row r="902" spans="1:11" ht="15">
      <c r="A902" s="13">
        <v>69093</v>
      </c>
      <c r="B902" s="63">
        <f>15.828 * CHOOSE(CONTROL!$C$22, $C$13, 100%, $E$13)</f>
        <v>15.827999999999999</v>
      </c>
      <c r="C902" s="63">
        <f>15.828 * CHOOSE(CONTROL!$C$22, $C$13, 100%, $E$13)</f>
        <v>15.827999999999999</v>
      </c>
      <c r="D902" s="63">
        <f>15.8395 * CHOOSE(CONTROL!$C$22, $C$13, 100%, $E$13)</f>
        <v>15.839499999999999</v>
      </c>
      <c r="E902" s="64">
        <f>18.5891 * CHOOSE(CONTROL!$C$22, $C$13, 100%, $E$13)</f>
        <v>18.589099999999998</v>
      </c>
      <c r="F902" s="64">
        <f>18.5891 * CHOOSE(CONTROL!$C$22, $C$13, 100%, $E$13)</f>
        <v>18.589099999999998</v>
      </c>
      <c r="G902" s="64">
        <f>18.5893 * CHOOSE(CONTROL!$C$22, $C$13, 100%, $E$13)</f>
        <v>18.589300000000001</v>
      </c>
      <c r="H902" s="64">
        <f>30.2428* CHOOSE(CONTROL!$C$22, $C$13, 100%, $E$13)</f>
        <v>30.242799999999999</v>
      </c>
      <c r="I902" s="64">
        <f>30.2429 * CHOOSE(CONTROL!$C$22, $C$13, 100%, $E$13)</f>
        <v>30.242899999999999</v>
      </c>
      <c r="J902" s="64">
        <f>18.5891 * CHOOSE(CONTROL!$C$22, $C$13, 100%, $E$13)</f>
        <v>18.589099999999998</v>
      </c>
      <c r="K902" s="64">
        <f>18.5893 * CHOOSE(CONTROL!$C$22, $C$13, 100%, $E$13)</f>
        <v>18.589300000000001</v>
      </c>
    </row>
    <row r="903" spans="1:11" ht="15">
      <c r="A903" s="13">
        <v>69124</v>
      </c>
      <c r="B903" s="63">
        <f>15.8357 * CHOOSE(CONTROL!$C$22, $C$13, 100%, $E$13)</f>
        <v>15.835699999999999</v>
      </c>
      <c r="C903" s="63">
        <f>15.8357 * CHOOSE(CONTROL!$C$22, $C$13, 100%, $E$13)</f>
        <v>15.835699999999999</v>
      </c>
      <c r="D903" s="63">
        <f>15.8472 * CHOOSE(CONTROL!$C$22, $C$13, 100%, $E$13)</f>
        <v>15.847200000000001</v>
      </c>
      <c r="E903" s="64">
        <f>18.7576 * CHOOSE(CONTROL!$C$22, $C$13, 100%, $E$13)</f>
        <v>18.7576</v>
      </c>
      <c r="F903" s="64">
        <f>18.7576 * CHOOSE(CONTROL!$C$22, $C$13, 100%, $E$13)</f>
        <v>18.7576</v>
      </c>
      <c r="G903" s="64">
        <f>18.7578 * CHOOSE(CONTROL!$C$22, $C$13, 100%, $E$13)</f>
        <v>18.7578</v>
      </c>
      <c r="H903" s="64">
        <f>30.3058* CHOOSE(CONTROL!$C$22, $C$13, 100%, $E$13)</f>
        <v>30.305800000000001</v>
      </c>
      <c r="I903" s="64">
        <f>30.306 * CHOOSE(CONTROL!$C$22, $C$13, 100%, $E$13)</f>
        <v>30.306000000000001</v>
      </c>
      <c r="J903" s="64">
        <f>18.7576 * CHOOSE(CONTROL!$C$22, $C$13, 100%, $E$13)</f>
        <v>18.7576</v>
      </c>
      <c r="K903" s="64">
        <f>18.7578 * CHOOSE(CONTROL!$C$22, $C$13, 100%, $E$13)</f>
        <v>18.7578</v>
      </c>
    </row>
    <row r="904" spans="1:11" ht="15">
      <c r="A904" s="13">
        <v>69154</v>
      </c>
      <c r="B904" s="63">
        <f>15.8357 * CHOOSE(CONTROL!$C$22, $C$13, 100%, $E$13)</f>
        <v>15.835699999999999</v>
      </c>
      <c r="C904" s="63">
        <f>15.8357 * CHOOSE(CONTROL!$C$22, $C$13, 100%, $E$13)</f>
        <v>15.835699999999999</v>
      </c>
      <c r="D904" s="63">
        <f>15.8588 * CHOOSE(CONTROL!$C$22, $C$13, 100%, $E$13)</f>
        <v>15.8588</v>
      </c>
      <c r="E904" s="64">
        <f>18.8224 * CHOOSE(CONTROL!$C$22, $C$13, 100%, $E$13)</f>
        <v>18.822399999999998</v>
      </c>
      <c r="F904" s="64">
        <f>18.8224 * CHOOSE(CONTROL!$C$22, $C$13, 100%, $E$13)</f>
        <v>18.822399999999998</v>
      </c>
      <c r="G904" s="64">
        <f>18.8238 * CHOOSE(CONTROL!$C$22, $C$13, 100%, $E$13)</f>
        <v>18.823799999999999</v>
      </c>
      <c r="H904" s="64">
        <f>30.3689* CHOOSE(CONTROL!$C$22, $C$13, 100%, $E$13)</f>
        <v>30.3689</v>
      </c>
      <c r="I904" s="64">
        <f>30.3704 * CHOOSE(CONTROL!$C$22, $C$13, 100%, $E$13)</f>
        <v>30.3704</v>
      </c>
      <c r="J904" s="64">
        <f>18.8224 * CHOOSE(CONTROL!$C$22, $C$13, 100%, $E$13)</f>
        <v>18.822399999999998</v>
      </c>
      <c r="K904" s="64">
        <f>18.8238 * CHOOSE(CONTROL!$C$22, $C$13, 100%, $E$13)</f>
        <v>18.823799999999999</v>
      </c>
    </row>
    <row r="905" spans="1:11" ht="15">
      <c r="A905" s="13">
        <v>69185</v>
      </c>
      <c r="B905" s="63">
        <f>15.8418 * CHOOSE(CONTROL!$C$22, $C$13, 100%, $E$13)</f>
        <v>15.841799999999999</v>
      </c>
      <c r="C905" s="63">
        <f>15.8418 * CHOOSE(CONTROL!$C$22, $C$13, 100%, $E$13)</f>
        <v>15.841799999999999</v>
      </c>
      <c r="D905" s="63">
        <f>15.8649 * CHOOSE(CONTROL!$C$22, $C$13, 100%, $E$13)</f>
        <v>15.8649</v>
      </c>
      <c r="E905" s="64">
        <f>18.7618 * CHOOSE(CONTROL!$C$22, $C$13, 100%, $E$13)</f>
        <v>18.761800000000001</v>
      </c>
      <c r="F905" s="64">
        <f>18.7618 * CHOOSE(CONTROL!$C$22, $C$13, 100%, $E$13)</f>
        <v>18.761800000000001</v>
      </c>
      <c r="G905" s="64">
        <f>18.7633 * CHOOSE(CONTROL!$C$22, $C$13, 100%, $E$13)</f>
        <v>18.763300000000001</v>
      </c>
      <c r="H905" s="64">
        <f>30.4322* CHOOSE(CONTROL!$C$22, $C$13, 100%, $E$13)</f>
        <v>30.432200000000002</v>
      </c>
      <c r="I905" s="64">
        <f>30.4337 * CHOOSE(CONTROL!$C$22, $C$13, 100%, $E$13)</f>
        <v>30.433700000000002</v>
      </c>
      <c r="J905" s="64">
        <f>18.7618 * CHOOSE(CONTROL!$C$22, $C$13, 100%, $E$13)</f>
        <v>18.761800000000001</v>
      </c>
      <c r="K905" s="64">
        <f>18.7633 * CHOOSE(CONTROL!$C$22, $C$13, 100%, $E$13)</f>
        <v>18.763300000000001</v>
      </c>
    </row>
    <row r="906" spans="1:11" ht="15">
      <c r="A906" s="13">
        <v>69215</v>
      </c>
      <c r="B906" s="63">
        <f>16.0893 * CHOOSE(CONTROL!$C$22, $C$13, 100%, $E$13)</f>
        <v>16.089300000000001</v>
      </c>
      <c r="C906" s="63">
        <f>16.0893 * CHOOSE(CONTROL!$C$22, $C$13, 100%, $E$13)</f>
        <v>16.089300000000001</v>
      </c>
      <c r="D906" s="63">
        <f>16.1124 * CHOOSE(CONTROL!$C$22, $C$13, 100%, $E$13)</f>
        <v>16.112400000000001</v>
      </c>
      <c r="E906" s="64">
        <f>19.118 * CHOOSE(CONTROL!$C$22, $C$13, 100%, $E$13)</f>
        <v>19.117999999999999</v>
      </c>
      <c r="F906" s="64">
        <f>19.118 * CHOOSE(CONTROL!$C$22, $C$13, 100%, $E$13)</f>
        <v>19.117999999999999</v>
      </c>
      <c r="G906" s="64">
        <f>19.1195 * CHOOSE(CONTROL!$C$22, $C$13, 100%, $E$13)</f>
        <v>19.119499999999999</v>
      </c>
      <c r="H906" s="64">
        <f>30.4956* CHOOSE(CONTROL!$C$22, $C$13, 100%, $E$13)</f>
        <v>30.4956</v>
      </c>
      <c r="I906" s="64">
        <f>30.4971 * CHOOSE(CONTROL!$C$22, $C$13, 100%, $E$13)</f>
        <v>30.4971</v>
      </c>
      <c r="J906" s="64">
        <f>19.118 * CHOOSE(CONTROL!$C$22, $C$13, 100%, $E$13)</f>
        <v>19.117999999999999</v>
      </c>
      <c r="K906" s="64">
        <f>19.1195 * CHOOSE(CONTROL!$C$22, $C$13, 100%, $E$13)</f>
        <v>19.119499999999999</v>
      </c>
    </row>
    <row r="907" spans="1:11" ht="15">
      <c r="A907" s="13">
        <v>69246</v>
      </c>
      <c r="B907" s="63">
        <f>16.096 * CHOOSE(CONTROL!$C$22, $C$13, 100%, $E$13)</f>
        <v>16.096</v>
      </c>
      <c r="C907" s="63">
        <f>16.096 * CHOOSE(CONTROL!$C$22, $C$13, 100%, $E$13)</f>
        <v>16.096</v>
      </c>
      <c r="D907" s="63">
        <f>16.1191 * CHOOSE(CONTROL!$C$22, $C$13, 100%, $E$13)</f>
        <v>16.1191</v>
      </c>
      <c r="E907" s="64">
        <f>18.9284 * CHOOSE(CONTROL!$C$22, $C$13, 100%, $E$13)</f>
        <v>18.9284</v>
      </c>
      <c r="F907" s="64">
        <f>18.9284 * CHOOSE(CONTROL!$C$22, $C$13, 100%, $E$13)</f>
        <v>18.9284</v>
      </c>
      <c r="G907" s="64">
        <f>18.9299 * CHOOSE(CONTROL!$C$22, $C$13, 100%, $E$13)</f>
        <v>18.9299</v>
      </c>
      <c r="H907" s="64">
        <f>30.5591* CHOOSE(CONTROL!$C$22, $C$13, 100%, $E$13)</f>
        <v>30.559100000000001</v>
      </c>
      <c r="I907" s="64">
        <f>30.5606 * CHOOSE(CONTROL!$C$22, $C$13, 100%, $E$13)</f>
        <v>30.560600000000001</v>
      </c>
      <c r="J907" s="64">
        <f>18.9284 * CHOOSE(CONTROL!$C$22, $C$13, 100%, $E$13)</f>
        <v>18.9284</v>
      </c>
      <c r="K907" s="64">
        <f>18.9299 * CHOOSE(CONTROL!$C$22, $C$13, 100%, $E$13)</f>
        <v>18.9299</v>
      </c>
    </row>
    <row r="908" spans="1:11" ht="15">
      <c r="A908" s="13">
        <v>69277</v>
      </c>
      <c r="B908" s="63">
        <f>16.093 * CHOOSE(CONTROL!$C$22, $C$13, 100%, $E$13)</f>
        <v>16.093</v>
      </c>
      <c r="C908" s="63">
        <f>16.093 * CHOOSE(CONTROL!$C$22, $C$13, 100%, $E$13)</f>
        <v>16.093</v>
      </c>
      <c r="D908" s="63">
        <f>16.1161 * CHOOSE(CONTROL!$C$22, $C$13, 100%, $E$13)</f>
        <v>16.116099999999999</v>
      </c>
      <c r="E908" s="64">
        <f>18.9047 * CHOOSE(CONTROL!$C$22, $C$13, 100%, $E$13)</f>
        <v>18.904699999999998</v>
      </c>
      <c r="F908" s="64">
        <f>18.9047 * CHOOSE(CONTROL!$C$22, $C$13, 100%, $E$13)</f>
        <v>18.904699999999998</v>
      </c>
      <c r="G908" s="64">
        <f>18.9062 * CHOOSE(CONTROL!$C$22, $C$13, 100%, $E$13)</f>
        <v>18.906199999999998</v>
      </c>
      <c r="H908" s="64">
        <f>30.6228* CHOOSE(CONTROL!$C$22, $C$13, 100%, $E$13)</f>
        <v>30.622800000000002</v>
      </c>
      <c r="I908" s="64">
        <f>30.6243 * CHOOSE(CONTROL!$C$22, $C$13, 100%, $E$13)</f>
        <v>30.624300000000002</v>
      </c>
      <c r="J908" s="64">
        <f>18.9047 * CHOOSE(CONTROL!$C$22, $C$13, 100%, $E$13)</f>
        <v>18.904699999999998</v>
      </c>
      <c r="K908" s="64">
        <f>18.9062 * CHOOSE(CONTROL!$C$22, $C$13, 100%, $E$13)</f>
        <v>18.906199999999998</v>
      </c>
    </row>
    <row r="909" spans="1:11" ht="15">
      <c r="A909" s="13">
        <v>69307</v>
      </c>
      <c r="B909" s="63">
        <f>16.1276 * CHOOSE(CONTROL!$C$22, $C$13, 100%, $E$13)</f>
        <v>16.127600000000001</v>
      </c>
      <c r="C909" s="63">
        <f>16.1276 * CHOOSE(CONTROL!$C$22, $C$13, 100%, $E$13)</f>
        <v>16.127600000000001</v>
      </c>
      <c r="D909" s="63">
        <f>16.1392 * CHOOSE(CONTROL!$C$22, $C$13, 100%, $E$13)</f>
        <v>16.139199999999999</v>
      </c>
      <c r="E909" s="64">
        <f>18.9776 * CHOOSE(CONTROL!$C$22, $C$13, 100%, $E$13)</f>
        <v>18.977599999999999</v>
      </c>
      <c r="F909" s="64">
        <f>18.9776 * CHOOSE(CONTROL!$C$22, $C$13, 100%, $E$13)</f>
        <v>18.977599999999999</v>
      </c>
      <c r="G909" s="64">
        <f>18.9778 * CHOOSE(CONTROL!$C$22, $C$13, 100%, $E$13)</f>
        <v>18.977799999999998</v>
      </c>
      <c r="H909" s="64">
        <f>30.6866* CHOOSE(CONTROL!$C$22, $C$13, 100%, $E$13)</f>
        <v>30.686599999999999</v>
      </c>
      <c r="I909" s="64">
        <f>30.6868 * CHOOSE(CONTROL!$C$22, $C$13, 100%, $E$13)</f>
        <v>30.686800000000002</v>
      </c>
      <c r="J909" s="64">
        <f>18.9776 * CHOOSE(CONTROL!$C$22, $C$13, 100%, $E$13)</f>
        <v>18.977599999999999</v>
      </c>
      <c r="K909" s="64">
        <f>18.9778 * CHOOSE(CONTROL!$C$22, $C$13, 100%, $E$13)</f>
        <v>18.977799999999998</v>
      </c>
    </row>
    <row r="910" spans="1:11" ht="15">
      <c r="A910" s="13">
        <v>69338</v>
      </c>
      <c r="B910" s="63">
        <f>16.1306 * CHOOSE(CONTROL!$C$22, $C$13, 100%, $E$13)</f>
        <v>16.130600000000001</v>
      </c>
      <c r="C910" s="63">
        <f>16.1306 * CHOOSE(CONTROL!$C$22, $C$13, 100%, $E$13)</f>
        <v>16.130600000000001</v>
      </c>
      <c r="D910" s="63">
        <f>16.1422 * CHOOSE(CONTROL!$C$22, $C$13, 100%, $E$13)</f>
        <v>16.142199999999999</v>
      </c>
      <c r="E910" s="64">
        <f>19.0229 * CHOOSE(CONTROL!$C$22, $C$13, 100%, $E$13)</f>
        <v>19.0229</v>
      </c>
      <c r="F910" s="64">
        <f>19.0229 * CHOOSE(CONTROL!$C$22, $C$13, 100%, $E$13)</f>
        <v>19.0229</v>
      </c>
      <c r="G910" s="64">
        <f>19.0231 * CHOOSE(CONTROL!$C$22, $C$13, 100%, $E$13)</f>
        <v>19.023099999999999</v>
      </c>
      <c r="H910" s="64">
        <f>30.7505* CHOOSE(CONTROL!$C$22, $C$13, 100%, $E$13)</f>
        <v>30.750499999999999</v>
      </c>
      <c r="I910" s="64">
        <f>30.7507 * CHOOSE(CONTROL!$C$22, $C$13, 100%, $E$13)</f>
        <v>30.750699999999998</v>
      </c>
      <c r="J910" s="64">
        <f>19.0229 * CHOOSE(CONTROL!$C$22, $C$13, 100%, $E$13)</f>
        <v>19.0229</v>
      </c>
      <c r="K910" s="64">
        <f>19.0231 * CHOOSE(CONTROL!$C$22, $C$13, 100%, $E$13)</f>
        <v>19.023099999999999</v>
      </c>
    </row>
    <row r="911" spans="1:11" ht="15">
      <c r="A911" s="13">
        <v>69368</v>
      </c>
      <c r="B911" s="63">
        <f>16.1306 * CHOOSE(CONTROL!$C$22, $C$13, 100%, $E$13)</f>
        <v>16.130600000000001</v>
      </c>
      <c r="C911" s="63">
        <f>16.1306 * CHOOSE(CONTROL!$C$22, $C$13, 100%, $E$13)</f>
        <v>16.130600000000001</v>
      </c>
      <c r="D911" s="63">
        <f>16.1422 * CHOOSE(CONTROL!$C$22, $C$13, 100%, $E$13)</f>
        <v>16.142199999999999</v>
      </c>
      <c r="E911" s="64">
        <f>18.915 * CHOOSE(CONTROL!$C$22, $C$13, 100%, $E$13)</f>
        <v>18.914999999999999</v>
      </c>
      <c r="F911" s="64">
        <f>18.915 * CHOOSE(CONTROL!$C$22, $C$13, 100%, $E$13)</f>
        <v>18.914999999999999</v>
      </c>
      <c r="G911" s="64">
        <f>18.9151 * CHOOSE(CONTROL!$C$22, $C$13, 100%, $E$13)</f>
        <v>18.915099999999999</v>
      </c>
      <c r="H911" s="64">
        <f>30.8146* CHOOSE(CONTROL!$C$22, $C$13, 100%, $E$13)</f>
        <v>30.814599999999999</v>
      </c>
      <c r="I911" s="64">
        <f>30.8147 * CHOOSE(CONTROL!$C$22, $C$13, 100%, $E$13)</f>
        <v>30.814699999999998</v>
      </c>
      <c r="J911" s="64">
        <f>18.915 * CHOOSE(CONTROL!$C$22, $C$13, 100%, $E$13)</f>
        <v>18.914999999999999</v>
      </c>
      <c r="K911" s="64">
        <f>18.9151 * CHOOSE(CONTROL!$C$22, $C$13, 100%, $E$13)</f>
        <v>18.915099999999999</v>
      </c>
    </row>
    <row r="912" spans="1:11" ht="15">
      <c r="A912" s="13">
        <v>69399</v>
      </c>
      <c r="B912" s="63">
        <f>16.0794 * CHOOSE(CONTROL!$C$22, $C$13, 100%, $E$13)</f>
        <v>16.0794</v>
      </c>
      <c r="C912" s="63">
        <f>16.0794 * CHOOSE(CONTROL!$C$22, $C$13, 100%, $E$13)</f>
        <v>16.0794</v>
      </c>
      <c r="D912" s="63">
        <f>16.0909 * CHOOSE(CONTROL!$C$22, $C$13, 100%, $E$13)</f>
        <v>16.090900000000001</v>
      </c>
      <c r="E912" s="64">
        <f>18.9289 * CHOOSE(CONTROL!$C$22, $C$13, 100%, $E$13)</f>
        <v>18.928899999999999</v>
      </c>
      <c r="F912" s="64">
        <f>18.9289 * CHOOSE(CONTROL!$C$22, $C$13, 100%, $E$13)</f>
        <v>18.928899999999999</v>
      </c>
      <c r="G912" s="64">
        <f>18.9291 * CHOOSE(CONTROL!$C$22, $C$13, 100%, $E$13)</f>
        <v>18.929099999999998</v>
      </c>
      <c r="H912" s="64">
        <f>30.563* CHOOSE(CONTROL!$C$22, $C$13, 100%, $E$13)</f>
        <v>30.562999999999999</v>
      </c>
      <c r="I912" s="64">
        <f>30.5632 * CHOOSE(CONTROL!$C$22, $C$13, 100%, $E$13)</f>
        <v>30.563199999999998</v>
      </c>
      <c r="J912" s="64">
        <f>18.9289 * CHOOSE(CONTROL!$C$22, $C$13, 100%, $E$13)</f>
        <v>18.928899999999999</v>
      </c>
      <c r="K912" s="64">
        <f>18.9291 * CHOOSE(CONTROL!$C$22, $C$13, 100%, $E$13)</f>
        <v>18.929099999999998</v>
      </c>
    </row>
    <row r="913" spans="1:11" ht="15">
      <c r="A913" s="13">
        <v>69430</v>
      </c>
      <c r="B913" s="63">
        <f>16.0763 * CHOOSE(CONTROL!$C$22, $C$13, 100%, $E$13)</f>
        <v>16.0763</v>
      </c>
      <c r="C913" s="63">
        <f>16.0763 * CHOOSE(CONTROL!$C$22, $C$13, 100%, $E$13)</f>
        <v>16.0763</v>
      </c>
      <c r="D913" s="63">
        <f>16.0879 * CHOOSE(CONTROL!$C$22, $C$13, 100%, $E$13)</f>
        <v>16.087900000000001</v>
      </c>
      <c r="E913" s="64">
        <f>18.7196 * CHOOSE(CONTROL!$C$22, $C$13, 100%, $E$13)</f>
        <v>18.7196</v>
      </c>
      <c r="F913" s="64">
        <f>18.7196 * CHOOSE(CONTROL!$C$22, $C$13, 100%, $E$13)</f>
        <v>18.7196</v>
      </c>
      <c r="G913" s="64">
        <f>18.7198 * CHOOSE(CONTROL!$C$22, $C$13, 100%, $E$13)</f>
        <v>18.719799999999999</v>
      </c>
      <c r="H913" s="64">
        <f>30.6267* CHOOSE(CONTROL!$C$22, $C$13, 100%, $E$13)</f>
        <v>30.6267</v>
      </c>
      <c r="I913" s="64">
        <f>30.6269 * CHOOSE(CONTROL!$C$22, $C$13, 100%, $E$13)</f>
        <v>30.626899999999999</v>
      </c>
      <c r="J913" s="64">
        <f>18.7196 * CHOOSE(CONTROL!$C$22, $C$13, 100%, $E$13)</f>
        <v>18.7196</v>
      </c>
      <c r="K913" s="64">
        <f>18.7198 * CHOOSE(CONTROL!$C$22, $C$13, 100%, $E$13)</f>
        <v>18.719799999999999</v>
      </c>
    </row>
    <row r="914" spans="1:11" ht="15">
      <c r="A914" s="13">
        <v>69458</v>
      </c>
      <c r="B914" s="63">
        <f>16.0733 * CHOOSE(CONTROL!$C$22, $C$13, 100%, $E$13)</f>
        <v>16.0733</v>
      </c>
      <c r="C914" s="63">
        <f>16.0733 * CHOOSE(CONTROL!$C$22, $C$13, 100%, $E$13)</f>
        <v>16.0733</v>
      </c>
      <c r="D914" s="63">
        <f>16.0848 * CHOOSE(CONTROL!$C$22, $C$13, 100%, $E$13)</f>
        <v>16.084800000000001</v>
      </c>
      <c r="E914" s="64">
        <f>18.8809 * CHOOSE(CONTROL!$C$22, $C$13, 100%, $E$13)</f>
        <v>18.8809</v>
      </c>
      <c r="F914" s="64">
        <f>18.8809 * CHOOSE(CONTROL!$C$22, $C$13, 100%, $E$13)</f>
        <v>18.8809</v>
      </c>
      <c r="G914" s="64">
        <f>18.881 * CHOOSE(CONTROL!$C$22, $C$13, 100%, $E$13)</f>
        <v>18.881</v>
      </c>
      <c r="H914" s="64">
        <f>30.6905* CHOOSE(CONTROL!$C$22, $C$13, 100%, $E$13)</f>
        <v>30.6905</v>
      </c>
      <c r="I914" s="64">
        <f>30.6907 * CHOOSE(CONTROL!$C$22, $C$13, 100%, $E$13)</f>
        <v>30.6907</v>
      </c>
      <c r="J914" s="64">
        <f>18.8809 * CHOOSE(CONTROL!$C$22, $C$13, 100%, $E$13)</f>
        <v>18.8809</v>
      </c>
      <c r="K914" s="64">
        <f>18.881 * CHOOSE(CONTROL!$C$22, $C$13, 100%, $E$13)</f>
        <v>18.881</v>
      </c>
    </row>
    <row r="915" spans="1:11" ht="15">
      <c r="A915" s="13">
        <v>69489</v>
      </c>
      <c r="B915" s="63">
        <f>16.0812 * CHOOSE(CONTROL!$C$22, $C$13, 100%, $E$13)</f>
        <v>16.081199999999999</v>
      </c>
      <c r="C915" s="63">
        <f>16.0812 * CHOOSE(CONTROL!$C$22, $C$13, 100%, $E$13)</f>
        <v>16.081199999999999</v>
      </c>
      <c r="D915" s="63">
        <f>16.0928 * CHOOSE(CONTROL!$C$22, $C$13, 100%, $E$13)</f>
        <v>16.0928</v>
      </c>
      <c r="E915" s="64">
        <f>19.052 * CHOOSE(CONTROL!$C$22, $C$13, 100%, $E$13)</f>
        <v>19.052</v>
      </c>
      <c r="F915" s="64">
        <f>19.052 * CHOOSE(CONTROL!$C$22, $C$13, 100%, $E$13)</f>
        <v>19.052</v>
      </c>
      <c r="G915" s="64">
        <f>19.0522 * CHOOSE(CONTROL!$C$22, $C$13, 100%, $E$13)</f>
        <v>19.052199999999999</v>
      </c>
      <c r="H915" s="64">
        <f>30.7545* CHOOSE(CONTROL!$C$22, $C$13, 100%, $E$13)</f>
        <v>30.7545</v>
      </c>
      <c r="I915" s="64">
        <f>30.7546 * CHOOSE(CONTROL!$C$22, $C$13, 100%, $E$13)</f>
        <v>30.7546</v>
      </c>
      <c r="J915" s="64">
        <f>19.052 * CHOOSE(CONTROL!$C$22, $C$13, 100%, $E$13)</f>
        <v>19.052</v>
      </c>
      <c r="K915" s="64">
        <f>19.0522 * CHOOSE(CONTROL!$C$22, $C$13, 100%, $E$13)</f>
        <v>19.052199999999999</v>
      </c>
    </row>
    <row r="916" spans="1:11" ht="15">
      <c r="A916" s="13">
        <v>69519</v>
      </c>
      <c r="B916" s="63">
        <f>16.0812 * CHOOSE(CONTROL!$C$22, $C$13, 100%, $E$13)</f>
        <v>16.081199999999999</v>
      </c>
      <c r="C916" s="63">
        <f>16.0812 * CHOOSE(CONTROL!$C$22, $C$13, 100%, $E$13)</f>
        <v>16.081199999999999</v>
      </c>
      <c r="D916" s="63">
        <f>16.1043 * CHOOSE(CONTROL!$C$22, $C$13, 100%, $E$13)</f>
        <v>16.104299999999999</v>
      </c>
      <c r="E916" s="64">
        <f>19.1178 * CHOOSE(CONTROL!$C$22, $C$13, 100%, $E$13)</f>
        <v>19.117799999999999</v>
      </c>
      <c r="F916" s="64">
        <f>19.1178 * CHOOSE(CONTROL!$C$22, $C$13, 100%, $E$13)</f>
        <v>19.117799999999999</v>
      </c>
      <c r="G916" s="64">
        <f>19.1193 * CHOOSE(CONTROL!$C$22, $C$13, 100%, $E$13)</f>
        <v>19.119299999999999</v>
      </c>
      <c r="H916" s="64">
        <f>30.8185* CHOOSE(CONTROL!$C$22, $C$13, 100%, $E$13)</f>
        <v>30.8185</v>
      </c>
      <c r="I916" s="64">
        <f>30.82 * CHOOSE(CONTROL!$C$22, $C$13, 100%, $E$13)</f>
        <v>30.82</v>
      </c>
      <c r="J916" s="64">
        <f>19.1178 * CHOOSE(CONTROL!$C$22, $C$13, 100%, $E$13)</f>
        <v>19.117799999999999</v>
      </c>
      <c r="K916" s="64">
        <f>19.1193 * CHOOSE(CONTROL!$C$22, $C$13, 100%, $E$13)</f>
        <v>19.119299999999999</v>
      </c>
    </row>
    <row r="917" spans="1:11" ht="15">
      <c r="A917" s="13">
        <v>69550</v>
      </c>
      <c r="B917" s="63">
        <f>16.0873 * CHOOSE(CONTROL!$C$22, $C$13, 100%, $E$13)</f>
        <v>16.087299999999999</v>
      </c>
      <c r="C917" s="63">
        <f>16.0873 * CHOOSE(CONTROL!$C$22, $C$13, 100%, $E$13)</f>
        <v>16.087299999999999</v>
      </c>
      <c r="D917" s="63">
        <f>16.1104 * CHOOSE(CONTROL!$C$22, $C$13, 100%, $E$13)</f>
        <v>16.110399999999998</v>
      </c>
      <c r="E917" s="64">
        <f>19.0563 * CHOOSE(CONTROL!$C$22, $C$13, 100%, $E$13)</f>
        <v>19.0563</v>
      </c>
      <c r="F917" s="64">
        <f>19.0563 * CHOOSE(CONTROL!$C$22, $C$13, 100%, $E$13)</f>
        <v>19.0563</v>
      </c>
      <c r="G917" s="64">
        <f>19.0578 * CHOOSE(CONTROL!$C$22, $C$13, 100%, $E$13)</f>
        <v>19.0578</v>
      </c>
      <c r="H917" s="64">
        <f>30.8827* CHOOSE(CONTROL!$C$22, $C$13, 100%, $E$13)</f>
        <v>30.8827</v>
      </c>
      <c r="I917" s="64">
        <f>30.8842 * CHOOSE(CONTROL!$C$22, $C$13, 100%, $E$13)</f>
        <v>30.8842</v>
      </c>
      <c r="J917" s="64">
        <f>19.0563 * CHOOSE(CONTROL!$C$22, $C$13, 100%, $E$13)</f>
        <v>19.0563</v>
      </c>
      <c r="K917" s="64">
        <f>19.0578 * CHOOSE(CONTROL!$C$22, $C$13, 100%, $E$13)</f>
        <v>19.0578</v>
      </c>
    </row>
    <row r="918" spans="1:11" ht="15">
      <c r="A918" s="13">
        <v>69580</v>
      </c>
      <c r="B918" s="63">
        <f>16.3385 * CHOOSE(CONTROL!$C$22, $C$13, 100%, $E$13)</f>
        <v>16.3385</v>
      </c>
      <c r="C918" s="63">
        <f>16.3385 * CHOOSE(CONTROL!$C$22, $C$13, 100%, $E$13)</f>
        <v>16.3385</v>
      </c>
      <c r="D918" s="63">
        <f>16.3616 * CHOOSE(CONTROL!$C$22, $C$13, 100%, $E$13)</f>
        <v>16.361599999999999</v>
      </c>
      <c r="E918" s="64">
        <f>19.4179 * CHOOSE(CONTROL!$C$22, $C$13, 100%, $E$13)</f>
        <v>19.417899999999999</v>
      </c>
      <c r="F918" s="64">
        <f>19.4179 * CHOOSE(CONTROL!$C$22, $C$13, 100%, $E$13)</f>
        <v>19.417899999999999</v>
      </c>
      <c r="G918" s="64">
        <f>19.4194 * CHOOSE(CONTROL!$C$22, $C$13, 100%, $E$13)</f>
        <v>19.4194</v>
      </c>
      <c r="H918" s="64">
        <f>30.9471* CHOOSE(CONTROL!$C$22, $C$13, 100%, $E$13)</f>
        <v>30.947099999999999</v>
      </c>
      <c r="I918" s="64">
        <f>30.9486 * CHOOSE(CONTROL!$C$22, $C$13, 100%, $E$13)</f>
        <v>30.948599999999999</v>
      </c>
      <c r="J918" s="64">
        <f>19.4179 * CHOOSE(CONTROL!$C$22, $C$13, 100%, $E$13)</f>
        <v>19.417899999999999</v>
      </c>
      <c r="K918" s="64">
        <f>19.4194 * CHOOSE(CONTROL!$C$22, $C$13, 100%, $E$13)</f>
        <v>19.4194</v>
      </c>
    </row>
    <row r="919" spans="1:11" ht="15">
      <c r="A919" s="13">
        <v>69611</v>
      </c>
      <c r="B919" s="63">
        <f>16.3452 * CHOOSE(CONTROL!$C$22, $C$13, 100%, $E$13)</f>
        <v>16.345199999999998</v>
      </c>
      <c r="C919" s="63">
        <f>16.3452 * CHOOSE(CONTROL!$C$22, $C$13, 100%, $E$13)</f>
        <v>16.345199999999998</v>
      </c>
      <c r="D919" s="63">
        <f>16.3683 * CHOOSE(CONTROL!$C$22, $C$13, 100%, $E$13)</f>
        <v>16.368300000000001</v>
      </c>
      <c r="E919" s="64">
        <f>19.2252 * CHOOSE(CONTROL!$C$22, $C$13, 100%, $E$13)</f>
        <v>19.225200000000001</v>
      </c>
      <c r="F919" s="64">
        <f>19.2252 * CHOOSE(CONTROL!$C$22, $C$13, 100%, $E$13)</f>
        <v>19.225200000000001</v>
      </c>
      <c r="G919" s="64">
        <f>19.2267 * CHOOSE(CONTROL!$C$22, $C$13, 100%, $E$13)</f>
        <v>19.226700000000001</v>
      </c>
      <c r="H919" s="64">
        <f>31.0115* CHOOSE(CONTROL!$C$22, $C$13, 100%, $E$13)</f>
        <v>31.011500000000002</v>
      </c>
      <c r="I919" s="64">
        <f>31.013 * CHOOSE(CONTROL!$C$22, $C$13, 100%, $E$13)</f>
        <v>31.013000000000002</v>
      </c>
      <c r="J919" s="64">
        <f>19.2252 * CHOOSE(CONTROL!$C$22, $C$13, 100%, $E$13)</f>
        <v>19.225200000000001</v>
      </c>
      <c r="K919" s="64">
        <f>19.2267 * CHOOSE(CONTROL!$C$22, $C$13, 100%, $E$13)</f>
        <v>19.226700000000001</v>
      </c>
    </row>
    <row r="920" spans="1:11" ht="15">
      <c r="A920" s="13">
        <v>69642</v>
      </c>
      <c r="B920" s="63">
        <f>16.3422 * CHOOSE(CONTROL!$C$22, $C$13, 100%, $E$13)</f>
        <v>16.342199999999998</v>
      </c>
      <c r="C920" s="63">
        <f>16.3422 * CHOOSE(CONTROL!$C$22, $C$13, 100%, $E$13)</f>
        <v>16.342199999999998</v>
      </c>
      <c r="D920" s="63">
        <f>16.3653 * CHOOSE(CONTROL!$C$22, $C$13, 100%, $E$13)</f>
        <v>16.365300000000001</v>
      </c>
      <c r="E920" s="64">
        <f>19.2012 * CHOOSE(CONTROL!$C$22, $C$13, 100%, $E$13)</f>
        <v>19.2012</v>
      </c>
      <c r="F920" s="64">
        <f>19.2012 * CHOOSE(CONTROL!$C$22, $C$13, 100%, $E$13)</f>
        <v>19.2012</v>
      </c>
      <c r="G920" s="64">
        <f>19.2026 * CHOOSE(CONTROL!$C$22, $C$13, 100%, $E$13)</f>
        <v>19.2026</v>
      </c>
      <c r="H920" s="64">
        <f>31.0762* CHOOSE(CONTROL!$C$22, $C$13, 100%, $E$13)</f>
        <v>31.0762</v>
      </c>
      <c r="I920" s="64">
        <f>31.0776 * CHOOSE(CONTROL!$C$22, $C$13, 100%, $E$13)</f>
        <v>31.0776</v>
      </c>
      <c r="J920" s="64">
        <f>19.2012 * CHOOSE(CONTROL!$C$22, $C$13, 100%, $E$13)</f>
        <v>19.2012</v>
      </c>
      <c r="K920" s="64">
        <f>19.2026 * CHOOSE(CONTROL!$C$22, $C$13, 100%, $E$13)</f>
        <v>19.2026</v>
      </c>
    </row>
    <row r="921" spans="1:11" ht="15">
      <c r="A921" s="13">
        <v>69672</v>
      </c>
      <c r="B921" s="63">
        <f>16.3776 * CHOOSE(CONTROL!$C$22, $C$13, 100%, $E$13)</f>
        <v>16.377600000000001</v>
      </c>
      <c r="C921" s="63">
        <f>16.3776 * CHOOSE(CONTROL!$C$22, $C$13, 100%, $E$13)</f>
        <v>16.377600000000001</v>
      </c>
      <c r="D921" s="63">
        <f>16.3892 * CHOOSE(CONTROL!$C$22, $C$13, 100%, $E$13)</f>
        <v>16.389199999999999</v>
      </c>
      <c r="E921" s="64">
        <f>19.2754 * CHOOSE(CONTROL!$C$22, $C$13, 100%, $E$13)</f>
        <v>19.275400000000001</v>
      </c>
      <c r="F921" s="64">
        <f>19.2754 * CHOOSE(CONTROL!$C$22, $C$13, 100%, $E$13)</f>
        <v>19.275400000000001</v>
      </c>
      <c r="G921" s="64">
        <f>19.2756 * CHOOSE(CONTROL!$C$22, $C$13, 100%, $E$13)</f>
        <v>19.275600000000001</v>
      </c>
      <c r="H921" s="64">
        <f>31.1409* CHOOSE(CONTROL!$C$22, $C$13, 100%, $E$13)</f>
        <v>31.140899999999998</v>
      </c>
      <c r="I921" s="64">
        <f>31.1411 * CHOOSE(CONTROL!$C$22, $C$13, 100%, $E$13)</f>
        <v>31.141100000000002</v>
      </c>
      <c r="J921" s="64">
        <f>19.2754 * CHOOSE(CONTROL!$C$22, $C$13, 100%, $E$13)</f>
        <v>19.275400000000001</v>
      </c>
      <c r="K921" s="64">
        <f>19.2756 * CHOOSE(CONTROL!$C$22, $C$13, 100%, $E$13)</f>
        <v>19.275600000000001</v>
      </c>
    </row>
    <row r="922" spans="1:11" ht="15">
      <c r="A922" s="13">
        <v>69703</v>
      </c>
      <c r="B922" s="63">
        <f>16.3807 * CHOOSE(CONTROL!$C$22, $C$13, 100%, $E$13)</f>
        <v>16.380700000000001</v>
      </c>
      <c r="C922" s="63">
        <f>16.3807 * CHOOSE(CONTROL!$C$22, $C$13, 100%, $E$13)</f>
        <v>16.380700000000001</v>
      </c>
      <c r="D922" s="63">
        <f>16.3922 * CHOOSE(CONTROL!$C$22, $C$13, 100%, $E$13)</f>
        <v>16.392199999999999</v>
      </c>
      <c r="E922" s="64">
        <f>19.3214 * CHOOSE(CONTROL!$C$22, $C$13, 100%, $E$13)</f>
        <v>19.321400000000001</v>
      </c>
      <c r="F922" s="64">
        <f>19.3214 * CHOOSE(CONTROL!$C$22, $C$13, 100%, $E$13)</f>
        <v>19.321400000000001</v>
      </c>
      <c r="G922" s="64">
        <f>19.3216 * CHOOSE(CONTROL!$C$22, $C$13, 100%, $E$13)</f>
        <v>19.3216</v>
      </c>
      <c r="H922" s="64">
        <f>31.2058* CHOOSE(CONTROL!$C$22, $C$13, 100%, $E$13)</f>
        <v>31.2058</v>
      </c>
      <c r="I922" s="64">
        <f>31.206 * CHOOSE(CONTROL!$C$22, $C$13, 100%, $E$13)</f>
        <v>31.206</v>
      </c>
      <c r="J922" s="64">
        <f>19.3214 * CHOOSE(CONTROL!$C$22, $C$13, 100%, $E$13)</f>
        <v>19.321400000000001</v>
      </c>
      <c r="K922" s="64">
        <f>19.3216 * CHOOSE(CONTROL!$C$22, $C$13, 100%, $E$13)</f>
        <v>19.3216</v>
      </c>
    </row>
    <row r="923" spans="1:11" ht="15">
      <c r="A923" s="13">
        <v>69733</v>
      </c>
      <c r="B923" s="63">
        <f>16.3807 * CHOOSE(CONTROL!$C$22, $C$13, 100%, $E$13)</f>
        <v>16.380700000000001</v>
      </c>
      <c r="C923" s="63">
        <f>16.3807 * CHOOSE(CONTROL!$C$22, $C$13, 100%, $E$13)</f>
        <v>16.380700000000001</v>
      </c>
      <c r="D923" s="63">
        <f>16.3922 * CHOOSE(CONTROL!$C$22, $C$13, 100%, $E$13)</f>
        <v>16.392199999999999</v>
      </c>
      <c r="E923" s="64">
        <f>19.2118 * CHOOSE(CONTROL!$C$22, $C$13, 100%, $E$13)</f>
        <v>19.2118</v>
      </c>
      <c r="F923" s="64">
        <f>19.2118 * CHOOSE(CONTROL!$C$22, $C$13, 100%, $E$13)</f>
        <v>19.2118</v>
      </c>
      <c r="G923" s="64">
        <f>19.212 * CHOOSE(CONTROL!$C$22, $C$13, 100%, $E$13)</f>
        <v>19.212</v>
      </c>
      <c r="H923" s="64">
        <f>31.2708* CHOOSE(CONTROL!$C$22, $C$13, 100%, $E$13)</f>
        <v>31.270800000000001</v>
      </c>
      <c r="I923" s="64">
        <f>31.271 * CHOOSE(CONTROL!$C$22, $C$13, 100%, $E$13)</f>
        <v>31.271000000000001</v>
      </c>
      <c r="J923" s="64">
        <f>19.2118 * CHOOSE(CONTROL!$C$22, $C$13, 100%, $E$13)</f>
        <v>19.2118</v>
      </c>
      <c r="K923" s="64">
        <f>19.212 * CHOOSE(CONTROL!$C$22, $C$13, 100%, $E$13)</f>
        <v>19.212</v>
      </c>
    </row>
    <row r="924" spans="1:11" ht="15">
      <c r="A924" s="13">
        <v>69764</v>
      </c>
      <c r="B924" s="63">
        <f>16.3247 * CHOOSE(CONTROL!$C$22, $C$13, 100%, $E$13)</f>
        <v>16.3247</v>
      </c>
      <c r="C924" s="63">
        <f>16.3247 * CHOOSE(CONTROL!$C$22, $C$13, 100%, $E$13)</f>
        <v>16.3247</v>
      </c>
      <c r="D924" s="63">
        <f>16.3362 * CHOOSE(CONTROL!$C$22, $C$13, 100%, $E$13)</f>
        <v>16.336200000000002</v>
      </c>
      <c r="E924" s="64">
        <f>19.2214 * CHOOSE(CONTROL!$C$22, $C$13, 100%, $E$13)</f>
        <v>19.221399999999999</v>
      </c>
      <c r="F924" s="64">
        <f>19.2214 * CHOOSE(CONTROL!$C$22, $C$13, 100%, $E$13)</f>
        <v>19.221399999999999</v>
      </c>
      <c r="G924" s="64">
        <f>19.2215 * CHOOSE(CONTROL!$C$22, $C$13, 100%, $E$13)</f>
        <v>19.221499999999999</v>
      </c>
      <c r="H924" s="64">
        <f>31.0089* CHOOSE(CONTROL!$C$22, $C$13, 100%, $E$13)</f>
        <v>31.008900000000001</v>
      </c>
      <c r="I924" s="64">
        <f>31.0091 * CHOOSE(CONTROL!$C$22, $C$13, 100%, $E$13)</f>
        <v>31.0091</v>
      </c>
      <c r="J924" s="64">
        <f>19.2214 * CHOOSE(CONTROL!$C$22, $C$13, 100%, $E$13)</f>
        <v>19.221399999999999</v>
      </c>
      <c r="K924" s="64">
        <f>19.2215 * CHOOSE(CONTROL!$C$22, $C$13, 100%, $E$13)</f>
        <v>19.221499999999999</v>
      </c>
    </row>
    <row r="925" spans="1:11" ht="15">
      <c r="A925" s="13">
        <v>69795</v>
      </c>
      <c r="B925" s="63">
        <f>16.3216 * CHOOSE(CONTROL!$C$22, $C$13, 100%, $E$13)</f>
        <v>16.3216</v>
      </c>
      <c r="C925" s="63">
        <f>16.3216 * CHOOSE(CONTROL!$C$22, $C$13, 100%, $E$13)</f>
        <v>16.3216</v>
      </c>
      <c r="D925" s="63">
        <f>16.3332 * CHOOSE(CONTROL!$C$22, $C$13, 100%, $E$13)</f>
        <v>16.333200000000001</v>
      </c>
      <c r="E925" s="64">
        <f>19.0088 * CHOOSE(CONTROL!$C$22, $C$13, 100%, $E$13)</f>
        <v>19.008800000000001</v>
      </c>
      <c r="F925" s="64">
        <f>19.0088 * CHOOSE(CONTROL!$C$22, $C$13, 100%, $E$13)</f>
        <v>19.008800000000001</v>
      </c>
      <c r="G925" s="64">
        <f>19.009 * CHOOSE(CONTROL!$C$22, $C$13, 100%, $E$13)</f>
        <v>19.009</v>
      </c>
      <c r="H925" s="64">
        <f>31.0735* CHOOSE(CONTROL!$C$22, $C$13, 100%, $E$13)</f>
        <v>31.073499999999999</v>
      </c>
      <c r="I925" s="64">
        <f>31.0737 * CHOOSE(CONTROL!$C$22, $C$13, 100%, $E$13)</f>
        <v>31.073699999999999</v>
      </c>
      <c r="J925" s="64">
        <f>19.0088 * CHOOSE(CONTROL!$C$22, $C$13, 100%, $E$13)</f>
        <v>19.008800000000001</v>
      </c>
      <c r="K925" s="64">
        <f>19.009 * CHOOSE(CONTROL!$C$22, $C$13, 100%, $E$13)</f>
        <v>19.009</v>
      </c>
    </row>
    <row r="926" spans="1:11" ht="15">
      <c r="A926" s="13">
        <v>69823</v>
      </c>
      <c r="B926" s="63">
        <f>16.3186 * CHOOSE(CONTROL!$C$22, $C$13, 100%, $E$13)</f>
        <v>16.3186</v>
      </c>
      <c r="C926" s="63">
        <f>16.3186 * CHOOSE(CONTROL!$C$22, $C$13, 100%, $E$13)</f>
        <v>16.3186</v>
      </c>
      <c r="D926" s="63">
        <f>16.3302 * CHOOSE(CONTROL!$C$22, $C$13, 100%, $E$13)</f>
        <v>16.330200000000001</v>
      </c>
      <c r="E926" s="64">
        <f>19.1726 * CHOOSE(CONTROL!$C$22, $C$13, 100%, $E$13)</f>
        <v>19.172599999999999</v>
      </c>
      <c r="F926" s="64">
        <f>19.1726 * CHOOSE(CONTROL!$C$22, $C$13, 100%, $E$13)</f>
        <v>19.172599999999999</v>
      </c>
      <c r="G926" s="64">
        <f>19.1728 * CHOOSE(CONTROL!$C$22, $C$13, 100%, $E$13)</f>
        <v>19.172799999999999</v>
      </c>
      <c r="H926" s="64">
        <f>31.1383* CHOOSE(CONTROL!$C$22, $C$13, 100%, $E$13)</f>
        <v>31.138300000000001</v>
      </c>
      <c r="I926" s="64">
        <f>31.1384 * CHOOSE(CONTROL!$C$22, $C$13, 100%, $E$13)</f>
        <v>31.138400000000001</v>
      </c>
      <c r="J926" s="64">
        <f>19.1726 * CHOOSE(CONTROL!$C$22, $C$13, 100%, $E$13)</f>
        <v>19.172599999999999</v>
      </c>
      <c r="K926" s="64">
        <f>19.1728 * CHOOSE(CONTROL!$C$22, $C$13, 100%, $E$13)</f>
        <v>19.172799999999999</v>
      </c>
    </row>
    <row r="927" spans="1:11" ht="15">
      <c r="A927" s="13">
        <v>69854</v>
      </c>
      <c r="B927" s="63">
        <f>16.3267 * CHOOSE(CONTROL!$C$22, $C$13, 100%, $E$13)</f>
        <v>16.326699999999999</v>
      </c>
      <c r="C927" s="63">
        <f>16.3267 * CHOOSE(CONTROL!$C$22, $C$13, 100%, $E$13)</f>
        <v>16.326699999999999</v>
      </c>
      <c r="D927" s="63">
        <f>16.3383 * CHOOSE(CONTROL!$C$22, $C$13, 100%, $E$13)</f>
        <v>16.3383</v>
      </c>
      <c r="E927" s="64">
        <f>19.3465 * CHOOSE(CONTROL!$C$22, $C$13, 100%, $E$13)</f>
        <v>19.346499999999999</v>
      </c>
      <c r="F927" s="64">
        <f>19.3465 * CHOOSE(CONTROL!$C$22, $C$13, 100%, $E$13)</f>
        <v>19.346499999999999</v>
      </c>
      <c r="G927" s="64">
        <f>19.3467 * CHOOSE(CONTROL!$C$22, $C$13, 100%, $E$13)</f>
        <v>19.346699999999998</v>
      </c>
      <c r="H927" s="64">
        <f>31.2031* CHOOSE(CONTROL!$C$22, $C$13, 100%, $E$13)</f>
        <v>31.203099999999999</v>
      </c>
      <c r="I927" s="64">
        <f>31.2033 * CHOOSE(CONTROL!$C$22, $C$13, 100%, $E$13)</f>
        <v>31.203299999999999</v>
      </c>
      <c r="J927" s="64">
        <f>19.3465 * CHOOSE(CONTROL!$C$22, $C$13, 100%, $E$13)</f>
        <v>19.346499999999999</v>
      </c>
      <c r="K927" s="64">
        <f>19.3467 * CHOOSE(CONTROL!$C$22, $C$13, 100%, $E$13)</f>
        <v>19.346699999999998</v>
      </c>
    </row>
    <row r="928" spans="1:11" ht="15">
      <c r="A928" s="13">
        <v>69884</v>
      </c>
      <c r="B928" s="63">
        <f>16.3267 * CHOOSE(CONTROL!$C$22, $C$13, 100%, $E$13)</f>
        <v>16.326699999999999</v>
      </c>
      <c r="C928" s="63">
        <f>16.3267 * CHOOSE(CONTROL!$C$22, $C$13, 100%, $E$13)</f>
        <v>16.326699999999999</v>
      </c>
      <c r="D928" s="63">
        <f>16.3498 * CHOOSE(CONTROL!$C$22, $C$13, 100%, $E$13)</f>
        <v>16.349799999999998</v>
      </c>
      <c r="E928" s="64">
        <f>19.4133 * CHOOSE(CONTROL!$C$22, $C$13, 100%, $E$13)</f>
        <v>19.4133</v>
      </c>
      <c r="F928" s="64">
        <f>19.4133 * CHOOSE(CONTROL!$C$22, $C$13, 100%, $E$13)</f>
        <v>19.4133</v>
      </c>
      <c r="G928" s="64">
        <f>19.4148 * CHOOSE(CONTROL!$C$22, $C$13, 100%, $E$13)</f>
        <v>19.4148</v>
      </c>
      <c r="H928" s="64">
        <f>31.2681* CHOOSE(CONTROL!$C$22, $C$13, 100%, $E$13)</f>
        <v>31.2681</v>
      </c>
      <c r="I928" s="64">
        <f>31.2696 * CHOOSE(CONTROL!$C$22, $C$13, 100%, $E$13)</f>
        <v>31.269600000000001</v>
      </c>
      <c r="J928" s="64">
        <f>19.4133 * CHOOSE(CONTROL!$C$22, $C$13, 100%, $E$13)</f>
        <v>19.4133</v>
      </c>
      <c r="K928" s="64">
        <f>19.4148 * CHOOSE(CONTROL!$C$22, $C$13, 100%, $E$13)</f>
        <v>19.4148</v>
      </c>
    </row>
    <row r="929" spans="1:11" ht="15">
      <c r="A929" s="13">
        <v>69915</v>
      </c>
      <c r="B929" s="63">
        <f>16.3328 * CHOOSE(CONTROL!$C$22, $C$13, 100%, $E$13)</f>
        <v>16.332799999999999</v>
      </c>
      <c r="C929" s="63">
        <f>16.3328 * CHOOSE(CONTROL!$C$22, $C$13, 100%, $E$13)</f>
        <v>16.332799999999999</v>
      </c>
      <c r="D929" s="63">
        <f>16.3559 * CHOOSE(CONTROL!$C$22, $C$13, 100%, $E$13)</f>
        <v>16.355899999999998</v>
      </c>
      <c r="E929" s="64">
        <f>19.3507 * CHOOSE(CONTROL!$C$22, $C$13, 100%, $E$13)</f>
        <v>19.3507</v>
      </c>
      <c r="F929" s="64">
        <f>19.3507 * CHOOSE(CONTROL!$C$22, $C$13, 100%, $E$13)</f>
        <v>19.3507</v>
      </c>
      <c r="G929" s="64">
        <f>19.3522 * CHOOSE(CONTROL!$C$22, $C$13, 100%, $E$13)</f>
        <v>19.3522</v>
      </c>
      <c r="H929" s="64">
        <f>31.3333* CHOOSE(CONTROL!$C$22, $C$13, 100%, $E$13)</f>
        <v>31.333300000000001</v>
      </c>
      <c r="I929" s="64">
        <f>31.3348 * CHOOSE(CONTROL!$C$22, $C$13, 100%, $E$13)</f>
        <v>31.334800000000001</v>
      </c>
      <c r="J929" s="64">
        <f>19.3507 * CHOOSE(CONTROL!$C$22, $C$13, 100%, $E$13)</f>
        <v>19.3507</v>
      </c>
      <c r="K929" s="64">
        <f>19.3522 * CHOOSE(CONTROL!$C$22, $C$13, 100%, $E$13)</f>
        <v>19.3522</v>
      </c>
    </row>
    <row r="930" spans="1:11" ht="15">
      <c r="A930" s="13">
        <v>69945</v>
      </c>
      <c r="B930" s="63">
        <f>16.5877 * CHOOSE(CONTROL!$C$22, $C$13, 100%, $E$13)</f>
        <v>16.587700000000002</v>
      </c>
      <c r="C930" s="63">
        <f>16.5877 * CHOOSE(CONTROL!$C$22, $C$13, 100%, $E$13)</f>
        <v>16.587700000000002</v>
      </c>
      <c r="D930" s="63">
        <f>16.6108 * CHOOSE(CONTROL!$C$22, $C$13, 100%, $E$13)</f>
        <v>16.610800000000001</v>
      </c>
      <c r="E930" s="64">
        <f>19.7178 * CHOOSE(CONTROL!$C$22, $C$13, 100%, $E$13)</f>
        <v>19.7178</v>
      </c>
      <c r="F930" s="64">
        <f>19.7178 * CHOOSE(CONTROL!$C$22, $C$13, 100%, $E$13)</f>
        <v>19.7178</v>
      </c>
      <c r="G930" s="64">
        <f>19.7193 * CHOOSE(CONTROL!$C$22, $C$13, 100%, $E$13)</f>
        <v>19.7193</v>
      </c>
      <c r="H930" s="64">
        <f>31.3986* CHOOSE(CONTROL!$C$22, $C$13, 100%, $E$13)</f>
        <v>31.398599999999998</v>
      </c>
      <c r="I930" s="64">
        <f>31.4001 * CHOOSE(CONTROL!$C$22, $C$13, 100%, $E$13)</f>
        <v>31.400099999999998</v>
      </c>
      <c r="J930" s="64">
        <f>19.7178 * CHOOSE(CONTROL!$C$22, $C$13, 100%, $E$13)</f>
        <v>19.7178</v>
      </c>
      <c r="K930" s="64">
        <f>19.7193 * CHOOSE(CONTROL!$C$22, $C$13, 100%, $E$13)</f>
        <v>19.7193</v>
      </c>
    </row>
    <row r="931" spans="1:11" ht="15">
      <c r="A931" s="13">
        <v>69976</v>
      </c>
      <c r="B931" s="63">
        <f>16.5944 * CHOOSE(CONTROL!$C$22, $C$13, 100%, $E$13)</f>
        <v>16.5944</v>
      </c>
      <c r="C931" s="63">
        <f>16.5944 * CHOOSE(CONTROL!$C$22, $C$13, 100%, $E$13)</f>
        <v>16.5944</v>
      </c>
      <c r="D931" s="63">
        <f>16.6175 * CHOOSE(CONTROL!$C$22, $C$13, 100%, $E$13)</f>
        <v>16.6175</v>
      </c>
      <c r="E931" s="64">
        <f>19.522 * CHOOSE(CONTROL!$C$22, $C$13, 100%, $E$13)</f>
        <v>19.521999999999998</v>
      </c>
      <c r="F931" s="64">
        <f>19.522 * CHOOSE(CONTROL!$C$22, $C$13, 100%, $E$13)</f>
        <v>19.521999999999998</v>
      </c>
      <c r="G931" s="64">
        <f>19.5235 * CHOOSE(CONTROL!$C$22, $C$13, 100%, $E$13)</f>
        <v>19.523499999999999</v>
      </c>
      <c r="H931" s="64">
        <f>31.464* CHOOSE(CONTROL!$C$22, $C$13, 100%, $E$13)</f>
        <v>31.463999999999999</v>
      </c>
      <c r="I931" s="64">
        <f>31.4655 * CHOOSE(CONTROL!$C$22, $C$13, 100%, $E$13)</f>
        <v>31.465499999999999</v>
      </c>
      <c r="J931" s="64">
        <f>19.522 * CHOOSE(CONTROL!$C$22, $C$13, 100%, $E$13)</f>
        <v>19.521999999999998</v>
      </c>
      <c r="K931" s="64">
        <f>19.5235 * CHOOSE(CONTROL!$C$22, $C$13, 100%, $E$13)</f>
        <v>19.523499999999999</v>
      </c>
    </row>
    <row r="932" spans="1:11" ht="15">
      <c r="A932" s="13">
        <v>70007</v>
      </c>
      <c r="B932" s="63">
        <f>16.5914 * CHOOSE(CONTROL!$C$22, $C$13, 100%, $E$13)</f>
        <v>16.5914</v>
      </c>
      <c r="C932" s="63">
        <f>16.5914 * CHOOSE(CONTROL!$C$22, $C$13, 100%, $E$13)</f>
        <v>16.5914</v>
      </c>
      <c r="D932" s="63">
        <f>16.6145 * CHOOSE(CONTROL!$C$22, $C$13, 100%, $E$13)</f>
        <v>16.6145</v>
      </c>
      <c r="E932" s="64">
        <f>19.4976 * CHOOSE(CONTROL!$C$22, $C$13, 100%, $E$13)</f>
        <v>19.497599999999998</v>
      </c>
      <c r="F932" s="64">
        <f>19.4976 * CHOOSE(CONTROL!$C$22, $C$13, 100%, $E$13)</f>
        <v>19.497599999999998</v>
      </c>
      <c r="G932" s="64">
        <f>19.4991 * CHOOSE(CONTROL!$C$22, $C$13, 100%, $E$13)</f>
        <v>19.499099999999999</v>
      </c>
      <c r="H932" s="64">
        <f>31.5295* CHOOSE(CONTROL!$C$22, $C$13, 100%, $E$13)</f>
        <v>31.529499999999999</v>
      </c>
      <c r="I932" s="64">
        <f>31.531 * CHOOSE(CONTROL!$C$22, $C$13, 100%, $E$13)</f>
        <v>31.530999999999999</v>
      </c>
      <c r="J932" s="64">
        <f>19.4976 * CHOOSE(CONTROL!$C$22, $C$13, 100%, $E$13)</f>
        <v>19.497599999999998</v>
      </c>
      <c r="K932" s="64">
        <f>19.4991 * CHOOSE(CONTROL!$C$22, $C$13, 100%, $E$13)</f>
        <v>19.499099999999999</v>
      </c>
    </row>
    <row r="933" spans="1:11" ht="15">
      <c r="A933" s="13">
        <v>70037</v>
      </c>
      <c r="B933" s="63">
        <f>16.6276 * CHOOSE(CONTROL!$C$22, $C$13, 100%, $E$13)</f>
        <v>16.627600000000001</v>
      </c>
      <c r="C933" s="63">
        <f>16.6276 * CHOOSE(CONTROL!$C$22, $C$13, 100%, $E$13)</f>
        <v>16.627600000000001</v>
      </c>
      <c r="D933" s="63">
        <f>16.6392 * CHOOSE(CONTROL!$C$22, $C$13, 100%, $E$13)</f>
        <v>16.639199999999999</v>
      </c>
      <c r="E933" s="64">
        <f>19.5733 * CHOOSE(CONTROL!$C$22, $C$13, 100%, $E$13)</f>
        <v>19.5733</v>
      </c>
      <c r="F933" s="64">
        <f>19.5733 * CHOOSE(CONTROL!$C$22, $C$13, 100%, $E$13)</f>
        <v>19.5733</v>
      </c>
      <c r="G933" s="64">
        <f>19.5735 * CHOOSE(CONTROL!$C$22, $C$13, 100%, $E$13)</f>
        <v>19.573499999999999</v>
      </c>
      <c r="H933" s="64">
        <f>31.5952* CHOOSE(CONTROL!$C$22, $C$13, 100%, $E$13)</f>
        <v>31.595199999999998</v>
      </c>
      <c r="I933" s="64">
        <f>31.5954 * CHOOSE(CONTROL!$C$22, $C$13, 100%, $E$13)</f>
        <v>31.595400000000001</v>
      </c>
      <c r="J933" s="64">
        <f>19.5733 * CHOOSE(CONTROL!$C$22, $C$13, 100%, $E$13)</f>
        <v>19.5733</v>
      </c>
      <c r="K933" s="64">
        <f>19.5735 * CHOOSE(CONTROL!$C$22, $C$13, 100%, $E$13)</f>
        <v>19.573499999999999</v>
      </c>
    </row>
    <row r="934" spans="1:11" ht="15">
      <c r="A934" s="13">
        <v>70068</v>
      </c>
      <c r="B934" s="63">
        <f>16.6307 * CHOOSE(CONTROL!$C$22, $C$13, 100%, $E$13)</f>
        <v>16.630700000000001</v>
      </c>
      <c r="C934" s="63">
        <f>16.6307 * CHOOSE(CONTROL!$C$22, $C$13, 100%, $E$13)</f>
        <v>16.630700000000001</v>
      </c>
      <c r="D934" s="63">
        <f>16.6422 * CHOOSE(CONTROL!$C$22, $C$13, 100%, $E$13)</f>
        <v>16.642199999999999</v>
      </c>
      <c r="E934" s="64">
        <f>19.6199 * CHOOSE(CONTROL!$C$22, $C$13, 100%, $E$13)</f>
        <v>19.619900000000001</v>
      </c>
      <c r="F934" s="64">
        <f>19.6199 * CHOOSE(CONTROL!$C$22, $C$13, 100%, $E$13)</f>
        <v>19.619900000000001</v>
      </c>
      <c r="G934" s="64">
        <f>19.6201 * CHOOSE(CONTROL!$C$22, $C$13, 100%, $E$13)</f>
        <v>19.620100000000001</v>
      </c>
      <c r="H934" s="64">
        <f>31.661* CHOOSE(CONTROL!$C$22, $C$13, 100%, $E$13)</f>
        <v>31.661000000000001</v>
      </c>
      <c r="I934" s="64">
        <f>31.6612 * CHOOSE(CONTROL!$C$22, $C$13, 100%, $E$13)</f>
        <v>31.661200000000001</v>
      </c>
      <c r="J934" s="64">
        <f>19.6199 * CHOOSE(CONTROL!$C$22, $C$13, 100%, $E$13)</f>
        <v>19.619900000000001</v>
      </c>
      <c r="K934" s="64">
        <f>19.6201 * CHOOSE(CONTROL!$C$22, $C$13, 100%, $E$13)</f>
        <v>19.620100000000001</v>
      </c>
    </row>
    <row r="935" spans="1:11" ht="15">
      <c r="A935" s="13">
        <v>70098</v>
      </c>
      <c r="B935" s="63">
        <f>16.6307 * CHOOSE(CONTROL!$C$22, $C$13, 100%, $E$13)</f>
        <v>16.630700000000001</v>
      </c>
      <c r="C935" s="63">
        <f>16.6307 * CHOOSE(CONTROL!$C$22, $C$13, 100%, $E$13)</f>
        <v>16.630700000000001</v>
      </c>
      <c r="D935" s="63">
        <f>16.6422 * CHOOSE(CONTROL!$C$22, $C$13, 100%, $E$13)</f>
        <v>16.642199999999999</v>
      </c>
      <c r="E935" s="64">
        <f>19.5086 * CHOOSE(CONTROL!$C$22, $C$13, 100%, $E$13)</f>
        <v>19.508600000000001</v>
      </c>
      <c r="F935" s="64">
        <f>19.5086 * CHOOSE(CONTROL!$C$22, $C$13, 100%, $E$13)</f>
        <v>19.508600000000001</v>
      </c>
      <c r="G935" s="64">
        <f>19.5088 * CHOOSE(CONTROL!$C$22, $C$13, 100%, $E$13)</f>
        <v>19.508800000000001</v>
      </c>
      <c r="H935" s="64">
        <f>31.727* CHOOSE(CONTROL!$C$22, $C$13, 100%, $E$13)</f>
        <v>31.727</v>
      </c>
      <c r="I935" s="64">
        <f>31.7272 * CHOOSE(CONTROL!$C$22, $C$13, 100%, $E$13)</f>
        <v>31.7272</v>
      </c>
      <c r="J935" s="64">
        <f>19.5086 * CHOOSE(CONTROL!$C$22, $C$13, 100%, $E$13)</f>
        <v>19.508600000000001</v>
      </c>
      <c r="K935" s="64">
        <f>19.5088 * CHOOSE(CONTROL!$C$22, $C$13, 100%, $E$13)</f>
        <v>19.508800000000001</v>
      </c>
    </row>
    <row r="936" spans="1:11" ht="15">
      <c r="A936" s="13">
        <v>70129</v>
      </c>
      <c r="B936" s="63">
        <f>16.57 * CHOOSE(CONTROL!$C$22, $C$13, 100%, $E$13)</f>
        <v>16.57</v>
      </c>
      <c r="C936" s="63">
        <f>16.57 * CHOOSE(CONTROL!$C$22, $C$13, 100%, $E$13)</f>
        <v>16.57</v>
      </c>
      <c r="D936" s="63">
        <f>16.5816 * CHOOSE(CONTROL!$C$22, $C$13, 100%, $E$13)</f>
        <v>16.581600000000002</v>
      </c>
      <c r="E936" s="64">
        <f>19.5138 * CHOOSE(CONTROL!$C$22, $C$13, 100%, $E$13)</f>
        <v>19.5138</v>
      </c>
      <c r="F936" s="64">
        <f>19.5138 * CHOOSE(CONTROL!$C$22, $C$13, 100%, $E$13)</f>
        <v>19.5138</v>
      </c>
      <c r="G936" s="64">
        <f>19.5139 * CHOOSE(CONTROL!$C$22, $C$13, 100%, $E$13)</f>
        <v>19.5139</v>
      </c>
      <c r="H936" s="64">
        <f>31.4548* CHOOSE(CONTROL!$C$22, $C$13, 100%, $E$13)</f>
        <v>31.454799999999999</v>
      </c>
      <c r="I936" s="64">
        <f>31.455 * CHOOSE(CONTROL!$C$22, $C$13, 100%, $E$13)</f>
        <v>31.454999999999998</v>
      </c>
      <c r="J936" s="64">
        <f>19.5138 * CHOOSE(CONTROL!$C$22, $C$13, 100%, $E$13)</f>
        <v>19.5138</v>
      </c>
      <c r="K936" s="64">
        <f>19.5139 * CHOOSE(CONTROL!$C$22, $C$13, 100%, $E$13)</f>
        <v>19.5139</v>
      </c>
    </row>
    <row r="937" spans="1:11" ht="15">
      <c r="A937" s="13">
        <v>70160</v>
      </c>
      <c r="B937" s="63">
        <f>16.567 * CHOOSE(CONTROL!$C$22, $C$13, 100%, $E$13)</f>
        <v>16.567</v>
      </c>
      <c r="C937" s="63">
        <f>16.567 * CHOOSE(CONTROL!$C$22, $C$13, 100%, $E$13)</f>
        <v>16.567</v>
      </c>
      <c r="D937" s="63">
        <f>16.5785 * CHOOSE(CONTROL!$C$22, $C$13, 100%, $E$13)</f>
        <v>16.578499999999998</v>
      </c>
      <c r="E937" s="64">
        <f>19.298 * CHOOSE(CONTROL!$C$22, $C$13, 100%, $E$13)</f>
        <v>19.297999999999998</v>
      </c>
      <c r="F937" s="64">
        <f>19.298 * CHOOSE(CONTROL!$C$22, $C$13, 100%, $E$13)</f>
        <v>19.297999999999998</v>
      </c>
      <c r="G937" s="64">
        <f>19.2982 * CHOOSE(CONTROL!$C$22, $C$13, 100%, $E$13)</f>
        <v>19.298200000000001</v>
      </c>
      <c r="H937" s="64">
        <f>31.5204* CHOOSE(CONTROL!$C$22, $C$13, 100%, $E$13)</f>
        <v>31.520399999999999</v>
      </c>
      <c r="I937" s="64">
        <f>31.5205 * CHOOSE(CONTROL!$C$22, $C$13, 100%, $E$13)</f>
        <v>31.520499999999998</v>
      </c>
      <c r="J937" s="64">
        <f>19.298 * CHOOSE(CONTROL!$C$22, $C$13, 100%, $E$13)</f>
        <v>19.297999999999998</v>
      </c>
      <c r="K937" s="64">
        <f>19.2982 * CHOOSE(CONTROL!$C$22, $C$13, 100%, $E$13)</f>
        <v>19.298200000000001</v>
      </c>
    </row>
    <row r="938" spans="1:11" ht="15">
      <c r="A938" s="13">
        <v>70189</v>
      </c>
      <c r="B938" s="63">
        <f>16.5639 * CHOOSE(CONTROL!$C$22, $C$13, 100%, $E$13)</f>
        <v>16.5639</v>
      </c>
      <c r="C938" s="63">
        <f>16.5639 * CHOOSE(CONTROL!$C$22, $C$13, 100%, $E$13)</f>
        <v>16.5639</v>
      </c>
      <c r="D938" s="63">
        <f>16.5755 * CHOOSE(CONTROL!$C$22, $C$13, 100%, $E$13)</f>
        <v>16.575500000000002</v>
      </c>
      <c r="E938" s="64">
        <f>19.4643 * CHOOSE(CONTROL!$C$22, $C$13, 100%, $E$13)</f>
        <v>19.464300000000001</v>
      </c>
      <c r="F938" s="64">
        <f>19.4643 * CHOOSE(CONTROL!$C$22, $C$13, 100%, $E$13)</f>
        <v>19.464300000000001</v>
      </c>
      <c r="G938" s="64">
        <f>19.4645 * CHOOSE(CONTROL!$C$22, $C$13, 100%, $E$13)</f>
        <v>19.464500000000001</v>
      </c>
      <c r="H938" s="64">
        <f>31.586* CHOOSE(CONTROL!$C$22, $C$13, 100%, $E$13)</f>
        <v>31.585999999999999</v>
      </c>
      <c r="I938" s="64">
        <f>31.5862 * CHOOSE(CONTROL!$C$22, $C$13, 100%, $E$13)</f>
        <v>31.586200000000002</v>
      </c>
      <c r="J938" s="64">
        <f>19.4643 * CHOOSE(CONTROL!$C$22, $C$13, 100%, $E$13)</f>
        <v>19.464300000000001</v>
      </c>
      <c r="K938" s="64">
        <f>19.4645 * CHOOSE(CONTROL!$C$22, $C$13, 100%, $E$13)</f>
        <v>19.464500000000001</v>
      </c>
    </row>
    <row r="939" spans="1:11" ht="15">
      <c r="A939" s="13">
        <v>70220</v>
      </c>
      <c r="B939" s="63">
        <f>16.5723 * CHOOSE(CONTROL!$C$22, $C$13, 100%, $E$13)</f>
        <v>16.572299999999998</v>
      </c>
      <c r="C939" s="63">
        <f>16.5723 * CHOOSE(CONTROL!$C$22, $C$13, 100%, $E$13)</f>
        <v>16.572299999999998</v>
      </c>
      <c r="D939" s="63">
        <f>16.5838 * CHOOSE(CONTROL!$C$22, $C$13, 100%, $E$13)</f>
        <v>16.5838</v>
      </c>
      <c r="E939" s="64">
        <f>19.6409 * CHOOSE(CONTROL!$C$22, $C$13, 100%, $E$13)</f>
        <v>19.640899999999998</v>
      </c>
      <c r="F939" s="64">
        <f>19.6409 * CHOOSE(CONTROL!$C$22, $C$13, 100%, $E$13)</f>
        <v>19.640899999999998</v>
      </c>
      <c r="G939" s="64">
        <f>19.6411 * CHOOSE(CONTROL!$C$22, $C$13, 100%, $E$13)</f>
        <v>19.641100000000002</v>
      </c>
      <c r="H939" s="64">
        <f>31.6518* CHOOSE(CONTROL!$C$22, $C$13, 100%, $E$13)</f>
        <v>31.651800000000001</v>
      </c>
      <c r="I939" s="64">
        <f>31.652 * CHOOSE(CONTROL!$C$22, $C$13, 100%, $E$13)</f>
        <v>31.652000000000001</v>
      </c>
      <c r="J939" s="64">
        <f>19.6409 * CHOOSE(CONTROL!$C$22, $C$13, 100%, $E$13)</f>
        <v>19.640899999999998</v>
      </c>
      <c r="K939" s="64">
        <f>19.6411 * CHOOSE(CONTROL!$C$22, $C$13, 100%, $E$13)</f>
        <v>19.641100000000002</v>
      </c>
    </row>
    <row r="940" spans="1:11" ht="15">
      <c r="A940" s="13">
        <v>70250</v>
      </c>
      <c r="B940" s="63">
        <f>16.5723 * CHOOSE(CONTROL!$C$22, $C$13, 100%, $E$13)</f>
        <v>16.572299999999998</v>
      </c>
      <c r="C940" s="63">
        <f>16.5723 * CHOOSE(CONTROL!$C$22, $C$13, 100%, $E$13)</f>
        <v>16.572299999999998</v>
      </c>
      <c r="D940" s="63">
        <f>16.5954 * CHOOSE(CONTROL!$C$22, $C$13, 100%, $E$13)</f>
        <v>16.595400000000001</v>
      </c>
      <c r="E940" s="64">
        <f>19.7087 * CHOOSE(CONTROL!$C$22, $C$13, 100%, $E$13)</f>
        <v>19.7087</v>
      </c>
      <c r="F940" s="64">
        <f>19.7087 * CHOOSE(CONTROL!$C$22, $C$13, 100%, $E$13)</f>
        <v>19.7087</v>
      </c>
      <c r="G940" s="64">
        <f>19.7102 * CHOOSE(CONTROL!$C$22, $C$13, 100%, $E$13)</f>
        <v>19.7102</v>
      </c>
      <c r="H940" s="64">
        <f>31.7178* CHOOSE(CONTROL!$C$22, $C$13, 100%, $E$13)</f>
        <v>31.7178</v>
      </c>
      <c r="I940" s="64">
        <f>31.7193 * CHOOSE(CONTROL!$C$22, $C$13, 100%, $E$13)</f>
        <v>31.7193</v>
      </c>
      <c r="J940" s="64">
        <f>19.7087 * CHOOSE(CONTROL!$C$22, $C$13, 100%, $E$13)</f>
        <v>19.7087</v>
      </c>
      <c r="K940" s="64">
        <f>19.7102 * CHOOSE(CONTROL!$C$22, $C$13, 100%, $E$13)</f>
        <v>19.7102</v>
      </c>
    </row>
    <row r="941" spans="1:11" ht="15">
      <c r="A941" s="13">
        <v>70281</v>
      </c>
      <c r="B941" s="63">
        <f>16.5784 * CHOOSE(CONTROL!$C$22, $C$13, 100%, $E$13)</f>
        <v>16.578399999999998</v>
      </c>
      <c r="C941" s="63">
        <f>16.5784 * CHOOSE(CONTROL!$C$22, $C$13, 100%, $E$13)</f>
        <v>16.578399999999998</v>
      </c>
      <c r="D941" s="63">
        <f>16.6015 * CHOOSE(CONTROL!$C$22, $C$13, 100%, $E$13)</f>
        <v>16.601500000000001</v>
      </c>
      <c r="E941" s="64">
        <f>19.6452 * CHOOSE(CONTROL!$C$22, $C$13, 100%, $E$13)</f>
        <v>19.645199999999999</v>
      </c>
      <c r="F941" s="64">
        <f>19.6452 * CHOOSE(CONTROL!$C$22, $C$13, 100%, $E$13)</f>
        <v>19.645199999999999</v>
      </c>
      <c r="G941" s="64">
        <f>19.6467 * CHOOSE(CONTROL!$C$22, $C$13, 100%, $E$13)</f>
        <v>19.646699999999999</v>
      </c>
      <c r="H941" s="64">
        <f>31.7838* CHOOSE(CONTROL!$C$22, $C$13, 100%, $E$13)</f>
        <v>31.783799999999999</v>
      </c>
      <c r="I941" s="64">
        <f>31.7853 * CHOOSE(CONTROL!$C$22, $C$13, 100%, $E$13)</f>
        <v>31.785299999999999</v>
      </c>
      <c r="J941" s="64">
        <f>19.6452 * CHOOSE(CONTROL!$C$22, $C$13, 100%, $E$13)</f>
        <v>19.645199999999999</v>
      </c>
      <c r="K941" s="64">
        <f>19.6467 * CHOOSE(CONTROL!$C$22, $C$13, 100%, $E$13)</f>
        <v>19.646699999999999</v>
      </c>
    </row>
    <row r="942" spans="1:11" ht="15">
      <c r="A942" s="13">
        <v>70311</v>
      </c>
      <c r="B942" s="63">
        <f>16.837 * CHOOSE(CONTROL!$C$22, $C$13, 100%, $E$13)</f>
        <v>16.837</v>
      </c>
      <c r="C942" s="63">
        <f>16.837 * CHOOSE(CONTROL!$C$22, $C$13, 100%, $E$13)</f>
        <v>16.837</v>
      </c>
      <c r="D942" s="63">
        <f>16.8601 * CHOOSE(CONTROL!$C$22, $C$13, 100%, $E$13)</f>
        <v>16.860099999999999</v>
      </c>
      <c r="E942" s="64">
        <f>20.0177 * CHOOSE(CONTROL!$C$22, $C$13, 100%, $E$13)</f>
        <v>20.017700000000001</v>
      </c>
      <c r="F942" s="64">
        <f>20.0177 * CHOOSE(CONTROL!$C$22, $C$13, 100%, $E$13)</f>
        <v>20.017700000000001</v>
      </c>
      <c r="G942" s="64">
        <f>20.0191 * CHOOSE(CONTROL!$C$22, $C$13, 100%, $E$13)</f>
        <v>20.019100000000002</v>
      </c>
      <c r="H942" s="64">
        <f>31.8501* CHOOSE(CONTROL!$C$22, $C$13, 100%, $E$13)</f>
        <v>31.850100000000001</v>
      </c>
      <c r="I942" s="64">
        <f>31.8516 * CHOOSE(CONTROL!$C$22, $C$13, 100%, $E$13)</f>
        <v>31.851600000000001</v>
      </c>
      <c r="J942" s="64">
        <f>20.0177 * CHOOSE(CONTROL!$C$22, $C$13, 100%, $E$13)</f>
        <v>20.017700000000001</v>
      </c>
      <c r="K942" s="64">
        <f>20.0191 * CHOOSE(CONTROL!$C$22, $C$13, 100%, $E$13)</f>
        <v>20.019100000000002</v>
      </c>
    </row>
    <row r="943" spans="1:11" ht="15">
      <c r="A943" s="13">
        <v>70342</v>
      </c>
      <c r="B943" s="63">
        <f>16.8436 * CHOOSE(CONTROL!$C$22, $C$13, 100%, $E$13)</f>
        <v>16.843599999999999</v>
      </c>
      <c r="C943" s="63">
        <f>16.8436 * CHOOSE(CONTROL!$C$22, $C$13, 100%, $E$13)</f>
        <v>16.843599999999999</v>
      </c>
      <c r="D943" s="63">
        <f>16.8667 * CHOOSE(CONTROL!$C$22, $C$13, 100%, $E$13)</f>
        <v>16.866700000000002</v>
      </c>
      <c r="E943" s="64">
        <f>19.8189 * CHOOSE(CONTROL!$C$22, $C$13, 100%, $E$13)</f>
        <v>19.818899999999999</v>
      </c>
      <c r="F943" s="64">
        <f>19.8189 * CHOOSE(CONTROL!$C$22, $C$13, 100%, $E$13)</f>
        <v>19.818899999999999</v>
      </c>
      <c r="G943" s="64">
        <f>19.8203 * CHOOSE(CONTROL!$C$22, $C$13, 100%, $E$13)</f>
        <v>19.8203</v>
      </c>
      <c r="H943" s="64">
        <f>31.9164* CHOOSE(CONTROL!$C$22, $C$13, 100%, $E$13)</f>
        <v>31.916399999999999</v>
      </c>
      <c r="I943" s="64">
        <f>31.9179 * CHOOSE(CONTROL!$C$22, $C$13, 100%, $E$13)</f>
        <v>31.917899999999999</v>
      </c>
      <c r="J943" s="64">
        <f>19.8189 * CHOOSE(CONTROL!$C$22, $C$13, 100%, $E$13)</f>
        <v>19.818899999999999</v>
      </c>
      <c r="K943" s="64">
        <f>19.8203 * CHOOSE(CONTROL!$C$22, $C$13, 100%, $E$13)</f>
        <v>19.8203</v>
      </c>
    </row>
    <row r="944" spans="1:11" ht="15">
      <c r="A944" s="13">
        <v>70373</v>
      </c>
      <c r="B944" s="63">
        <f>16.8406 * CHOOSE(CONTROL!$C$22, $C$13, 100%, $E$13)</f>
        <v>16.840599999999998</v>
      </c>
      <c r="C944" s="63">
        <f>16.8406 * CHOOSE(CONTROL!$C$22, $C$13, 100%, $E$13)</f>
        <v>16.840599999999998</v>
      </c>
      <c r="D944" s="63">
        <f>16.8637 * CHOOSE(CONTROL!$C$22, $C$13, 100%, $E$13)</f>
        <v>16.863700000000001</v>
      </c>
      <c r="E944" s="64">
        <f>19.7941 * CHOOSE(CONTROL!$C$22, $C$13, 100%, $E$13)</f>
        <v>19.7941</v>
      </c>
      <c r="F944" s="64">
        <f>19.7941 * CHOOSE(CONTROL!$C$22, $C$13, 100%, $E$13)</f>
        <v>19.7941</v>
      </c>
      <c r="G944" s="64">
        <f>19.7956 * CHOOSE(CONTROL!$C$22, $C$13, 100%, $E$13)</f>
        <v>19.7956</v>
      </c>
      <c r="H944" s="64">
        <f>31.9829* CHOOSE(CONTROL!$C$22, $C$13, 100%, $E$13)</f>
        <v>31.982900000000001</v>
      </c>
      <c r="I944" s="64">
        <f>31.9844 * CHOOSE(CONTROL!$C$22, $C$13, 100%, $E$13)</f>
        <v>31.984400000000001</v>
      </c>
      <c r="J944" s="64">
        <f>19.7941 * CHOOSE(CONTROL!$C$22, $C$13, 100%, $E$13)</f>
        <v>19.7941</v>
      </c>
      <c r="K944" s="64">
        <f>19.7956 * CHOOSE(CONTROL!$C$22, $C$13, 100%, $E$13)</f>
        <v>19.7956</v>
      </c>
    </row>
    <row r="945" spans="1:11" ht="15">
      <c r="A945" s="13">
        <v>70403</v>
      </c>
      <c r="B945" s="63">
        <f>16.8777 * CHOOSE(CONTROL!$C$22, $C$13, 100%, $E$13)</f>
        <v>16.877700000000001</v>
      </c>
      <c r="C945" s="63">
        <f>16.8777 * CHOOSE(CONTROL!$C$22, $C$13, 100%, $E$13)</f>
        <v>16.877700000000001</v>
      </c>
      <c r="D945" s="63">
        <f>16.8892 * CHOOSE(CONTROL!$C$22, $C$13, 100%, $E$13)</f>
        <v>16.889199999999999</v>
      </c>
      <c r="E945" s="64">
        <f>19.8711 * CHOOSE(CONTROL!$C$22, $C$13, 100%, $E$13)</f>
        <v>19.871099999999998</v>
      </c>
      <c r="F945" s="64">
        <f>19.8711 * CHOOSE(CONTROL!$C$22, $C$13, 100%, $E$13)</f>
        <v>19.871099999999998</v>
      </c>
      <c r="G945" s="64">
        <f>19.8713 * CHOOSE(CONTROL!$C$22, $C$13, 100%, $E$13)</f>
        <v>19.871300000000002</v>
      </c>
      <c r="H945" s="64">
        <f>32.0495* CHOOSE(CONTROL!$C$22, $C$13, 100%, $E$13)</f>
        <v>32.049500000000002</v>
      </c>
      <c r="I945" s="64">
        <f>32.0497 * CHOOSE(CONTROL!$C$22, $C$13, 100%, $E$13)</f>
        <v>32.049700000000001</v>
      </c>
      <c r="J945" s="64">
        <f>19.8711 * CHOOSE(CONTROL!$C$22, $C$13, 100%, $E$13)</f>
        <v>19.871099999999998</v>
      </c>
      <c r="K945" s="64">
        <f>19.8713 * CHOOSE(CONTROL!$C$22, $C$13, 100%, $E$13)</f>
        <v>19.871300000000002</v>
      </c>
    </row>
    <row r="946" spans="1:11" ht="15">
      <c r="A946" s="13">
        <v>70434</v>
      </c>
      <c r="B946" s="63">
        <f>16.8807 * CHOOSE(CONTROL!$C$22, $C$13, 100%, $E$13)</f>
        <v>16.880700000000001</v>
      </c>
      <c r="C946" s="63">
        <f>16.8807 * CHOOSE(CONTROL!$C$22, $C$13, 100%, $E$13)</f>
        <v>16.880700000000001</v>
      </c>
      <c r="D946" s="63">
        <f>16.8922 * CHOOSE(CONTROL!$C$22, $C$13, 100%, $E$13)</f>
        <v>16.892199999999999</v>
      </c>
      <c r="E946" s="64">
        <f>19.9185 * CHOOSE(CONTROL!$C$22, $C$13, 100%, $E$13)</f>
        <v>19.918500000000002</v>
      </c>
      <c r="F946" s="64">
        <f>19.9185 * CHOOSE(CONTROL!$C$22, $C$13, 100%, $E$13)</f>
        <v>19.918500000000002</v>
      </c>
      <c r="G946" s="64">
        <f>19.9187 * CHOOSE(CONTROL!$C$22, $C$13, 100%, $E$13)</f>
        <v>19.918700000000001</v>
      </c>
      <c r="H946" s="64">
        <f>32.1163* CHOOSE(CONTROL!$C$22, $C$13, 100%, $E$13)</f>
        <v>32.116300000000003</v>
      </c>
      <c r="I946" s="64">
        <f>32.1165 * CHOOSE(CONTROL!$C$22, $C$13, 100%, $E$13)</f>
        <v>32.116500000000002</v>
      </c>
      <c r="J946" s="64">
        <f>19.9185 * CHOOSE(CONTROL!$C$22, $C$13, 100%, $E$13)</f>
        <v>19.918500000000002</v>
      </c>
      <c r="K946" s="64">
        <f>19.9187 * CHOOSE(CONTROL!$C$22, $C$13, 100%, $E$13)</f>
        <v>19.918700000000001</v>
      </c>
    </row>
    <row r="947" spans="1:11" ht="15">
      <c r="A947" s="13">
        <v>70464</v>
      </c>
      <c r="B947" s="63">
        <f>16.8807 * CHOOSE(CONTROL!$C$22, $C$13, 100%, $E$13)</f>
        <v>16.880700000000001</v>
      </c>
      <c r="C947" s="63">
        <f>16.8807 * CHOOSE(CONTROL!$C$22, $C$13, 100%, $E$13)</f>
        <v>16.880700000000001</v>
      </c>
      <c r="D947" s="63">
        <f>16.8922 * CHOOSE(CONTROL!$C$22, $C$13, 100%, $E$13)</f>
        <v>16.892199999999999</v>
      </c>
      <c r="E947" s="64">
        <f>19.8054 * CHOOSE(CONTROL!$C$22, $C$13, 100%, $E$13)</f>
        <v>19.805399999999999</v>
      </c>
      <c r="F947" s="64">
        <f>19.8054 * CHOOSE(CONTROL!$C$22, $C$13, 100%, $E$13)</f>
        <v>19.805399999999999</v>
      </c>
      <c r="G947" s="64">
        <f>19.8056 * CHOOSE(CONTROL!$C$22, $C$13, 100%, $E$13)</f>
        <v>19.805599999999998</v>
      </c>
      <c r="H947" s="64">
        <f>32.1832* CHOOSE(CONTROL!$C$22, $C$13, 100%, $E$13)</f>
        <v>32.183199999999999</v>
      </c>
      <c r="I947" s="64">
        <f>32.1834 * CHOOSE(CONTROL!$C$22, $C$13, 100%, $E$13)</f>
        <v>32.183399999999999</v>
      </c>
      <c r="J947" s="64">
        <f>19.8054 * CHOOSE(CONTROL!$C$22, $C$13, 100%, $E$13)</f>
        <v>19.805399999999999</v>
      </c>
      <c r="K947" s="64">
        <f>19.8056 * CHOOSE(CONTROL!$C$22, $C$13, 100%, $E$13)</f>
        <v>19.805599999999998</v>
      </c>
    </row>
    <row r="948" spans="1:11" ht="15">
      <c r="A948" s="13">
        <v>70495</v>
      </c>
      <c r="B948" s="63">
        <f>16.8153 * CHOOSE(CONTROL!$C$22, $C$13, 100%, $E$13)</f>
        <v>16.815300000000001</v>
      </c>
      <c r="C948" s="63">
        <f>16.8153 * CHOOSE(CONTROL!$C$22, $C$13, 100%, $E$13)</f>
        <v>16.815300000000001</v>
      </c>
      <c r="D948" s="63">
        <f>16.8269 * CHOOSE(CONTROL!$C$22, $C$13, 100%, $E$13)</f>
        <v>16.826899999999998</v>
      </c>
      <c r="E948" s="64">
        <f>19.8062 * CHOOSE(CONTROL!$C$22, $C$13, 100%, $E$13)</f>
        <v>19.8062</v>
      </c>
      <c r="F948" s="64">
        <f>19.8062 * CHOOSE(CONTROL!$C$22, $C$13, 100%, $E$13)</f>
        <v>19.8062</v>
      </c>
      <c r="G948" s="64">
        <f>19.8064 * CHOOSE(CONTROL!$C$22, $C$13, 100%, $E$13)</f>
        <v>19.8064</v>
      </c>
      <c r="H948" s="64">
        <f>31.9007* CHOOSE(CONTROL!$C$22, $C$13, 100%, $E$13)</f>
        <v>31.900700000000001</v>
      </c>
      <c r="I948" s="64">
        <f>31.9009 * CHOOSE(CONTROL!$C$22, $C$13, 100%, $E$13)</f>
        <v>31.9009</v>
      </c>
      <c r="J948" s="64">
        <f>19.8062 * CHOOSE(CONTROL!$C$22, $C$13, 100%, $E$13)</f>
        <v>19.8062</v>
      </c>
      <c r="K948" s="64">
        <f>19.8064 * CHOOSE(CONTROL!$C$22, $C$13, 100%, $E$13)</f>
        <v>19.8064</v>
      </c>
    </row>
    <row r="949" spans="1:11" ht="15">
      <c r="A949" s="13">
        <v>70526</v>
      </c>
      <c r="B949" s="63">
        <f>16.8123 * CHOOSE(CONTROL!$C$22, $C$13, 100%, $E$13)</f>
        <v>16.8123</v>
      </c>
      <c r="C949" s="63">
        <f>16.8123 * CHOOSE(CONTROL!$C$22, $C$13, 100%, $E$13)</f>
        <v>16.8123</v>
      </c>
      <c r="D949" s="63">
        <f>16.8238 * CHOOSE(CONTROL!$C$22, $C$13, 100%, $E$13)</f>
        <v>16.823799999999999</v>
      </c>
      <c r="E949" s="64">
        <f>19.5872 * CHOOSE(CONTROL!$C$22, $C$13, 100%, $E$13)</f>
        <v>19.587199999999999</v>
      </c>
      <c r="F949" s="64">
        <f>19.5872 * CHOOSE(CONTROL!$C$22, $C$13, 100%, $E$13)</f>
        <v>19.587199999999999</v>
      </c>
      <c r="G949" s="64">
        <f>19.5874 * CHOOSE(CONTROL!$C$22, $C$13, 100%, $E$13)</f>
        <v>19.587399999999999</v>
      </c>
      <c r="H949" s="64">
        <f>31.9672* CHOOSE(CONTROL!$C$22, $C$13, 100%, $E$13)</f>
        <v>31.967199999999998</v>
      </c>
      <c r="I949" s="64">
        <f>31.9674 * CHOOSE(CONTROL!$C$22, $C$13, 100%, $E$13)</f>
        <v>31.967400000000001</v>
      </c>
      <c r="J949" s="64">
        <f>19.5872 * CHOOSE(CONTROL!$C$22, $C$13, 100%, $E$13)</f>
        <v>19.587199999999999</v>
      </c>
      <c r="K949" s="64">
        <f>19.5874 * CHOOSE(CONTROL!$C$22, $C$13, 100%, $E$13)</f>
        <v>19.587399999999999</v>
      </c>
    </row>
    <row r="950" spans="1:11" ht="15">
      <c r="A950" s="13">
        <v>70554</v>
      </c>
      <c r="B950" s="63">
        <f>16.8092 * CHOOSE(CONTROL!$C$22, $C$13, 100%, $E$13)</f>
        <v>16.809200000000001</v>
      </c>
      <c r="C950" s="63">
        <f>16.8092 * CHOOSE(CONTROL!$C$22, $C$13, 100%, $E$13)</f>
        <v>16.809200000000001</v>
      </c>
      <c r="D950" s="63">
        <f>16.8208 * CHOOSE(CONTROL!$C$22, $C$13, 100%, $E$13)</f>
        <v>16.820799999999998</v>
      </c>
      <c r="E950" s="64">
        <f>19.756 * CHOOSE(CONTROL!$C$22, $C$13, 100%, $E$13)</f>
        <v>19.756</v>
      </c>
      <c r="F950" s="64">
        <f>19.756 * CHOOSE(CONTROL!$C$22, $C$13, 100%, $E$13)</f>
        <v>19.756</v>
      </c>
      <c r="G950" s="64">
        <f>19.7562 * CHOOSE(CONTROL!$C$22, $C$13, 100%, $E$13)</f>
        <v>19.7562</v>
      </c>
      <c r="H950" s="64">
        <f>32.0338* CHOOSE(CONTROL!$C$22, $C$13, 100%, $E$13)</f>
        <v>32.033799999999999</v>
      </c>
      <c r="I950" s="64">
        <f>32.034 * CHOOSE(CONTROL!$C$22, $C$13, 100%, $E$13)</f>
        <v>32.033999999999999</v>
      </c>
      <c r="J950" s="64">
        <f>19.756 * CHOOSE(CONTROL!$C$22, $C$13, 100%, $E$13)</f>
        <v>19.756</v>
      </c>
      <c r="K950" s="64">
        <f>19.7562 * CHOOSE(CONTROL!$C$22, $C$13, 100%, $E$13)</f>
        <v>19.7562</v>
      </c>
    </row>
    <row r="951" spans="1:11" ht="15">
      <c r="A951" s="13">
        <v>70585</v>
      </c>
      <c r="B951" s="63">
        <f>16.8178 * CHOOSE(CONTROL!$C$22, $C$13, 100%, $E$13)</f>
        <v>16.817799999999998</v>
      </c>
      <c r="C951" s="63">
        <f>16.8178 * CHOOSE(CONTROL!$C$22, $C$13, 100%, $E$13)</f>
        <v>16.817799999999998</v>
      </c>
      <c r="D951" s="63">
        <f>16.8293 * CHOOSE(CONTROL!$C$22, $C$13, 100%, $E$13)</f>
        <v>16.8293</v>
      </c>
      <c r="E951" s="64">
        <f>19.9354 * CHOOSE(CONTROL!$C$22, $C$13, 100%, $E$13)</f>
        <v>19.935400000000001</v>
      </c>
      <c r="F951" s="64">
        <f>19.9354 * CHOOSE(CONTROL!$C$22, $C$13, 100%, $E$13)</f>
        <v>19.935400000000001</v>
      </c>
      <c r="G951" s="64">
        <f>19.9356 * CHOOSE(CONTROL!$C$22, $C$13, 100%, $E$13)</f>
        <v>19.935600000000001</v>
      </c>
      <c r="H951" s="64">
        <f>32.1005* CHOOSE(CONTROL!$C$22, $C$13, 100%, $E$13)</f>
        <v>32.100499999999997</v>
      </c>
      <c r="I951" s="64">
        <f>32.1007 * CHOOSE(CONTROL!$C$22, $C$13, 100%, $E$13)</f>
        <v>32.100700000000003</v>
      </c>
      <c r="J951" s="64">
        <f>19.9354 * CHOOSE(CONTROL!$C$22, $C$13, 100%, $E$13)</f>
        <v>19.935400000000001</v>
      </c>
      <c r="K951" s="64">
        <f>19.9356 * CHOOSE(CONTROL!$C$22, $C$13, 100%, $E$13)</f>
        <v>19.935600000000001</v>
      </c>
    </row>
    <row r="952" spans="1:11" ht="15">
      <c r="A952" s="13">
        <v>70615</v>
      </c>
      <c r="B952" s="63">
        <f>16.8178 * CHOOSE(CONTROL!$C$22, $C$13, 100%, $E$13)</f>
        <v>16.817799999999998</v>
      </c>
      <c r="C952" s="63">
        <f>16.8178 * CHOOSE(CONTROL!$C$22, $C$13, 100%, $E$13)</f>
        <v>16.817799999999998</v>
      </c>
      <c r="D952" s="63">
        <f>16.8409 * CHOOSE(CONTROL!$C$22, $C$13, 100%, $E$13)</f>
        <v>16.840900000000001</v>
      </c>
      <c r="E952" s="64">
        <f>20.0042 * CHOOSE(CONTROL!$C$22, $C$13, 100%, $E$13)</f>
        <v>20.004200000000001</v>
      </c>
      <c r="F952" s="64">
        <f>20.0042 * CHOOSE(CONTROL!$C$22, $C$13, 100%, $E$13)</f>
        <v>20.004200000000001</v>
      </c>
      <c r="G952" s="64">
        <f>20.0057 * CHOOSE(CONTROL!$C$22, $C$13, 100%, $E$13)</f>
        <v>20.005700000000001</v>
      </c>
      <c r="H952" s="64">
        <f>32.1674* CHOOSE(CONTROL!$C$22, $C$13, 100%, $E$13)</f>
        <v>32.167400000000001</v>
      </c>
      <c r="I952" s="64">
        <f>32.1689 * CHOOSE(CONTROL!$C$22, $C$13, 100%, $E$13)</f>
        <v>32.168900000000001</v>
      </c>
      <c r="J952" s="64">
        <f>20.0042 * CHOOSE(CONTROL!$C$22, $C$13, 100%, $E$13)</f>
        <v>20.004200000000001</v>
      </c>
      <c r="K952" s="64">
        <f>20.0057 * CHOOSE(CONTROL!$C$22, $C$13, 100%, $E$13)</f>
        <v>20.005700000000001</v>
      </c>
    </row>
    <row r="953" spans="1:11" ht="15">
      <c r="A953" s="13">
        <v>70646</v>
      </c>
      <c r="B953" s="63">
        <f>16.8239 * CHOOSE(CONTROL!$C$22, $C$13, 100%, $E$13)</f>
        <v>16.823899999999998</v>
      </c>
      <c r="C953" s="63">
        <f>16.8239 * CHOOSE(CONTROL!$C$22, $C$13, 100%, $E$13)</f>
        <v>16.823899999999998</v>
      </c>
      <c r="D953" s="63">
        <f>16.847 * CHOOSE(CONTROL!$C$22, $C$13, 100%, $E$13)</f>
        <v>16.847000000000001</v>
      </c>
      <c r="E953" s="64">
        <f>19.9396 * CHOOSE(CONTROL!$C$22, $C$13, 100%, $E$13)</f>
        <v>19.939599999999999</v>
      </c>
      <c r="F953" s="64">
        <f>19.9396 * CHOOSE(CONTROL!$C$22, $C$13, 100%, $E$13)</f>
        <v>19.939599999999999</v>
      </c>
      <c r="G953" s="64">
        <f>19.9411 * CHOOSE(CONTROL!$C$22, $C$13, 100%, $E$13)</f>
        <v>19.941099999999999</v>
      </c>
      <c r="H953" s="64">
        <f>32.2344* CHOOSE(CONTROL!$C$22, $C$13, 100%, $E$13)</f>
        <v>32.234400000000001</v>
      </c>
      <c r="I953" s="64">
        <f>32.2359 * CHOOSE(CONTROL!$C$22, $C$13, 100%, $E$13)</f>
        <v>32.235900000000001</v>
      </c>
      <c r="J953" s="64">
        <f>19.9396 * CHOOSE(CONTROL!$C$22, $C$13, 100%, $E$13)</f>
        <v>19.939599999999999</v>
      </c>
      <c r="K953" s="64">
        <f>19.9411 * CHOOSE(CONTROL!$C$22, $C$13, 100%, $E$13)</f>
        <v>19.941099999999999</v>
      </c>
    </row>
    <row r="954" spans="1:11" ht="15">
      <c r="A954" s="13">
        <v>70676</v>
      </c>
      <c r="B954" s="63">
        <f>17.0862 * CHOOSE(CONTROL!$C$22, $C$13, 100%, $E$13)</f>
        <v>17.086200000000002</v>
      </c>
      <c r="C954" s="63">
        <f>17.0862 * CHOOSE(CONTROL!$C$22, $C$13, 100%, $E$13)</f>
        <v>17.086200000000002</v>
      </c>
      <c r="D954" s="63">
        <f>17.1093 * CHOOSE(CONTROL!$C$22, $C$13, 100%, $E$13)</f>
        <v>17.109300000000001</v>
      </c>
      <c r="E954" s="64">
        <f>20.3175 * CHOOSE(CONTROL!$C$22, $C$13, 100%, $E$13)</f>
        <v>20.317499999999999</v>
      </c>
      <c r="F954" s="64">
        <f>20.3175 * CHOOSE(CONTROL!$C$22, $C$13, 100%, $E$13)</f>
        <v>20.317499999999999</v>
      </c>
      <c r="G954" s="64">
        <f>20.319 * CHOOSE(CONTROL!$C$22, $C$13, 100%, $E$13)</f>
        <v>20.318999999999999</v>
      </c>
      <c r="H954" s="64">
        <f>32.3016* CHOOSE(CONTROL!$C$22, $C$13, 100%, $E$13)</f>
        <v>32.301600000000001</v>
      </c>
      <c r="I954" s="64">
        <f>32.303 * CHOOSE(CONTROL!$C$22, $C$13, 100%, $E$13)</f>
        <v>32.302999999999997</v>
      </c>
      <c r="J954" s="64">
        <f>20.3175 * CHOOSE(CONTROL!$C$22, $C$13, 100%, $E$13)</f>
        <v>20.317499999999999</v>
      </c>
      <c r="K954" s="64">
        <f>20.319 * CHOOSE(CONTROL!$C$22, $C$13, 100%, $E$13)</f>
        <v>20.318999999999999</v>
      </c>
    </row>
    <row r="955" spans="1:11" ht="15">
      <c r="A955" s="13">
        <v>70707</v>
      </c>
      <c r="B955" s="63">
        <f>17.0929 * CHOOSE(CONTROL!$C$22, $C$13, 100%, $E$13)</f>
        <v>17.0929</v>
      </c>
      <c r="C955" s="63">
        <f>17.0929 * CHOOSE(CONTROL!$C$22, $C$13, 100%, $E$13)</f>
        <v>17.0929</v>
      </c>
      <c r="D955" s="63">
        <f>17.116 * CHOOSE(CONTROL!$C$22, $C$13, 100%, $E$13)</f>
        <v>17.116</v>
      </c>
      <c r="E955" s="64">
        <f>20.1157 * CHOOSE(CONTROL!$C$22, $C$13, 100%, $E$13)</f>
        <v>20.1157</v>
      </c>
      <c r="F955" s="64">
        <f>20.1157 * CHOOSE(CONTROL!$C$22, $C$13, 100%, $E$13)</f>
        <v>20.1157</v>
      </c>
      <c r="G955" s="64">
        <f>20.1172 * CHOOSE(CONTROL!$C$22, $C$13, 100%, $E$13)</f>
        <v>20.1172</v>
      </c>
      <c r="H955" s="64">
        <f>32.3689* CHOOSE(CONTROL!$C$22, $C$13, 100%, $E$13)</f>
        <v>32.368899999999996</v>
      </c>
      <c r="I955" s="64">
        <f>32.3703 * CHOOSE(CONTROL!$C$22, $C$13, 100%, $E$13)</f>
        <v>32.3703</v>
      </c>
      <c r="J955" s="64">
        <f>20.1157 * CHOOSE(CONTROL!$C$22, $C$13, 100%, $E$13)</f>
        <v>20.1157</v>
      </c>
      <c r="K955" s="64">
        <f>20.1172 * CHOOSE(CONTROL!$C$22, $C$13, 100%, $E$13)</f>
        <v>20.1172</v>
      </c>
    </row>
    <row r="956" spans="1:11" ht="15">
      <c r="A956" s="13">
        <v>70738</v>
      </c>
      <c r="B956" s="63">
        <f>17.0898 * CHOOSE(CONTROL!$C$22, $C$13, 100%, $E$13)</f>
        <v>17.0898</v>
      </c>
      <c r="C956" s="63">
        <f>17.0898 * CHOOSE(CONTROL!$C$22, $C$13, 100%, $E$13)</f>
        <v>17.0898</v>
      </c>
      <c r="D956" s="63">
        <f>17.1129 * CHOOSE(CONTROL!$C$22, $C$13, 100%, $E$13)</f>
        <v>17.1129</v>
      </c>
      <c r="E956" s="64">
        <f>20.0906 * CHOOSE(CONTROL!$C$22, $C$13, 100%, $E$13)</f>
        <v>20.090599999999998</v>
      </c>
      <c r="F956" s="64">
        <f>20.0906 * CHOOSE(CONTROL!$C$22, $C$13, 100%, $E$13)</f>
        <v>20.090599999999998</v>
      </c>
      <c r="G956" s="64">
        <f>20.0921 * CHOOSE(CONTROL!$C$22, $C$13, 100%, $E$13)</f>
        <v>20.092099999999999</v>
      </c>
      <c r="H956" s="64">
        <f>32.4363* CHOOSE(CONTROL!$C$22, $C$13, 100%, $E$13)</f>
        <v>32.436300000000003</v>
      </c>
      <c r="I956" s="64">
        <f>32.4378 * CHOOSE(CONTROL!$C$22, $C$13, 100%, $E$13)</f>
        <v>32.437800000000003</v>
      </c>
      <c r="J956" s="64">
        <f>20.0906 * CHOOSE(CONTROL!$C$22, $C$13, 100%, $E$13)</f>
        <v>20.090599999999998</v>
      </c>
      <c r="K956" s="64">
        <f>20.0921 * CHOOSE(CONTROL!$C$22, $C$13, 100%, $E$13)</f>
        <v>20.092099999999999</v>
      </c>
    </row>
    <row r="957" spans="1:11" ht="15">
      <c r="A957" s="13">
        <v>70768</v>
      </c>
      <c r="B957" s="63">
        <f>17.1277 * CHOOSE(CONTROL!$C$22, $C$13, 100%, $E$13)</f>
        <v>17.127700000000001</v>
      </c>
      <c r="C957" s="63">
        <f>17.1277 * CHOOSE(CONTROL!$C$22, $C$13, 100%, $E$13)</f>
        <v>17.127700000000001</v>
      </c>
      <c r="D957" s="63">
        <f>17.1392 * CHOOSE(CONTROL!$C$22, $C$13, 100%, $E$13)</f>
        <v>17.139199999999999</v>
      </c>
      <c r="E957" s="64">
        <f>20.169 * CHOOSE(CONTROL!$C$22, $C$13, 100%, $E$13)</f>
        <v>20.169</v>
      </c>
      <c r="F957" s="64">
        <f>20.169 * CHOOSE(CONTROL!$C$22, $C$13, 100%, $E$13)</f>
        <v>20.169</v>
      </c>
      <c r="G957" s="64">
        <f>20.1692 * CHOOSE(CONTROL!$C$22, $C$13, 100%, $E$13)</f>
        <v>20.1692</v>
      </c>
      <c r="H957" s="64">
        <f>32.5039* CHOOSE(CONTROL!$C$22, $C$13, 100%, $E$13)</f>
        <v>32.503900000000002</v>
      </c>
      <c r="I957" s="64">
        <f>32.504 * CHOOSE(CONTROL!$C$22, $C$13, 100%, $E$13)</f>
        <v>32.503999999999998</v>
      </c>
      <c r="J957" s="64">
        <f>20.169 * CHOOSE(CONTROL!$C$22, $C$13, 100%, $E$13)</f>
        <v>20.169</v>
      </c>
      <c r="K957" s="64">
        <f>20.1692 * CHOOSE(CONTROL!$C$22, $C$13, 100%, $E$13)</f>
        <v>20.1692</v>
      </c>
    </row>
    <row r="958" spans="1:11" ht="15">
      <c r="A958" s="13">
        <v>70799</v>
      </c>
      <c r="B958" s="63">
        <f>17.1307 * CHOOSE(CONTROL!$C$22, $C$13, 100%, $E$13)</f>
        <v>17.130700000000001</v>
      </c>
      <c r="C958" s="63">
        <f>17.1307 * CHOOSE(CONTROL!$C$22, $C$13, 100%, $E$13)</f>
        <v>17.130700000000001</v>
      </c>
      <c r="D958" s="63">
        <f>17.1423 * CHOOSE(CONTROL!$C$22, $C$13, 100%, $E$13)</f>
        <v>17.142299999999999</v>
      </c>
      <c r="E958" s="64">
        <f>20.217 * CHOOSE(CONTROL!$C$22, $C$13, 100%, $E$13)</f>
        <v>20.216999999999999</v>
      </c>
      <c r="F958" s="64">
        <f>20.217 * CHOOSE(CONTROL!$C$22, $C$13, 100%, $E$13)</f>
        <v>20.216999999999999</v>
      </c>
      <c r="G958" s="64">
        <f>20.2172 * CHOOSE(CONTROL!$C$22, $C$13, 100%, $E$13)</f>
        <v>20.217199999999998</v>
      </c>
      <c r="H958" s="64">
        <f>32.5716* CHOOSE(CONTROL!$C$22, $C$13, 100%, $E$13)</f>
        <v>32.571599999999997</v>
      </c>
      <c r="I958" s="64">
        <f>32.5718 * CHOOSE(CONTROL!$C$22, $C$13, 100%, $E$13)</f>
        <v>32.571800000000003</v>
      </c>
      <c r="J958" s="64">
        <f>20.217 * CHOOSE(CONTROL!$C$22, $C$13, 100%, $E$13)</f>
        <v>20.216999999999999</v>
      </c>
      <c r="K958" s="64">
        <f>20.2172 * CHOOSE(CONTROL!$C$22, $C$13, 100%, $E$13)</f>
        <v>20.217199999999998</v>
      </c>
    </row>
    <row r="959" spans="1:11" ht="15">
      <c r="A959" s="13">
        <v>70829</v>
      </c>
      <c r="B959" s="63">
        <f>17.1307 * CHOOSE(CONTROL!$C$22, $C$13, 100%, $E$13)</f>
        <v>17.130700000000001</v>
      </c>
      <c r="C959" s="63">
        <f>17.1307 * CHOOSE(CONTROL!$C$22, $C$13, 100%, $E$13)</f>
        <v>17.130700000000001</v>
      </c>
      <c r="D959" s="63">
        <f>17.1423 * CHOOSE(CONTROL!$C$22, $C$13, 100%, $E$13)</f>
        <v>17.142299999999999</v>
      </c>
      <c r="E959" s="64">
        <f>20.1023 * CHOOSE(CONTROL!$C$22, $C$13, 100%, $E$13)</f>
        <v>20.1023</v>
      </c>
      <c r="F959" s="64">
        <f>20.1023 * CHOOSE(CONTROL!$C$22, $C$13, 100%, $E$13)</f>
        <v>20.1023</v>
      </c>
      <c r="G959" s="64">
        <f>20.1024 * CHOOSE(CONTROL!$C$22, $C$13, 100%, $E$13)</f>
        <v>20.102399999999999</v>
      </c>
      <c r="H959" s="64">
        <f>32.6394* CHOOSE(CONTROL!$C$22, $C$13, 100%, $E$13)</f>
        <v>32.639400000000002</v>
      </c>
      <c r="I959" s="64">
        <f>32.6396 * CHOOSE(CONTROL!$C$22, $C$13, 100%, $E$13)</f>
        <v>32.639600000000002</v>
      </c>
      <c r="J959" s="64">
        <f>20.1023 * CHOOSE(CONTROL!$C$22, $C$13, 100%, $E$13)</f>
        <v>20.1023</v>
      </c>
      <c r="K959" s="64">
        <f>20.1024 * CHOOSE(CONTROL!$C$22, $C$13, 100%, $E$13)</f>
        <v>20.102399999999999</v>
      </c>
    </row>
    <row r="960" spans="1:11" ht="15">
      <c r="A960" s="13">
        <v>70860</v>
      </c>
      <c r="B960" s="63">
        <f>17.0606 * CHOOSE(CONTROL!$C$22, $C$13, 100%, $E$13)</f>
        <v>17.060600000000001</v>
      </c>
      <c r="C960" s="63">
        <f>17.0606 * CHOOSE(CONTROL!$C$22, $C$13, 100%, $E$13)</f>
        <v>17.060600000000001</v>
      </c>
      <c r="D960" s="63">
        <f>17.0722 * CHOOSE(CONTROL!$C$22, $C$13, 100%, $E$13)</f>
        <v>17.072199999999999</v>
      </c>
      <c r="E960" s="64">
        <f>20.0986 * CHOOSE(CONTROL!$C$22, $C$13, 100%, $E$13)</f>
        <v>20.098600000000001</v>
      </c>
      <c r="F960" s="64">
        <f>20.0986 * CHOOSE(CONTROL!$C$22, $C$13, 100%, $E$13)</f>
        <v>20.098600000000001</v>
      </c>
      <c r="G960" s="64">
        <f>20.0988 * CHOOSE(CONTROL!$C$22, $C$13, 100%, $E$13)</f>
        <v>20.098800000000001</v>
      </c>
      <c r="H960" s="64">
        <f>32.3466* CHOOSE(CONTROL!$C$22, $C$13, 100%, $E$13)</f>
        <v>32.346600000000002</v>
      </c>
      <c r="I960" s="64">
        <f>32.3468 * CHOOSE(CONTROL!$C$22, $C$13, 100%, $E$13)</f>
        <v>32.346800000000002</v>
      </c>
      <c r="J960" s="64">
        <f>20.0986 * CHOOSE(CONTROL!$C$22, $C$13, 100%, $E$13)</f>
        <v>20.098600000000001</v>
      </c>
      <c r="K960" s="64">
        <f>20.0988 * CHOOSE(CONTROL!$C$22, $C$13, 100%, $E$13)</f>
        <v>20.098800000000001</v>
      </c>
    </row>
    <row r="961" spans="1:11" ht="15">
      <c r="A961" s="13">
        <v>70891</v>
      </c>
      <c r="B961" s="63">
        <f>17.0576 * CHOOSE(CONTROL!$C$22, $C$13, 100%, $E$13)</f>
        <v>17.057600000000001</v>
      </c>
      <c r="C961" s="63">
        <f>17.0576 * CHOOSE(CONTROL!$C$22, $C$13, 100%, $E$13)</f>
        <v>17.057600000000001</v>
      </c>
      <c r="D961" s="63">
        <f>17.0692 * CHOOSE(CONTROL!$C$22, $C$13, 100%, $E$13)</f>
        <v>17.069199999999999</v>
      </c>
      <c r="E961" s="64">
        <f>19.8764 * CHOOSE(CONTROL!$C$22, $C$13, 100%, $E$13)</f>
        <v>19.8764</v>
      </c>
      <c r="F961" s="64">
        <f>19.8764 * CHOOSE(CONTROL!$C$22, $C$13, 100%, $E$13)</f>
        <v>19.8764</v>
      </c>
      <c r="G961" s="64">
        <f>19.8766 * CHOOSE(CONTROL!$C$22, $C$13, 100%, $E$13)</f>
        <v>19.8766</v>
      </c>
      <c r="H961" s="64">
        <f>32.414* CHOOSE(CONTROL!$C$22, $C$13, 100%, $E$13)</f>
        <v>32.414000000000001</v>
      </c>
      <c r="I961" s="64">
        <f>32.4142 * CHOOSE(CONTROL!$C$22, $C$13, 100%, $E$13)</f>
        <v>32.414200000000001</v>
      </c>
      <c r="J961" s="64">
        <f>19.8764 * CHOOSE(CONTROL!$C$22, $C$13, 100%, $E$13)</f>
        <v>19.8764</v>
      </c>
      <c r="K961" s="64">
        <f>19.8766 * CHOOSE(CONTROL!$C$22, $C$13, 100%, $E$13)</f>
        <v>19.8766</v>
      </c>
    </row>
    <row r="962" spans="1:11" ht="15">
      <c r="A962" s="13">
        <v>70919</v>
      </c>
      <c r="B962" s="63">
        <f>17.0546 * CHOOSE(CONTROL!$C$22, $C$13, 100%, $E$13)</f>
        <v>17.054600000000001</v>
      </c>
      <c r="C962" s="63">
        <f>17.0546 * CHOOSE(CONTROL!$C$22, $C$13, 100%, $E$13)</f>
        <v>17.054600000000001</v>
      </c>
      <c r="D962" s="63">
        <f>17.0661 * CHOOSE(CONTROL!$C$22, $C$13, 100%, $E$13)</f>
        <v>17.066099999999999</v>
      </c>
      <c r="E962" s="64">
        <f>20.0478 * CHOOSE(CONTROL!$C$22, $C$13, 100%, $E$13)</f>
        <v>20.047799999999999</v>
      </c>
      <c r="F962" s="64">
        <f>20.0478 * CHOOSE(CONTROL!$C$22, $C$13, 100%, $E$13)</f>
        <v>20.047799999999999</v>
      </c>
      <c r="G962" s="64">
        <f>20.048 * CHOOSE(CONTROL!$C$22, $C$13, 100%, $E$13)</f>
        <v>20.047999999999998</v>
      </c>
      <c r="H962" s="64">
        <f>32.4815* CHOOSE(CONTROL!$C$22, $C$13, 100%, $E$13)</f>
        <v>32.481499999999997</v>
      </c>
      <c r="I962" s="64">
        <f>32.4817 * CHOOSE(CONTROL!$C$22, $C$13, 100%, $E$13)</f>
        <v>32.481699999999996</v>
      </c>
      <c r="J962" s="64">
        <f>20.0478 * CHOOSE(CONTROL!$C$22, $C$13, 100%, $E$13)</f>
        <v>20.047799999999999</v>
      </c>
      <c r="K962" s="64">
        <f>20.048 * CHOOSE(CONTROL!$C$22, $C$13, 100%, $E$13)</f>
        <v>20.047999999999998</v>
      </c>
    </row>
    <row r="963" spans="1:11" ht="15">
      <c r="A963" s="13">
        <v>70950</v>
      </c>
      <c r="B963" s="63">
        <f>17.0633 * CHOOSE(CONTROL!$C$22, $C$13, 100%, $E$13)</f>
        <v>17.063300000000002</v>
      </c>
      <c r="C963" s="63">
        <f>17.0633 * CHOOSE(CONTROL!$C$22, $C$13, 100%, $E$13)</f>
        <v>17.063300000000002</v>
      </c>
      <c r="D963" s="63">
        <f>17.0749 * CHOOSE(CONTROL!$C$22, $C$13, 100%, $E$13)</f>
        <v>17.0749</v>
      </c>
      <c r="E963" s="64">
        <f>20.2298 * CHOOSE(CONTROL!$C$22, $C$13, 100%, $E$13)</f>
        <v>20.229800000000001</v>
      </c>
      <c r="F963" s="64">
        <f>20.2298 * CHOOSE(CONTROL!$C$22, $C$13, 100%, $E$13)</f>
        <v>20.229800000000001</v>
      </c>
      <c r="G963" s="64">
        <f>20.23 * CHOOSE(CONTROL!$C$22, $C$13, 100%, $E$13)</f>
        <v>20.23</v>
      </c>
      <c r="H963" s="64">
        <f>32.5492* CHOOSE(CONTROL!$C$22, $C$13, 100%, $E$13)</f>
        <v>32.549199999999999</v>
      </c>
      <c r="I963" s="64">
        <f>32.5494 * CHOOSE(CONTROL!$C$22, $C$13, 100%, $E$13)</f>
        <v>32.549399999999999</v>
      </c>
      <c r="J963" s="64">
        <f>20.2298 * CHOOSE(CONTROL!$C$22, $C$13, 100%, $E$13)</f>
        <v>20.229800000000001</v>
      </c>
      <c r="K963" s="64">
        <f>20.23 * CHOOSE(CONTROL!$C$22, $C$13, 100%, $E$13)</f>
        <v>20.23</v>
      </c>
    </row>
    <row r="964" spans="1:11" ht="15">
      <c r="A964" s="13">
        <v>70980</v>
      </c>
      <c r="B964" s="63">
        <f>17.0633 * CHOOSE(CONTROL!$C$22, $C$13, 100%, $E$13)</f>
        <v>17.063300000000002</v>
      </c>
      <c r="C964" s="63">
        <f>17.0633 * CHOOSE(CONTROL!$C$22, $C$13, 100%, $E$13)</f>
        <v>17.063300000000002</v>
      </c>
      <c r="D964" s="63">
        <f>17.0864 * CHOOSE(CONTROL!$C$22, $C$13, 100%, $E$13)</f>
        <v>17.086400000000001</v>
      </c>
      <c r="E964" s="64">
        <f>20.2997 * CHOOSE(CONTROL!$C$22, $C$13, 100%, $E$13)</f>
        <v>20.299700000000001</v>
      </c>
      <c r="F964" s="64">
        <f>20.2997 * CHOOSE(CONTROL!$C$22, $C$13, 100%, $E$13)</f>
        <v>20.299700000000001</v>
      </c>
      <c r="G964" s="64">
        <f>20.3012 * CHOOSE(CONTROL!$C$22, $C$13, 100%, $E$13)</f>
        <v>20.301200000000001</v>
      </c>
      <c r="H964" s="64">
        <f>32.617* CHOOSE(CONTROL!$C$22, $C$13, 100%, $E$13)</f>
        <v>32.616999999999997</v>
      </c>
      <c r="I964" s="64">
        <f>32.6185 * CHOOSE(CONTROL!$C$22, $C$13, 100%, $E$13)</f>
        <v>32.618499999999997</v>
      </c>
      <c r="J964" s="64">
        <f>20.2997 * CHOOSE(CONTROL!$C$22, $C$13, 100%, $E$13)</f>
        <v>20.299700000000001</v>
      </c>
      <c r="K964" s="64">
        <f>20.3012 * CHOOSE(CONTROL!$C$22, $C$13, 100%, $E$13)</f>
        <v>20.301200000000001</v>
      </c>
    </row>
    <row r="965" spans="1:11" ht="15">
      <c r="A965" s="13">
        <v>71011</v>
      </c>
      <c r="B965" s="63">
        <f>17.0694 * CHOOSE(CONTROL!$C$22, $C$13, 100%, $E$13)</f>
        <v>17.069400000000002</v>
      </c>
      <c r="C965" s="63">
        <f>17.0694 * CHOOSE(CONTROL!$C$22, $C$13, 100%, $E$13)</f>
        <v>17.069400000000002</v>
      </c>
      <c r="D965" s="63">
        <f>17.0925 * CHOOSE(CONTROL!$C$22, $C$13, 100%, $E$13)</f>
        <v>17.092500000000001</v>
      </c>
      <c r="E965" s="64">
        <f>20.2341 * CHOOSE(CONTROL!$C$22, $C$13, 100%, $E$13)</f>
        <v>20.234100000000002</v>
      </c>
      <c r="F965" s="64">
        <f>20.2341 * CHOOSE(CONTROL!$C$22, $C$13, 100%, $E$13)</f>
        <v>20.234100000000002</v>
      </c>
      <c r="G965" s="64">
        <f>20.2355 * CHOOSE(CONTROL!$C$22, $C$13, 100%, $E$13)</f>
        <v>20.235499999999998</v>
      </c>
      <c r="H965" s="64">
        <f>32.685* CHOOSE(CONTROL!$C$22, $C$13, 100%, $E$13)</f>
        <v>32.685000000000002</v>
      </c>
      <c r="I965" s="64">
        <f>32.6864 * CHOOSE(CONTROL!$C$22, $C$13, 100%, $E$13)</f>
        <v>32.686399999999999</v>
      </c>
      <c r="J965" s="64">
        <f>20.2341 * CHOOSE(CONTROL!$C$22, $C$13, 100%, $E$13)</f>
        <v>20.234100000000002</v>
      </c>
      <c r="K965" s="64">
        <f>20.2355 * CHOOSE(CONTROL!$C$22, $C$13, 100%, $E$13)</f>
        <v>20.235499999999998</v>
      </c>
    </row>
    <row r="966" spans="1:11" ht="15">
      <c r="A966" s="13">
        <v>71041</v>
      </c>
      <c r="B966" s="63">
        <f>17.3354 * CHOOSE(CONTROL!$C$22, $C$13, 100%, $E$13)</f>
        <v>17.3354</v>
      </c>
      <c r="C966" s="63">
        <f>17.3354 * CHOOSE(CONTROL!$C$22, $C$13, 100%, $E$13)</f>
        <v>17.3354</v>
      </c>
      <c r="D966" s="63">
        <f>17.3585 * CHOOSE(CONTROL!$C$22, $C$13, 100%, $E$13)</f>
        <v>17.358499999999999</v>
      </c>
      <c r="E966" s="64">
        <f>20.6174 * CHOOSE(CONTROL!$C$22, $C$13, 100%, $E$13)</f>
        <v>20.6174</v>
      </c>
      <c r="F966" s="64">
        <f>20.6174 * CHOOSE(CONTROL!$C$22, $C$13, 100%, $E$13)</f>
        <v>20.6174</v>
      </c>
      <c r="G966" s="64">
        <f>20.6189 * CHOOSE(CONTROL!$C$22, $C$13, 100%, $E$13)</f>
        <v>20.6189</v>
      </c>
      <c r="H966" s="64">
        <f>32.7531* CHOOSE(CONTROL!$C$22, $C$13, 100%, $E$13)</f>
        <v>32.753100000000003</v>
      </c>
      <c r="I966" s="64">
        <f>32.7545 * CHOOSE(CONTROL!$C$22, $C$13, 100%, $E$13)</f>
        <v>32.7545</v>
      </c>
      <c r="J966" s="64">
        <f>20.6174 * CHOOSE(CONTROL!$C$22, $C$13, 100%, $E$13)</f>
        <v>20.6174</v>
      </c>
      <c r="K966" s="64">
        <f>20.6189 * CHOOSE(CONTROL!$C$22, $C$13, 100%, $E$13)</f>
        <v>20.6189</v>
      </c>
    </row>
    <row r="967" spans="1:11" ht="15">
      <c r="A967" s="13">
        <v>71072</v>
      </c>
      <c r="B967" s="63">
        <f>17.3421 * CHOOSE(CONTROL!$C$22, $C$13, 100%, $E$13)</f>
        <v>17.342099999999999</v>
      </c>
      <c r="C967" s="63">
        <f>17.3421 * CHOOSE(CONTROL!$C$22, $C$13, 100%, $E$13)</f>
        <v>17.342099999999999</v>
      </c>
      <c r="D967" s="63">
        <f>17.3652 * CHOOSE(CONTROL!$C$22, $C$13, 100%, $E$13)</f>
        <v>17.365200000000002</v>
      </c>
      <c r="E967" s="64">
        <f>20.4125 * CHOOSE(CONTROL!$C$22, $C$13, 100%, $E$13)</f>
        <v>20.412500000000001</v>
      </c>
      <c r="F967" s="64">
        <f>20.4125 * CHOOSE(CONTROL!$C$22, $C$13, 100%, $E$13)</f>
        <v>20.412500000000001</v>
      </c>
      <c r="G967" s="64">
        <f>20.414 * CHOOSE(CONTROL!$C$22, $C$13, 100%, $E$13)</f>
        <v>20.414000000000001</v>
      </c>
      <c r="H967" s="64">
        <f>32.8213* CHOOSE(CONTROL!$C$22, $C$13, 100%, $E$13)</f>
        <v>32.821300000000001</v>
      </c>
      <c r="I967" s="64">
        <f>32.8228 * CHOOSE(CONTROL!$C$22, $C$13, 100%, $E$13)</f>
        <v>32.822800000000001</v>
      </c>
      <c r="J967" s="64">
        <f>20.4125 * CHOOSE(CONTROL!$C$22, $C$13, 100%, $E$13)</f>
        <v>20.412500000000001</v>
      </c>
      <c r="K967" s="64">
        <f>20.414 * CHOOSE(CONTROL!$C$22, $C$13, 100%, $E$13)</f>
        <v>20.414000000000001</v>
      </c>
    </row>
    <row r="968" spans="1:11" ht="15">
      <c r="A968" s="13">
        <v>71103</v>
      </c>
      <c r="B968" s="63">
        <f>17.339 * CHOOSE(CONTROL!$C$22, $C$13, 100%, $E$13)</f>
        <v>17.338999999999999</v>
      </c>
      <c r="C968" s="63">
        <f>17.339 * CHOOSE(CONTROL!$C$22, $C$13, 100%, $E$13)</f>
        <v>17.338999999999999</v>
      </c>
      <c r="D968" s="63">
        <f>17.3621 * CHOOSE(CONTROL!$C$22, $C$13, 100%, $E$13)</f>
        <v>17.362100000000002</v>
      </c>
      <c r="E968" s="64">
        <f>20.3871 * CHOOSE(CONTROL!$C$22, $C$13, 100%, $E$13)</f>
        <v>20.3871</v>
      </c>
      <c r="F968" s="64">
        <f>20.3871 * CHOOSE(CONTROL!$C$22, $C$13, 100%, $E$13)</f>
        <v>20.3871</v>
      </c>
      <c r="G968" s="64">
        <f>20.3886 * CHOOSE(CONTROL!$C$22, $C$13, 100%, $E$13)</f>
        <v>20.3886</v>
      </c>
      <c r="H968" s="64">
        <f>32.8897* CHOOSE(CONTROL!$C$22, $C$13, 100%, $E$13)</f>
        <v>32.889699999999998</v>
      </c>
      <c r="I968" s="64">
        <f>32.8912 * CHOOSE(CONTROL!$C$22, $C$13, 100%, $E$13)</f>
        <v>32.891199999999998</v>
      </c>
      <c r="J968" s="64">
        <f>20.3871 * CHOOSE(CONTROL!$C$22, $C$13, 100%, $E$13)</f>
        <v>20.3871</v>
      </c>
      <c r="K968" s="64">
        <f>20.3886 * CHOOSE(CONTROL!$C$22, $C$13, 100%, $E$13)</f>
        <v>20.3886</v>
      </c>
    </row>
    <row r="969" spans="1:11" ht="15">
      <c r="A969" s="13">
        <v>71133</v>
      </c>
      <c r="B969" s="63">
        <f>17.3777 * CHOOSE(CONTROL!$C$22, $C$13, 100%, $E$13)</f>
        <v>17.377700000000001</v>
      </c>
      <c r="C969" s="63">
        <f>17.3777 * CHOOSE(CONTROL!$C$22, $C$13, 100%, $E$13)</f>
        <v>17.377700000000001</v>
      </c>
      <c r="D969" s="63">
        <f>17.3892 * CHOOSE(CONTROL!$C$22, $C$13, 100%, $E$13)</f>
        <v>17.389199999999999</v>
      </c>
      <c r="E969" s="64">
        <f>20.4668 * CHOOSE(CONTROL!$C$22, $C$13, 100%, $E$13)</f>
        <v>20.466799999999999</v>
      </c>
      <c r="F969" s="64">
        <f>20.4668 * CHOOSE(CONTROL!$C$22, $C$13, 100%, $E$13)</f>
        <v>20.466799999999999</v>
      </c>
      <c r="G969" s="64">
        <f>20.467 * CHOOSE(CONTROL!$C$22, $C$13, 100%, $E$13)</f>
        <v>20.466999999999999</v>
      </c>
      <c r="H969" s="64">
        <f>32.9582* CHOOSE(CONTROL!$C$22, $C$13, 100%, $E$13)</f>
        <v>32.958199999999998</v>
      </c>
      <c r="I969" s="64">
        <f>32.9584 * CHOOSE(CONTROL!$C$22, $C$13, 100%, $E$13)</f>
        <v>32.958399999999997</v>
      </c>
      <c r="J969" s="64">
        <f>20.4668 * CHOOSE(CONTROL!$C$22, $C$13, 100%, $E$13)</f>
        <v>20.466799999999999</v>
      </c>
      <c r="K969" s="64">
        <f>20.467 * CHOOSE(CONTROL!$C$22, $C$13, 100%, $E$13)</f>
        <v>20.466999999999999</v>
      </c>
    </row>
    <row r="970" spans="1:11" ht="15">
      <c r="A970" s="13">
        <v>71164</v>
      </c>
      <c r="B970" s="63">
        <f>17.3807 * CHOOSE(CONTROL!$C$22, $C$13, 100%, $E$13)</f>
        <v>17.380700000000001</v>
      </c>
      <c r="C970" s="63">
        <f>17.3807 * CHOOSE(CONTROL!$C$22, $C$13, 100%, $E$13)</f>
        <v>17.380700000000001</v>
      </c>
      <c r="D970" s="63">
        <f>17.3923 * CHOOSE(CONTROL!$C$22, $C$13, 100%, $E$13)</f>
        <v>17.392299999999999</v>
      </c>
      <c r="E970" s="64">
        <f>20.5155 * CHOOSE(CONTROL!$C$22, $C$13, 100%, $E$13)</f>
        <v>20.515499999999999</v>
      </c>
      <c r="F970" s="64">
        <f>20.5155 * CHOOSE(CONTROL!$C$22, $C$13, 100%, $E$13)</f>
        <v>20.515499999999999</v>
      </c>
      <c r="G970" s="64">
        <f>20.5157 * CHOOSE(CONTROL!$C$22, $C$13, 100%, $E$13)</f>
        <v>20.515699999999999</v>
      </c>
      <c r="H970" s="64">
        <f>33.0268* CHOOSE(CONTROL!$C$22, $C$13, 100%, $E$13)</f>
        <v>33.026800000000001</v>
      </c>
      <c r="I970" s="64">
        <f>33.027 * CHOOSE(CONTROL!$C$22, $C$13, 100%, $E$13)</f>
        <v>33.027000000000001</v>
      </c>
      <c r="J970" s="64">
        <f>20.5155 * CHOOSE(CONTROL!$C$22, $C$13, 100%, $E$13)</f>
        <v>20.515499999999999</v>
      </c>
      <c r="K970" s="64">
        <f>20.5157 * CHOOSE(CONTROL!$C$22, $C$13, 100%, $E$13)</f>
        <v>20.515699999999999</v>
      </c>
    </row>
    <row r="971" spans="1:11" ht="15">
      <c r="A971" s="13">
        <v>71194</v>
      </c>
      <c r="B971" s="63">
        <f>17.3807 * CHOOSE(CONTROL!$C$22, $C$13, 100%, $E$13)</f>
        <v>17.380700000000001</v>
      </c>
      <c r="C971" s="63">
        <f>17.3807 * CHOOSE(CONTROL!$C$22, $C$13, 100%, $E$13)</f>
        <v>17.380700000000001</v>
      </c>
      <c r="D971" s="63">
        <f>17.3923 * CHOOSE(CONTROL!$C$22, $C$13, 100%, $E$13)</f>
        <v>17.392299999999999</v>
      </c>
      <c r="E971" s="64">
        <f>20.3991 * CHOOSE(CONTROL!$C$22, $C$13, 100%, $E$13)</f>
        <v>20.399100000000001</v>
      </c>
      <c r="F971" s="64">
        <f>20.3991 * CHOOSE(CONTROL!$C$22, $C$13, 100%, $E$13)</f>
        <v>20.399100000000001</v>
      </c>
      <c r="G971" s="64">
        <f>20.3993 * CHOOSE(CONTROL!$C$22, $C$13, 100%, $E$13)</f>
        <v>20.3993</v>
      </c>
      <c r="H971" s="64">
        <f>33.0957* CHOOSE(CONTROL!$C$22, $C$13, 100%, $E$13)</f>
        <v>33.095700000000001</v>
      </c>
      <c r="I971" s="64">
        <f>33.0958 * CHOOSE(CONTROL!$C$22, $C$13, 100%, $E$13)</f>
        <v>33.095799999999997</v>
      </c>
      <c r="J971" s="64">
        <f>20.3991 * CHOOSE(CONTROL!$C$22, $C$13, 100%, $E$13)</f>
        <v>20.399100000000001</v>
      </c>
      <c r="K971" s="64">
        <f>20.3993 * CHOOSE(CONTROL!$C$22, $C$13, 100%, $E$13)</f>
        <v>20.3993</v>
      </c>
    </row>
    <row r="972" spans="1:11" ht="15">
      <c r="A972" s="13">
        <v>71225</v>
      </c>
      <c r="B972" s="63">
        <f>17.306 * CHOOSE(CONTROL!$C$22, $C$13, 100%, $E$13)</f>
        <v>17.306000000000001</v>
      </c>
      <c r="C972" s="63">
        <f>17.306 * CHOOSE(CONTROL!$C$22, $C$13, 100%, $E$13)</f>
        <v>17.306000000000001</v>
      </c>
      <c r="D972" s="63">
        <f>17.3175 * CHOOSE(CONTROL!$C$22, $C$13, 100%, $E$13)</f>
        <v>17.317499999999999</v>
      </c>
      <c r="E972" s="64">
        <f>20.391 * CHOOSE(CONTROL!$C$22, $C$13, 100%, $E$13)</f>
        <v>20.390999999999998</v>
      </c>
      <c r="F972" s="64">
        <f>20.391 * CHOOSE(CONTROL!$C$22, $C$13, 100%, $E$13)</f>
        <v>20.390999999999998</v>
      </c>
      <c r="G972" s="64">
        <f>20.3912 * CHOOSE(CONTROL!$C$22, $C$13, 100%, $E$13)</f>
        <v>20.391200000000001</v>
      </c>
      <c r="H972" s="64">
        <f>32.7925* CHOOSE(CONTROL!$C$22, $C$13, 100%, $E$13)</f>
        <v>32.792499999999997</v>
      </c>
      <c r="I972" s="64">
        <f>32.7927 * CHOOSE(CONTROL!$C$22, $C$13, 100%, $E$13)</f>
        <v>32.792700000000004</v>
      </c>
      <c r="J972" s="64">
        <f>20.391 * CHOOSE(CONTROL!$C$22, $C$13, 100%, $E$13)</f>
        <v>20.390999999999998</v>
      </c>
      <c r="K972" s="64">
        <f>20.3912 * CHOOSE(CONTROL!$C$22, $C$13, 100%, $E$13)</f>
        <v>20.391200000000001</v>
      </c>
    </row>
    <row r="973" spans="1:11" ht="15">
      <c r="A973" s="13">
        <v>71256</v>
      </c>
      <c r="B973" s="63">
        <f>17.3029 * CHOOSE(CONTROL!$C$22, $C$13, 100%, $E$13)</f>
        <v>17.302900000000001</v>
      </c>
      <c r="C973" s="63">
        <f>17.3029 * CHOOSE(CONTROL!$C$22, $C$13, 100%, $E$13)</f>
        <v>17.302900000000001</v>
      </c>
      <c r="D973" s="63">
        <f>17.3145 * CHOOSE(CONTROL!$C$22, $C$13, 100%, $E$13)</f>
        <v>17.314499999999999</v>
      </c>
      <c r="E973" s="64">
        <f>20.1657 * CHOOSE(CONTROL!$C$22, $C$13, 100%, $E$13)</f>
        <v>20.165700000000001</v>
      </c>
      <c r="F973" s="64">
        <f>20.1657 * CHOOSE(CONTROL!$C$22, $C$13, 100%, $E$13)</f>
        <v>20.165700000000001</v>
      </c>
      <c r="G973" s="64">
        <f>20.1658 * CHOOSE(CONTROL!$C$22, $C$13, 100%, $E$13)</f>
        <v>20.165800000000001</v>
      </c>
      <c r="H973" s="64">
        <f>32.8608* CHOOSE(CONTROL!$C$22, $C$13, 100%, $E$13)</f>
        <v>32.860799999999998</v>
      </c>
      <c r="I973" s="64">
        <f>32.861 * CHOOSE(CONTROL!$C$22, $C$13, 100%, $E$13)</f>
        <v>32.860999999999997</v>
      </c>
      <c r="J973" s="64">
        <f>20.1657 * CHOOSE(CONTROL!$C$22, $C$13, 100%, $E$13)</f>
        <v>20.165700000000001</v>
      </c>
      <c r="K973" s="64">
        <f>20.1658 * CHOOSE(CONTROL!$C$22, $C$13, 100%, $E$13)</f>
        <v>20.165800000000001</v>
      </c>
    </row>
    <row r="974" spans="1:11" ht="15">
      <c r="A974" s="13">
        <v>71284</v>
      </c>
      <c r="B974" s="63">
        <f>17.2999 * CHOOSE(CONTROL!$C$22, $C$13, 100%, $E$13)</f>
        <v>17.299900000000001</v>
      </c>
      <c r="C974" s="63">
        <f>17.2999 * CHOOSE(CONTROL!$C$22, $C$13, 100%, $E$13)</f>
        <v>17.299900000000001</v>
      </c>
      <c r="D974" s="63">
        <f>17.3114 * CHOOSE(CONTROL!$C$22, $C$13, 100%, $E$13)</f>
        <v>17.311399999999999</v>
      </c>
      <c r="E974" s="64">
        <f>20.3395 * CHOOSE(CONTROL!$C$22, $C$13, 100%, $E$13)</f>
        <v>20.339500000000001</v>
      </c>
      <c r="F974" s="64">
        <f>20.3395 * CHOOSE(CONTROL!$C$22, $C$13, 100%, $E$13)</f>
        <v>20.339500000000001</v>
      </c>
      <c r="G974" s="64">
        <f>20.3397 * CHOOSE(CONTROL!$C$22, $C$13, 100%, $E$13)</f>
        <v>20.339700000000001</v>
      </c>
      <c r="H974" s="64">
        <f>32.9293* CHOOSE(CONTROL!$C$22, $C$13, 100%, $E$13)</f>
        <v>32.929299999999998</v>
      </c>
      <c r="I974" s="64">
        <f>32.9295 * CHOOSE(CONTROL!$C$22, $C$13, 100%, $E$13)</f>
        <v>32.929499999999997</v>
      </c>
      <c r="J974" s="64">
        <f>20.3395 * CHOOSE(CONTROL!$C$22, $C$13, 100%, $E$13)</f>
        <v>20.339500000000001</v>
      </c>
      <c r="K974" s="64">
        <f>20.3397 * CHOOSE(CONTROL!$C$22, $C$13, 100%, $E$13)</f>
        <v>20.339700000000001</v>
      </c>
    </row>
    <row r="975" spans="1:11" ht="15">
      <c r="A975" s="13">
        <v>71315</v>
      </c>
      <c r="B975" s="63">
        <f>17.3088 * CHOOSE(CONTROL!$C$22, $C$13, 100%, $E$13)</f>
        <v>17.308800000000002</v>
      </c>
      <c r="C975" s="63">
        <f>17.3088 * CHOOSE(CONTROL!$C$22, $C$13, 100%, $E$13)</f>
        <v>17.308800000000002</v>
      </c>
      <c r="D975" s="63">
        <f>17.3204 * CHOOSE(CONTROL!$C$22, $C$13, 100%, $E$13)</f>
        <v>17.320399999999999</v>
      </c>
      <c r="E975" s="64">
        <f>20.5243 * CHOOSE(CONTROL!$C$22, $C$13, 100%, $E$13)</f>
        <v>20.5243</v>
      </c>
      <c r="F975" s="64">
        <f>20.5243 * CHOOSE(CONTROL!$C$22, $C$13, 100%, $E$13)</f>
        <v>20.5243</v>
      </c>
      <c r="G975" s="64">
        <f>20.5244 * CHOOSE(CONTROL!$C$22, $C$13, 100%, $E$13)</f>
        <v>20.5244</v>
      </c>
      <c r="H975" s="64">
        <f>32.9979* CHOOSE(CONTROL!$C$22, $C$13, 100%, $E$13)</f>
        <v>32.997900000000001</v>
      </c>
      <c r="I975" s="64">
        <f>32.9981 * CHOOSE(CONTROL!$C$22, $C$13, 100%, $E$13)</f>
        <v>32.998100000000001</v>
      </c>
      <c r="J975" s="64">
        <f>20.5243 * CHOOSE(CONTROL!$C$22, $C$13, 100%, $E$13)</f>
        <v>20.5243</v>
      </c>
      <c r="K975" s="64">
        <f>20.5244 * CHOOSE(CONTROL!$C$22, $C$13, 100%, $E$13)</f>
        <v>20.5244</v>
      </c>
    </row>
    <row r="976" spans="1:11" ht="15">
      <c r="A976" s="13">
        <v>71345</v>
      </c>
      <c r="B976" s="63">
        <f>17.3088 * CHOOSE(CONTROL!$C$22, $C$13, 100%, $E$13)</f>
        <v>17.308800000000002</v>
      </c>
      <c r="C976" s="63">
        <f>17.3088 * CHOOSE(CONTROL!$C$22, $C$13, 100%, $E$13)</f>
        <v>17.308800000000002</v>
      </c>
      <c r="D976" s="63">
        <f>17.3319 * CHOOSE(CONTROL!$C$22, $C$13, 100%, $E$13)</f>
        <v>17.331900000000001</v>
      </c>
      <c r="E976" s="64">
        <f>20.5951 * CHOOSE(CONTROL!$C$22, $C$13, 100%, $E$13)</f>
        <v>20.595099999999999</v>
      </c>
      <c r="F976" s="64">
        <f>20.5951 * CHOOSE(CONTROL!$C$22, $C$13, 100%, $E$13)</f>
        <v>20.595099999999999</v>
      </c>
      <c r="G976" s="64">
        <f>20.5966 * CHOOSE(CONTROL!$C$22, $C$13, 100%, $E$13)</f>
        <v>20.596599999999999</v>
      </c>
      <c r="H976" s="64">
        <f>33.0666* CHOOSE(CONTROL!$C$22, $C$13, 100%, $E$13)</f>
        <v>33.066600000000001</v>
      </c>
      <c r="I976" s="64">
        <f>33.0681 * CHOOSE(CONTROL!$C$22, $C$13, 100%, $E$13)</f>
        <v>33.068100000000001</v>
      </c>
      <c r="J976" s="64">
        <f>20.5951 * CHOOSE(CONTROL!$C$22, $C$13, 100%, $E$13)</f>
        <v>20.595099999999999</v>
      </c>
      <c r="K976" s="64">
        <f>20.5966 * CHOOSE(CONTROL!$C$22, $C$13, 100%, $E$13)</f>
        <v>20.596599999999999</v>
      </c>
    </row>
    <row r="977" spans="1:11" ht="15">
      <c r="A977" s="13">
        <v>71376</v>
      </c>
      <c r="B977" s="63">
        <f>17.3149 * CHOOSE(CONTROL!$C$22, $C$13, 100%, $E$13)</f>
        <v>17.314900000000002</v>
      </c>
      <c r="C977" s="63">
        <f>17.3149 * CHOOSE(CONTROL!$C$22, $C$13, 100%, $E$13)</f>
        <v>17.314900000000002</v>
      </c>
      <c r="D977" s="63">
        <f>17.338 * CHOOSE(CONTROL!$C$22, $C$13, 100%, $E$13)</f>
        <v>17.338000000000001</v>
      </c>
      <c r="E977" s="64">
        <f>20.5285 * CHOOSE(CONTROL!$C$22, $C$13, 100%, $E$13)</f>
        <v>20.528500000000001</v>
      </c>
      <c r="F977" s="64">
        <f>20.5285 * CHOOSE(CONTROL!$C$22, $C$13, 100%, $E$13)</f>
        <v>20.528500000000001</v>
      </c>
      <c r="G977" s="64">
        <f>20.53 * CHOOSE(CONTROL!$C$22, $C$13, 100%, $E$13)</f>
        <v>20.53</v>
      </c>
      <c r="H977" s="64">
        <f>33.1355* CHOOSE(CONTROL!$C$22, $C$13, 100%, $E$13)</f>
        <v>33.1355</v>
      </c>
      <c r="I977" s="64">
        <f>33.137 * CHOOSE(CONTROL!$C$22, $C$13, 100%, $E$13)</f>
        <v>33.137</v>
      </c>
      <c r="J977" s="64">
        <f>20.5285 * CHOOSE(CONTROL!$C$22, $C$13, 100%, $E$13)</f>
        <v>20.528500000000001</v>
      </c>
      <c r="K977" s="64">
        <f>20.53 * CHOOSE(CONTROL!$C$22, $C$13, 100%, $E$13)</f>
        <v>20.53</v>
      </c>
    </row>
    <row r="978" spans="1:11" ht="15">
      <c r="A978" s="13">
        <v>71406</v>
      </c>
      <c r="B978" s="63">
        <f>17.5846 * CHOOSE(CONTROL!$C$22, $C$13, 100%, $E$13)</f>
        <v>17.584599999999998</v>
      </c>
      <c r="C978" s="63">
        <f>17.5846 * CHOOSE(CONTROL!$C$22, $C$13, 100%, $E$13)</f>
        <v>17.584599999999998</v>
      </c>
      <c r="D978" s="63">
        <f>17.6077 * CHOOSE(CONTROL!$C$22, $C$13, 100%, $E$13)</f>
        <v>17.607700000000001</v>
      </c>
      <c r="E978" s="64">
        <f>20.9173 * CHOOSE(CONTROL!$C$22, $C$13, 100%, $E$13)</f>
        <v>20.917300000000001</v>
      </c>
      <c r="F978" s="64">
        <f>20.9173 * CHOOSE(CONTROL!$C$22, $C$13, 100%, $E$13)</f>
        <v>20.917300000000001</v>
      </c>
      <c r="G978" s="64">
        <f>20.9188 * CHOOSE(CONTROL!$C$22, $C$13, 100%, $E$13)</f>
        <v>20.918800000000001</v>
      </c>
      <c r="H978" s="64">
        <f>33.2045* CHOOSE(CONTROL!$C$22, $C$13, 100%, $E$13)</f>
        <v>33.204500000000003</v>
      </c>
      <c r="I978" s="64">
        <f>33.206 * CHOOSE(CONTROL!$C$22, $C$13, 100%, $E$13)</f>
        <v>33.206000000000003</v>
      </c>
      <c r="J978" s="64">
        <f>20.9173 * CHOOSE(CONTROL!$C$22, $C$13, 100%, $E$13)</f>
        <v>20.917300000000001</v>
      </c>
      <c r="K978" s="64">
        <f>20.9188 * CHOOSE(CONTROL!$C$22, $C$13, 100%, $E$13)</f>
        <v>20.918800000000001</v>
      </c>
    </row>
    <row r="979" spans="1:11" ht="15">
      <c r="A979" s="13">
        <v>71437</v>
      </c>
      <c r="B979" s="63">
        <f>17.5913 * CHOOSE(CONTROL!$C$22, $C$13, 100%, $E$13)</f>
        <v>17.5913</v>
      </c>
      <c r="C979" s="63">
        <f>17.5913 * CHOOSE(CONTROL!$C$22, $C$13, 100%, $E$13)</f>
        <v>17.5913</v>
      </c>
      <c r="D979" s="63">
        <f>17.6144 * CHOOSE(CONTROL!$C$22, $C$13, 100%, $E$13)</f>
        <v>17.6144</v>
      </c>
      <c r="E979" s="64">
        <f>20.7093 * CHOOSE(CONTROL!$C$22, $C$13, 100%, $E$13)</f>
        <v>20.709299999999999</v>
      </c>
      <c r="F979" s="64">
        <f>20.7093 * CHOOSE(CONTROL!$C$22, $C$13, 100%, $E$13)</f>
        <v>20.709299999999999</v>
      </c>
      <c r="G979" s="64">
        <f>20.7108 * CHOOSE(CONTROL!$C$22, $C$13, 100%, $E$13)</f>
        <v>20.710799999999999</v>
      </c>
      <c r="H979" s="64">
        <f>33.2737* CHOOSE(CONTROL!$C$22, $C$13, 100%, $E$13)</f>
        <v>33.273699999999998</v>
      </c>
      <c r="I979" s="64">
        <f>33.2752 * CHOOSE(CONTROL!$C$22, $C$13, 100%, $E$13)</f>
        <v>33.275199999999998</v>
      </c>
      <c r="J979" s="64">
        <f>20.7093 * CHOOSE(CONTROL!$C$22, $C$13, 100%, $E$13)</f>
        <v>20.709299999999999</v>
      </c>
      <c r="K979" s="64">
        <f>20.7108 * CHOOSE(CONTROL!$C$22, $C$13, 100%, $E$13)</f>
        <v>20.710799999999999</v>
      </c>
    </row>
    <row r="980" spans="1:11" ht="15">
      <c r="A980" s="13">
        <v>71468</v>
      </c>
      <c r="B980" s="63">
        <f>17.5882 * CHOOSE(CONTROL!$C$22, $C$13, 100%, $E$13)</f>
        <v>17.588200000000001</v>
      </c>
      <c r="C980" s="63">
        <f>17.5882 * CHOOSE(CONTROL!$C$22, $C$13, 100%, $E$13)</f>
        <v>17.588200000000001</v>
      </c>
      <c r="D980" s="63">
        <f>17.6114 * CHOOSE(CONTROL!$C$22, $C$13, 100%, $E$13)</f>
        <v>17.6114</v>
      </c>
      <c r="E980" s="64">
        <f>20.6836 * CHOOSE(CONTROL!$C$22, $C$13, 100%, $E$13)</f>
        <v>20.683599999999998</v>
      </c>
      <c r="F980" s="64">
        <f>20.6836 * CHOOSE(CONTROL!$C$22, $C$13, 100%, $E$13)</f>
        <v>20.683599999999998</v>
      </c>
      <c r="G980" s="64">
        <f>20.6851 * CHOOSE(CONTROL!$C$22, $C$13, 100%, $E$13)</f>
        <v>20.685099999999998</v>
      </c>
      <c r="H980" s="64">
        <f>33.343* CHOOSE(CONTROL!$C$22, $C$13, 100%, $E$13)</f>
        <v>33.343000000000004</v>
      </c>
      <c r="I980" s="64">
        <f>33.3445 * CHOOSE(CONTROL!$C$22, $C$13, 100%, $E$13)</f>
        <v>33.344499999999996</v>
      </c>
      <c r="J980" s="64">
        <f>20.6836 * CHOOSE(CONTROL!$C$22, $C$13, 100%, $E$13)</f>
        <v>20.683599999999998</v>
      </c>
      <c r="K980" s="64">
        <f>20.6851 * CHOOSE(CONTROL!$C$22, $C$13, 100%, $E$13)</f>
        <v>20.685099999999998</v>
      </c>
    </row>
    <row r="981" spans="1:11" ht="15">
      <c r="A981" s="13">
        <v>71498</v>
      </c>
      <c r="B981" s="63">
        <f>17.6277 * CHOOSE(CONTROL!$C$22, $C$13, 100%, $E$13)</f>
        <v>17.627700000000001</v>
      </c>
      <c r="C981" s="63">
        <f>17.6277 * CHOOSE(CONTROL!$C$22, $C$13, 100%, $E$13)</f>
        <v>17.627700000000001</v>
      </c>
      <c r="D981" s="63">
        <f>17.6393 * CHOOSE(CONTROL!$C$22, $C$13, 100%, $E$13)</f>
        <v>17.639299999999999</v>
      </c>
      <c r="E981" s="64">
        <f>20.7647 * CHOOSE(CONTROL!$C$22, $C$13, 100%, $E$13)</f>
        <v>20.764700000000001</v>
      </c>
      <c r="F981" s="64">
        <f>20.7647 * CHOOSE(CONTROL!$C$22, $C$13, 100%, $E$13)</f>
        <v>20.764700000000001</v>
      </c>
      <c r="G981" s="64">
        <f>20.7649 * CHOOSE(CONTROL!$C$22, $C$13, 100%, $E$13)</f>
        <v>20.764900000000001</v>
      </c>
      <c r="H981" s="64">
        <f>33.4125* CHOOSE(CONTROL!$C$22, $C$13, 100%, $E$13)</f>
        <v>33.412500000000001</v>
      </c>
      <c r="I981" s="64">
        <f>33.4127 * CHOOSE(CONTROL!$C$22, $C$13, 100%, $E$13)</f>
        <v>33.412700000000001</v>
      </c>
      <c r="J981" s="64">
        <f>20.7647 * CHOOSE(CONTROL!$C$22, $C$13, 100%, $E$13)</f>
        <v>20.764700000000001</v>
      </c>
      <c r="K981" s="64">
        <f>20.7649 * CHOOSE(CONTROL!$C$22, $C$13, 100%, $E$13)</f>
        <v>20.764900000000001</v>
      </c>
    </row>
    <row r="982" spans="1:11" ht="15">
      <c r="A982" s="13">
        <v>71529</v>
      </c>
      <c r="B982" s="63">
        <f>17.6307 * CHOOSE(CONTROL!$C$22, $C$13, 100%, $E$13)</f>
        <v>17.630700000000001</v>
      </c>
      <c r="C982" s="63">
        <f>17.6307 * CHOOSE(CONTROL!$C$22, $C$13, 100%, $E$13)</f>
        <v>17.630700000000001</v>
      </c>
      <c r="D982" s="63">
        <f>17.6423 * CHOOSE(CONTROL!$C$22, $C$13, 100%, $E$13)</f>
        <v>17.642299999999999</v>
      </c>
      <c r="E982" s="64">
        <f>20.8141 * CHOOSE(CONTROL!$C$22, $C$13, 100%, $E$13)</f>
        <v>20.8141</v>
      </c>
      <c r="F982" s="64">
        <f>20.8141 * CHOOSE(CONTROL!$C$22, $C$13, 100%, $E$13)</f>
        <v>20.8141</v>
      </c>
      <c r="G982" s="64">
        <f>20.8142 * CHOOSE(CONTROL!$C$22, $C$13, 100%, $E$13)</f>
        <v>20.8142</v>
      </c>
      <c r="H982" s="64">
        <f>33.4821* CHOOSE(CONTROL!$C$22, $C$13, 100%, $E$13)</f>
        <v>33.482100000000003</v>
      </c>
      <c r="I982" s="64">
        <f>33.4823 * CHOOSE(CONTROL!$C$22, $C$13, 100%, $E$13)</f>
        <v>33.482300000000002</v>
      </c>
      <c r="J982" s="64">
        <f>20.8141 * CHOOSE(CONTROL!$C$22, $C$13, 100%, $E$13)</f>
        <v>20.8141</v>
      </c>
      <c r="K982" s="64">
        <f>20.8142 * CHOOSE(CONTROL!$C$22, $C$13, 100%, $E$13)</f>
        <v>20.8142</v>
      </c>
    </row>
    <row r="983" spans="1:11" ht="15">
      <c r="A983" s="13">
        <v>71559</v>
      </c>
      <c r="B983" s="63">
        <f>17.6307 * CHOOSE(CONTROL!$C$22, $C$13, 100%, $E$13)</f>
        <v>17.630700000000001</v>
      </c>
      <c r="C983" s="63">
        <f>17.6307 * CHOOSE(CONTROL!$C$22, $C$13, 100%, $E$13)</f>
        <v>17.630700000000001</v>
      </c>
      <c r="D983" s="63">
        <f>17.6423 * CHOOSE(CONTROL!$C$22, $C$13, 100%, $E$13)</f>
        <v>17.642299999999999</v>
      </c>
      <c r="E983" s="64">
        <f>20.6959 * CHOOSE(CONTROL!$C$22, $C$13, 100%, $E$13)</f>
        <v>20.695900000000002</v>
      </c>
      <c r="F983" s="64">
        <f>20.6959 * CHOOSE(CONTROL!$C$22, $C$13, 100%, $E$13)</f>
        <v>20.695900000000002</v>
      </c>
      <c r="G983" s="64">
        <f>20.6961 * CHOOSE(CONTROL!$C$22, $C$13, 100%, $E$13)</f>
        <v>20.696100000000001</v>
      </c>
      <c r="H983" s="64">
        <f>33.5519* CHOOSE(CONTROL!$C$22, $C$13, 100%, $E$13)</f>
        <v>33.551900000000003</v>
      </c>
      <c r="I983" s="64">
        <f>33.552 * CHOOSE(CONTROL!$C$22, $C$13, 100%, $E$13)</f>
        <v>33.552</v>
      </c>
      <c r="J983" s="64">
        <f>20.6959 * CHOOSE(CONTROL!$C$22, $C$13, 100%, $E$13)</f>
        <v>20.695900000000002</v>
      </c>
      <c r="K983" s="64">
        <f>20.6961 * CHOOSE(CONTROL!$C$22, $C$13, 100%, $E$13)</f>
        <v>20.696100000000001</v>
      </c>
    </row>
    <row r="984" spans="1:11" ht="15">
      <c r="A984" s="13">
        <v>71590</v>
      </c>
      <c r="B984" s="63">
        <f>17.5513 * CHOOSE(CONTROL!$C$22, $C$13, 100%, $E$13)</f>
        <v>17.551300000000001</v>
      </c>
      <c r="C984" s="63">
        <f>17.5513 * CHOOSE(CONTROL!$C$22, $C$13, 100%, $E$13)</f>
        <v>17.551300000000001</v>
      </c>
      <c r="D984" s="63">
        <f>17.5628 * CHOOSE(CONTROL!$C$22, $C$13, 100%, $E$13)</f>
        <v>17.562799999999999</v>
      </c>
      <c r="E984" s="64">
        <f>20.6834 * CHOOSE(CONTROL!$C$22, $C$13, 100%, $E$13)</f>
        <v>20.683399999999999</v>
      </c>
      <c r="F984" s="64">
        <f>20.6834 * CHOOSE(CONTROL!$C$22, $C$13, 100%, $E$13)</f>
        <v>20.683399999999999</v>
      </c>
      <c r="G984" s="64">
        <f>20.6836 * CHOOSE(CONTROL!$C$22, $C$13, 100%, $E$13)</f>
        <v>20.683599999999998</v>
      </c>
      <c r="H984" s="64">
        <f>33.2384* CHOOSE(CONTROL!$C$22, $C$13, 100%, $E$13)</f>
        <v>33.238399999999999</v>
      </c>
      <c r="I984" s="64">
        <f>33.2386 * CHOOSE(CONTROL!$C$22, $C$13, 100%, $E$13)</f>
        <v>33.238599999999998</v>
      </c>
      <c r="J984" s="64">
        <f>20.6834 * CHOOSE(CONTROL!$C$22, $C$13, 100%, $E$13)</f>
        <v>20.683399999999999</v>
      </c>
      <c r="K984" s="64">
        <f>20.6836 * CHOOSE(CONTROL!$C$22, $C$13, 100%, $E$13)</f>
        <v>20.683599999999998</v>
      </c>
    </row>
    <row r="985" spans="1:11" ht="15">
      <c r="A985" s="13">
        <v>71621</v>
      </c>
      <c r="B985" s="63">
        <f>17.5482 * CHOOSE(CONTROL!$C$22, $C$13, 100%, $E$13)</f>
        <v>17.548200000000001</v>
      </c>
      <c r="C985" s="63">
        <f>17.5482 * CHOOSE(CONTROL!$C$22, $C$13, 100%, $E$13)</f>
        <v>17.548200000000001</v>
      </c>
      <c r="D985" s="63">
        <f>17.5598 * CHOOSE(CONTROL!$C$22, $C$13, 100%, $E$13)</f>
        <v>17.559799999999999</v>
      </c>
      <c r="E985" s="64">
        <f>20.4549 * CHOOSE(CONTROL!$C$22, $C$13, 100%, $E$13)</f>
        <v>20.454899999999999</v>
      </c>
      <c r="F985" s="64">
        <f>20.4549 * CHOOSE(CONTROL!$C$22, $C$13, 100%, $E$13)</f>
        <v>20.454899999999999</v>
      </c>
      <c r="G985" s="64">
        <f>20.455 * CHOOSE(CONTROL!$C$22, $C$13, 100%, $E$13)</f>
        <v>20.454999999999998</v>
      </c>
      <c r="H985" s="64">
        <f>33.3076* CHOOSE(CONTROL!$C$22, $C$13, 100%, $E$13)</f>
        <v>33.307600000000001</v>
      </c>
      <c r="I985" s="64">
        <f>33.3078 * CHOOSE(CONTROL!$C$22, $C$13, 100%, $E$13)</f>
        <v>33.3078</v>
      </c>
      <c r="J985" s="64">
        <f>20.4549 * CHOOSE(CONTROL!$C$22, $C$13, 100%, $E$13)</f>
        <v>20.454899999999999</v>
      </c>
      <c r="K985" s="64">
        <f>20.455 * CHOOSE(CONTROL!$C$22, $C$13, 100%, $E$13)</f>
        <v>20.454999999999998</v>
      </c>
    </row>
    <row r="986" spans="1:11" ht="15">
      <c r="A986" s="13">
        <v>71650</v>
      </c>
      <c r="B986" s="63">
        <f>17.5452 * CHOOSE(CONTROL!$C$22, $C$13, 100%, $E$13)</f>
        <v>17.545200000000001</v>
      </c>
      <c r="C986" s="63">
        <f>17.5452 * CHOOSE(CONTROL!$C$22, $C$13, 100%, $E$13)</f>
        <v>17.545200000000001</v>
      </c>
      <c r="D986" s="63">
        <f>17.5568 * CHOOSE(CONTROL!$C$22, $C$13, 100%, $E$13)</f>
        <v>17.556799999999999</v>
      </c>
      <c r="E986" s="64">
        <f>20.6312 * CHOOSE(CONTROL!$C$22, $C$13, 100%, $E$13)</f>
        <v>20.6312</v>
      </c>
      <c r="F986" s="64">
        <f>20.6312 * CHOOSE(CONTROL!$C$22, $C$13, 100%, $E$13)</f>
        <v>20.6312</v>
      </c>
      <c r="G986" s="64">
        <f>20.6314 * CHOOSE(CONTROL!$C$22, $C$13, 100%, $E$13)</f>
        <v>20.631399999999999</v>
      </c>
      <c r="H986" s="64">
        <f>33.377* CHOOSE(CONTROL!$C$22, $C$13, 100%, $E$13)</f>
        <v>33.377000000000002</v>
      </c>
      <c r="I986" s="64">
        <f>33.3772 * CHOOSE(CONTROL!$C$22, $C$13, 100%, $E$13)</f>
        <v>33.377200000000002</v>
      </c>
      <c r="J986" s="64">
        <f>20.6312 * CHOOSE(CONTROL!$C$22, $C$13, 100%, $E$13)</f>
        <v>20.6312</v>
      </c>
      <c r="K986" s="64">
        <f>20.6314 * CHOOSE(CONTROL!$C$22, $C$13, 100%, $E$13)</f>
        <v>20.631399999999999</v>
      </c>
    </row>
    <row r="987" spans="1:11" ht="15">
      <c r="A987" s="13">
        <v>71681</v>
      </c>
      <c r="B987" s="63">
        <f>17.5544 * CHOOSE(CONTROL!$C$22, $C$13, 100%, $E$13)</f>
        <v>17.554400000000001</v>
      </c>
      <c r="C987" s="63">
        <f>17.5544 * CHOOSE(CONTROL!$C$22, $C$13, 100%, $E$13)</f>
        <v>17.554400000000001</v>
      </c>
      <c r="D987" s="63">
        <f>17.5659 * CHOOSE(CONTROL!$C$22, $C$13, 100%, $E$13)</f>
        <v>17.565899999999999</v>
      </c>
      <c r="E987" s="64">
        <f>20.8187 * CHOOSE(CONTROL!$C$22, $C$13, 100%, $E$13)</f>
        <v>20.8187</v>
      </c>
      <c r="F987" s="64">
        <f>20.8187 * CHOOSE(CONTROL!$C$22, $C$13, 100%, $E$13)</f>
        <v>20.8187</v>
      </c>
      <c r="G987" s="64">
        <f>20.8189 * CHOOSE(CONTROL!$C$22, $C$13, 100%, $E$13)</f>
        <v>20.818899999999999</v>
      </c>
      <c r="H987" s="64">
        <f>33.4466* CHOOSE(CONTROL!$C$22, $C$13, 100%, $E$13)</f>
        <v>33.446599999999997</v>
      </c>
      <c r="I987" s="64">
        <f>33.4467 * CHOOSE(CONTROL!$C$22, $C$13, 100%, $E$13)</f>
        <v>33.4467</v>
      </c>
      <c r="J987" s="64">
        <f>20.8187 * CHOOSE(CONTROL!$C$22, $C$13, 100%, $E$13)</f>
        <v>20.8187</v>
      </c>
      <c r="K987" s="64">
        <f>20.8189 * CHOOSE(CONTROL!$C$22, $C$13, 100%, $E$13)</f>
        <v>20.818899999999999</v>
      </c>
    </row>
    <row r="988" spans="1:11" ht="15">
      <c r="A988" s="13">
        <v>71711</v>
      </c>
      <c r="B988" s="63">
        <f>17.5544 * CHOOSE(CONTROL!$C$22, $C$13, 100%, $E$13)</f>
        <v>17.554400000000001</v>
      </c>
      <c r="C988" s="63">
        <f>17.5544 * CHOOSE(CONTROL!$C$22, $C$13, 100%, $E$13)</f>
        <v>17.554400000000001</v>
      </c>
      <c r="D988" s="63">
        <f>17.5775 * CHOOSE(CONTROL!$C$22, $C$13, 100%, $E$13)</f>
        <v>17.577500000000001</v>
      </c>
      <c r="E988" s="64">
        <f>20.8906 * CHOOSE(CONTROL!$C$22, $C$13, 100%, $E$13)</f>
        <v>20.890599999999999</v>
      </c>
      <c r="F988" s="64">
        <f>20.8906 * CHOOSE(CONTROL!$C$22, $C$13, 100%, $E$13)</f>
        <v>20.890599999999999</v>
      </c>
      <c r="G988" s="64">
        <f>20.8921 * CHOOSE(CONTROL!$C$22, $C$13, 100%, $E$13)</f>
        <v>20.892099999999999</v>
      </c>
      <c r="H988" s="64">
        <f>33.5162* CHOOSE(CONTROL!$C$22, $C$13, 100%, $E$13)</f>
        <v>33.516199999999998</v>
      </c>
      <c r="I988" s="64">
        <f>33.5177 * CHOOSE(CONTROL!$C$22, $C$13, 100%, $E$13)</f>
        <v>33.517699999999998</v>
      </c>
      <c r="J988" s="64">
        <f>20.8906 * CHOOSE(CONTROL!$C$22, $C$13, 100%, $E$13)</f>
        <v>20.890599999999999</v>
      </c>
      <c r="K988" s="64">
        <f>20.8921 * CHOOSE(CONTROL!$C$22, $C$13, 100%, $E$13)</f>
        <v>20.892099999999999</v>
      </c>
    </row>
    <row r="989" spans="1:11" ht="15">
      <c r="A989" s="13">
        <v>71742</v>
      </c>
      <c r="B989" s="63">
        <f>17.5604 * CHOOSE(CONTROL!$C$22, $C$13, 100%, $E$13)</f>
        <v>17.560400000000001</v>
      </c>
      <c r="C989" s="63">
        <f>17.5604 * CHOOSE(CONTROL!$C$22, $C$13, 100%, $E$13)</f>
        <v>17.560400000000001</v>
      </c>
      <c r="D989" s="63">
        <f>17.5836 * CHOOSE(CONTROL!$C$22, $C$13, 100%, $E$13)</f>
        <v>17.583600000000001</v>
      </c>
      <c r="E989" s="64">
        <f>20.823 * CHOOSE(CONTROL!$C$22, $C$13, 100%, $E$13)</f>
        <v>20.823</v>
      </c>
      <c r="F989" s="64">
        <f>20.823 * CHOOSE(CONTROL!$C$22, $C$13, 100%, $E$13)</f>
        <v>20.823</v>
      </c>
      <c r="G989" s="64">
        <f>20.8244 * CHOOSE(CONTROL!$C$22, $C$13, 100%, $E$13)</f>
        <v>20.824400000000001</v>
      </c>
      <c r="H989" s="64">
        <f>33.5861* CHOOSE(CONTROL!$C$22, $C$13, 100%, $E$13)</f>
        <v>33.586100000000002</v>
      </c>
      <c r="I989" s="64">
        <f>33.5876 * CHOOSE(CONTROL!$C$22, $C$13, 100%, $E$13)</f>
        <v>33.587600000000002</v>
      </c>
      <c r="J989" s="64">
        <f>20.823 * CHOOSE(CONTROL!$C$22, $C$13, 100%, $E$13)</f>
        <v>20.823</v>
      </c>
      <c r="K989" s="64">
        <f>20.8244 * CHOOSE(CONTROL!$C$22, $C$13, 100%, $E$13)</f>
        <v>20.824400000000001</v>
      </c>
    </row>
    <row r="990" spans="1:11" ht="15">
      <c r="A990" s="13">
        <v>71772</v>
      </c>
      <c r="B990" s="63">
        <f>17.8338 * CHOOSE(CONTROL!$C$22, $C$13, 100%, $E$13)</f>
        <v>17.8338</v>
      </c>
      <c r="C990" s="63">
        <f>17.8338 * CHOOSE(CONTROL!$C$22, $C$13, 100%, $E$13)</f>
        <v>17.8338</v>
      </c>
      <c r="D990" s="63">
        <f>17.8569 * CHOOSE(CONTROL!$C$22, $C$13, 100%, $E$13)</f>
        <v>17.8569</v>
      </c>
      <c r="E990" s="64">
        <f>21.2172 * CHOOSE(CONTROL!$C$22, $C$13, 100%, $E$13)</f>
        <v>21.217199999999998</v>
      </c>
      <c r="F990" s="64">
        <f>21.2172 * CHOOSE(CONTROL!$C$22, $C$13, 100%, $E$13)</f>
        <v>21.217199999999998</v>
      </c>
      <c r="G990" s="64">
        <f>21.2187 * CHOOSE(CONTROL!$C$22, $C$13, 100%, $E$13)</f>
        <v>21.218699999999998</v>
      </c>
      <c r="H990" s="64">
        <f>33.656* CHOOSE(CONTROL!$C$22, $C$13, 100%, $E$13)</f>
        <v>33.655999999999999</v>
      </c>
      <c r="I990" s="64">
        <f>33.6575 * CHOOSE(CONTROL!$C$22, $C$13, 100%, $E$13)</f>
        <v>33.657499999999999</v>
      </c>
      <c r="J990" s="64">
        <f>21.2172 * CHOOSE(CONTROL!$C$22, $C$13, 100%, $E$13)</f>
        <v>21.217199999999998</v>
      </c>
      <c r="K990" s="64">
        <f>21.2187 * CHOOSE(CONTROL!$C$22, $C$13, 100%, $E$13)</f>
        <v>21.218699999999998</v>
      </c>
    </row>
    <row r="991" spans="1:11" ht="15">
      <c r="A991" s="13">
        <v>71803</v>
      </c>
      <c r="B991" s="63">
        <f>17.8405 * CHOOSE(CONTROL!$C$22, $C$13, 100%, $E$13)</f>
        <v>17.840499999999999</v>
      </c>
      <c r="C991" s="63">
        <f>17.8405 * CHOOSE(CONTROL!$C$22, $C$13, 100%, $E$13)</f>
        <v>17.840499999999999</v>
      </c>
      <c r="D991" s="63">
        <f>17.8636 * CHOOSE(CONTROL!$C$22, $C$13, 100%, $E$13)</f>
        <v>17.863600000000002</v>
      </c>
      <c r="E991" s="64">
        <f>21.0062 * CHOOSE(CONTROL!$C$22, $C$13, 100%, $E$13)</f>
        <v>21.0062</v>
      </c>
      <c r="F991" s="64">
        <f>21.0062 * CHOOSE(CONTROL!$C$22, $C$13, 100%, $E$13)</f>
        <v>21.0062</v>
      </c>
      <c r="G991" s="64">
        <f>21.0077 * CHOOSE(CONTROL!$C$22, $C$13, 100%, $E$13)</f>
        <v>21.0077</v>
      </c>
      <c r="H991" s="64">
        <f>33.7262* CHOOSE(CONTROL!$C$22, $C$13, 100%, $E$13)</f>
        <v>33.726199999999999</v>
      </c>
      <c r="I991" s="64">
        <f>33.7276 * CHOOSE(CONTROL!$C$22, $C$13, 100%, $E$13)</f>
        <v>33.727600000000002</v>
      </c>
      <c r="J991" s="64">
        <f>21.0062 * CHOOSE(CONTROL!$C$22, $C$13, 100%, $E$13)</f>
        <v>21.0062</v>
      </c>
      <c r="K991" s="64">
        <f>21.0077 * CHOOSE(CONTROL!$C$22, $C$13, 100%, $E$13)</f>
        <v>21.0077</v>
      </c>
    </row>
    <row r="992" spans="1:11" ht="15">
      <c r="A992" s="13">
        <v>71834</v>
      </c>
      <c r="B992" s="63">
        <f>17.8375 * CHOOSE(CONTROL!$C$22, $C$13, 100%, $E$13)</f>
        <v>17.837499999999999</v>
      </c>
      <c r="C992" s="63">
        <f>17.8375 * CHOOSE(CONTROL!$C$22, $C$13, 100%, $E$13)</f>
        <v>17.837499999999999</v>
      </c>
      <c r="D992" s="63">
        <f>17.8606 * CHOOSE(CONTROL!$C$22, $C$13, 100%, $E$13)</f>
        <v>17.860600000000002</v>
      </c>
      <c r="E992" s="64">
        <f>20.9801 * CHOOSE(CONTROL!$C$22, $C$13, 100%, $E$13)</f>
        <v>20.9801</v>
      </c>
      <c r="F992" s="64">
        <f>20.9801 * CHOOSE(CONTROL!$C$22, $C$13, 100%, $E$13)</f>
        <v>20.9801</v>
      </c>
      <c r="G992" s="64">
        <f>20.9816 * CHOOSE(CONTROL!$C$22, $C$13, 100%, $E$13)</f>
        <v>20.9816</v>
      </c>
      <c r="H992" s="64">
        <f>33.7964* CHOOSE(CONTROL!$C$22, $C$13, 100%, $E$13)</f>
        <v>33.796399999999998</v>
      </c>
      <c r="I992" s="64">
        <f>33.7979 * CHOOSE(CONTROL!$C$22, $C$13, 100%, $E$13)</f>
        <v>33.797899999999998</v>
      </c>
      <c r="J992" s="64">
        <f>20.9801 * CHOOSE(CONTROL!$C$22, $C$13, 100%, $E$13)</f>
        <v>20.9801</v>
      </c>
      <c r="K992" s="64">
        <f>20.9816 * CHOOSE(CONTROL!$C$22, $C$13, 100%, $E$13)</f>
        <v>20.9816</v>
      </c>
    </row>
    <row r="993" spans="1:11" ht="15">
      <c r="A993" s="13">
        <v>71864</v>
      </c>
      <c r="B993" s="63">
        <f>17.8777 * CHOOSE(CONTROL!$C$22, $C$13, 100%, $E$13)</f>
        <v>17.877700000000001</v>
      </c>
      <c r="C993" s="63">
        <f>17.8777 * CHOOSE(CONTROL!$C$22, $C$13, 100%, $E$13)</f>
        <v>17.877700000000001</v>
      </c>
      <c r="D993" s="63">
        <f>17.8893 * CHOOSE(CONTROL!$C$22, $C$13, 100%, $E$13)</f>
        <v>17.889299999999999</v>
      </c>
      <c r="E993" s="64">
        <f>21.0625 * CHOOSE(CONTROL!$C$22, $C$13, 100%, $E$13)</f>
        <v>21.0625</v>
      </c>
      <c r="F993" s="64">
        <f>21.0625 * CHOOSE(CONTROL!$C$22, $C$13, 100%, $E$13)</f>
        <v>21.0625</v>
      </c>
      <c r="G993" s="64">
        <f>21.0627 * CHOOSE(CONTROL!$C$22, $C$13, 100%, $E$13)</f>
        <v>21.0627</v>
      </c>
      <c r="H993" s="64">
        <f>33.8668* CHOOSE(CONTROL!$C$22, $C$13, 100%, $E$13)</f>
        <v>33.866799999999998</v>
      </c>
      <c r="I993" s="64">
        <f>33.867 * CHOOSE(CONTROL!$C$22, $C$13, 100%, $E$13)</f>
        <v>33.866999999999997</v>
      </c>
      <c r="J993" s="64">
        <f>21.0625 * CHOOSE(CONTROL!$C$22, $C$13, 100%, $E$13)</f>
        <v>21.0625</v>
      </c>
      <c r="K993" s="64">
        <f>21.0627 * CHOOSE(CONTROL!$C$22, $C$13, 100%, $E$13)</f>
        <v>21.0627</v>
      </c>
    </row>
    <row r="994" spans="1:11" ht="15">
      <c r="A994" s="13">
        <v>71895</v>
      </c>
      <c r="B994" s="63">
        <f>17.8808 * CHOOSE(CONTROL!$C$22, $C$13, 100%, $E$13)</f>
        <v>17.880800000000001</v>
      </c>
      <c r="C994" s="63">
        <f>17.8808 * CHOOSE(CONTROL!$C$22, $C$13, 100%, $E$13)</f>
        <v>17.880800000000001</v>
      </c>
      <c r="D994" s="63">
        <f>17.8923 * CHOOSE(CONTROL!$C$22, $C$13, 100%, $E$13)</f>
        <v>17.892299999999999</v>
      </c>
      <c r="E994" s="64">
        <f>21.1126 * CHOOSE(CONTROL!$C$22, $C$13, 100%, $E$13)</f>
        <v>21.1126</v>
      </c>
      <c r="F994" s="64">
        <f>21.1126 * CHOOSE(CONTROL!$C$22, $C$13, 100%, $E$13)</f>
        <v>21.1126</v>
      </c>
      <c r="G994" s="64">
        <f>21.1128 * CHOOSE(CONTROL!$C$22, $C$13, 100%, $E$13)</f>
        <v>21.1128</v>
      </c>
      <c r="H994" s="64">
        <f>33.9374* CHOOSE(CONTROL!$C$22, $C$13, 100%, $E$13)</f>
        <v>33.937399999999997</v>
      </c>
      <c r="I994" s="64">
        <f>33.9376 * CHOOSE(CONTROL!$C$22, $C$13, 100%, $E$13)</f>
        <v>33.937600000000003</v>
      </c>
      <c r="J994" s="64">
        <f>21.1126 * CHOOSE(CONTROL!$C$22, $C$13, 100%, $E$13)</f>
        <v>21.1126</v>
      </c>
      <c r="K994" s="64">
        <f>21.1128 * CHOOSE(CONTROL!$C$22, $C$13, 100%, $E$13)</f>
        <v>21.1128</v>
      </c>
    </row>
    <row r="995" spans="1:11" ht="15">
      <c r="A995" s="13">
        <v>71925</v>
      </c>
      <c r="B995" s="63">
        <f>17.8808 * CHOOSE(CONTROL!$C$22, $C$13, 100%, $E$13)</f>
        <v>17.880800000000001</v>
      </c>
      <c r="C995" s="63">
        <f>17.8808 * CHOOSE(CONTROL!$C$22, $C$13, 100%, $E$13)</f>
        <v>17.880800000000001</v>
      </c>
      <c r="D995" s="63">
        <f>17.8923 * CHOOSE(CONTROL!$C$22, $C$13, 100%, $E$13)</f>
        <v>17.892299999999999</v>
      </c>
      <c r="E995" s="64">
        <f>20.9928 * CHOOSE(CONTROL!$C$22, $C$13, 100%, $E$13)</f>
        <v>20.992799999999999</v>
      </c>
      <c r="F995" s="64">
        <f>20.9928 * CHOOSE(CONTROL!$C$22, $C$13, 100%, $E$13)</f>
        <v>20.992799999999999</v>
      </c>
      <c r="G995" s="64">
        <f>20.9929 * CHOOSE(CONTROL!$C$22, $C$13, 100%, $E$13)</f>
        <v>20.992899999999999</v>
      </c>
      <c r="H995" s="64">
        <f>34.0081* CHOOSE(CONTROL!$C$22, $C$13, 100%, $E$13)</f>
        <v>34.008099999999999</v>
      </c>
      <c r="I995" s="64">
        <f>34.0083 * CHOOSE(CONTROL!$C$22, $C$13, 100%, $E$13)</f>
        <v>34.008299999999998</v>
      </c>
      <c r="J995" s="64">
        <f>20.9928 * CHOOSE(CONTROL!$C$22, $C$13, 100%, $E$13)</f>
        <v>20.992799999999999</v>
      </c>
      <c r="K995" s="64">
        <f>20.9929 * CHOOSE(CONTROL!$C$22, $C$13, 100%, $E$13)</f>
        <v>20.992899999999999</v>
      </c>
    </row>
    <row r="996" spans="1:11" ht="15">
      <c r="A996" s="13">
        <v>71956</v>
      </c>
      <c r="B996" s="63">
        <f>17.7966 * CHOOSE(CONTROL!$C$22, $C$13, 100%, $E$13)</f>
        <v>17.796600000000002</v>
      </c>
      <c r="C996" s="63">
        <f>17.7966 * CHOOSE(CONTROL!$C$22, $C$13, 100%, $E$13)</f>
        <v>17.796600000000002</v>
      </c>
      <c r="D996" s="63">
        <f>17.8082 * CHOOSE(CONTROL!$C$22, $C$13, 100%, $E$13)</f>
        <v>17.808199999999999</v>
      </c>
      <c r="E996" s="64">
        <f>20.9758 * CHOOSE(CONTROL!$C$22, $C$13, 100%, $E$13)</f>
        <v>20.9758</v>
      </c>
      <c r="F996" s="64">
        <f>20.9758 * CHOOSE(CONTROL!$C$22, $C$13, 100%, $E$13)</f>
        <v>20.9758</v>
      </c>
      <c r="G996" s="64">
        <f>20.976 * CHOOSE(CONTROL!$C$22, $C$13, 100%, $E$13)</f>
        <v>20.975999999999999</v>
      </c>
      <c r="H996" s="64">
        <f>33.6843* CHOOSE(CONTROL!$C$22, $C$13, 100%, $E$13)</f>
        <v>33.6843</v>
      </c>
      <c r="I996" s="64">
        <f>33.6845 * CHOOSE(CONTROL!$C$22, $C$13, 100%, $E$13)</f>
        <v>33.6845</v>
      </c>
      <c r="J996" s="64">
        <f>20.9758 * CHOOSE(CONTROL!$C$22, $C$13, 100%, $E$13)</f>
        <v>20.9758</v>
      </c>
      <c r="K996" s="64">
        <f>20.976 * CHOOSE(CONTROL!$C$22, $C$13, 100%, $E$13)</f>
        <v>20.975999999999999</v>
      </c>
    </row>
    <row r="997" spans="1:11" ht="15">
      <c r="A997" s="13">
        <v>71987</v>
      </c>
      <c r="B997" s="63">
        <f>17.7936 * CHOOSE(CONTROL!$C$22, $C$13, 100%, $E$13)</f>
        <v>17.793600000000001</v>
      </c>
      <c r="C997" s="63">
        <f>17.7936 * CHOOSE(CONTROL!$C$22, $C$13, 100%, $E$13)</f>
        <v>17.793600000000001</v>
      </c>
      <c r="D997" s="63">
        <f>17.8051 * CHOOSE(CONTROL!$C$22, $C$13, 100%, $E$13)</f>
        <v>17.805099999999999</v>
      </c>
      <c r="E997" s="64">
        <f>20.7441 * CHOOSE(CONTROL!$C$22, $C$13, 100%, $E$13)</f>
        <v>20.7441</v>
      </c>
      <c r="F997" s="64">
        <f>20.7441 * CHOOSE(CONTROL!$C$22, $C$13, 100%, $E$13)</f>
        <v>20.7441</v>
      </c>
      <c r="G997" s="64">
        <f>20.7442 * CHOOSE(CONTROL!$C$22, $C$13, 100%, $E$13)</f>
        <v>20.744199999999999</v>
      </c>
      <c r="H997" s="64">
        <f>33.7545* CHOOSE(CONTROL!$C$22, $C$13, 100%, $E$13)</f>
        <v>33.7545</v>
      </c>
      <c r="I997" s="64">
        <f>33.7546 * CHOOSE(CONTROL!$C$22, $C$13, 100%, $E$13)</f>
        <v>33.754600000000003</v>
      </c>
      <c r="J997" s="64">
        <f>20.7441 * CHOOSE(CONTROL!$C$22, $C$13, 100%, $E$13)</f>
        <v>20.7441</v>
      </c>
      <c r="K997" s="64">
        <f>20.7442 * CHOOSE(CONTROL!$C$22, $C$13, 100%, $E$13)</f>
        <v>20.744199999999999</v>
      </c>
    </row>
    <row r="998" spans="1:11" ht="15">
      <c r="A998" s="13">
        <v>72015</v>
      </c>
      <c r="B998" s="63">
        <f>17.7905 * CHOOSE(CONTROL!$C$22, $C$13, 100%, $E$13)</f>
        <v>17.790500000000002</v>
      </c>
      <c r="C998" s="63">
        <f>17.7905 * CHOOSE(CONTROL!$C$22, $C$13, 100%, $E$13)</f>
        <v>17.790500000000002</v>
      </c>
      <c r="D998" s="63">
        <f>17.8021 * CHOOSE(CONTROL!$C$22, $C$13, 100%, $E$13)</f>
        <v>17.802099999999999</v>
      </c>
      <c r="E998" s="64">
        <f>20.923 * CHOOSE(CONTROL!$C$22, $C$13, 100%, $E$13)</f>
        <v>20.922999999999998</v>
      </c>
      <c r="F998" s="64">
        <f>20.923 * CHOOSE(CONTROL!$C$22, $C$13, 100%, $E$13)</f>
        <v>20.922999999999998</v>
      </c>
      <c r="G998" s="64">
        <f>20.9232 * CHOOSE(CONTROL!$C$22, $C$13, 100%, $E$13)</f>
        <v>20.923200000000001</v>
      </c>
      <c r="H998" s="64">
        <f>33.8248* CHOOSE(CONTROL!$C$22, $C$13, 100%, $E$13)</f>
        <v>33.824800000000003</v>
      </c>
      <c r="I998" s="64">
        <f>33.825 * CHOOSE(CONTROL!$C$22, $C$13, 100%, $E$13)</f>
        <v>33.825000000000003</v>
      </c>
      <c r="J998" s="64">
        <f>20.923 * CHOOSE(CONTROL!$C$22, $C$13, 100%, $E$13)</f>
        <v>20.922999999999998</v>
      </c>
      <c r="K998" s="64">
        <f>20.9232 * CHOOSE(CONTROL!$C$22, $C$13, 100%, $E$13)</f>
        <v>20.923200000000001</v>
      </c>
    </row>
    <row r="999" spans="1:11" ht="15">
      <c r="A999" s="13">
        <v>72046</v>
      </c>
      <c r="B999" s="63">
        <f>17.7999 * CHOOSE(CONTROL!$C$22, $C$13, 100%, $E$13)</f>
        <v>17.799900000000001</v>
      </c>
      <c r="C999" s="63">
        <f>17.7999 * CHOOSE(CONTROL!$C$22, $C$13, 100%, $E$13)</f>
        <v>17.799900000000001</v>
      </c>
      <c r="D999" s="63">
        <f>17.8114 * CHOOSE(CONTROL!$C$22, $C$13, 100%, $E$13)</f>
        <v>17.811399999999999</v>
      </c>
      <c r="E999" s="64">
        <f>21.1132 * CHOOSE(CONTROL!$C$22, $C$13, 100%, $E$13)</f>
        <v>21.113199999999999</v>
      </c>
      <c r="F999" s="64">
        <f>21.1132 * CHOOSE(CONTROL!$C$22, $C$13, 100%, $E$13)</f>
        <v>21.113199999999999</v>
      </c>
      <c r="G999" s="64">
        <f>21.1133 * CHOOSE(CONTROL!$C$22, $C$13, 100%, $E$13)</f>
        <v>21.113299999999999</v>
      </c>
      <c r="H999" s="64">
        <f>33.8952* CHOOSE(CONTROL!$C$22, $C$13, 100%, $E$13)</f>
        <v>33.895200000000003</v>
      </c>
      <c r="I999" s="64">
        <f>33.8954 * CHOOSE(CONTROL!$C$22, $C$13, 100%, $E$13)</f>
        <v>33.895400000000002</v>
      </c>
      <c r="J999" s="64">
        <f>21.1132 * CHOOSE(CONTROL!$C$22, $C$13, 100%, $E$13)</f>
        <v>21.113199999999999</v>
      </c>
      <c r="K999" s="64">
        <f>21.1133 * CHOOSE(CONTROL!$C$22, $C$13, 100%, $E$13)</f>
        <v>21.113299999999999</v>
      </c>
    </row>
    <row r="1000" spans="1:11" ht="15">
      <c r="A1000" s="13">
        <v>72076</v>
      </c>
      <c r="B1000" s="63">
        <f>17.7999 * CHOOSE(CONTROL!$C$22, $C$13, 100%, $E$13)</f>
        <v>17.799900000000001</v>
      </c>
      <c r="C1000" s="63">
        <f>17.7999 * CHOOSE(CONTROL!$C$22, $C$13, 100%, $E$13)</f>
        <v>17.799900000000001</v>
      </c>
      <c r="D1000" s="63">
        <f>17.823 * CHOOSE(CONTROL!$C$22, $C$13, 100%, $E$13)</f>
        <v>17.823</v>
      </c>
      <c r="E1000" s="64">
        <f>21.1861 * CHOOSE(CONTROL!$C$22, $C$13, 100%, $E$13)</f>
        <v>21.1861</v>
      </c>
      <c r="F1000" s="64">
        <f>21.1861 * CHOOSE(CONTROL!$C$22, $C$13, 100%, $E$13)</f>
        <v>21.1861</v>
      </c>
      <c r="G1000" s="64">
        <f>21.1876 * CHOOSE(CONTROL!$C$22, $C$13, 100%, $E$13)</f>
        <v>21.1876</v>
      </c>
      <c r="H1000" s="64">
        <f>33.9659* CHOOSE(CONTROL!$C$22, $C$13, 100%, $E$13)</f>
        <v>33.965899999999998</v>
      </c>
      <c r="I1000" s="64">
        <f>33.9673 * CHOOSE(CONTROL!$C$22, $C$13, 100%, $E$13)</f>
        <v>33.967300000000002</v>
      </c>
      <c r="J1000" s="64">
        <f>21.1861 * CHOOSE(CONTROL!$C$22, $C$13, 100%, $E$13)</f>
        <v>21.1861</v>
      </c>
      <c r="K1000" s="64">
        <f>21.1876 * CHOOSE(CONTROL!$C$22, $C$13, 100%, $E$13)</f>
        <v>21.1876</v>
      </c>
    </row>
    <row r="1001" spans="1:11" ht="15">
      <c r="A1001" s="13">
        <v>72107</v>
      </c>
      <c r="B1001" s="63">
        <f>17.806 * CHOOSE(CONTROL!$C$22, $C$13, 100%, $E$13)</f>
        <v>17.806000000000001</v>
      </c>
      <c r="C1001" s="63">
        <f>17.806 * CHOOSE(CONTROL!$C$22, $C$13, 100%, $E$13)</f>
        <v>17.806000000000001</v>
      </c>
      <c r="D1001" s="63">
        <f>17.8291 * CHOOSE(CONTROL!$C$22, $C$13, 100%, $E$13)</f>
        <v>17.8291</v>
      </c>
      <c r="E1001" s="64">
        <f>21.1174 * CHOOSE(CONTROL!$C$22, $C$13, 100%, $E$13)</f>
        <v>21.1174</v>
      </c>
      <c r="F1001" s="64">
        <f>21.1174 * CHOOSE(CONTROL!$C$22, $C$13, 100%, $E$13)</f>
        <v>21.1174</v>
      </c>
      <c r="G1001" s="64">
        <f>21.1189 * CHOOSE(CONTROL!$C$22, $C$13, 100%, $E$13)</f>
        <v>21.1189</v>
      </c>
      <c r="H1001" s="64">
        <f>34.0366* CHOOSE(CONTROL!$C$22, $C$13, 100%, $E$13)</f>
        <v>34.0366</v>
      </c>
      <c r="I1001" s="64">
        <f>34.0381 * CHOOSE(CONTROL!$C$22, $C$13, 100%, $E$13)</f>
        <v>34.0381</v>
      </c>
      <c r="J1001" s="64">
        <f>21.1174 * CHOOSE(CONTROL!$C$22, $C$13, 100%, $E$13)</f>
        <v>21.1174</v>
      </c>
      <c r="K1001" s="64">
        <f>21.1189 * CHOOSE(CONTROL!$C$22, $C$13, 100%, $E$13)</f>
        <v>21.1189</v>
      </c>
    </row>
    <row r="1002" spans="1:11" ht="15">
      <c r="A1002" s="13">
        <v>72137</v>
      </c>
      <c r="B1002" s="63">
        <f>18.083 * CHOOSE(CONTROL!$C$22, $C$13, 100%, $E$13)</f>
        <v>18.082999999999998</v>
      </c>
      <c r="C1002" s="63">
        <f>18.083 * CHOOSE(CONTROL!$C$22, $C$13, 100%, $E$13)</f>
        <v>18.082999999999998</v>
      </c>
      <c r="D1002" s="63">
        <f>18.1061 * CHOOSE(CONTROL!$C$22, $C$13, 100%, $E$13)</f>
        <v>18.106100000000001</v>
      </c>
      <c r="E1002" s="64">
        <f>21.5171 * CHOOSE(CONTROL!$C$22, $C$13, 100%, $E$13)</f>
        <v>21.517099999999999</v>
      </c>
      <c r="F1002" s="64">
        <f>21.5171 * CHOOSE(CONTROL!$C$22, $C$13, 100%, $E$13)</f>
        <v>21.517099999999999</v>
      </c>
      <c r="G1002" s="64">
        <f>21.5186 * CHOOSE(CONTROL!$C$22, $C$13, 100%, $E$13)</f>
        <v>21.518599999999999</v>
      </c>
      <c r="H1002" s="64">
        <f>34.1075* CHOOSE(CONTROL!$C$22, $C$13, 100%, $E$13)</f>
        <v>34.107500000000002</v>
      </c>
      <c r="I1002" s="64">
        <f>34.109 * CHOOSE(CONTROL!$C$22, $C$13, 100%, $E$13)</f>
        <v>34.109000000000002</v>
      </c>
      <c r="J1002" s="64">
        <f>21.5171 * CHOOSE(CONTROL!$C$22, $C$13, 100%, $E$13)</f>
        <v>21.517099999999999</v>
      </c>
      <c r="K1002" s="64">
        <f>21.5186 * CHOOSE(CONTROL!$C$22, $C$13, 100%, $E$13)</f>
        <v>21.518599999999999</v>
      </c>
    </row>
    <row r="1003" spans="1:11" ht="15">
      <c r="A1003" s="13">
        <v>72168</v>
      </c>
      <c r="B1003" s="63">
        <f>18.0897 * CHOOSE(CONTROL!$C$22, $C$13, 100%, $E$13)</f>
        <v>18.089700000000001</v>
      </c>
      <c r="C1003" s="63">
        <f>18.0897 * CHOOSE(CONTROL!$C$22, $C$13, 100%, $E$13)</f>
        <v>18.089700000000001</v>
      </c>
      <c r="D1003" s="63">
        <f>18.1128 * CHOOSE(CONTROL!$C$22, $C$13, 100%, $E$13)</f>
        <v>18.1128</v>
      </c>
      <c r="E1003" s="64">
        <f>21.303 * CHOOSE(CONTROL!$C$22, $C$13, 100%, $E$13)</f>
        <v>21.303000000000001</v>
      </c>
      <c r="F1003" s="64">
        <f>21.303 * CHOOSE(CONTROL!$C$22, $C$13, 100%, $E$13)</f>
        <v>21.303000000000001</v>
      </c>
      <c r="G1003" s="64">
        <f>21.3045 * CHOOSE(CONTROL!$C$22, $C$13, 100%, $E$13)</f>
        <v>21.304500000000001</v>
      </c>
      <c r="H1003" s="64">
        <f>34.1786* CHOOSE(CONTROL!$C$22, $C$13, 100%, $E$13)</f>
        <v>34.178600000000003</v>
      </c>
      <c r="I1003" s="64">
        <f>34.1801 * CHOOSE(CONTROL!$C$22, $C$13, 100%, $E$13)</f>
        <v>34.180100000000003</v>
      </c>
      <c r="J1003" s="64">
        <f>21.303 * CHOOSE(CONTROL!$C$22, $C$13, 100%, $E$13)</f>
        <v>21.303000000000001</v>
      </c>
      <c r="K1003" s="64">
        <f>21.3045 * CHOOSE(CONTROL!$C$22, $C$13, 100%, $E$13)</f>
        <v>21.304500000000001</v>
      </c>
    </row>
    <row r="1004" spans="1:11" ht="15">
      <c r="A1004" s="13">
        <v>72199</v>
      </c>
      <c r="B1004" s="63">
        <f>18.0867 * CHOOSE(CONTROL!$C$22, $C$13, 100%, $E$13)</f>
        <v>18.0867</v>
      </c>
      <c r="C1004" s="63">
        <f>18.0867 * CHOOSE(CONTROL!$C$22, $C$13, 100%, $E$13)</f>
        <v>18.0867</v>
      </c>
      <c r="D1004" s="63">
        <f>18.1098 * CHOOSE(CONTROL!$C$22, $C$13, 100%, $E$13)</f>
        <v>18.1098</v>
      </c>
      <c r="E1004" s="64">
        <f>21.2766 * CHOOSE(CONTROL!$C$22, $C$13, 100%, $E$13)</f>
        <v>21.276599999999998</v>
      </c>
      <c r="F1004" s="64">
        <f>21.2766 * CHOOSE(CONTROL!$C$22, $C$13, 100%, $E$13)</f>
        <v>21.276599999999998</v>
      </c>
      <c r="G1004" s="64">
        <f>21.2781 * CHOOSE(CONTROL!$C$22, $C$13, 100%, $E$13)</f>
        <v>21.278099999999998</v>
      </c>
      <c r="H1004" s="64">
        <f>34.2498* CHOOSE(CONTROL!$C$22, $C$13, 100%, $E$13)</f>
        <v>34.2498</v>
      </c>
      <c r="I1004" s="64">
        <f>34.2513 * CHOOSE(CONTROL!$C$22, $C$13, 100%, $E$13)</f>
        <v>34.251300000000001</v>
      </c>
      <c r="J1004" s="64">
        <f>21.2766 * CHOOSE(CONTROL!$C$22, $C$13, 100%, $E$13)</f>
        <v>21.276599999999998</v>
      </c>
      <c r="K1004" s="64">
        <f>21.2781 * CHOOSE(CONTROL!$C$22, $C$13, 100%, $E$13)</f>
        <v>21.278099999999998</v>
      </c>
    </row>
    <row r="1005" spans="1:11" ht="15">
      <c r="A1005" s="13">
        <v>72229</v>
      </c>
      <c r="B1005" s="63">
        <f>18.1277 * CHOOSE(CONTROL!$C$22, $C$13, 100%, $E$13)</f>
        <v>18.127700000000001</v>
      </c>
      <c r="C1005" s="63">
        <f>18.1277 * CHOOSE(CONTROL!$C$22, $C$13, 100%, $E$13)</f>
        <v>18.127700000000001</v>
      </c>
      <c r="D1005" s="63">
        <f>18.1393 * CHOOSE(CONTROL!$C$22, $C$13, 100%, $E$13)</f>
        <v>18.139299999999999</v>
      </c>
      <c r="E1005" s="64">
        <f>21.3604 * CHOOSE(CONTROL!$C$22, $C$13, 100%, $E$13)</f>
        <v>21.360399999999998</v>
      </c>
      <c r="F1005" s="64">
        <f>21.3604 * CHOOSE(CONTROL!$C$22, $C$13, 100%, $E$13)</f>
        <v>21.360399999999998</v>
      </c>
      <c r="G1005" s="64">
        <f>21.3606 * CHOOSE(CONTROL!$C$22, $C$13, 100%, $E$13)</f>
        <v>21.360600000000002</v>
      </c>
      <c r="H1005" s="64">
        <f>34.3211* CHOOSE(CONTROL!$C$22, $C$13, 100%, $E$13)</f>
        <v>34.321100000000001</v>
      </c>
      <c r="I1005" s="64">
        <f>34.3213 * CHOOSE(CONTROL!$C$22, $C$13, 100%, $E$13)</f>
        <v>34.321300000000001</v>
      </c>
      <c r="J1005" s="64">
        <f>21.3604 * CHOOSE(CONTROL!$C$22, $C$13, 100%, $E$13)</f>
        <v>21.360399999999998</v>
      </c>
      <c r="K1005" s="64">
        <f>21.3606 * CHOOSE(CONTROL!$C$22, $C$13, 100%, $E$13)</f>
        <v>21.360600000000002</v>
      </c>
    </row>
    <row r="1006" spans="1:11" ht="15">
      <c r="A1006" s="13">
        <v>72260</v>
      </c>
      <c r="B1006" s="63">
        <f>18.1308 * CHOOSE(CONTROL!$C$22, $C$13, 100%, $E$13)</f>
        <v>18.130800000000001</v>
      </c>
      <c r="C1006" s="63">
        <f>18.1308 * CHOOSE(CONTROL!$C$22, $C$13, 100%, $E$13)</f>
        <v>18.130800000000001</v>
      </c>
      <c r="D1006" s="63">
        <f>18.1423 * CHOOSE(CONTROL!$C$22, $C$13, 100%, $E$13)</f>
        <v>18.142299999999999</v>
      </c>
      <c r="E1006" s="64">
        <f>21.4111 * CHOOSE(CONTROL!$C$22, $C$13, 100%, $E$13)</f>
        <v>21.411100000000001</v>
      </c>
      <c r="F1006" s="64">
        <f>21.4111 * CHOOSE(CONTROL!$C$22, $C$13, 100%, $E$13)</f>
        <v>21.411100000000001</v>
      </c>
      <c r="G1006" s="64">
        <f>21.4113 * CHOOSE(CONTROL!$C$22, $C$13, 100%, $E$13)</f>
        <v>21.411300000000001</v>
      </c>
      <c r="H1006" s="64">
        <f>34.3927* CHOOSE(CONTROL!$C$22, $C$13, 100%, $E$13)</f>
        <v>34.392699999999998</v>
      </c>
      <c r="I1006" s="64">
        <f>34.3928 * CHOOSE(CONTROL!$C$22, $C$13, 100%, $E$13)</f>
        <v>34.392800000000001</v>
      </c>
      <c r="J1006" s="64">
        <f>21.4111 * CHOOSE(CONTROL!$C$22, $C$13, 100%, $E$13)</f>
        <v>21.411100000000001</v>
      </c>
      <c r="K1006" s="64">
        <f>21.4113 * CHOOSE(CONTROL!$C$22, $C$13, 100%, $E$13)</f>
        <v>21.411300000000001</v>
      </c>
    </row>
    <row r="1007" spans="1:11" ht="15">
      <c r="A1007" s="13">
        <v>72290</v>
      </c>
      <c r="B1007" s="63">
        <f>18.1308 * CHOOSE(CONTROL!$C$22, $C$13, 100%, $E$13)</f>
        <v>18.130800000000001</v>
      </c>
      <c r="C1007" s="63">
        <f>18.1308 * CHOOSE(CONTROL!$C$22, $C$13, 100%, $E$13)</f>
        <v>18.130800000000001</v>
      </c>
      <c r="D1007" s="63">
        <f>18.1423 * CHOOSE(CONTROL!$C$22, $C$13, 100%, $E$13)</f>
        <v>18.142299999999999</v>
      </c>
      <c r="E1007" s="64">
        <f>21.2896 * CHOOSE(CONTROL!$C$22, $C$13, 100%, $E$13)</f>
        <v>21.2896</v>
      </c>
      <c r="F1007" s="64">
        <f>21.2896 * CHOOSE(CONTROL!$C$22, $C$13, 100%, $E$13)</f>
        <v>21.2896</v>
      </c>
      <c r="G1007" s="64">
        <f>21.2898 * CHOOSE(CONTROL!$C$22, $C$13, 100%, $E$13)</f>
        <v>21.2898</v>
      </c>
      <c r="H1007" s="64">
        <f>34.4643* CHOOSE(CONTROL!$C$22, $C$13, 100%, $E$13)</f>
        <v>34.464300000000001</v>
      </c>
      <c r="I1007" s="64">
        <f>34.4645 * CHOOSE(CONTROL!$C$22, $C$13, 100%, $E$13)</f>
        <v>34.464500000000001</v>
      </c>
      <c r="J1007" s="64">
        <f>21.2896 * CHOOSE(CONTROL!$C$22, $C$13, 100%, $E$13)</f>
        <v>21.2896</v>
      </c>
      <c r="K1007" s="64">
        <f>21.2898 * CHOOSE(CONTROL!$C$22, $C$13, 100%, $E$13)</f>
        <v>21.2898</v>
      </c>
    </row>
    <row r="1008" spans="1:11" ht="15">
      <c r="A1008" s="13">
        <v>72321</v>
      </c>
      <c r="B1008" s="63">
        <f>18.0419 * CHOOSE(CONTROL!$C$22, $C$13, 100%, $E$13)</f>
        <v>18.041899999999998</v>
      </c>
      <c r="C1008" s="63">
        <f>18.0419 * CHOOSE(CONTROL!$C$22, $C$13, 100%, $E$13)</f>
        <v>18.041899999999998</v>
      </c>
      <c r="D1008" s="63">
        <f>18.0535 * CHOOSE(CONTROL!$C$22, $C$13, 100%, $E$13)</f>
        <v>18.0535</v>
      </c>
      <c r="E1008" s="64">
        <f>21.2682 * CHOOSE(CONTROL!$C$22, $C$13, 100%, $E$13)</f>
        <v>21.2682</v>
      </c>
      <c r="F1008" s="64">
        <f>21.2682 * CHOOSE(CONTROL!$C$22, $C$13, 100%, $E$13)</f>
        <v>21.2682</v>
      </c>
      <c r="G1008" s="64">
        <f>21.2684 * CHOOSE(CONTROL!$C$22, $C$13, 100%, $E$13)</f>
        <v>21.2684</v>
      </c>
      <c r="H1008" s="64">
        <f>34.1302* CHOOSE(CONTROL!$C$22, $C$13, 100%, $E$13)</f>
        <v>34.130200000000002</v>
      </c>
      <c r="I1008" s="64">
        <f>34.1303 * CHOOSE(CONTROL!$C$22, $C$13, 100%, $E$13)</f>
        <v>34.130299999999998</v>
      </c>
      <c r="J1008" s="64">
        <f>21.2682 * CHOOSE(CONTROL!$C$22, $C$13, 100%, $E$13)</f>
        <v>21.2682</v>
      </c>
      <c r="K1008" s="64">
        <f>21.2684 * CHOOSE(CONTROL!$C$22, $C$13, 100%, $E$13)</f>
        <v>21.2684</v>
      </c>
    </row>
    <row r="1009" spans="1:11" ht="15">
      <c r="A1009" s="13">
        <v>72352</v>
      </c>
      <c r="B1009" s="63">
        <f>18.0389 * CHOOSE(CONTROL!$C$22, $C$13, 100%, $E$13)</f>
        <v>18.038900000000002</v>
      </c>
      <c r="C1009" s="63">
        <f>18.0389 * CHOOSE(CONTROL!$C$22, $C$13, 100%, $E$13)</f>
        <v>18.038900000000002</v>
      </c>
      <c r="D1009" s="63">
        <f>18.0504 * CHOOSE(CONTROL!$C$22, $C$13, 100%, $E$13)</f>
        <v>18.0504</v>
      </c>
      <c r="E1009" s="64">
        <f>21.0333 * CHOOSE(CONTROL!$C$22, $C$13, 100%, $E$13)</f>
        <v>21.033300000000001</v>
      </c>
      <c r="F1009" s="64">
        <f>21.0333 * CHOOSE(CONTROL!$C$22, $C$13, 100%, $E$13)</f>
        <v>21.033300000000001</v>
      </c>
      <c r="G1009" s="64">
        <f>21.0334 * CHOOSE(CONTROL!$C$22, $C$13, 100%, $E$13)</f>
        <v>21.0334</v>
      </c>
      <c r="H1009" s="64">
        <f>34.2013* CHOOSE(CONTROL!$C$22, $C$13, 100%, $E$13)</f>
        <v>34.201300000000003</v>
      </c>
      <c r="I1009" s="64">
        <f>34.2015 * CHOOSE(CONTROL!$C$22, $C$13, 100%, $E$13)</f>
        <v>34.201500000000003</v>
      </c>
      <c r="J1009" s="64">
        <f>21.0333 * CHOOSE(CONTROL!$C$22, $C$13, 100%, $E$13)</f>
        <v>21.033300000000001</v>
      </c>
      <c r="K1009" s="64">
        <f>21.0334 * CHOOSE(CONTROL!$C$22, $C$13, 100%, $E$13)</f>
        <v>21.0334</v>
      </c>
    </row>
    <row r="1010" spans="1:11" ht="15">
      <c r="A1010" s="13">
        <v>72380</v>
      </c>
      <c r="B1010" s="63">
        <f>18.0358 * CHOOSE(CONTROL!$C$22, $C$13, 100%, $E$13)</f>
        <v>18.035799999999998</v>
      </c>
      <c r="C1010" s="63">
        <f>18.0358 * CHOOSE(CONTROL!$C$22, $C$13, 100%, $E$13)</f>
        <v>18.035799999999998</v>
      </c>
      <c r="D1010" s="63">
        <f>18.0474 * CHOOSE(CONTROL!$C$22, $C$13, 100%, $E$13)</f>
        <v>18.0474</v>
      </c>
      <c r="E1010" s="64">
        <f>21.2147 * CHOOSE(CONTROL!$C$22, $C$13, 100%, $E$13)</f>
        <v>21.214700000000001</v>
      </c>
      <c r="F1010" s="64">
        <f>21.2147 * CHOOSE(CONTROL!$C$22, $C$13, 100%, $E$13)</f>
        <v>21.214700000000001</v>
      </c>
      <c r="G1010" s="64">
        <f>21.2149 * CHOOSE(CONTROL!$C$22, $C$13, 100%, $E$13)</f>
        <v>21.2149</v>
      </c>
      <c r="H1010" s="64">
        <f>34.2725* CHOOSE(CONTROL!$C$22, $C$13, 100%, $E$13)</f>
        <v>34.272500000000001</v>
      </c>
      <c r="I1010" s="64">
        <f>34.2727 * CHOOSE(CONTROL!$C$22, $C$13, 100%, $E$13)</f>
        <v>34.2727</v>
      </c>
      <c r="J1010" s="64">
        <f>21.2147 * CHOOSE(CONTROL!$C$22, $C$13, 100%, $E$13)</f>
        <v>21.214700000000001</v>
      </c>
      <c r="K1010" s="64">
        <f>21.2149 * CHOOSE(CONTROL!$C$22, $C$13, 100%, $E$13)</f>
        <v>21.2149</v>
      </c>
    </row>
    <row r="1011" spans="1:11" ht="15">
      <c r="A1011" s="13">
        <v>72411</v>
      </c>
      <c r="B1011" s="63">
        <f>18.0454 * CHOOSE(CONTROL!$C$22, $C$13, 100%, $E$13)</f>
        <v>18.045400000000001</v>
      </c>
      <c r="C1011" s="63">
        <f>18.0454 * CHOOSE(CONTROL!$C$22, $C$13, 100%, $E$13)</f>
        <v>18.045400000000001</v>
      </c>
      <c r="D1011" s="63">
        <f>18.057 * CHOOSE(CONTROL!$C$22, $C$13, 100%, $E$13)</f>
        <v>18.056999999999999</v>
      </c>
      <c r="E1011" s="64">
        <f>21.4076 * CHOOSE(CONTROL!$C$22, $C$13, 100%, $E$13)</f>
        <v>21.407599999999999</v>
      </c>
      <c r="F1011" s="64">
        <f>21.4076 * CHOOSE(CONTROL!$C$22, $C$13, 100%, $E$13)</f>
        <v>21.407599999999999</v>
      </c>
      <c r="G1011" s="64">
        <f>21.4078 * CHOOSE(CONTROL!$C$22, $C$13, 100%, $E$13)</f>
        <v>21.407800000000002</v>
      </c>
      <c r="H1011" s="64">
        <f>34.3439* CHOOSE(CONTROL!$C$22, $C$13, 100%, $E$13)</f>
        <v>34.343899999999998</v>
      </c>
      <c r="I1011" s="64">
        <f>34.3441 * CHOOSE(CONTROL!$C$22, $C$13, 100%, $E$13)</f>
        <v>34.344099999999997</v>
      </c>
      <c r="J1011" s="64">
        <f>21.4076 * CHOOSE(CONTROL!$C$22, $C$13, 100%, $E$13)</f>
        <v>21.407599999999999</v>
      </c>
      <c r="K1011" s="64">
        <f>21.4078 * CHOOSE(CONTROL!$C$22, $C$13, 100%, $E$13)</f>
        <v>21.407800000000002</v>
      </c>
    </row>
    <row r="1012" spans="1:11" ht="15">
      <c r="A1012" s="13">
        <v>72441</v>
      </c>
      <c r="B1012" s="63">
        <f>18.0454 * CHOOSE(CONTROL!$C$22, $C$13, 100%, $E$13)</f>
        <v>18.045400000000001</v>
      </c>
      <c r="C1012" s="63">
        <f>18.0454 * CHOOSE(CONTROL!$C$22, $C$13, 100%, $E$13)</f>
        <v>18.045400000000001</v>
      </c>
      <c r="D1012" s="63">
        <f>18.0685 * CHOOSE(CONTROL!$C$22, $C$13, 100%, $E$13)</f>
        <v>18.0685</v>
      </c>
      <c r="E1012" s="64">
        <f>21.4815 * CHOOSE(CONTROL!$C$22, $C$13, 100%, $E$13)</f>
        <v>21.4815</v>
      </c>
      <c r="F1012" s="64">
        <f>21.4815 * CHOOSE(CONTROL!$C$22, $C$13, 100%, $E$13)</f>
        <v>21.4815</v>
      </c>
      <c r="G1012" s="64">
        <f>21.483 * CHOOSE(CONTROL!$C$22, $C$13, 100%, $E$13)</f>
        <v>21.483000000000001</v>
      </c>
      <c r="H1012" s="64">
        <f>34.4155* CHOOSE(CONTROL!$C$22, $C$13, 100%, $E$13)</f>
        <v>34.415500000000002</v>
      </c>
      <c r="I1012" s="64">
        <f>34.417 * CHOOSE(CONTROL!$C$22, $C$13, 100%, $E$13)</f>
        <v>34.417000000000002</v>
      </c>
      <c r="J1012" s="64">
        <f>21.4815 * CHOOSE(CONTROL!$C$22, $C$13, 100%, $E$13)</f>
        <v>21.4815</v>
      </c>
      <c r="K1012" s="64">
        <f>21.483 * CHOOSE(CONTROL!$C$22, $C$13, 100%, $E$13)</f>
        <v>21.483000000000001</v>
      </c>
    </row>
    <row r="1013" spans="1:11" ht="15">
      <c r="A1013" s="13">
        <v>72472</v>
      </c>
      <c r="B1013" s="63">
        <f>18.0515 * CHOOSE(CONTROL!$C$22, $C$13, 100%, $E$13)</f>
        <v>18.051500000000001</v>
      </c>
      <c r="C1013" s="63">
        <f>18.0515 * CHOOSE(CONTROL!$C$22, $C$13, 100%, $E$13)</f>
        <v>18.051500000000001</v>
      </c>
      <c r="D1013" s="63">
        <f>18.0746 * CHOOSE(CONTROL!$C$22, $C$13, 100%, $E$13)</f>
        <v>18.0746</v>
      </c>
      <c r="E1013" s="64">
        <f>21.4118 * CHOOSE(CONTROL!$C$22, $C$13, 100%, $E$13)</f>
        <v>21.411799999999999</v>
      </c>
      <c r="F1013" s="64">
        <f>21.4118 * CHOOSE(CONTROL!$C$22, $C$13, 100%, $E$13)</f>
        <v>21.411799999999999</v>
      </c>
      <c r="G1013" s="64">
        <f>21.4133 * CHOOSE(CONTROL!$C$22, $C$13, 100%, $E$13)</f>
        <v>21.4133</v>
      </c>
      <c r="H1013" s="64">
        <f>34.4872* CHOOSE(CONTROL!$C$22, $C$13, 100%, $E$13)</f>
        <v>34.487200000000001</v>
      </c>
      <c r="I1013" s="64">
        <f>34.4887 * CHOOSE(CONTROL!$C$22, $C$13, 100%, $E$13)</f>
        <v>34.488700000000001</v>
      </c>
      <c r="J1013" s="64">
        <f>21.4118 * CHOOSE(CONTROL!$C$22, $C$13, 100%, $E$13)</f>
        <v>21.411799999999999</v>
      </c>
      <c r="K1013" s="64">
        <f>21.4133 * CHOOSE(CONTROL!$C$22, $C$13, 100%, $E$13)</f>
        <v>21.4133</v>
      </c>
    </row>
    <row r="1014" spans="1:11" ht="15">
      <c r="A1014" s="13">
        <v>72502</v>
      </c>
      <c r="B1014" s="63">
        <f>18.3322 * CHOOSE(CONTROL!$C$22, $C$13, 100%, $E$13)</f>
        <v>18.3322</v>
      </c>
      <c r="C1014" s="63">
        <f>18.3322 * CHOOSE(CONTROL!$C$22, $C$13, 100%, $E$13)</f>
        <v>18.3322</v>
      </c>
      <c r="D1014" s="63">
        <f>18.3553 * CHOOSE(CONTROL!$C$22, $C$13, 100%, $E$13)</f>
        <v>18.3553</v>
      </c>
      <c r="E1014" s="64">
        <f>21.817 * CHOOSE(CONTROL!$C$22, $C$13, 100%, $E$13)</f>
        <v>21.817</v>
      </c>
      <c r="F1014" s="64">
        <f>21.817 * CHOOSE(CONTROL!$C$22, $C$13, 100%, $E$13)</f>
        <v>21.817</v>
      </c>
      <c r="G1014" s="64">
        <f>21.8184 * CHOOSE(CONTROL!$C$22, $C$13, 100%, $E$13)</f>
        <v>21.8184</v>
      </c>
      <c r="H1014" s="64">
        <f>34.559* CHOOSE(CONTROL!$C$22, $C$13, 100%, $E$13)</f>
        <v>34.558999999999997</v>
      </c>
      <c r="I1014" s="64">
        <f>34.5605 * CHOOSE(CONTROL!$C$22, $C$13, 100%, $E$13)</f>
        <v>34.560499999999998</v>
      </c>
      <c r="J1014" s="64">
        <f>21.817 * CHOOSE(CONTROL!$C$22, $C$13, 100%, $E$13)</f>
        <v>21.817</v>
      </c>
      <c r="K1014" s="64">
        <f>21.8184 * CHOOSE(CONTROL!$C$22, $C$13, 100%, $E$13)</f>
        <v>21.8184</v>
      </c>
    </row>
    <row r="1015" spans="1:11" ht="15">
      <c r="A1015" s="13">
        <v>72533</v>
      </c>
      <c r="B1015" s="63">
        <f>18.3389 * CHOOSE(CONTROL!$C$22, $C$13, 100%, $E$13)</f>
        <v>18.338899999999999</v>
      </c>
      <c r="C1015" s="63">
        <f>18.3389 * CHOOSE(CONTROL!$C$22, $C$13, 100%, $E$13)</f>
        <v>18.338899999999999</v>
      </c>
      <c r="D1015" s="63">
        <f>18.362 * CHOOSE(CONTROL!$C$22, $C$13, 100%, $E$13)</f>
        <v>18.361999999999998</v>
      </c>
      <c r="E1015" s="64">
        <f>21.5998 * CHOOSE(CONTROL!$C$22, $C$13, 100%, $E$13)</f>
        <v>21.599799999999998</v>
      </c>
      <c r="F1015" s="64">
        <f>21.5998 * CHOOSE(CONTROL!$C$22, $C$13, 100%, $E$13)</f>
        <v>21.599799999999998</v>
      </c>
      <c r="G1015" s="64">
        <f>21.6013 * CHOOSE(CONTROL!$C$22, $C$13, 100%, $E$13)</f>
        <v>21.601299999999998</v>
      </c>
      <c r="H1015" s="64">
        <f>34.631* CHOOSE(CONTROL!$C$22, $C$13, 100%, $E$13)</f>
        <v>34.631</v>
      </c>
      <c r="I1015" s="64">
        <f>34.6325 * CHOOSE(CONTROL!$C$22, $C$13, 100%, $E$13)</f>
        <v>34.6325</v>
      </c>
      <c r="J1015" s="64">
        <f>21.5998 * CHOOSE(CONTROL!$C$22, $C$13, 100%, $E$13)</f>
        <v>21.599799999999998</v>
      </c>
      <c r="K1015" s="64">
        <f>21.6013 * CHOOSE(CONTROL!$C$22, $C$13, 100%, $E$13)</f>
        <v>21.601299999999998</v>
      </c>
    </row>
    <row r="1016" spans="1:11" ht="15">
      <c r="A1016" s="13">
        <v>72564</v>
      </c>
      <c r="B1016" s="63">
        <f>18.3359 * CHOOSE(CONTROL!$C$22, $C$13, 100%, $E$13)</f>
        <v>18.335899999999999</v>
      </c>
      <c r="C1016" s="63">
        <f>18.3359 * CHOOSE(CONTROL!$C$22, $C$13, 100%, $E$13)</f>
        <v>18.335899999999999</v>
      </c>
      <c r="D1016" s="63">
        <f>18.359 * CHOOSE(CONTROL!$C$22, $C$13, 100%, $E$13)</f>
        <v>18.359000000000002</v>
      </c>
      <c r="E1016" s="64">
        <f>21.5731 * CHOOSE(CONTROL!$C$22, $C$13, 100%, $E$13)</f>
        <v>21.5731</v>
      </c>
      <c r="F1016" s="64">
        <f>21.5731 * CHOOSE(CONTROL!$C$22, $C$13, 100%, $E$13)</f>
        <v>21.5731</v>
      </c>
      <c r="G1016" s="64">
        <f>21.5746 * CHOOSE(CONTROL!$C$22, $C$13, 100%, $E$13)</f>
        <v>21.5746</v>
      </c>
      <c r="H1016" s="64">
        <f>34.7032* CHOOSE(CONTROL!$C$22, $C$13, 100%, $E$13)</f>
        <v>34.703200000000002</v>
      </c>
      <c r="I1016" s="64">
        <f>34.7047 * CHOOSE(CONTROL!$C$22, $C$13, 100%, $E$13)</f>
        <v>34.704700000000003</v>
      </c>
      <c r="J1016" s="64">
        <f>21.5731 * CHOOSE(CONTROL!$C$22, $C$13, 100%, $E$13)</f>
        <v>21.5731</v>
      </c>
      <c r="K1016" s="64">
        <f>21.5746 * CHOOSE(CONTROL!$C$22, $C$13, 100%, $E$13)</f>
        <v>21.5746</v>
      </c>
    </row>
    <row r="1017" spans="1:11" ht="15">
      <c r="A1017" s="13">
        <v>72594</v>
      </c>
      <c r="B1017" s="63">
        <f>18.3778 * CHOOSE(CONTROL!$C$22, $C$13, 100%, $E$13)</f>
        <v>18.377800000000001</v>
      </c>
      <c r="C1017" s="63">
        <f>18.3778 * CHOOSE(CONTROL!$C$22, $C$13, 100%, $E$13)</f>
        <v>18.377800000000001</v>
      </c>
      <c r="D1017" s="63">
        <f>18.3893 * CHOOSE(CONTROL!$C$22, $C$13, 100%, $E$13)</f>
        <v>18.389299999999999</v>
      </c>
      <c r="E1017" s="64">
        <f>21.6582 * CHOOSE(CONTROL!$C$22, $C$13, 100%, $E$13)</f>
        <v>21.658200000000001</v>
      </c>
      <c r="F1017" s="64">
        <f>21.6582 * CHOOSE(CONTROL!$C$22, $C$13, 100%, $E$13)</f>
        <v>21.658200000000001</v>
      </c>
      <c r="G1017" s="64">
        <f>21.6584 * CHOOSE(CONTROL!$C$22, $C$13, 100%, $E$13)</f>
        <v>21.6584</v>
      </c>
      <c r="H1017" s="64">
        <f>34.7755* CHOOSE(CONTROL!$C$22, $C$13, 100%, $E$13)</f>
        <v>34.775500000000001</v>
      </c>
      <c r="I1017" s="64">
        <f>34.7756 * CHOOSE(CONTROL!$C$22, $C$13, 100%, $E$13)</f>
        <v>34.775599999999997</v>
      </c>
      <c r="J1017" s="64">
        <f>21.6582 * CHOOSE(CONTROL!$C$22, $C$13, 100%, $E$13)</f>
        <v>21.658200000000001</v>
      </c>
      <c r="K1017" s="64">
        <f>21.6584 * CHOOSE(CONTROL!$C$22, $C$13, 100%, $E$13)</f>
        <v>21.6584</v>
      </c>
    </row>
    <row r="1018" spans="1:11" ht="15">
      <c r="A1018" s="13">
        <v>72625</v>
      </c>
      <c r="B1018" s="63">
        <f>18.3808 * CHOOSE(CONTROL!$C$22, $C$13, 100%, $E$13)</f>
        <v>18.380800000000001</v>
      </c>
      <c r="C1018" s="63">
        <f>18.3808 * CHOOSE(CONTROL!$C$22, $C$13, 100%, $E$13)</f>
        <v>18.380800000000001</v>
      </c>
      <c r="D1018" s="63">
        <f>18.3924 * CHOOSE(CONTROL!$C$22, $C$13, 100%, $E$13)</f>
        <v>18.392399999999999</v>
      </c>
      <c r="E1018" s="64">
        <f>21.7096 * CHOOSE(CONTROL!$C$22, $C$13, 100%, $E$13)</f>
        <v>21.709599999999998</v>
      </c>
      <c r="F1018" s="64">
        <f>21.7096 * CHOOSE(CONTROL!$C$22, $C$13, 100%, $E$13)</f>
        <v>21.709599999999998</v>
      </c>
      <c r="G1018" s="64">
        <f>21.7098 * CHOOSE(CONTROL!$C$22, $C$13, 100%, $E$13)</f>
        <v>21.709800000000001</v>
      </c>
      <c r="H1018" s="64">
        <f>34.8479* CHOOSE(CONTROL!$C$22, $C$13, 100%, $E$13)</f>
        <v>34.847900000000003</v>
      </c>
      <c r="I1018" s="64">
        <f>34.8481 * CHOOSE(CONTROL!$C$22, $C$13, 100%, $E$13)</f>
        <v>34.848100000000002</v>
      </c>
      <c r="J1018" s="64">
        <f>21.7096 * CHOOSE(CONTROL!$C$22, $C$13, 100%, $E$13)</f>
        <v>21.709599999999998</v>
      </c>
      <c r="K1018" s="64">
        <f>21.7098 * CHOOSE(CONTROL!$C$22, $C$13, 100%, $E$13)</f>
        <v>21.709800000000001</v>
      </c>
    </row>
    <row r="1019" spans="1:11" ht="15">
      <c r="A1019" s="13">
        <v>72655</v>
      </c>
      <c r="B1019" s="63">
        <f>18.3808 * CHOOSE(CONTROL!$C$22, $C$13, 100%, $E$13)</f>
        <v>18.380800000000001</v>
      </c>
      <c r="C1019" s="63">
        <f>18.3808 * CHOOSE(CONTROL!$C$22, $C$13, 100%, $E$13)</f>
        <v>18.380800000000001</v>
      </c>
      <c r="D1019" s="63">
        <f>18.3924 * CHOOSE(CONTROL!$C$22, $C$13, 100%, $E$13)</f>
        <v>18.392399999999999</v>
      </c>
      <c r="E1019" s="64">
        <f>21.5864 * CHOOSE(CONTROL!$C$22, $C$13, 100%, $E$13)</f>
        <v>21.586400000000001</v>
      </c>
      <c r="F1019" s="64">
        <f>21.5864 * CHOOSE(CONTROL!$C$22, $C$13, 100%, $E$13)</f>
        <v>21.586400000000001</v>
      </c>
      <c r="G1019" s="64">
        <f>21.5866 * CHOOSE(CONTROL!$C$22, $C$13, 100%, $E$13)</f>
        <v>21.586600000000001</v>
      </c>
      <c r="H1019" s="64">
        <f>34.9205* CHOOSE(CONTROL!$C$22, $C$13, 100%, $E$13)</f>
        <v>34.920499999999997</v>
      </c>
      <c r="I1019" s="64">
        <f>34.9207 * CHOOSE(CONTROL!$C$22, $C$13, 100%, $E$13)</f>
        <v>34.920699999999997</v>
      </c>
      <c r="J1019" s="64">
        <f>21.5864 * CHOOSE(CONTROL!$C$22, $C$13, 100%, $E$13)</f>
        <v>21.586400000000001</v>
      </c>
      <c r="K1019" s="64">
        <f>21.5866 * CHOOSE(CONTROL!$C$22, $C$13, 100%, $E$13)</f>
        <v>21.586600000000001</v>
      </c>
    </row>
    <row r="1020" spans="1:11" ht="15">
      <c r="A1020" s="13">
        <v>72686</v>
      </c>
      <c r="B1020" s="63">
        <f>18.2872 * CHOOSE(CONTROL!$C$22, $C$13, 100%, $E$13)</f>
        <v>18.287199999999999</v>
      </c>
      <c r="C1020" s="63">
        <f>18.2872 * CHOOSE(CONTROL!$C$22, $C$13, 100%, $E$13)</f>
        <v>18.287199999999999</v>
      </c>
      <c r="D1020" s="63">
        <f>18.2988 * CHOOSE(CONTROL!$C$22, $C$13, 100%, $E$13)</f>
        <v>18.2988</v>
      </c>
      <c r="E1020" s="64">
        <f>21.5606 * CHOOSE(CONTROL!$C$22, $C$13, 100%, $E$13)</f>
        <v>21.560600000000001</v>
      </c>
      <c r="F1020" s="64">
        <f>21.5606 * CHOOSE(CONTROL!$C$22, $C$13, 100%, $E$13)</f>
        <v>21.560600000000001</v>
      </c>
      <c r="G1020" s="64">
        <f>21.5608 * CHOOSE(CONTROL!$C$22, $C$13, 100%, $E$13)</f>
        <v>21.5608</v>
      </c>
      <c r="H1020" s="64">
        <f>34.5761* CHOOSE(CONTROL!$C$22, $C$13, 100%, $E$13)</f>
        <v>34.576099999999997</v>
      </c>
      <c r="I1020" s="64">
        <f>34.5762 * CHOOSE(CONTROL!$C$22, $C$13, 100%, $E$13)</f>
        <v>34.5762</v>
      </c>
      <c r="J1020" s="64">
        <f>21.5606 * CHOOSE(CONTROL!$C$22, $C$13, 100%, $E$13)</f>
        <v>21.560600000000001</v>
      </c>
      <c r="K1020" s="64">
        <f>21.5608 * CHOOSE(CONTROL!$C$22, $C$13, 100%, $E$13)</f>
        <v>21.5608</v>
      </c>
    </row>
    <row r="1021" spans="1:11" ht="15">
      <c r="A1021" s="13">
        <v>72717</v>
      </c>
      <c r="B1021" s="63">
        <f>18.2842 * CHOOSE(CONTROL!$C$22, $C$13, 100%, $E$13)</f>
        <v>18.284199999999998</v>
      </c>
      <c r="C1021" s="63">
        <f>18.2842 * CHOOSE(CONTROL!$C$22, $C$13, 100%, $E$13)</f>
        <v>18.284199999999998</v>
      </c>
      <c r="D1021" s="63">
        <f>18.2958 * CHOOSE(CONTROL!$C$22, $C$13, 100%, $E$13)</f>
        <v>18.2958</v>
      </c>
      <c r="E1021" s="64">
        <f>21.3225 * CHOOSE(CONTROL!$C$22, $C$13, 100%, $E$13)</f>
        <v>21.322500000000002</v>
      </c>
      <c r="F1021" s="64">
        <f>21.3225 * CHOOSE(CONTROL!$C$22, $C$13, 100%, $E$13)</f>
        <v>21.322500000000002</v>
      </c>
      <c r="G1021" s="64">
        <f>21.3227 * CHOOSE(CONTROL!$C$22, $C$13, 100%, $E$13)</f>
        <v>21.322700000000001</v>
      </c>
      <c r="H1021" s="64">
        <f>34.6481* CHOOSE(CONTROL!$C$22, $C$13, 100%, $E$13)</f>
        <v>34.648099999999999</v>
      </c>
      <c r="I1021" s="64">
        <f>34.6483 * CHOOSE(CONTROL!$C$22, $C$13, 100%, $E$13)</f>
        <v>34.648299999999999</v>
      </c>
      <c r="J1021" s="64">
        <f>21.3225 * CHOOSE(CONTROL!$C$22, $C$13, 100%, $E$13)</f>
        <v>21.322500000000002</v>
      </c>
      <c r="K1021" s="64">
        <f>21.3227 * CHOOSE(CONTROL!$C$22, $C$13, 100%, $E$13)</f>
        <v>21.322700000000001</v>
      </c>
    </row>
    <row r="1022" spans="1:11" ht="15">
      <c r="A1022" s="13">
        <v>72745</v>
      </c>
      <c r="B1022" s="63">
        <f>18.2812 * CHOOSE(CONTROL!$C$22, $C$13, 100%, $E$13)</f>
        <v>18.281199999999998</v>
      </c>
      <c r="C1022" s="63">
        <f>18.2812 * CHOOSE(CONTROL!$C$22, $C$13, 100%, $E$13)</f>
        <v>18.281199999999998</v>
      </c>
      <c r="D1022" s="63">
        <f>18.2927 * CHOOSE(CONTROL!$C$22, $C$13, 100%, $E$13)</f>
        <v>18.2927</v>
      </c>
      <c r="E1022" s="64">
        <f>21.5064 * CHOOSE(CONTROL!$C$22, $C$13, 100%, $E$13)</f>
        <v>21.506399999999999</v>
      </c>
      <c r="F1022" s="64">
        <f>21.5064 * CHOOSE(CONTROL!$C$22, $C$13, 100%, $E$13)</f>
        <v>21.506399999999999</v>
      </c>
      <c r="G1022" s="64">
        <f>21.5066 * CHOOSE(CONTROL!$C$22, $C$13, 100%, $E$13)</f>
        <v>21.506599999999999</v>
      </c>
      <c r="H1022" s="64">
        <f>34.7203* CHOOSE(CONTROL!$C$22, $C$13, 100%, $E$13)</f>
        <v>34.720300000000002</v>
      </c>
      <c r="I1022" s="64">
        <f>34.7205 * CHOOSE(CONTROL!$C$22, $C$13, 100%, $E$13)</f>
        <v>34.720500000000001</v>
      </c>
      <c r="J1022" s="64">
        <f>21.5064 * CHOOSE(CONTROL!$C$22, $C$13, 100%, $E$13)</f>
        <v>21.506399999999999</v>
      </c>
      <c r="K1022" s="64">
        <f>21.5066 * CHOOSE(CONTROL!$C$22, $C$13, 100%, $E$13)</f>
        <v>21.506599999999999</v>
      </c>
    </row>
    <row r="1023" spans="1:11" ht="15">
      <c r="A1023" s="13">
        <v>72776</v>
      </c>
      <c r="B1023" s="63">
        <f>18.2909 * CHOOSE(CONTROL!$C$22, $C$13, 100%, $E$13)</f>
        <v>18.290900000000001</v>
      </c>
      <c r="C1023" s="63">
        <f>18.2909 * CHOOSE(CONTROL!$C$22, $C$13, 100%, $E$13)</f>
        <v>18.290900000000001</v>
      </c>
      <c r="D1023" s="63">
        <f>18.3025 * CHOOSE(CONTROL!$C$22, $C$13, 100%, $E$13)</f>
        <v>18.302499999999998</v>
      </c>
      <c r="E1023" s="64">
        <f>21.7021 * CHOOSE(CONTROL!$C$22, $C$13, 100%, $E$13)</f>
        <v>21.702100000000002</v>
      </c>
      <c r="F1023" s="64">
        <f>21.7021 * CHOOSE(CONTROL!$C$22, $C$13, 100%, $E$13)</f>
        <v>21.702100000000002</v>
      </c>
      <c r="G1023" s="64">
        <f>21.7022 * CHOOSE(CONTROL!$C$22, $C$13, 100%, $E$13)</f>
        <v>21.702200000000001</v>
      </c>
      <c r="H1023" s="64">
        <f>34.7926* CHOOSE(CONTROL!$C$22, $C$13, 100%, $E$13)</f>
        <v>34.7926</v>
      </c>
      <c r="I1023" s="64">
        <f>34.7928 * CHOOSE(CONTROL!$C$22, $C$13, 100%, $E$13)</f>
        <v>34.7928</v>
      </c>
      <c r="J1023" s="64">
        <f>21.7021 * CHOOSE(CONTROL!$C$22, $C$13, 100%, $E$13)</f>
        <v>21.702100000000002</v>
      </c>
      <c r="K1023" s="64">
        <f>21.7022 * CHOOSE(CONTROL!$C$22, $C$13, 100%, $E$13)</f>
        <v>21.702200000000001</v>
      </c>
    </row>
    <row r="1024" spans="1:11" ht="15">
      <c r="A1024" s="13">
        <v>72806</v>
      </c>
      <c r="B1024" s="63">
        <f>18.2909 * CHOOSE(CONTROL!$C$22, $C$13, 100%, $E$13)</f>
        <v>18.290900000000001</v>
      </c>
      <c r="C1024" s="63">
        <f>18.2909 * CHOOSE(CONTROL!$C$22, $C$13, 100%, $E$13)</f>
        <v>18.290900000000001</v>
      </c>
      <c r="D1024" s="63">
        <f>18.314 * CHOOSE(CONTROL!$C$22, $C$13, 100%, $E$13)</f>
        <v>18.314</v>
      </c>
      <c r="E1024" s="64">
        <f>21.777 * CHOOSE(CONTROL!$C$22, $C$13, 100%, $E$13)</f>
        <v>21.777000000000001</v>
      </c>
      <c r="F1024" s="64">
        <f>21.777 * CHOOSE(CONTROL!$C$22, $C$13, 100%, $E$13)</f>
        <v>21.777000000000001</v>
      </c>
      <c r="G1024" s="64">
        <f>21.7785 * CHOOSE(CONTROL!$C$22, $C$13, 100%, $E$13)</f>
        <v>21.778500000000001</v>
      </c>
      <c r="H1024" s="64">
        <f>34.8651* CHOOSE(CONTROL!$C$22, $C$13, 100%, $E$13)</f>
        <v>34.865099999999998</v>
      </c>
      <c r="I1024" s="64">
        <f>34.8666 * CHOOSE(CONTROL!$C$22, $C$13, 100%, $E$13)</f>
        <v>34.866599999999998</v>
      </c>
      <c r="J1024" s="64">
        <f>21.777 * CHOOSE(CONTROL!$C$22, $C$13, 100%, $E$13)</f>
        <v>21.777000000000001</v>
      </c>
      <c r="K1024" s="64">
        <f>21.7785 * CHOOSE(CONTROL!$C$22, $C$13, 100%, $E$13)</f>
        <v>21.778500000000001</v>
      </c>
    </row>
    <row r="1025" spans="1:11" ht="15">
      <c r="A1025" s="13">
        <v>72837</v>
      </c>
      <c r="B1025" s="63">
        <f>18.297 * CHOOSE(CONTROL!$C$22, $C$13, 100%, $E$13)</f>
        <v>18.297000000000001</v>
      </c>
      <c r="C1025" s="63">
        <f>18.297 * CHOOSE(CONTROL!$C$22, $C$13, 100%, $E$13)</f>
        <v>18.297000000000001</v>
      </c>
      <c r="D1025" s="63">
        <f>18.3201 * CHOOSE(CONTROL!$C$22, $C$13, 100%, $E$13)</f>
        <v>18.3201</v>
      </c>
      <c r="E1025" s="64">
        <f>21.7063 * CHOOSE(CONTROL!$C$22, $C$13, 100%, $E$13)</f>
        <v>21.706299999999999</v>
      </c>
      <c r="F1025" s="64">
        <f>21.7063 * CHOOSE(CONTROL!$C$22, $C$13, 100%, $E$13)</f>
        <v>21.706299999999999</v>
      </c>
      <c r="G1025" s="64">
        <f>21.7078 * CHOOSE(CONTROL!$C$22, $C$13, 100%, $E$13)</f>
        <v>21.707799999999999</v>
      </c>
      <c r="H1025" s="64">
        <f>34.9377* CHOOSE(CONTROL!$C$22, $C$13, 100%, $E$13)</f>
        <v>34.9377</v>
      </c>
      <c r="I1025" s="64">
        <f>34.9392 * CHOOSE(CONTROL!$C$22, $C$13, 100%, $E$13)</f>
        <v>34.9392</v>
      </c>
      <c r="J1025" s="64">
        <f>21.7063 * CHOOSE(CONTROL!$C$22, $C$13, 100%, $E$13)</f>
        <v>21.706299999999999</v>
      </c>
      <c r="K1025" s="64">
        <f>21.7078 * CHOOSE(CONTROL!$C$22, $C$13, 100%, $E$13)</f>
        <v>21.707799999999999</v>
      </c>
    </row>
    <row r="1026" spans="1:11" ht="15">
      <c r="A1026" s="13">
        <v>72867</v>
      </c>
      <c r="B1026" s="63">
        <f>18.5815 * CHOOSE(CONTROL!$C$22, $C$13, 100%, $E$13)</f>
        <v>18.581499999999998</v>
      </c>
      <c r="C1026" s="63">
        <f>18.5815 * CHOOSE(CONTROL!$C$22, $C$13, 100%, $E$13)</f>
        <v>18.581499999999998</v>
      </c>
      <c r="D1026" s="63">
        <f>18.6046 * CHOOSE(CONTROL!$C$22, $C$13, 100%, $E$13)</f>
        <v>18.604600000000001</v>
      </c>
      <c r="E1026" s="64">
        <f>22.1168 * CHOOSE(CONTROL!$C$22, $C$13, 100%, $E$13)</f>
        <v>22.116800000000001</v>
      </c>
      <c r="F1026" s="64">
        <f>22.1168 * CHOOSE(CONTROL!$C$22, $C$13, 100%, $E$13)</f>
        <v>22.116800000000001</v>
      </c>
      <c r="G1026" s="64">
        <f>22.1183 * CHOOSE(CONTROL!$C$22, $C$13, 100%, $E$13)</f>
        <v>22.118300000000001</v>
      </c>
      <c r="H1026" s="64">
        <f>35.0105* CHOOSE(CONTROL!$C$22, $C$13, 100%, $E$13)</f>
        <v>35.0105</v>
      </c>
      <c r="I1026" s="64">
        <f>35.012 * CHOOSE(CONTROL!$C$22, $C$13, 100%, $E$13)</f>
        <v>35.012</v>
      </c>
      <c r="J1026" s="64">
        <f>22.1168 * CHOOSE(CONTROL!$C$22, $C$13, 100%, $E$13)</f>
        <v>22.116800000000001</v>
      </c>
      <c r="K1026" s="64">
        <f>22.1183 * CHOOSE(CONTROL!$C$22, $C$13, 100%, $E$13)</f>
        <v>22.118300000000001</v>
      </c>
    </row>
    <row r="1027" spans="1:11" ht="15">
      <c r="A1027" s="13">
        <v>72898</v>
      </c>
      <c r="B1027" s="63">
        <f>18.5881 * CHOOSE(CONTROL!$C$22, $C$13, 100%, $E$13)</f>
        <v>18.588100000000001</v>
      </c>
      <c r="C1027" s="63">
        <f>18.5881 * CHOOSE(CONTROL!$C$22, $C$13, 100%, $E$13)</f>
        <v>18.588100000000001</v>
      </c>
      <c r="D1027" s="63">
        <f>18.6113 * CHOOSE(CONTROL!$C$22, $C$13, 100%, $E$13)</f>
        <v>18.6113</v>
      </c>
      <c r="E1027" s="64">
        <f>21.8967 * CHOOSE(CONTROL!$C$22, $C$13, 100%, $E$13)</f>
        <v>21.896699999999999</v>
      </c>
      <c r="F1027" s="64">
        <f>21.8967 * CHOOSE(CONTROL!$C$22, $C$13, 100%, $E$13)</f>
        <v>21.896699999999999</v>
      </c>
      <c r="G1027" s="64">
        <f>21.8982 * CHOOSE(CONTROL!$C$22, $C$13, 100%, $E$13)</f>
        <v>21.898199999999999</v>
      </c>
      <c r="H1027" s="64">
        <f>35.0835* CHOOSE(CONTROL!$C$22, $C$13, 100%, $E$13)</f>
        <v>35.083500000000001</v>
      </c>
      <c r="I1027" s="64">
        <f>35.0849 * CHOOSE(CONTROL!$C$22, $C$13, 100%, $E$13)</f>
        <v>35.084899999999998</v>
      </c>
      <c r="J1027" s="64">
        <f>21.8967 * CHOOSE(CONTROL!$C$22, $C$13, 100%, $E$13)</f>
        <v>21.896699999999999</v>
      </c>
      <c r="K1027" s="64">
        <f>21.8982 * CHOOSE(CONTROL!$C$22, $C$13, 100%, $E$13)</f>
        <v>21.898199999999999</v>
      </c>
    </row>
    <row r="1028" spans="1:11" ht="15">
      <c r="A1028" s="13">
        <v>72929</v>
      </c>
      <c r="B1028" s="63">
        <f>18.5851 * CHOOSE(CONTROL!$C$22, $C$13, 100%, $E$13)</f>
        <v>18.585100000000001</v>
      </c>
      <c r="C1028" s="63">
        <f>18.5851 * CHOOSE(CONTROL!$C$22, $C$13, 100%, $E$13)</f>
        <v>18.585100000000001</v>
      </c>
      <c r="D1028" s="63">
        <f>18.6082 * CHOOSE(CONTROL!$C$22, $C$13, 100%, $E$13)</f>
        <v>18.6082</v>
      </c>
      <c r="E1028" s="64">
        <f>21.8696 * CHOOSE(CONTROL!$C$22, $C$13, 100%, $E$13)</f>
        <v>21.869599999999998</v>
      </c>
      <c r="F1028" s="64">
        <f>21.8696 * CHOOSE(CONTROL!$C$22, $C$13, 100%, $E$13)</f>
        <v>21.869599999999998</v>
      </c>
      <c r="G1028" s="64">
        <f>21.8711 * CHOOSE(CONTROL!$C$22, $C$13, 100%, $E$13)</f>
        <v>21.871099999999998</v>
      </c>
      <c r="H1028" s="64">
        <f>35.1565* CHOOSE(CONTROL!$C$22, $C$13, 100%, $E$13)</f>
        <v>35.156500000000001</v>
      </c>
      <c r="I1028" s="64">
        <f>35.158 * CHOOSE(CONTROL!$C$22, $C$13, 100%, $E$13)</f>
        <v>35.158000000000001</v>
      </c>
      <c r="J1028" s="64">
        <f>21.8696 * CHOOSE(CONTROL!$C$22, $C$13, 100%, $E$13)</f>
        <v>21.869599999999998</v>
      </c>
      <c r="K1028" s="64">
        <f>21.8711 * CHOOSE(CONTROL!$C$22, $C$13, 100%, $E$13)</f>
        <v>21.871099999999998</v>
      </c>
    </row>
    <row r="1029" spans="1:11" ht="15">
      <c r="A1029" s="13">
        <v>72959</v>
      </c>
      <c r="B1029" s="63">
        <f>18.6278 * CHOOSE(CONTROL!$C$22, $C$13, 100%, $E$13)</f>
        <v>18.627800000000001</v>
      </c>
      <c r="C1029" s="63">
        <f>18.6278 * CHOOSE(CONTROL!$C$22, $C$13, 100%, $E$13)</f>
        <v>18.627800000000001</v>
      </c>
      <c r="D1029" s="63">
        <f>18.6393 * CHOOSE(CONTROL!$C$22, $C$13, 100%, $E$13)</f>
        <v>18.639299999999999</v>
      </c>
      <c r="E1029" s="64">
        <f>21.9561 * CHOOSE(CONTROL!$C$22, $C$13, 100%, $E$13)</f>
        <v>21.956099999999999</v>
      </c>
      <c r="F1029" s="64">
        <f>21.9561 * CHOOSE(CONTROL!$C$22, $C$13, 100%, $E$13)</f>
        <v>21.956099999999999</v>
      </c>
      <c r="G1029" s="64">
        <f>21.9563 * CHOOSE(CONTROL!$C$22, $C$13, 100%, $E$13)</f>
        <v>21.956299999999999</v>
      </c>
      <c r="H1029" s="64">
        <f>35.2298* CHOOSE(CONTROL!$C$22, $C$13, 100%, $E$13)</f>
        <v>35.229799999999997</v>
      </c>
      <c r="I1029" s="64">
        <f>35.23 * CHOOSE(CONTROL!$C$22, $C$13, 100%, $E$13)</f>
        <v>35.229999999999997</v>
      </c>
      <c r="J1029" s="64">
        <f>21.9561 * CHOOSE(CONTROL!$C$22, $C$13, 100%, $E$13)</f>
        <v>21.956099999999999</v>
      </c>
      <c r="K1029" s="64">
        <f>21.9563 * CHOOSE(CONTROL!$C$22, $C$13, 100%, $E$13)</f>
        <v>21.956299999999999</v>
      </c>
    </row>
    <row r="1030" spans="1:11" ht="15">
      <c r="A1030" s="13">
        <v>72990</v>
      </c>
      <c r="B1030" s="63">
        <f>18.6308 * CHOOSE(CONTROL!$C$22, $C$13, 100%, $E$13)</f>
        <v>18.630800000000001</v>
      </c>
      <c r="C1030" s="63">
        <f>18.6308 * CHOOSE(CONTROL!$C$22, $C$13, 100%, $E$13)</f>
        <v>18.630800000000001</v>
      </c>
      <c r="D1030" s="63">
        <f>18.6424 * CHOOSE(CONTROL!$C$22, $C$13, 100%, $E$13)</f>
        <v>18.642399999999999</v>
      </c>
      <c r="E1030" s="64">
        <f>22.0082 * CHOOSE(CONTROL!$C$22, $C$13, 100%, $E$13)</f>
        <v>22.008199999999999</v>
      </c>
      <c r="F1030" s="64">
        <f>22.0082 * CHOOSE(CONTROL!$C$22, $C$13, 100%, $E$13)</f>
        <v>22.008199999999999</v>
      </c>
      <c r="G1030" s="64">
        <f>22.0083 * CHOOSE(CONTROL!$C$22, $C$13, 100%, $E$13)</f>
        <v>22.008299999999998</v>
      </c>
      <c r="H1030" s="64">
        <f>35.3032* CHOOSE(CONTROL!$C$22, $C$13, 100%, $E$13)</f>
        <v>35.303199999999997</v>
      </c>
      <c r="I1030" s="64">
        <f>35.3034 * CHOOSE(CONTROL!$C$22, $C$13, 100%, $E$13)</f>
        <v>35.303400000000003</v>
      </c>
      <c r="J1030" s="64">
        <f>22.0082 * CHOOSE(CONTROL!$C$22, $C$13, 100%, $E$13)</f>
        <v>22.008199999999999</v>
      </c>
      <c r="K1030" s="64">
        <f>22.0083 * CHOOSE(CONTROL!$C$22, $C$13, 100%, $E$13)</f>
        <v>22.008299999999998</v>
      </c>
    </row>
    <row r="1031" spans="1:11" ht="15">
      <c r="A1031" s="13">
        <v>73020</v>
      </c>
      <c r="B1031" s="63">
        <f>18.6308 * CHOOSE(CONTROL!$C$22, $C$13, 100%, $E$13)</f>
        <v>18.630800000000001</v>
      </c>
      <c r="C1031" s="63">
        <f>18.6308 * CHOOSE(CONTROL!$C$22, $C$13, 100%, $E$13)</f>
        <v>18.630800000000001</v>
      </c>
      <c r="D1031" s="63">
        <f>18.6424 * CHOOSE(CONTROL!$C$22, $C$13, 100%, $E$13)</f>
        <v>18.642399999999999</v>
      </c>
      <c r="E1031" s="64">
        <f>21.8833 * CHOOSE(CONTROL!$C$22, $C$13, 100%, $E$13)</f>
        <v>21.883299999999998</v>
      </c>
      <c r="F1031" s="64">
        <f>21.8833 * CHOOSE(CONTROL!$C$22, $C$13, 100%, $E$13)</f>
        <v>21.883299999999998</v>
      </c>
      <c r="G1031" s="64">
        <f>21.8834 * CHOOSE(CONTROL!$C$22, $C$13, 100%, $E$13)</f>
        <v>21.883400000000002</v>
      </c>
      <c r="H1031" s="64">
        <f>35.3767* CHOOSE(CONTROL!$C$22, $C$13, 100%, $E$13)</f>
        <v>35.3767</v>
      </c>
      <c r="I1031" s="64">
        <f>35.3769 * CHOOSE(CONTROL!$C$22, $C$13, 100%, $E$13)</f>
        <v>35.376899999999999</v>
      </c>
      <c r="J1031" s="64">
        <f>21.8833 * CHOOSE(CONTROL!$C$22, $C$13, 100%, $E$13)</f>
        <v>21.883299999999998</v>
      </c>
      <c r="K1031" s="64">
        <f>21.8834 * CHOOSE(CONTROL!$C$22, $C$13, 100%, $E$13)</f>
        <v>21.883400000000002</v>
      </c>
    </row>
    <row r="1032" spans="1:11" ht="15">
      <c r="A1032" s="13">
        <v>73051</v>
      </c>
      <c r="B1032" s="63">
        <f>18.5326 * CHOOSE(CONTROL!$C$22, $C$13, 100%, $E$13)</f>
        <v>18.532599999999999</v>
      </c>
      <c r="C1032" s="63">
        <f>18.5326 * CHOOSE(CONTROL!$C$22, $C$13, 100%, $E$13)</f>
        <v>18.532599999999999</v>
      </c>
      <c r="D1032" s="63">
        <f>18.5441 * CHOOSE(CONTROL!$C$22, $C$13, 100%, $E$13)</f>
        <v>18.5441</v>
      </c>
      <c r="E1032" s="64">
        <f>21.8531 * CHOOSE(CONTROL!$C$22, $C$13, 100%, $E$13)</f>
        <v>21.853100000000001</v>
      </c>
      <c r="F1032" s="64">
        <f>21.8531 * CHOOSE(CONTROL!$C$22, $C$13, 100%, $E$13)</f>
        <v>21.853100000000001</v>
      </c>
      <c r="G1032" s="64">
        <f>21.8532 * CHOOSE(CONTROL!$C$22, $C$13, 100%, $E$13)</f>
        <v>21.853200000000001</v>
      </c>
      <c r="H1032" s="64">
        <f>35.022* CHOOSE(CONTROL!$C$22, $C$13, 100%, $E$13)</f>
        <v>35.021999999999998</v>
      </c>
      <c r="I1032" s="64">
        <f>35.0221 * CHOOSE(CONTROL!$C$22, $C$13, 100%, $E$13)</f>
        <v>35.022100000000002</v>
      </c>
      <c r="J1032" s="64">
        <f>21.8531 * CHOOSE(CONTROL!$C$22, $C$13, 100%, $E$13)</f>
        <v>21.853100000000001</v>
      </c>
      <c r="K1032" s="64">
        <f>21.8532 * CHOOSE(CONTROL!$C$22, $C$13, 100%, $E$13)</f>
        <v>21.853200000000001</v>
      </c>
    </row>
    <row r="1033" spans="1:11" ht="15">
      <c r="A1033" s="13">
        <v>73082</v>
      </c>
      <c r="B1033" s="63">
        <f>18.5295 * CHOOSE(CONTROL!$C$22, $C$13, 100%, $E$13)</f>
        <v>18.529499999999999</v>
      </c>
      <c r="C1033" s="63">
        <f>18.5295 * CHOOSE(CONTROL!$C$22, $C$13, 100%, $E$13)</f>
        <v>18.529499999999999</v>
      </c>
      <c r="D1033" s="63">
        <f>18.5411 * CHOOSE(CONTROL!$C$22, $C$13, 100%, $E$13)</f>
        <v>18.5411</v>
      </c>
      <c r="E1033" s="64">
        <f>21.6117 * CHOOSE(CONTROL!$C$22, $C$13, 100%, $E$13)</f>
        <v>21.611699999999999</v>
      </c>
      <c r="F1033" s="64">
        <f>21.6117 * CHOOSE(CONTROL!$C$22, $C$13, 100%, $E$13)</f>
        <v>21.611699999999999</v>
      </c>
      <c r="G1033" s="64">
        <f>21.6119 * CHOOSE(CONTROL!$C$22, $C$13, 100%, $E$13)</f>
        <v>21.611899999999999</v>
      </c>
      <c r="H1033" s="64">
        <f>35.0949* CHOOSE(CONTROL!$C$22, $C$13, 100%, $E$13)</f>
        <v>35.094900000000003</v>
      </c>
      <c r="I1033" s="64">
        <f>35.0951 * CHOOSE(CONTROL!$C$22, $C$13, 100%, $E$13)</f>
        <v>35.095100000000002</v>
      </c>
      <c r="J1033" s="64">
        <f>21.6117 * CHOOSE(CONTROL!$C$22, $C$13, 100%, $E$13)</f>
        <v>21.611699999999999</v>
      </c>
      <c r="K1033" s="64">
        <f>21.6119 * CHOOSE(CONTROL!$C$22, $C$13, 100%, $E$13)</f>
        <v>21.611899999999999</v>
      </c>
    </row>
    <row r="1034" spans="1:11" ht="15">
      <c r="A1034" s="13">
        <v>73110</v>
      </c>
      <c r="B1034" s="63">
        <f>18.5265 * CHOOSE(CONTROL!$C$22, $C$13, 100%, $E$13)</f>
        <v>18.526499999999999</v>
      </c>
      <c r="C1034" s="63">
        <f>18.5265 * CHOOSE(CONTROL!$C$22, $C$13, 100%, $E$13)</f>
        <v>18.526499999999999</v>
      </c>
      <c r="D1034" s="63">
        <f>18.538 * CHOOSE(CONTROL!$C$22, $C$13, 100%, $E$13)</f>
        <v>18.538</v>
      </c>
      <c r="E1034" s="64">
        <f>21.7982 * CHOOSE(CONTROL!$C$22, $C$13, 100%, $E$13)</f>
        <v>21.798200000000001</v>
      </c>
      <c r="F1034" s="64">
        <f>21.7982 * CHOOSE(CONTROL!$C$22, $C$13, 100%, $E$13)</f>
        <v>21.798200000000001</v>
      </c>
      <c r="G1034" s="64">
        <f>21.7984 * CHOOSE(CONTROL!$C$22, $C$13, 100%, $E$13)</f>
        <v>21.798400000000001</v>
      </c>
      <c r="H1034" s="64">
        <f>35.168* CHOOSE(CONTROL!$C$22, $C$13, 100%, $E$13)</f>
        <v>35.167999999999999</v>
      </c>
      <c r="I1034" s="64">
        <f>35.1682 * CHOOSE(CONTROL!$C$22, $C$13, 100%, $E$13)</f>
        <v>35.168199999999999</v>
      </c>
      <c r="J1034" s="64">
        <f>21.7982 * CHOOSE(CONTROL!$C$22, $C$13, 100%, $E$13)</f>
        <v>21.798200000000001</v>
      </c>
      <c r="K1034" s="64">
        <f>21.7984 * CHOOSE(CONTROL!$C$22, $C$13, 100%, $E$13)</f>
        <v>21.798400000000001</v>
      </c>
    </row>
    <row r="1035" spans="1:11" ht="15">
      <c r="A1035" s="13">
        <v>73141</v>
      </c>
      <c r="B1035" s="63">
        <f>18.5365 * CHOOSE(CONTROL!$C$22, $C$13, 100%, $E$13)</f>
        <v>18.5365</v>
      </c>
      <c r="C1035" s="63">
        <f>18.5365 * CHOOSE(CONTROL!$C$22, $C$13, 100%, $E$13)</f>
        <v>18.5365</v>
      </c>
      <c r="D1035" s="63">
        <f>18.548 * CHOOSE(CONTROL!$C$22, $C$13, 100%, $E$13)</f>
        <v>18.547999999999998</v>
      </c>
      <c r="E1035" s="64">
        <f>21.9965 * CHOOSE(CONTROL!$C$22, $C$13, 100%, $E$13)</f>
        <v>21.996500000000001</v>
      </c>
      <c r="F1035" s="64">
        <f>21.9965 * CHOOSE(CONTROL!$C$22, $C$13, 100%, $E$13)</f>
        <v>21.996500000000001</v>
      </c>
      <c r="G1035" s="64">
        <f>21.9967 * CHOOSE(CONTROL!$C$22, $C$13, 100%, $E$13)</f>
        <v>21.996700000000001</v>
      </c>
      <c r="H1035" s="64">
        <f>35.2413* CHOOSE(CONTROL!$C$22, $C$13, 100%, $E$13)</f>
        <v>35.241300000000003</v>
      </c>
      <c r="I1035" s="64">
        <f>35.2415 * CHOOSE(CONTROL!$C$22, $C$13, 100%, $E$13)</f>
        <v>35.241500000000002</v>
      </c>
      <c r="J1035" s="64">
        <f>21.9965 * CHOOSE(CONTROL!$C$22, $C$13, 100%, $E$13)</f>
        <v>21.996500000000001</v>
      </c>
      <c r="K1035" s="64">
        <f>21.9967 * CHOOSE(CONTROL!$C$22, $C$13, 100%, $E$13)</f>
        <v>21.996700000000001</v>
      </c>
    </row>
    <row r="1036" spans="1:11" ht="15">
      <c r="A1036" s="13">
        <v>73171</v>
      </c>
      <c r="B1036" s="63">
        <f>18.5365 * CHOOSE(CONTROL!$C$22, $C$13, 100%, $E$13)</f>
        <v>18.5365</v>
      </c>
      <c r="C1036" s="63">
        <f>18.5365 * CHOOSE(CONTROL!$C$22, $C$13, 100%, $E$13)</f>
        <v>18.5365</v>
      </c>
      <c r="D1036" s="63">
        <f>18.5596 * CHOOSE(CONTROL!$C$22, $C$13, 100%, $E$13)</f>
        <v>18.5596</v>
      </c>
      <c r="E1036" s="64">
        <f>22.0725 * CHOOSE(CONTROL!$C$22, $C$13, 100%, $E$13)</f>
        <v>22.072500000000002</v>
      </c>
      <c r="F1036" s="64">
        <f>22.0725 * CHOOSE(CONTROL!$C$22, $C$13, 100%, $E$13)</f>
        <v>22.072500000000002</v>
      </c>
      <c r="G1036" s="64">
        <f>22.074 * CHOOSE(CONTROL!$C$22, $C$13, 100%, $E$13)</f>
        <v>22.074000000000002</v>
      </c>
      <c r="H1036" s="64">
        <f>35.3147* CHOOSE(CONTROL!$C$22, $C$13, 100%, $E$13)</f>
        <v>35.314700000000002</v>
      </c>
      <c r="I1036" s="64">
        <f>35.3162 * CHOOSE(CONTROL!$C$22, $C$13, 100%, $E$13)</f>
        <v>35.316200000000002</v>
      </c>
      <c r="J1036" s="64">
        <f>22.0725 * CHOOSE(CONTROL!$C$22, $C$13, 100%, $E$13)</f>
        <v>22.072500000000002</v>
      </c>
      <c r="K1036" s="64">
        <f>22.074 * CHOOSE(CONTROL!$C$22, $C$13, 100%, $E$13)</f>
        <v>22.074000000000002</v>
      </c>
    </row>
    <row r="1037" spans="1:11" ht="15">
      <c r="A1037" s="13">
        <v>73202</v>
      </c>
      <c r="B1037" s="63">
        <f>18.5425 * CHOOSE(CONTROL!$C$22, $C$13, 100%, $E$13)</f>
        <v>18.5425</v>
      </c>
      <c r="C1037" s="63">
        <f>18.5425 * CHOOSE(CONTROL!$C$22, $C$13, 100%, $E$13)</f>
        <v>18.5425</v>
      </c>
      <c r="D1037" s="63">
        <f>18.5657 * CHOOSE(CONTROL!$C$22, $C$13, 100%, $E$13)</f>
        <v>18.5657</v>
      </c>
      <c r="E1037" s="64">
        <f>22.0007 * CHOOSE(CONTROL!$C$22, $C$13, 100%, $E$13)</f>
        <v>22.000699999999998</v>
      </c>
      <c r="F1037" s="64">
        <f>22.0007 * CHOOSE(CONTROL!$C$22, $C$13, 100%, $E$13)</f>
        <v>22.000699999999998</v>
      </c>
      <c r="G1037" s="64">
        <f>22.0022 * CHOOSE(CONTROL!$C$22, $C$13, 100%, $E$13)</f>
        <v>22.002199999999998</v>
      </c>
      <c r="H1037" s="64">
        <f>35.3883* CHOOSE(CONTROL!$C$22, $C$13, 100%, $E$13)</f>
        <v>35.388300000000001</v>
      </c>
      <c r="I1037" s="64">
        <f>35.3898 * CHOOSE(CONTROL!$C$22, $C$13, 100%, $E$13)</f>
        <v>35.389800000000001</v>
      </c>
      <c r="J1037" s="64">
        <f>22.0007 * CHOOSE(CONTROL!$C$22, $C$13, 100%, $E$13)</f>
        <v>22.000699999999998</v>
      </c>
      <c r="K1037" s="64">
        <f>22.0022 * CHOOSE(CONTROL!$C$22, $C$13, 100%, $E$13)</f>
        <v>22.002199999999998</v>
      </c>
    </row>
    <row r="1038" spans="1:11" ht="15">
      <c r="A1038" s="13">
        <v>73232</v>
      </c>
      <c r="B1038" s="63">
        <f>18.8307 * CHOOSE(CONTROL!$C$22, $C$13, 100%, $E$13)</f>
        <v>18.8307</v>
      </c>
      <c r="C1038" s="63">
        <f>18.8307 * CHOOSE(CONTROL!$C$22, $C$13, 100%, $E$13)</f>
        <v>18.8307</v>
      </c>
      <c r="D1038" s="63">
        <f>18.8538 * CHOOSE(CONTROL!$C$22, $C$13, 100%, $E$13)</f>
        <v>18.8538</v>
      </c>
      <c r="E1038" s="64">
        <f>22.4167 * CHOOSE(CONTROL!$C$22, $C$13, 100%, $E$13)</f>
        <v>22.416699999999999</v>
      </c>
      <c r="F1038" s="64">
        <f>22.4167 * CHOOSE(CONTROL!$C$22, $C$13, 100%, $E$13)</f>
        <v>22.416699999999999</v>
      </c>
      <c r="G1038" s="64">
        <f>22.4182 * CHOOSE(CONTROL!$C$22, $C$13, 100%, $E$13)</f>
        <v>22.418199999999999</v>
      </c>
      <c r="H1038" s="64">
        <f>35.462* CHOOSE(CONTROL!$C$22, $C$13, 100%, $E$13)</f>
        <v>35.462000000000003</v>
      </c>
      <c r="I1038" s="64">
        <f>35.4635 * CHOOSE(CONTROL!$C$22, $C$13, 100%, $E$13)</f>
        <v>35.463500000000003</v>
      </c>
      <c r="J1038" s="64">
        <f>22.4167 * CHOOSE(CONTROL!$C$22, $C$13, 100%, $E$13)</f>
        <v>22.416699999999999</v>
      </c>
      <c r="K1038" s="64">
        <f>22.4182 * CHOOSE(CONTROL!$C$22, $C$13, 100%, $E$13)</f>
        <v>22.418199999999999</v>
      </c>
    </row>
    <row r="1039" spans="1:11" ht="15">
      <c r="A1039" s="13">
        <v>73263</v>
      </c>
      <c r="B1039" s="63">
        <f>18.8374 * CHOOSE(CONTROL!$C$22, $C$13, 100%, $E$13)</f>
        <v>18.837399999999999</v>
      </c>
      <c r="C1039" s="63">
        <f>18.8374 * CHOOSE(CONTROL!$C$22, $C$13, 100%, $E$13)</f>
        <v>18.837399999999999</v>
      </c>
      <c r="D1039" s="63">
        <f>18.8605 * CHOOSE(CONTROL!$C$22, $C$13, 100%, $E$13)</f>
        <v>18.860499999999998</v>
      </c>
      <c r="E1039" s="64">
        <f>22.1935 * CHOOSE(CONTROL!$C$22, $C$13, 100%, $E$13)</f>
        <v>22.1935</v>
      </c>
      <c r="F1039" s="64">
        <f>22.1935 * CHOOSE(CONTROL!$C$22, $C$13, 100%, $E$13)</f>
        <v>22.1935</v>
      </c>
      <c r="G1039" s="64">
        <f>22.195 * CHOOSE(CONTROL!$C$22, $C$13, 100%, $E$13)</f>
        <v>22.195</v>
      </c>
      <c r="H1039" s="64">
        <f>35.5359* CHOOSE(CONTROL!$C$22, $C$13, 100%, $E$13)</f>
        <v>35.535899999999998</v>
      </c>
      <c r="I1039" s="64">
        <f>35.5374 * CHOOSE(CONTROL!$C$22, $C$13, 100%, $E$13)</f>
        <v>35.537399999999998</v>
      </c>
      <c r="J1039" s="64">
        <f>22.1935 * CHOOSE(CONTROL!$C$22, $C$13, 100%, $E$13)</f>
        <v>22.1935</v>
      </c>
      <c r="K1039" s="64">
        <f>22.195 * CHOOSE(CONTROL!$C$22, $C$13, 100%, $E$13)</f>
        <v>22.195</v>
      </c>
    </row>
    <row r="1040" spans="1:11" ht="15">
      <c r="A1040" s="13">
        <v>73294</v>
      </c>
      <c r="B1040" s="63">
        <f>18.8343 * CHOOSE(CONTROL!$C$22, $C$13, 100%, $E$13)</f>
        <v>18.834299999999999</v>
      </c>
      <c r="C1040" s="63">
        <f>18.8343 * CHOOSE(CONTROL!$C$22, $C$13, 100%, $E$13)</f>
        <v>18.834299999999999</v>
      </c>
      <c r="D1040" s="63">
        <f>18.8574 * CHOOSE(CONTROL!$C$22, $C$13, 100%, $E$13)</f>
        <v>18.857399999999998</v>
      </c>
      <c r="E1040" s="64">
        <f>22.1661 * CHOOSE(CONTROL!$C$22, $C$13, 100%, $E$13)</f>
        <v>22.1661</v>
      </c>
      <c r="F1040" s="64">
        <f>22.1661 * CHOOSE(CONTROL!$C$22, $C$13, 100%, $E$13)</f>
        <v>22.1661</v>
      </c>
      <c r="G1040" s="64">
        <f>22.1675 * CHOOSE(CONTROL!$C$22, $C$13, 100%, $E$13)</f>
        <v>22.1675</v>
      </c>
      <c r="H1040" s="64">
        <f>35.6099* CHOOSE(CONTROL!$C$22, $C$13, 100%, $E$13)</f>
        <v>35.609900000000003</v>
      </c>
      <c r="I1040" s="64">
        <f>35.6114 * CHOOSE(CONTROL!$C$22, $C$13, 100%, $E$13)</f>
        <v>35.611400000000003</v>
      </c>
      <c r="J1040" s="64">
        <f>22.1661 * CHOOSE(CONTROL!$C$22, $C$13, 100%, $E$13)</f>
        <v>22.1661</v>
      </c>
      <c r="K1040" s="64">
        <f>22.1675 * CHOOSE(CONTROL!$C$22, $C$13, 100%, $E$13)</f>
        <v>22.1675</v>
      </c>
    </row>
    <row r="1041" spans="1:11" ht="15">
      <c r="A1041" s="13">
        <v>73324</v>
      </c>
      <c r="B1041" s="63">
        <f>18.8778 * CHOOSE(CONTROL!$C$22, $C$13, 100%, $E$13)</f>
        <v>18.877800000000001</v>
      </c>
      <c r="C1041" s="63">
        <f>18.8778 * CHOOSE(CONTROL!$C$22, $C$13, 100%, $E$13)</f>
        <v>18.877800000000001</v>
      </c>
      <c r="D1041" s="63">
        <f>18.8894 * CHOOSE(CONTROL!$C$22, $C$13, 100%, $E$13)</f>
        <v>18.889399999999998</v>
      </c>
      <c r="E1041" s="64">
        <f>22.2539 * CHOOSE(CONTROL!$C$22, $C$13, 100%, $E$13)</f>
        <v>22.253900000000002</v>
      </c>
      <c r="F1041" s="64">
        <f>22.2539 * CHOOSE(CONTROL!$C$22, $C$13, 100%, $E$13)</f>
        <v>22.253900000000002</v>
      </c>
      <c r="G1041" s="64">
        <f>22.2541 * CHOOSE(CONTROL!$C$22, $C$13, 100%, $E$13)</f>
        <v>22.254100000000001</v>
      </c>
      <c r="H1041" s="64">
        <f>35.6841* CHOOSE(CONTROL!$C$22, $C$13, 100%, $E$13)</f>
        <v>35.684100000000001</v>
      </c>
      <c r="I1041" s="64">
        <f>35.6843 * CHOOSE(CONTROL!$C$22, $C$13, 100%, $E$13)</f>
        <v>35.6843</v>
      </c>
      <c r="J1041" s="64">
        <f>22.2539 * CHOOSE(CONTROL!$C$22, $C$13, 100%, $E$13)</f>
        <v>22.253900000000002</v>
      </c>
      <c r="K1041" s="64">
        <f>22.2541 * CHOOSE(CONTROL!$C$22, $C$13, 100%, $E$13)</f>
        <v>22.254100000000001</v>
      </c>
    </row>
    <row r="1042" spans="1:11" ht="15">
      <c r="A1042" s="13">
        <v>73355</v>
      </c>
      <c r="B1042" s="63">
        <f>18.8808 * CHOOSE(CONTROL!$C$22, $C$13, 100%, $E$13)</f>
        <v>18.880800000000001</v>
      </c>
      <c r="C1042" s="63">
        <f>18.8808 * CHOOSE(CONTROL!$C$22, $C$13, 100%, $E$13)</f>
        <v>18.880800000000001</v>
      </c>
      <c r="D1042" s="63">
        <f>18.8924 * CHOOSE(CONTROL!$C$22, $C$13, 100%, $E$13)</f>
        <v>18.892399999999999</v>
      </c>
      <c r="E1042" s="64">
        <f>22.3067 * CHOOSE(CONTROL!$C$22, $C$13, 100%, $E$13)</f>
        <v>22.306699999999999</v>
      </c>
      <c r="F1042" s="64">
        <f>22.3067 * CHOOSE(CONTROL!$C$22, $C$13, 100%, $E$13)</f>
        <v>22.306699999999999</v>
      </c>
      <c r="G1042" s="64">
        <f>22.3069 * CHOOSE(CONTROL!$C$22, $C$13, 100%, $E$13)</f>
        <v>22.306899999999999</v>
      </c>
      <c r="H1042" s="64">
        <f>35.7585* CHOOSE(CONTROL!$C$22, $C$13, 100%, $E$13)</f>
        <v>35.758499999999998</v>
      </c>
      <c r="I1042" s="64">
        <f>35.7586 * CHOOSE(CONTROL!$C$22, $C$13, 100%, $E$13)</f>
        <v>35.758600000000001</v>
      </c>
      <c r="J1042" s="64">
        <f>22.3067 * CHOOSE(CONTROL!$C$22, $C$13, 100%, $E$13)</f>
        <v>22.306699999999999</v>
      </c>
      <c r="K1042" s="64">
        <f>22.3069 * CHOOSE(CONTROL!$C$22, $C$13, 100%, $E$13)</f>
        <v>22.306899999999999</v>
      </c>
    </row>
    <row r="1043" spans="1:11" ht="15">
      <c r="A1043" s="13">
        <v>73385</v>
      </c>
      <c r="B1043" s="63">
        <f>18.8808 * CHOOSE(CONTROL!$C$22, $C$13, 100%, $E$13)</f>
        <v>18.880800000000001</v>
      </c>
      <c r="C1043" s="63">
        <f>18.8808 * CHOOSE(CONTROL!$C$22, $C$13, 100%, $E$13)</f>
        <v>18.880800000000001</v>
      </c>
      <c r="D1043" s="63">
        <f>18.8924 * CHOOSE(CONTROL!$C$22, $C$13, 100%, $E$13)</f>
        <v>18.892399999999999</v>
      </c>
      <c r="E1043" s="64">
        <f>22.1801 * CHOOSE(CONTROL!$C$22, $C$13, 100%, $E$13)</f>
        <v>22.180099999999999</v>
      </c>
      <c r="F1043" s="64">
        <f>22.1801 * CHOOSE(CONTROL!$C$22, $C$13, 100%, $E$13)</f>
        <v>22.180099999999999</v>
      </c>
      <c r="G1043" s="64">
        <f>22.1803 * CHOOSE(CONTROL!$C$22, $C$13, 100%, $E$13)</f>
        <v>22.180299999999999</v>
      </c>
      <c r="H1043" s="64">
        <f>35.833* CHOOSE(CONTROL!$C$22, $C$13, 100%, $E$13)</f>
        <v>35.832999999999998</v>
      </c>
      <c r="I1043" s="64">
        <f>35.8331 * CHOOSE(CONTROL!$C$22, $C$13, 100%, $E$13)</f>
        <v>35.833100000000002</v>
      </c>
      <c r="J1043" s="64">
        <f>22.1801 * CHOOSE(CONTROL!$C$22, $C$13, 100%, $E$13)</f>
        <v>22.180099999999999</v>
      </c>
      <c r="K1043" s="64">
        <f>22.1803 * CHOOSE(CONTROL!$C$22, $C$13, 100%, $E$13)</f>
        <v>22.180299999999999</v>
      </c>
    </row>
    <row r="1044" spans="1:11" ht="15">
      <c r="A1044" s="10"/>
      <c r="B1044" s="63"/>
      <c r="C1044" s="63"/>
      <c r="D1044" s="63"/>
      <c r="E1044" s="64"/>
      <c r="F1044" s="64"/>
      <c r="G1044" s="64"/>
      <c r="H1044" s="64"/>
      <c r="I1044" s="64"/>
      <c r="J1044" s="64"/>
      <c r="K1044" s="64"/>
    </row>
    <row r="1045" spans="1:11" ht="15">
      <c r="A1045" s="3">
        <v>2015</v>
      </c>
      <c r="B1045" s="63">
        <f t="shared" ref="B1045:K1045" si="0">AVERAGE(B17:B23)</f>
        <v>2.2334857142857145</v>
      </c>
      <c r="C1045" s="63">
        <f t="shared" si="0"/>
        <v>2.2334857142857145</v>
      </c>
      <c r="D1045" s="63">
        <f t="shared" si="0"/>
        <v>2.2516285714285713</v>
      </c>
      <c r="E1045" s="63">
        <f t="shared" si="0"/>
        <v>3.317185714285714</v>
      </c>
      <c r="F1045" s="63">
        <f t="shared" si="0"/>
        <v>4.0599999999999996</v>
      </c>
      <c r="G1045" s="63">
        <f t="shared" si="0"/>
        <v>4.060942857142857</v>
      </c>
      <c r="H1045" s="63">
        <f t="shared" si="0"/>
        <v>5.6835714285714278</v>
      </c>
      <c r="I1045" s="63">
        <f t="shared" si="0"/>
        <v>5.6844857142857137</v>
      </c>
      <c r="J1045" s="63">
        <f t="shared" si="0"/>
        <v>3.317185714285714</v>
      </c>
      <c r="K1045" s="63">
        <f t="shared" si="0"/>
        <v>3.3181000000000003</v>
      </c>
    </row>
    <row r="1046" spans="1:11" ht="15">
      <c r="A1046" s="3">
        <v>2016</v>
      </c>
      <c r="B1046" s="63">
        <f t="shared" ref="B1046:K1046" si="1">AVERAGE(B24:B35)</f>
        <v>2.6408833333333335</v>
      </c>
      <c r="C1046" s="63">
        <f t="shared" si="1"/>
        <v>2.6408833333333335</v>
      </c>
      <c r="D1046" s="63">
        <f t="shared" si="1"/>
        <v>2.6572583333333335</v>
      </c>
      <c r="E1046" s="63">
        <f t="shared" si="1"/>
        <v>3.361966666666667</v>
      </c>
      <c r="F1046" s="63">
        <f t="shared" si="1"/>
        <v>4.0214166666666662</v>
      </c>
      <c r="G1046" s="63">
        <f t="shared" si="1"/>
        <v>4.0221583333333335</v>
      </c>
      <c r="H1046" s="63">
        <f t="shared" si="1"/>
        <v>5.7971666666666666</v>
      </c>
      <c r="I1046" s="63">
        <f t="shared" si="1"/>
        <v>5.7978749999999986</v>
      </c>
      <c r="J1046" s="63">
        <f t="shared" si="1"/>
        <v>3.361966666666667</v>
      </c>
      <c r="K1046" s="63">
        <f t="shared" si="1"/>
        <v>3.3626999999999998</v>
      </c>
    </row>
    <row r="1047" spans="1:11" ht="15">
      <c r="A1047" s="3">
        <v>2017</v>
      </c>
      <c r="B1047" s="63">
        <f t="shared" ref="B1047:K1047" si="2">AVERAGE(B36:B47)</f>
        <v>2.7329833333333333</v>
      </c>
      <c r="C1047" s="63">
        <f t="shared" si="2"/>
        <v>2.7329833333333333</v>
      </c>
      <c r="D1047" s="63">
        <f t="shared" si="2"/>
        <v>2.749333333333333</v>
      </c>
      <c r="E1047" s="63">
        <f t="shared" si="2"/>
        <v>3.5132250000000003</v>
      </c>
      <c r="F1047" s="63">
        <f t="shared" si="2"/>
        <v>3.5132250000000003</v>
      </c>
      <c r="G1047" s="63">
        <f t="shared" si="2"/>
        <v>3.5139666666666667</v>
      </c>
      <c r="H1047" s="63">
        <f t="shared" si="2"/>
        <v>5.943766666666666</v>
      </c>
      <c r="I1047" s="63">
        <f t="shared" si="2"/>
        <v>5.9444833333333351</v>
      </c>
      <c r="J1047" s="63">
        <f t="shared" si="2"/>
        <v>3.5132250000000003</v>
      </c>
      <c r="K1047" s="63">
        <f t="shared" si="2"/>
        <v>3.5139666666666667</v>
      </c>
    </row>
    <row r="1048" spans="1:11" ht="15">
      <c r="A1048" s="3">
        <v>2018</v>
      </c>
      <c r="B1048" s="63">
        <f t="shared" ref="B1048:K1048" si="3">AVERAGE(B48:B59)</f>
        <v>2.8547750000000001</v>
      </c>
      <c r="C1048" s="63">
        <f t="shared" si="3"/>
        <v>2.8547750000000001</v>
      </c>
      <c r="D1048" s="63">
        <f t="shared" si="3"/>
        <v>2.8711666666666669</v>
      </c>
      <c r="E1048" s="63">
        <f t="shared" si="3"/>
        <v>3.3498833333333331</v>
      </c>
      <c r="F1048" s="63">
        <f t="shared" si="3"/>
        <v>3.3498833333333331</v>
      </c>
      <c r="G1048" s="63">
        <f t="shared" si="3"/>
        <v>3.3506083333333336</v>
      </c>
      <c r="H1048" s="63">
        <f t="shared" si="3"/>
        <v>6.0940916666666674</v>
      </c>
      <c r="I1048" s="63">
        <f t="shared" si="3"/>
        <v>6.0948083333333329</v>
      </c>
      <c r="J1048" s="63">
        <f t="shared" si="3"/>
        <v>3.3498833333333331</v>
      </c>
      <c r="K1048" s="63">
        <f t="shared" si="3"/>
        <v>3.3506083333333336</v>
      </c>
    </row>
    <row r="1049" spans="1:11" ht="15">
      <c r="A1049" s="3">
        <v>2019</v>
      </c>
      <c r="B1049" s="63">
        <f t="shared" ref="B1049:K1049" si="4">AVERAGE(B60:B71)</f>
        <v>2.9488833333333333</v>
      </c>
      <c r="C1049" s="63">
        <f t="shared" si="4"/>
        <v>2.9488833333333333</v>
      </c>
      <c r="D1049" s="63">
        <f t="shared" si="4"/>
        <v>2.9652416666666661</v>
      </c>
      <c r="E1049" s="63">
        <f t="shared" si="4"/>
        <v>3.4520083333333336</v>
      </c>
      <c r="F1049" s="63">
        <f t="shared" si="4"/>
        <v>3.4520083333333336</v>
      </c>
      <c r="G1049" s="63">
        <f t="shared" si="4"/>
        <v>3.4527416666666668</v>
      </c>
      <c r="H1049" s="63">
        <f t="shared" si="4"/>
        <v>6.2481916666666679</v>
      </c>
      <c r="I1049" s="63">
        <f t="shared" si="4"/>
        <v>6.2489083333333326</v>
      </c>
      <c r="J1049" s="63">
        <f t="shared" si="4"/>
        <v>3.4520083333333336</v>
      </c>
      <c r="K1049" s="63">
        <f t="shared" si="4"/>
        <v>3.4527416666666668</v>
      </c>
    </row>
    <row r="1050" spans="1:11" ht="15">
      <c r="A1050" s="3">
        <v>2020</v>
      </c>
      <c r="B1050" s="63">
        <f t="shared" ref="B1050:K1050" si="5">AVERAGE(B72:B83)</f>
        <v>3.0247416666666669</v>
      </c>
      <c r="C1050" s="63">
        <f t="shared" si="5"/>
        <v>3.0247416666666669</v>
      </c>
      <c r="D1050" s="63">
        <f t="shared" si="5"/>
        <v>3.0410999999999997</v>
      </c>
      <c r="E1050" s="63">
        <f t="shared" si="5"/>
        <v>3.5770166666666667</v>
      </c>
      <c r="F1050" s="63">
        <f t="shared" si="5"/>
        <v>3.5770166666666667</v>
      </c>
      <c r="G1050" s="63">
        <f t="shared" si="5"/>
        <v>3.57775</v>
      </c>
      <c r="H1050" s="63">
        <f t="shared" si="5"/>
        <v>6.4061999999999992</v>
      </c>
      <c r="I1050" s="63">
        <f t="shared" si="5"/>
        <v>6.4069250000000011</v>
      </c>
      <c r="J1050" s="63">
        <f t="shared" si="5"/>
        <v>3.5770166666666667</v>
      </c>
      <c r="K1050" s="63">
        <f t="shared" si="5"/>
        <v>3.57775</v>
      </c>
    </row>
    <row r="1051" spans="1:11" ht="15">
      <c r="A1051" s="3">
        <v>2021</v>
      </c>
      <c r="B1051" s="63">
        <f t="shared" ref="B1051:K1051" si="6">AVERAGE(B84:B95)</f>
        <v>3.1064250000000002</v>
      </c>
      <c r="C1051" s="63">
        <f t="shared" si="6"/>
        <v>3.1064250000000002</v>
      </c>
      <c r="D1051" s="63">
        <f t="shared" si="6"/>
        <v>3.1227999999999994</v>
      </c>
      <c r="E1051" s="63">
        <f t="shared" si="6"/>
        <v>3.659675</v>
      </c>
      <c r="F1051" s="63">
        <f t="shared" si="6"/>
        <v>3.659675</v>
      </c>
      <c r="G1051" s="63">
        <f t="shared" si="6"/>
        <v>3.6603833333333333</v>
      </c>
      <c r="H1051" s="63">
        <f t="shared" si="6"/>
        <v>6.5682</v>
      </c>
      <c r="I1051" s="63">
        <f t="shared" si="6"/>
        <v>6.5689250000000001</v>
      </c>
      <c r="J1051" s="63">
        <f t="shared" si="6"/>
        <v>3.659675</v>
      </c>
      <c r="K1051" s="63">
        <f t="shared" si="6"/>
        <v>3.6603833333333333</v>
      </c>
    </row>
    <row r="1052" spans="1:11" ht="15">
      <c r="A1052" s="3">
        <v>2022</v>
      </c>
      <c r="B1052" s="63">
        <f t="shared" ref="B1052:K1052" si="7">AVERAGE(B96:B107)</f>
        <v>3.1894000000000005</v>
      </c>
      <c r="C1052" s="63">
        <f t="shared" si="7"/>
        <v>3.1894000000000005</v>
      </c>
      <c r="D1052" s="63">
        <f t="shared" si="7"/>
        <v>3.2057666666666669</v>
      </c>
      <c r="E1052" s="63">
        <f t="shared" si="7"/>
        <v>3.7376166666666673</v>
      </c>
      <c r="F1052" s="63">
        <f t="shared" si="7"/>
        <v>3.7376166666666673</v>
      </c>
      <c r="G1052" s="63">
        <f t="shared" si="7"/>
        <v>3.7383416666666669</v>
      </c>
      <c r="H1052" s="63">
        <f t="shared" si="7"/>
        <v>6.7342833333333338</v>
      </c>
      <c r="I1052" s="63">
        <f t="shared" si="7"/>
        <v>6.7350166666666675</v>
      </c>
      <c r="J1052" s="63">
        <f t="shared" si="7"/>
        <v>3.7376166666666673</v>
      </c>
      <c r="K1052" s="63">
        <f t="shared" si="7"/>
        <v>3.7383416666666669</v>
      </c>
    </row>
    <row r="1053" spans="1:11" ht="15">
      <c r="A1053" s="3">
        <v>2023</v>
      </c>
      <c r="B1053" s="63">
        <f t="shared" ref="B1053:K1053" si="8">AVERAGE(B108:B119)</f>
        <v>3.2733583333333329</v>
      </c>
      <c r="C1053" s="63">
        <f t="shared" si="8"/>
        <v>3.2733583333333329</v>
      </c>
      <c r="D1053" s="63">
        <f t="shared" si="8"/>
        <v>3.289733333333333</v>
      </c>
      <c r="E1053" s="63">
        <f t="shared" si="8"/>
        <v>3.8185500000000006</v>
      </c>
      <c r="F1053" s="63">
        <f t="shared" si="8"/>
        <v>3.8185500000000006</v>
      </c>
      <c r="G1053" s="63">
        <f t="shared" si="8"/>
        <v>3.8192833333333343</v>
      </c>
      <c r="H1053" s="63">
        <f t="shared" si="8"/>
        <v>6.9045916666666658</v>
      </c>
      <c r="I1053" s="63">
        <f t="shared" si="8"/>
        <v>6.9053250000000004</v>
      </c>
      <c r="J1053" s="63">
        <f t="shared" si="8"/>
        <v>3.8185500000000006</v>
      </c>
      <c r="K1053" s="63">
        <f t="shared" si="8"/>
        <v>3.8192833333333343</v>
      </c>
    </row>
    <row r="1054" spans="1:11" ht="15">
      <c r="A1054" s="3">
        <v>2024</v>
      </c>
      <c r="B1054" s="63">
        <f t="shared" ref="B1054:K1054" si="9">AVERAGE(B120:B131)</f>
        <v>3.356641666666667</v>
      </c>
      <c r="C1054" s="63">
        <f t="shared" si="9"/>
        <v>3.356641666666667</v>
      </c>
      <c r="D1054" s="63">
        <f t="shared" si="9"/>
        <v>3.3730166666666661</v>
      </c>
      <c r="E1054" s="63">
        <f t="shared" si="9"/>
        <v>3.8828749999999999</v>
      </c>
      <c r="F1054" s="63">
        <f t="shared" si="9"/>
        <v>3.8828749999999999</v>
      </c>
      <c r="G1054" s="63">
        <f t="shared" si="9"/>
        <v>3.8835916666666663</v>
      </c>
      <c r="H1054" s="63">
        <f t="shared" si="9"/>
        <v>7.0792083333333329</v>
      </c>
      <c r="I1054" s="63">
        <f t="shared" si="9"/>
        <v>7.079908333333333</v>
      </c>
      <c r="J1054" s="63">
        <f t="shared" si="9"/>
        <v>3.8828749999999999</v>
      </c>
      <c r="K1054" s="63">
        <f t="shared" si="9"/>
        <v>3.8835916666666663</v>
      </c>
    </row>
    <row r="1055" spans="1:11" ht="15">
      <c r="A1055" s="3">
        <v>2025</v>
      </c>
      <c r="B1055" s="63">
        <f t="shared" ref="B1055:K1055" si="10">AVERAGE(B132:B143)</f>
        <v>3.4431833333333337</v>
      </c>
      <c r="C1055" s="63">
        <f t="shared" si="10"/>
        <v>3.4431833333333337</v>
      </c>
      <c r="D1055" s="63">
        <f t="shared" si="10"/>
        <v>3.4595500000000001</v>
      </c>
      <c r="E1055" s="63">
        <f t="shared" si="10"/>
        <v>3.9477666666666664</v>
      </c>
      <c r="F1055" s="63">
        <f t="shared" si="10"/>
        <v>3.9477666666666664</v>
      </c>
      <c r="G1055" s="63">
        <f t="shared" si="10"/>
        <v>3.9484999999999992</v>
      </c>
      <c r="H1055" s="63">
        <f t="shared" si="10"/>
        <v>7.2582250000000004</v>
      </c>
      <c r="I1055" s="63">
        <f t="shared" si="10"/>
        <v>7.2589499999999996</v>
      </c>
      <c r="J1055" s="63">
        <f t="shared" si="10"/>
        <v>3.9477666666666664</v>
      </c>
      <c r="K1055" s="63">
        <f t="shared" si="10"/>
        <v>3.9484999999999992</v>
      </c>
    </row>
    <row r="1056" spans="1:11" ht="15">
      <c r="A1056" s="3">
        <v>2026</v>
      </c>
      <c r="B1056" s="63">
        <f t="shared" ref="B1056:K1056" si="11">AVERAGE(B144:B155)</f>
        <v>3.5199749999999992</v>
      </c>
      <c r="C1056" s="63">
        <f t="shared" si="11"/>
        <v>3.5199749999999992</v>
      </c>
      <c r="D1056" s="63">
        <f t="shared" si="11"/>
        <v>3.5363416666666665</v>
      </c>
      <c r="E1056" s="63">
        <f t="shared" si="11"/>
        <v>4.0216916666666664</v>
      </c>
      <c r="F1056" s="63">
        <f t="shared" si="11"/>
        <v>4.0216916666666664</v>
      </c>
      <c r="G1056" s="63">
        <f t="shared" si="11"/>
        <v>4.0224333333333337</v>
      </c>
      <c r="H1056" s="63">
        <f t="shared" si="11"/>
        <v>7.4417749999999998</v>
      </c>
      <c r="I1056" s="63">
        <f t="shared" si="11"/>
        <v>7.4424916666666654</v>
      </c>
      <c r="J1056" s="63">
        <f t="shared" si="11"/>
        <v>4.0216916666666664</v>
      </c>
      <c r="K1056" s="63">
        <f t="shared" si="11"/>
        <v>4.0224333333333337</v>
      </c>
    </row>
    <row r="1057" spans="1:11" ht="15">
      <c r="A1057" s="3">
        <v>2027</v>
      </c>
      <c r="B1057" s="63">
        <f t="shared" ref="B1057:K1057" si="12">AVERAGE(B156:B167)</f>
        <v>3.5945083333333336</v>
      </c>
      <c r="C1057" s="63">
        <f t="shared" si="12"/>
        <v>3.5945083333333336</v>
      </c>
      <c r="D1057" s="63">
        <f t="shared" si="12"/>
        <v>3.6108833333333332</v>
      </c>
      <c r="E1057" s="63">
        <f t="shared" si="12"/>
        <v>4.0970250000000004</v>
      </c>
      <c r="F1057" s="63">
        <f t="shared" si="12"/>
        <v>4.0970250000000004</v>
      </c>
      <c r="G1057" s="63">
        <f t="shared" si="12"/>
        <v>4.0977416666666677</v>
      </c>
      <c r="H1057" s="63">
        <f t="shared" si="12"/>
        <v>7.6299583333333345</v>
      </c>
      <c r="I1057" s="63">
        <f t="shared" si="12"/>
        <v>7.6306916666666664</v>
      </c>
      <c r="J1057" s="63">
        <f t="shared" si="12"/>
        <v>4.0970250000000004</v>
      </c>
      <c r="K1057" s="63">
        <f t="shared" si="12"/>
        <v>4.0977416666666677</v>
      </c>
    </row>
    <row r="1058" spans="1:11" ht="15">
      <c r="A1058" s="3">
        <v>2028</v>
      </c>
      <c r="B1058" s="63">
        <f t="shared" ref="B1058:K1058" si="13">AVERAGE(B168:B179)</f>
        <v>3.6865333333333346</v>
      </c>
      <c r="C1058" s="63">
        <f t="shared" si="13"/>
        <v>3.6865333333333346</v>
      </c>
      <c r="D1058" s="63">
        <f t="shared" si="13"/>
        <v>3.7028916666666665</v>
      </c>
      <c r="E1058" s="63">
        <f t="shared" si="13"/>
        <v>4.1895333333333324</v>
      </c>
      <c r="F1058" s="63">
        <f t="shared" si="13"/>
        <v>4.1895333333333324</v>
      </c>
      <c r="G1058" s="63">
        <f t="shared" si="13"/>
        <v>4.1902666666666661</v>
      </c>
      <c r="H1058" s="63">
        <f t="shared" si="13"/>
        <v>7.822916666666667</v>
      </c>
      <c r="I1058" s="63">
        <f t="shared" si="13"/>
        <v>7.8236416666666662</v>
      </c>
      <c r="J1058" s="63">
        <f t="shared" si="13"/>
        <v>4.1895333333333324</v>
      </c>
      <c r="K1058" s="63">
        <f t="shared" si="13"/>
        <v>4.1902666666666661</v>
      </c>
    </row>
    <row r="1059" spans="1:11" ht="15">
      <c r="A1059" s="3">
        <v>2029</v>
      </c>
      <c r="B1059" s="63">
        <f t="shared" ref="B1059:K1059" si="14">AVERAGE(B180:B191)</f>
        <v>3.7820583333333331</v>
      </c>
      <c r="C1059" s="63">
        <f t="shared" si="14"/>
        <v>3.7820583333333331</v>
      </c>
      <c r="D1059" s="63">
        <f t="shared" si="14"/>
        <v>3.7984249999999999</v>
      </c>
      <c r="E1059" s="63">
        <f t="shared" si="14"/>
        <v>4.3054249999999996</v>
      </c>
      <c r="F1059" s="63">
        <f t="shared" si="14"/>
        <v>4.3054249999999996</v>
      </c>
      <c r="G1059" s="63">
        <f t="shared" si="14"/>
        <v>4.3061583333333342</v>
      </c>
      <c r="H1059" s="63">
        <f t="shared" si="14"/>
        <v>8.0207499999999996</v>
      </c>
      <c r="I1059" s="63">
        <f t="shared" si="14"/>
        <v>8.0214583333333334</v>
      </c>
      <c r="J1059" s="63">
        <f t="shared" si="14"/>
        <v>4.3054249999999996</v>
      </c>
      <c r="K1059" s="63">
        <f t="shared" si="14"/>
        <v>4.3061583333333342</v>
      </c>
    </row>
    <row r="1060" spans="1:11" ht="15">
      <c r="A1060" s="3">
        <v>2030</v>
      </c>
      <c r="B1060" s="63">
        <f t="shared" ref="B1060:K1060" si="15">AVERAGE(B192:B203)</f>
        <v>3.8811916666666666</v>
      </c>
      <c r="C1060" s="63">
        <f t="shared" si="15"/>
        <v>3.8811916666666666</v>
      </c>
      <c r="D1060" s="63">
        <f t="shared" si="15"/>
        <v>3.897558333333333</v>
      </c>
      <c r="E1060" s="63">
        <f t="shared" si="15"/>
        <v>4.4246083333333326</v>
      </c>
      <c r="F1060" s="63">
        <f t="shared" si="15"/>
        <v>4.4246083333333326</v>
      </c>
      <c r="G1060" s="63">
        <f t="shared" si="15"/>
        <v>4.4253416666666663</v>
      </c>
      <c r="H1060" s="63">
        <f t="shared" si="15"/>
        <v>8.2235750000000003</v>
      </c>
      <c r="I1060" s="63">
        <f t="shared" si="15"/>
        <v>8.2243000000000013</v>
      </c>
      <c r="J1060" s="63">
        <f t="shared" si="15"/>
        <v>4.4246083333333326</v>
      </c>
      <c r="K1060" s="63">
        <f t="shared" si="15"/>
        <v>4.4253416666666663</v>
      </c>
    </row>
    <row r="1061" spans="1:11" ht="15">
      <c r="A1061" s="3">
        <v>2031</v>
      </c>
      <c r="B1061" s="63">
        <f t="shared" ref="B1061:K1061" si="16">AVERAGE(B204:B215)</f>
        <v>3.9861666666666671</v>
      </c>
      <c r="C1061" s="63">
        <f t="shared" si="16"/>
        <v>3.9861666666666671</v>
      </c>
      <c r="D1061" s="63">
        <f t="shared" si="16"/>
        <v>4.0025249999999994</v>
      </c>
      <c r="E1061" s="63">
        <f t="shared" si="16"/>
        <v>4.564283333333333</v>
      </c>
      <c r="F1061" s="63">
        <f t="shared" si="16"/>
        <v>4.564283333333333</v>
      </c>
      <c r="G1061" s="63">
        <f t="shared" si="16"/>
        <v>4.5649999999999995</v>
      </c>
      <c r="H1061" s="63">
        <f t="shared" si="16"/>
        <v>8.4315499999999997</v>
      </c>
      <c r="I1061" s="63">
        <f t="shared" si="16"/>
        <v>8.4322499999999998</v>
      </c>
      <c r="J1061" s="63">
        <f t="shared" si="16"/>
        <v>4.564283333333333</v>
      </c>
      <c r="K1061" s="63">
        <f t="shared" si="16"/>
        <v>4.5649999999999995</v>
      </c>
    </row>
    <row r="1062" spans="1:11" ht="15">
      <c r="A1062" s="3">
        <v>2032</v>
      </c>
      <c r="B1062" s="63">
        <f t="shared" ref="B1062:K1062" si="17">AVERAGE(B216:B227)</f>
        <v>4.1071416666666662</v>
      </c>
      <c r="C1062" s="63">
        <f t="shared" si="17"/>
        <v>4.1071416666666662</v>
      </c>
      <c r="D1062" s="63">
        <f t="shared" si="17"/>
        <v>4.1234999999999999</v>
      </c>
      <c r="E1062" s="63">
        <f t="shared" si="17"/>
        <v>4.7087666666666665</v>
      </c>
      <c r="F1062" s="63">
        <f t="shared" si="17"/>
        <v>4.7087666666666665</v>
      </c>
      <c r="G1062" s="63">
        <f t="shared" si="17"/>
        <v>4.7094749999999994</v>
      </c>
      <c r="H1062" s="63">
        <f t="shared" si="17"/>
        <v>8.6447666666666674</v>
      </c>
      <c r="I1062" s="63">
        <f t="shared" si="17"/>
        <v>8.645483333333333</v>
      </c>
      <c r="J1062" s="63">
        <f t="shared" si="17"/>
        <v>4.7087666666666665</v>
      </c>
      <c r="K1062" s="63">
        <f t="shared" si="17"/>
        <v>4.7094749999999994</v>
      </c>
    </row>
    <row r="1063" spans="1:11" ht="15">
      <c r="A1063" s="3">
        <v>2033</v>
      </c>
      <c r="B1063" s="63">
        <f t="shared" ref="B1063:K1063" si="18">AVERAGE(B228:B239)</f>
        <v>4.2320083333333329</v>
      </c>
      <c r="C1063" s="63">
        <f t="shared" si="18"/>
        <v>4.2320083333333329</v>
      </c>
      <c r="D1063" s="63">
        <f t="shared" si="18"/>
        <v>4.248383333333333</v>
      </c>
      <c r="E1063" s="63">
        <f t="shared" si="18"/>
        <v>4.8575416666666671</v>
      </c>
      <c r="F1063" s="63">
        <f t="shared" si="18"/>
        <v>4.8575416666666671</v>
      </c>
      <c r="G1063" s="63">
        <f t="shared" si="18"/>
        <v>4.8582666666666663</v>
      </c>
      <c r="H1063" s="63">
        <f t="shared" si="18"/>
        <v>8.8633666666666659</v>
      </c>
      <c r="I1063" s="63">
        <f t="shared" si="18"/>
        <v>8.8640916666666651</v>
      </c>
      <c r="J1063" s="63">
        <f t="shared" si="18"/>
        <v>4.8575416666666671</v>
      </c>
      <c r="K1063" s="63">
        <f t="shared" si="18"/>
        <v>4.8582666666666663</v>
      </c>
    </row>
    <row r="1064" spans="1:11" ht="15">
      <c r="A1064" s="3">
        <v>2034</v>
      </c>
      <c r="B1064" s="63">
        <f t="shared" ref="B1064:K1064" si="19">AVERAGE(B240:B251)</f>
        <v>4.3617000000000008</v>
      </c>
      <c r="C1064" s="63">
        <f t="shared" si="19"/>
        <v>4.3617000000000008</v>
      </c>
      <c r="D1064" s="63">
        <f t="shared" si="19"/>
        <v>4.3780666666666672</v>
      </c>
      <c r="E1064" s="63">
        <f t="shared" si="19"/>
        <v>5.0112666666666668</v>
      </c>
      <c r="F1064" s="63">
        <f t="shared" si="19"/>
        <v>5.0112666666666668</v>
      </c>
      <c r="G1064" s="63">
        <f t="shared" si="19"/>
        <v>5.0119833333333341</v>
      </c>
      <c r="H1064" s="63">
        <f t="shared" si="19"/>
        <v>9.0875166666666658</v>
      </c>
      <c r="I1064" s="63">
        <f t="shared" si="19"/>
        <v>9.0882333333333332</v>
      </c>
      <c r="J1064" s="63">
        <f t="shared" si="19"/>
        <v>5.0112666666666668</v>
      </c>
      <c r="K1064" s="63">
        <f t="shared" si="19"/>
        <v>5.0119833333333341</v>
      </c>
    </row>
    <row r="1065" spans="1:11" ht="15">
      <c r="A1065" s="3">
        <v>2035</v>
      </c>
      <c r="B1065" s="63">
        <f t="shared" ref="B1065:K1065" si="20">AVERAGE(B252:B263)</f>
        <v>4.4858083333333338</v>
      </c>
      <c r="C1065" s="63">
        <f t="shared" si="20"/>
        <v>4.4858083333333338</v>
      </c>
      <c r="D1065" s="63">
        <f t="shared" si="20"/>
        <v>4.5021750000000003</v>
      </c>
      <c r="E1065" s="63">
        <f t="shared" si="20"/>
        <v>5.1507166666666668</v>
      </c>
      <c r="F1065" s="63">
        <f t="shared" si="20"/>
        <v>5.1507166666666668</v>
      </c>
      <c r="G1065" s="63">
        <f t="shared" si="20"/>
        <v>5.1514333333333324</v>
      </c>
      <c r="H1065" s="63">
        <f t="shared" si="20"/>
        <v>9.3173083333333349</v>
      </c>
      <c r="I1065" s="63">
        <f t="shared" si="20"/>
        <v>9.3180416666666677</v>
      </c>
      <c r="J1065" s="63">
        <f t="shared" si="20"/>
        <v>5.1507166666666668</v>
      </c>
      <c r="K1065" s="63">
        <f t="shared" si="20"/>
        <v>5.1514333333333324</v>
      </c>
    </row>
    <row r="1066" spans="1:11" ht="15">
      <c r="A1066" s="3">
        <v>2036</v>
      </c>
      <c r="B1066" s="63">
        <f t="shared" ref="B1066:K1066" si="21">AVERAGE(B264:B275)</f>
        <v>4.6092000000000004</v>
      </c>
      <c r="C1066" s="63">
        <f t="shared" si="21"/>
        <v>4.6092000000000004</v>
      </c>
      <c r="D1066" s="63">
        <f t="shared" si="21"/>
        <v>4.6255666666666668</v>
      </c>
      <c r="E1066" s="63">
        <f t="shared" si="21"/>
        <v>5.2943249999999997</v>
      </c>
      <c r="F1066" s="63">
        <f t="shared" si="21"/>
        <v>5.2943249999999997</v>
      </c>
      <c r="G1066" s="63">
        <f t="shared" si="21"/>
        <v>5.2950333333333335</v>
      </c>
      <c r="H1066" s="63">
        <f t="shared" si="21"/>
        <v>9.5529416666666673</v>
      </c>
      <c r="I1066" s="63">
        <f t="shared" si="21"/>
        <v>9.5536583333333329</v>
      </c>
      <c r="J1066" s="63">
        <f t="shared" si="21"/>
        <v>5.2943249999999997</v>
      </c>
      <c r="K1066" s="63">
        <f t="shared" si="21"/>
        <v>5.2950333333333335</v>
      </c>
    </row>
    <row r="1067" spans="1:11" ht="15">
      <c r="A1067" s="3">
        <v>2037</v>
      </c>
      <c r="B1067" s="63">
        <f t="shared" ref="B1067:K1067" si="22">AVERAGE(B276:B287)</f>
        <v>4.7357500000000003</v>
      </c>
      <c r="C1067" s="63">
        <f t="shared" si="22"/>
        <v>4.7357500000000003</v>
      </c>
      <c r="D1067" s="63">
        <f t="shared" si="22"/>
        <v>4.7521166666666668</v>
      </c>
      <c r="E1067" s="63">
        <f t="shared" si="22"/>
        <v>5.441816666666667</v>
      </c>
      <c r="F1067" s="63">
        <f t="shared" si="22"/>
        <v>5.441816666666667</v>
      </c>
      <c r="G1067" s="63">
        <f t="shared" si="22"/>
        <v>5.4425500000000007</v>
      </c>
      <c r="H1067" s="63">
        <f t="shared" si="22"/>
        <v>9.7945249999999984</v>
      </c>
      <c r="I1067" s="63">
        <f t="shared" si="22"/>
        <v>9.7952416666666675</v>
      </c>
      <c r="J1067" s="63">
        <f t="shared" si="22"/>
        <v>5.441816666666667</v>
      </c>
      <c r="K1067" s="63">
        <f t="shared" si="22"/>
        <v>5.4425500000000007</v>
      </c>
    </row>
    <row r="1068" spans="1:11" ht="15">
      <c r="A1068" s="3">
        <v>2038</v>
      </c>
      <c r="B1068" s="63">
        <f t="shared" ref="B1068:K1068" si="23">AVERAGE(B288:B299)</f>
        <v>4.8654333333333337</v>
      </c>
      <c r="C1068" s="63">
        <f t="shared" si="23"/>
        <v>4.8654333333333337</v>
      </c>
      <c r="D1068" s="63">
        <f t="shared" si="23"/>
        <v>4.8818000000000001</v>
      </c>
      <c r="E1068" s="63">
        <f t="shared" si="23"/>
        <v>5.594408333333333</v>
      </c>
      <c r="F1068" s="63">
        <f t="shared" si="23"/>
        <v>5.594408333333333</v>
      </c>
      <c r="G1068" s="63">
        <f t="shared" si="23"/>
        <v>5.5951416666666667</v>
      </c>
      <c r="H1068" s="63">
        <f t="shared" si="23"/>
        <v>10.042208333333333</v>
      </c>
      <c r="I1068" s="63">
        <f t="shared" si="23"/>
        <v>10.042908333333333</v>
      </c>
      <c r="J1068" s="63">
        <f t="shared" si="23"/>
        <v>5.594408333333333</v>
      </c>
      <c r="K1068" s="63">
        <f t="shared" si="23"/>
        <v>5.5951416666666667</v>
      </c>
    </row>
    <row r="1069" spans="1:11" ht="15">
      <c r="A1069" s="3">
        <v>2039</v>
      </c>
      <c r="B1069" s="63">
        <f t="shared" ref="B1069:K1069" si="24">AVERAGE(B300:B311)</f>
        <v>5.0003166666666656</v>
      </c>
      <c r="C1069" s="63">
        <f t="shared" si="24"/>
        <v>5.0003166666666656</v>
      </c>
      <c r="D1069" s="63">
        <f t="shared" si="24"/>
        <v>5.0166833333333329</v>
      </c>
      <c r="E1069" s="63">
        <f t="shared" si="24"/>
        <v>5.749200000000001</v>
      </c>
      <c r="F1069" s="63">
        <f t="shared" si="24"/>
        <v>5.749200000000001</v>
      </c>
      <c r="G1069" s="63">
        <f t="shared" si="24"/>
        <v>5.7499249999999984</v>
      </c>
      <c r="H1069" s="63">
        <f t="shared" si="24"/>
        <v>10.296166666666666</v>
      </c>
      <c r="I1069" s="63">
        <f t="shared" si="24"/>
        <v>10.296875</v>
      </c>
      <c r="J1069" s="63">
        <f t="shared" si="24"/>
        <v>5.749200000000001</v>
      </c>
      <c r="K1069" s="63">
        <f t="shared" si="24"/>
        <v>5.7499249999999984</v>
      </c>
    </row>
    <row r="1070" spans="1:11" ht="15">
      <c r="A1070" s="3">
        <v>2040</v>
      </c>
      <c r="B1070" s="63">
        <f t="shared" ref="B1070:K1070" si="25">AVERAGE(B312:B323)</f>
        <v>5.136425</v>
      </c>
      <c r="C1070" s="63">
        <f t="shared" si="25"/>
        <v>5.136425</v>
      </c>
      <c r="D1070" s="63">
        <f t="shared" si="25"/>
        <v>5.1527833333333328</v>
      </c>
      <c r="E1070" s="63">
        <f t="shared" si="25"/>
        <v>5.9101166666666662</v>
      </c>
      <c r="F1070" s="63">
        <f t="shared" si="25"/>
        <v>5.9101166666666662</v>
      </c>
      <c r="G1070" s="63">
        <f t="shared" si="25"/>
        <v>5.9108416666666663</v>
      </c>
      <c r="H1070" s="63">
        <f t="shared" si="25"/>
        <v>10.556541666666666</v>
      </c>
      <c r="I1070" s="63">
        <f t="shared" si="25"/>
        <v>10.557258333333332</v>
      </c>
      <c r="J1070" s="63">
        <f t="shared" si="25"/>
        <v>5.9101166666666662</v>
      </c>
      <c r="K1070" s="63">
        <f t="shared" si="25"/>
        <v>5.9108416666666663</v>
      </c>
    </row>
    <row r="1071" spans="1:11" ht="15">
      <c r="A1071" s="3">
        <v>2041</v>
      </c>
      <c r="B1071" s="63">
        <f t="shared" ref="B1071:K1071" si="26">AVERAGE(B324:B335)</f>
        <v>5.2762833333333345</v>
      </c>
      <c r="C1071" s="63">
        <f t="shared" si="26"/>
        <v>5.2762833333333345</v>
      </c>
      <c r="D1071" s="63">
        <f t="shared" si="26"/>
        <v>5.292650000000001</v>
      </c>
      <c r="E1071" s="63">
        <f t="shared" si="26"/>
        <v>6.0755333333333335</v>
      </c>
      <c r="F1071" s="63">
        <f t="shared" si="26"/>
        <v>6.0755333333333335</v>
      </c>
      <c r="G1071" s="63">
        <f t="shared" si="26"/>
        <v>6.0762583333333344</v>
      </c>
      <c r="H1071" s="63">
        <f t="shared" si="26"/>
        <v>10.823500000000001</v>
      </c>
      <c r="I1071" s="63">
        <f t="shared" si="26"/>
        <v>10.824208333333333</v>
      </c>
      <c r="J1071" s="63">
        <f t="shared" si="26"/>
        <v>6.0755333333333335</v>
      </c>
      <c r="K1071" s="63">
        <f t="shared" si="26"/>
        <v>6.0762583333333344</v>
      </c>
    </row>
    <row r="1072" spans="1:11" ht="15">
      <c r="A1072" s="3">
        <v>2042</v>
      </c>
      <c r="B1072" s="63">
        <f t="shared" ref="B1072:K1072" si="27">AVERAGE(B336:B347)</f>
        <v>5.4200000000000008</v>
      </c>
      <c r="C1072" s="63">
        <f t="shared" si="27"/>
        <v>5.4200000000000008</v>
      </c>
      <c r="D1072" s="63">
        <f t="shared" si="27"/>
        <v>5.4363583333333336</v>
      </c>
      <c r="E1072" s="63">
        <f t="shared" si="27"/>
        <v>6.2455916666666669</v>
      </c>
      <c r="F1072" s="63">
        <f t="shared" si="27"/>
        <v>6.2455916666666669</v>
      </c>
      <c r="G1072" s="63">
        <f t="shared" si="27"/>
        <v>6.2463083333333342</v>
      </c>
      <c r="H1072" s="63">
        <f t="shared" si="27"/>
        <v>11.097200000000001</v>
      </c>
      <c r="I1072" s="63">
        <f t="shared" si="27"/>
        <v>11.097933333333332</v>
      </c>
      <c r="J1072" s="63">
        <f t="shared" si="27"/>
        <v>6.2455916666666669</v>
      </c>
      <c r="K1072" s="63">
        <f t="shared" si="27"/>
        <v>6.2463083333333342</v>
      </c>
    </row>
    <row r="1073" spans="1:11" ht="15">
      <c r="A1073" s="3">
        <v>2043</v>
      </c>
      <c r="B1073" s="63">
        <f t="shared" ref="B1073:K1073" si="28">AVERAGE(B348:B359)</f>
        <v>5.5676416666666659</v>
      </c>
      <c r="C1073" s="63">
        <f t="shared" si="28"/>
        <v>5.5676416666666659</v>
      </c>
      <c r="D1073" s="63">
        <f t="shared" si="28"/>
        <v>5.5839999999999996</v>
      </c>
      <c r="E1073" s="63">
        <f t="shared" si="28"/>
        <v>6.4204000000000008</v>
      </c>
      <c r="F1073" s="63">
        <f t="shared" si="28"/>
        <v>6.4204000000000008</v>
      </c>
      <c r="G1073" s="63">
        <f t="shared" si="28"/>
        <v>6.421125</v>
      </c>
      <c r="H1073" s="63">
        <f t="shared" si="28"/>
        <v>11.377841666666667</v>
      </c>
      <c r="I1073" s="63">
        <f t="shared" si="28"/>
        <v>11.378566666666666</v>
      </c>
      <c r="J1073" s="63">
        <f t="shared" si="28"/>
        <v>6.4204000000000008</v>
      </c>
      <c r="K1073" s="63">
        <f t="shared" si="28"/>
        <v>6.421125</v>
      </c>
    </row>
    <row r="1074" spans="1:11" ht="15">
      <c r="A1074" s="3">
        <v>2044</v>
      </c>
      <c r="B1074" s="63">
        <f t="shared" ref="B1074:K1074" si="29">AVERAGE(B360:B371)</f>
        <v>5.7193499999999995</v>
      </c>
      <c r="C1074" s="63">
        <f t="shared" si="29"/>
        <v>5.7193499999999995</v>
      </c>
      <c r="D1074" s="63">
        <f t="shared" si="29"/>
        <v>5.7357083333333341</v>
      </c>
      <c r="E1074" s="63">
        <f t="shared" si="29"/>
        <v>6.6000916666666649</v>
      </c>
      <c r="F1074" s="63">
        <f t="shared" si="29"/>
        <v>6.6000916666666649</v>
      </c>
      <c r="G1074" s="63">
        <f t="shared" si="29"/>
        <v>6.6008166666666659</v>
      </c>
      <c r="H1074" s="63">
        <f t="shared" si="29"/>
        <v>11.665550000000001</v>
      </c>
      <c r="I1074" s="63">
        <f t="shared" si="29"/>
        <v>11.666283333333332</v>
      </c>
      <c r="J1074" s="63">
        <f t="shared" si="29"/>
        <v>6.6000916666666649</v>
      </c>
      <c r="K1074" s="63">
        <f t="shared" si="29"/>
        <v>6.6008166666666659</v>
      </c>
    </row>
    <row r="1075" spans="1:11" ht="15">
      <c r="A1075" s="3">
        <v>2045</v>
      </c>
      <c r="B1075" s="63">
        <f t="shared" ref="B1075:K1075" si="30">AVERAGE(B372:B383)</f>
        <v>5.875233333333334</v>
      </c>
      <c r="C1075" s="63">
        <f t="shared" si="30"/>
        <v>5.875233333333334</v>
      </c>
      <c r="D1075" s="63">
        <f t="shared" si="30"/>
        <v>5.8915916666666677</v>
      </c>
      <c r="E1075" s="63">
        <f t="shared" si="30"/>
        <v>6.784841666666666</v>
      </c>
      <c r="F1075" s="63">
        <f t="shared" si="30"/>
        <v>6.784841666666666</v>
      </c>
      <c r="G1075" s="63">
        <f t="shared" si="30"/>
        <v>6.7855500000000006</v>
      </c>
      <c r="H1075" s="63">
        <f t="shared" si="30"/>
        <v>11.960566666666667</v>
      </c>
      <c r="I1075" s="63">
        <f t="shared" si="30"/>
        <v>11.961283333333332</v>
      </c>
      <c r="J1075" s="63">
        <f t="shared" si="30"/>
        <v>6.784841666666666</v>
      </c>
      <c r="K1075" s="63">
        <f t="shared" si="30"/>
        <v>6.7855500000000006</v>
      </c>
    </row>
    <row r="1076" spans="1:11" ht="15">
      <c r="A1076" s="3">
        <v>2046</v>
      </c>
      <c r="B1076" s="63">
        <f t="shared" ref="B1076:K1076" si="31">AVERAGE(B384:B395)</f>
        <v>6.0354000000000001</v>
      </c>
      <c r="C1076" s="63">
        <f t="shared" si="31"/>
        <v>6.0354000000000001</v>
      </c>
      <c r="D1076" s="63">
        <f t="shared" si="31"/>
        <v>6.0517583333333329</v>
      </c>
      <c r="E1076" s="63">
        <f t="shared" si="31"/>
        <v>6.9747249999999994</v>
      </c>
      <c r="F1076" s="63">
        <f t="shared" si="31"/>
        <v>6.9747249999999994</v>
      </c>
      <c r="G1076" s="63">
        <f t="shared" si="31"/>
        <v>6.9754583333333331</v>
      </c>
      <c r="H1076" s="63">
        <f t="shared" si="31"/>
        <v>12.263041666666666</v>
      </c>
      <c r="I1076" s="63">
        <f t="shared" si="31"/>
        <v>12.263758333333334</v>
      </c>
      <c r="J1076" s="63">
        <f t="shared" si="31"/>
        <v>6.9747249999999994</v>
      </c>
      <c r="K1076" s="63">
        <f t="shared" si="31"/>
        <v>6.9754583333333331</v>
      </c>
    </row>
    <row r="1077" spans="1:11" ht="15">
      <c r="A1077" s="3">
        <v>2047</v>
      </c>
      <c r="B1077" s="63">
        <f t="shared" ref="B1077:K1077" si="32">AVERAGE(B396:B407)</f>
        <v>6.1999666666666657</v>
      </c>
      <c r="C1077" s="63">
        <f t="shared" si="32"/>
        <v>6.1999666666666657</v>
      </c>
      <c r="D1077" s="63">
        <f t="shared" si="32"/>
        <v>6.2163416666666658</v>
      </c>
      <c r="E1077" s="63">
        <f t="shared" si="32"/>
        <v>7.1699499999999992</v>
      </c>
      <c r="F1077" s="63">
        <f t="shared" si="32"/>
        <v>7.1699499999999992</v>
      </c>
      <c r="G1077" s="63">
        <f t="shared" si="32"/>
        <v>7.1706833333333337</v>
      </c>
      <c r="H1077" s="63">
        <f t="shared" si="32"/>
        <v>12.573133333333333</v>
      </c>
      <c r="I1077" s="63">
        <f t="shared" si="32"/>
        <v>12.573858333333336</v>
      </c>
      <c r="J1077" s="63">
        <f t="shared" si="32"/>
        <v>7.1699499999999992</v>
      </c>
      <c r="K1077" s="63">
        <f t="shared" si="32"/>
        <v>7.1706833333333337</v>
      </c>
    </row>
    <row r="1078" spans="1:11" ht="15">
      <c r="A1078" s="3">
        <v>2048</v>
      </c>
      <c r="B1078" s="63">
        <f t="shared" ref="B1078:K1078" si="33">AVERAGE(B408:B419)</f>
        <v>6.3690833333333332</v>
      </c>
      <c r="C1078" s="63">
        <f t="shared" si="33"/>
        <v>6.3690833333333332</v>
      </c>
      <c r="D1078" s="63">
        <f t="shared" si="33"/>
        <v>6.3854583333333323</v>
      </c>
      <c r="E1078" s="63">
        <f t="shared" si="33"/>
        <v>7.3706416666666676</v>
      </c>
      <c r="F1078" s="63">
        <f t="shared" si="33"/>
        <v>7.3706416666666676</v>
      </c>
      <c r="G1078" s="63">
        <f t="shared" si="33"/>
        <v>7.3713666666666668</v>
      </c>
      <c r="H1078" s="63">
        <f t="shared" si="33"/>
        <v>12.891116666666667</v>
      </c>
      <c r="I1078" s="63">
        <f t="shared" si="33"/>
        <v>12.891816666666669</v>
      </c>
      <c r="J1078" s="63">
        <f t="shared" si="33"/>
        <v>7.3706416666666676</v>
      </c>
      <c r="K1078" s="63">
        <f t="shared" si="33"/>
        <v>7.3713666666666668</v>
      </c>
    </row>
    <row r="1079" spans="1:11" ht="15">
      <c r="A1079" s="3">
        <v>2049</v>
      </c>
      <c r="B1079" s="63">
        <f t="shared" ref="B1079:K1079" si="34">AVERAGE(B420:B431)</f>
        <v>6.5428583333333341</v>
      </c>
      <c r="C1079" s="63">
        <f t="shared" si="34"/>
        <v>6.5428583333333341</v>
      </c>
      <c r="D1079" s="63">
        <f t="shared" si="34"/>
        <v>6.5592166666666651</v>
      </c>
      <c r="E1079" s="63">
        <f t="shared" si="34"/>
        <v>7.5769250000000001</v>
      </c>
      <c r="F1079" s="63">
        <f t="shared" si="34"/>
        <v>7.5769250000000001</v>
      </c>
      <c r="G1079" s="63">
        <f t="shared" si="34"/>
        <v>7.5776416666666675</v>
      </c>
      <c r="H1079" s="63">
        <f t="shared" si="34"/>
        <v>13.217100000000002</v>
      </c>
      <c r="I1079" s="63">
        <f t="shared" si="34"/>
        <v>13.217816666666666</v>
      </c>
      <c r="J1079" s="63">
        <f t="shared" si="34"/>
        <v>7.5769250000000001</v>
      </c>
      <c r="K1079" s="63">
        <f t="shared" si="34"/>
        <v>7.5776416666666675</v>
      </c>
    </row>
    <row r="1080" spans="1:11" ht="15">
      <c r="A1080" s="3">
        <v>2050</v>
      </c>
      <c r="B1080" s="63">
        <f t="shared" ref="B1080:K1080" si="35">AVERAGE(B432:B443)</f>
        <v>6.7214083333333337</v>
      </c>
      <c r="C1080" s="63">
        <f t="shared" si="35"/>
        <v>6.7214083333333337</v>
      </c>
      <c r="D1080" s="63">
        <f t="shared" si="35"/>
        <v>6.7377750000000001</v>
      </c>
      <c r="E1080" s="63">
        <f t="shared" si="35"/>
        <v>7.7890083333333324</v>
      </c>
      <c r="F1080" s="63">
        <f t="shared" si="35"/>
        <v>7.7890083333333324</v>
      </c>
      <c r="G1080" s="63">
        <f t="shared" si="35"/>
        <v>7.7897166666666671</v>
      </c>
      <c r="H1080" s="63">
        <f t="shared" si="35"/>
        <v>13.551349999999999</v>
      </c>
      <c r="I1080" s="63">
        <f t="shared" si="35"/>
        <v>13.552049999999999</v>
      </c>
      <c r="J1080" s="63">
        <f t="shared" si="35"/>
        <v>7.7890083333333324</v>
      </c>
      <c r="K1080" s="63">
        <f t="shared" si="35"/>
        <v>7.7897166666666671</v>
      </c>
    </row>
    <row r="1081" spans="1:11" ht="15">
      <c r="A1081" s="3">
        <v>2051</v>
      </c>
      <c r="B1081" s="63">
        <f t="shared" ref="B1081:K1081" si="36">AVERAGE(B444:B455)</f>
        <v>6.9048833333333333</v>
      </c>
      <c r="C1081" s="63">
        <f t="shared" si="36"/>
        <v>6.9048833333333333</v>
      </c>
      <c r="D1081" s="63">
        <f t="shared" si="36"/>
        <v>6.9212416666666661</v>
      </c>
      <c r="E1081" s="63">
        <f t="shared" si="36"/>
        <v>8.0070083333333333</v>
      </c>
      <c r="F1081" s="63">
        <f t="shared" si="36"/>
        <v>8.0070083333333333</v>
      </c>
      <c r="G1081" s="63">
        <f t="shared" si="36"/>
        <v>8.0077249999999989</v>
      </c>
      <c r="H1081" s="63">
        <f t="shared" si="36"/>
        <v>13.894016666666666</v>
      </c>
      <c r="I1081" s="63">
        <f t="shared" si="36"/>
        <v>13.894741666666667</v>
      </c>
      <c r="J1081" s="63">
        <f t="shared" si="36"/>
        <v>8.0070083333333333</v>
      </c>
      <c r="K1081" s="63">
        <f t="shared" si="36"/>
        <v>8.0077249999999989</v>
      </c>
    </row>
    <row r="1082" spans="1:11" ht="15">
      <c r="A1082" s="3">
        <v>2052</v>
      </c>
      <c r="B1082" s="63">
        <f t="shared" ref="B1082:K1082" si="37">AVERAGE(B456:B467)</f>
        <v>7.0933999999999999</v>
      </c>
      <c r="C1082" s="63">
        <f t="shared" si="37"/>
        <v>7.0933999999999999</v>
      </c>
      <c r="D1082" s="63">
        <f t="shared" si="37"/>
        <v>7.1097749999999991</v>
      </c>
      <c r="E1082" s="63">
        <f t="shared" si="37"/>
        <v>8.2311083333333332</v>
      </c>
      <c r="F1082" s="63">
        <f t="shared" si="37"/>
        <v>8.2311083333333332</v>
      </c>
      <c r="G1082" s="63">
        <f t="shared" si="37"/>
        <v>8.2318333333333324</v>
      </c>
      <c r="H1082" s="63">
        <f t="shared" si="37"/>
        <v>14.245383333333331</v>
      </c>
      <c r="I1082" s="63">
        <f t="shared" si="37"/>
        <v>14.2461</v>
      </c>
      <c r="J1082" s="63">
        <f t="shared" si="37"/>
        <v>8.2311083333333332</v>
      </c>
      <c r="K1082" s="63">
        <f t="shared" si="37"/>
        <v>8.2318333333333324</v>
      </c>
    </row>
    <row r="1083" spans="1:11" ht="15">
      <c r="A1083" s="3">
        <v>2053</v>
      </c>
      <c r="B1083" s="63">
        <f t="shared" ref="B1083:K1083" si="38">AVERAGE(B468:B479)</f>
        <v>7.2871333333333324</v>
      </c>
      <c r="C1083" s="63">
        <f t="shared" si="38"/>
        <v>7.2871333333333324</v>
      </c>
      <c r="D1083" s="63">
        <f t="shared" si="38"/>
        <v>7.303491666666666</v>
      </c>
      <c r="E1083" s="63">
        <f t="shared" si="38"/>
        <v>8.4614916666666673</v>
      </c>
      <c r="F1083" s="63">
        <f t="shared" si="38"/>
        <v>8.4614916666666673</v>
      </c>
      <c r="G1083" s="63">
        <f t="shared" si="38"/>
        <v>8.4622166666666665</v>
      </c>
      <c r="H1083" s="63">
        <f t="shared" si="38"/>
        <v>14.605633333333332</v>
      </c>
      <c r="I1083" s="63">
        <f t="shared" si="38"/>
        <v>14.606349999999997</v>
      </c>
      <c r="J1083" s="63">
        <f t="shared" si="38"/>
        <v>8.4614916666666673</v>
      </c>
      <c r="K1083" s="63">
        <f t="shared" si="38"/>
        <v>8.4622166666666665</v>
      </c>
    </row>
    <row r="1084" spans="1:11" ht="15">
      <c r="A1084" s="3">
        <v>2054</v>
      </c>
      <c r="B1084" s="63">
        <f t="shared" ref="B1084:K1084" si="39">AVERAGE(B480:B491)</f>
        <v>7.4862000000000011</v>
      </c>
      <c r="C1084" s="63">
        <f t="shared" si="39"/>
        <v>7.4862000000000011</v>
      </c>
      <c r="D1084" s="63">
        <f t="shared" si="39"/>
        <v>7.5025416666666684</v>
      </c>
      <c r="E1084" s="63">
        <f t="shared" si="39"/>
        <v>8.6983249999999988</v>
      </c>
      <c r="F1084" s="63">
        <f t="shared" si="39"/>
        <v>8.6983249999999988</v>
      </c>
      <c r="G1084" s="63">
        <f t="shared" si="39"/>
        <v>8.6990333333333325</v>
      </c>
      <c r="H1084" s="63">
        <f t="shared" si="39"/>
        <v>14.974983333333332</v>
      </c>
      <c r="I1084" s="63">
        <f t="shared" si="39"/>
        <v>14.975708333333335</v>
      </c>
      <c r="J1084" s="63">
        <f t="shared" si="39"/>
        <v>8.6983249999999988</v>
      </c>
      <c r="K1084" s="63">
        <f t="shared" si="39"/>
        <v>8.6990333333333325</v>
      </c>
    </row>
    <row r="1085" spans="1:11" ht="15">
      <c r="A1085" s="3">
        <v>2055</v>
      </c>
      <c r="B1085" s="63">
        <f t="shared" ref="B1085:K1085" si="40">AVERAGE(B17:B503)</f>
        <v>4.7321876796714557</v>
      </c>
      <c r="C1085" s="63">
        <f t="shared" si="40"/>
        <v>4.7321876796714557</v>
      </c>
      <c r="D1085" s="63">
        <f t="shared" si="40"/>
        <v>4.7485784394250503</v>
      </c>
      <c r="E1085" s="63">
        <f t="shared" si="40"/>
        <v>5.4924942505133423</v>
      </c>
      <c r="F1085" s="63">
        <f t="shared" si="40"/>
        <v>5.5194205338808979</v>
      </c>
      <c r="G1085" s="63">
        <f t="shared" si="40"/>
        <v>5.5201480492813175</v>
      </c>
      <c r="H1085" s="63">
        <f t="shared" si="40"/>
        <v>9.7717281314168307</v>
      </c>
      <c r="I1085" s="63">
        <f t="shared" si="40"/>
        <v>9.772449486652981</v>
      </c>
      <c r="J1085" s="63">
        <f t="shared" si="40"/>
        <v>5.4924942505133423</v>
      </c>
      <c r="K1085" s="63">
        <f t="shared" si="40"/>
        <v>5.4932211498973338</v>
      </c>
    </row>
    <row r="1086" spans="1:11" ht="15">
      <c r="A1086" s="3">
        <v>2056</v>
      </c>
      <c r="B1086" s="63">
        <f t="shared" ref="B1086:K1086" si="41">AVERAGE(B504:B515)</f>
        <v>7.9009416666666672</v>
      </c>
      <c r="C1086" s="63">
        <f t="shared" si="41"/>
        <v>7.9009416666666672</v>
      </c>
      <c r="D1086" s="63">
        <f t="shared" si="41"/>
        <v>7.9173083333333336</v>
      </c>
      <c r="E1086" s="63">
        <f t="shared" si="41"/>
        <v>9.192025000000001</v>
      </c>
      <c r="F1086" s="63">
        <f t="shared" si="41"/>
        <v>9.192025000000001</v>
      </c>
      <c r="G1086" s="63">
        <f t="shared" si="41"/>
        <v>9.1927499999999984</v>
      </c>
      <c r="H1086" s="63">
        <f t="shared" si="41"/>
        <v>15.741966666666665</v>
      </c>
      <c r="I1086" s="63">
        <f t="shared" si="41"/>
        <v>15.742666666666665</v>
      </c>
      <c r="J1086" s="63">
        <f t="shared" si="41"/>
        <v>9.192025000000001</v>
      </c>
      <c r="K1086" s="63">
        <f t="shared" si="41"/>
        <v>9.1927499999999984</v>
      </c>
    </row>
    <row r="1087" spans="1:11" ht="15">
      <c r="A1087" s="3">
        <v>2057</v>
      </c>
      <c r="B1087" s="63">
        <f t="shared" ref="B1087:K1087" si="42">AVERAGE(B516:B527)</f>
        <v>8.1169250000000002</v>
      </c>
      <c r="C1087" s="63">
        <f t="shared" si="42"/>
        <v>8.1169250000000002</v>
      </c>
      <c r="D1087" s="63">
        <f t="shared" si="42"/>
        <v>8.1333083333333338</v>
      </c>
      <c r="E1087" s="63">
        <f t="shared" si="42"/>
        <v>9.4493000000000009</v>
      </c>
      <c r="F1087" s="63">
        <f t="shared" si="42"/>
        <v>9.4493000000000009</v>
      </c>
      <c r="G1087" s="63">
        <f t="shared" si="42"/>
        <v>9.4500166666666665</v>
      </c>
      <c r="H1087" s="63">
        <f t="shared" si="42"/>
        <v>16.140033333333335</v>
      </c>
      <c r="I1087" s="63">
        <f t="shared" si="42"/>
        <v>16.140766666666668</v>
      </c>
      <c r="J1087" s="63">
        <f t="shared" si="42"/>
        <v>9.4493000000000009</v>
      </c>
      <c r="K1087" s="63">
        <f t="shared" si="42"/>
        <v>9.4500166666666665</v>
      </c>
    </row>
    <row r="1088" spans="1:11" ht="15">
      <c r="A1088" s="3">
        <v>2058</v>
      </c>
      <c r="B1088" s="63">
        <f t="shared" ref="B1088:K1088" si="43">AVERAGE(B528:B539)</f>
        <v>8.3388916666666688</v>
      </c>
      <c r="C1088" s="63">
        <f t="shared" si="43"/>
        <v>8.3388916666666688</v>
      </c>
      <c r="D1088" s="63">
        <f t="shared" si="43"/>
        <v>8.3552666666666671</v>
      </c>
      <c r="E1088" s="63">
        <f t="shared" si="43"/>
        <v>9.7137666666666664</v>
      </c>
      <c r="F1088" s="63">
        <f t="shared" si="43"/>
        <v>9.7137666666666664</v>
      </c>
      <c r="G1088" s="63">
        <f t="shared" si="43"/>
        <v>9.714483333333332</v>
      </c>
      <c r="H1088" s="63">
        <f t="shared" si="43"/>
        <v>16.548199999999998</v>
      </c>
      <c r="I1088" s="63">
        <f t="shared" si="43"/>
        <v>16.548908333333333</v>
      </c>
      <c r="J1088" s="63">
        <f t="shared" si="43"/>
        <v>9.7137666666666664</v>
      </c>
      <c r="K1088" s="63">
        <f t="shared" si="43"/>
        <v>9.714483333333332</v>
      </c>
    </row>
    <row r="1089" spans="1:11" ht="15">
      <c r="A1089" s="3">
        <v>2059</v>
      </c>
      <c r="B1089" s="63">
        <f t="shared" ref="B1089:K1089" si="44">AVERAGE(B540:B551)</f>
        <v>8.5669999999999984</v>
      </c>
      <c r="C1089" s="63">
        <f t="shared" si="44"/>
        <v>8.5669999999999984</v>
      </c>
      <c r="D1089" s="63">
        <f t="shared" si="44"/>
        <v>8.5833499999999976</v>
      </c>
      <c r="E1089" s="63">
        <f t="shared" si="44"/>
        <v>9.9856583333333333</v>
      </c>
      <c r="F1089" s="63">
        <f t="shared" si="44"/>
        <v>9.9856583333333333</v>
      </c>
      <c r="G1089" s="63">
        <f t="shared" si="44"/>
        <v>9.9863583333333334</v>
      </c>
      <c r="H1089" s="63">
        <f t="shared" si="44"/>
        <v>16.966683333333329</v>
      </c>
      <c r="I1089" s="63">
        <f t="shared" si="44"/>
        <v>16.967399999999998</v>
      </c>
      <c r="J1089" s="63">
        <f t="shared" si="44"/>
        <v>9.9856583333333333</v>
      </c>
      <c r="K1089" s="63">
        <f t="shared" si="44"/>
        <v>9.9863583333333334</v>
      </c>
    </row>
    <row r="1090" spans="1:11" ht="15">
      <c r="A1090" s="3">
        <v>2060</v>
      </c>
      <c r="B1090" s="63">
        <f t="shared" ref="B1090:K1090" si="45">AVERAGE(B552:B563)</f>
        <v>8.8013749999999984</v>
      </c>
      <c r="C1090" s="63">
        <f t="shared" si="45"/>
        <v>8.8013749999999984</v>
      </c>
      <c r="D1090" s="63">
        <f t="shared" si="45"/>
        <v>8.8177499999999984</v>
      </c>
      <c r="E1090" s="63">
        <f t="shared" si="45"/>
        <v>10.265124999999999</v>
      </c>
      <c r="F1090" s="63">
        <f t="shared" si="45"/>
        <v>10.265124999999999</v>
      </c>
      <c r="G1090" s="63">
        <f t="shared" si="45"/>
        <v>10.265833333333333</v>
      </c>
      <c r="H1090" s="63">
        <f t="shared" si="45"/>
        <v>17.395733333333336</v>
      </c>
      <c r="I1090" s="63">
        <f t="shared" si="45"/>
        <v>17.396458333333335</v>
      </c>
      <c r="J1090" s="63">
        <f t="shared" si="45"/>
        <v>10.265124999999999</v>
      </c>
      <c r="K1090" s="63">
        <f t="shared" si="45"/>
        <v>10.265833333333333</v>
      </c>
    </row>
    <row r="1091" spans="1:11" ht="15">
      <c r="A1091" s="3">
        <v>2061</v>
      </c>
      <c r="B1091" s="63">
        <f t="shared" ref="B1091:K1091" si="46">AVERAGE(B564:B575)</f>
        <v>9.0422333333333338</v>
      </c>
      <c r="C1091" s="63">
        <f t="shared" si="46"/>
        <v>9.0422333333333338</v>
      </c>
      <c r="D1091" s="63">
        <f t="shared" si="46"/>
        <v>9.0586166666666674</v>
      </c>
      <c r="E1091" s="63">
        <f t="shared" si="46"/>
        <v>10.552424999999999</v>
      </c>
      <c r="F1091" s="63">
        <f t="shared" si="46"/>
        <v>10.552424999999999</v>
      </c>
      <c r="G1091" s="63">
        <f t="shared" si="46"/>
        <v>10.553141666666667</v>
      </c>
      <c r="H1091" s="63">
        <f t="shared" si="46"/>
        <v>17.835633333333334</v>
      </c>
      <c r="I1091" s="63">
        <f t="shared" si="46"/>
        <v>17.836358333333333</v>
      </c>
      <c r="J1091" s="63">
        <f t="shared" si="46"/>
        <v>10.552424999999999</v>
      </c>
      <c r="K1091" s="63">
        <f t="shared" si="46"/>
        <v>10.553141666666667</v>
      </c>
    </row>
    <row r="1092" spans="1:11" ht="15">
      <c r="A1092" s="3">
        <v>2062</v>
      </c>
      <c r="B1092" s="63">
        <f t="shared" ref="B1092:K1101" ca="1" si="47">AVERAGE(OFFSET(B$576,($A1092-$A$1092)*12,0,12,1))</f>
        <v>9.2897499999999997</v>
      </c>
      <c r="C1092" s="63">
        <f t="shared" ca="1" si="47"/>
        <v>9.2897499999999997</v>
      </c>
      <c r="D1092" s="63">
        <f t="shared" ca="1" si="47"/>
        <v>9.3061166666666661</v>
      </c>
      <c r="E1092" s="63">
        <f t="shared" ca="1" si="47"/>
        <v>10.847766666666667</v>
      </c>
      <c r="F1092" s="63">
        <f t="shared" ca="1" si="47"/>
        <v>10.847766666666667</v>
      </c>
      <c r="G1092" s="63">
        <f t="shared" ca="1" si="47"/>
        <v>10.848500000000001</v>
      </c>
      <c r="H1092" s="63">
        <f t="shared" ca="1" si="47"/>
        <v>18.286683333333333</v>
      </c>
      <c r="I1092" s="63">
        <f t="shared" ca="1" si="47"/>
        <v>18.287408333333332</v>
      </c>
      <c r="J1092" s="63">
        <f t="shared" ca="1" si="47"/>
        <v>10.847766666666667</v>
      </c>
      <c r="K1092" s="63">
        <f t="shared" ca="1" si="47"/>
        <v>10.848500000000001</v>
      </c>
    </row>
    <row r="1093" spans="1:11" ht="15">
      <c r="A1093" s="3">
        <v>2063</v>
      </c>
      <c r="B1093" s="63">
        <f t="shared" ca="1" si="47"/>
        <v>9.5372666666666657</v>
      </c>
      <c r="C1093" s="63">
        <f t="shared" ca="1" si="47"/>
        <v>9.5372666666666657</v>
      </c>
      <c r="D1093" s="63">
        <f t="shared" ca="1" si="47"/>
        <v>9.5536416666666657</v>
      </c>
      <c r="E1093" s="63">
        <f t="shared" ca="1" si="47"/>
        <v>11.143116666666666</v>
      </c>
      <c r="F1093" s="63">
        <f t="shared" ca="1" si="47"/>
        <v>11.143116666666666</v>
      </c>
      <c r="G1093" s="63">
        <f t="shared" ca="1" si="47"/>
        <v>11.143841666666667</v>
      </c>
      <c r="H1093" s="63">
        <f t="shared" ca="1" si="47"/>
        <v>18.7377</v>
      </c>
      <c r="I1093" s="63">
        <f t="shared" ca="1" si="47"/>
        <v>18.73844166666667</v>
      </c>
      <c r="J1093" s="63">
        <f t="shared" ca="1" si="47"/>
        <v>11.143116666666666</v>
      </c>
      <c r="K1093" s="63">
        <f t="shared" ca="1" si="47"/>
        <v>11.143841666666667</v>
      </c>
    </row>
    <row r="1094" spans="1:11" ht="15">
      <c r="A1094" s="3">
        <v>2064</v>
      </c>
      <c r="B1094" s="63">
        <f t="shared" ca="1" si="47"/>
        <v>9.7848083333333342</v>
      </c>
      <c r="C1094" s="63">
        <f t="shared" ca="1" si="47"/>
        <v>9.7848083333333342</v>
      </c>
      <c r="D1094" s="63">
        <f t="shared" ca="1" si="47"/>
        <v>9.8011500000000016</v>
      </c>
      <c r="E1094" s="63">
        <f t="shared" ca="1" si="47"/>
        <v>11.438450000000001</v>
      </c>
      <c r="F1094" s="63">
        <f t="shared" ca="1" si="47"/>
        <v>11.438450000000001</v>
      </c>
      <c r="G1094" s="63">
        <f t="shared" ca="1" si="47"/>
        <v>11.439175000000001</v>
      </c>
      <c r="H1094" s="63">
        <f t="shared" ca="1" si="47"/>
        <v>19.188758333333329</v>
      </c>
      <c r="I1094" s="63">
        <f t="shared" ca="1" si="47"/>
        <v>19.189466666666668</v>
      </c>
      <c r="J1094" s="63">
        <f t="shared" ca="1" si="47"/>
        <v>11.438450000000001</v>
      </c>
      <c r="K1094" s="63">
        <f t="shared" ca="1" si="47"/>
        <v>11.439175000000001</v>
      </c>
    </row>
    <row r="1095" spans="1:11" ht="15">
      <c r="A1095" s="3">
        <v>2065</v>
      </c>
      <c r="B1095" s="63">
        <f t="shared" ca="1" si="47"/>
        <v>10.032308333333335</v>
      </c>
      <c r="C1095" s="63">
        <f t="shared" ca="1" si="47"/>
        <v>10.032308333333335</v>
      </c>
      <c r="D1095" s="63">
        <f t="shared" ca="1" si="47"/>
        <v>10.048683333333335</v>
      </c>
      <c r="E1095" s="63">
        <f t="shared" ca="1" si="47"/>
        <v>11.733808333333334</v>
      </c>
      <c r="F1095" s="63">
        <f t="shared" ca="1" si="47"/>
        <v>11.733808333333334</v>
      </c>
      <c r="G1095" s="63">
        <f t="shared" ca="1" si="47"/>
        <v>11.734508333333332</v>
      </c>
      <c r="H1095" s="63">
        <f t="shared" ca="1" si="47"/>
        <v>19.639800000000005</v>
      </c>
      <c r="I1095" s="63">
        <f t="shared" ca="1" si="47"/>
        <v>19.640491666666666</v>
      </c>
      <c r="J1095" s="63">
        <f t="shared" ca="1" si="47"/>
        <v>11.733808333333334</v>
      </c>
      <c r="K1095" s="63">
        <f t="shared" ca="1" si="47"/>
        <v>11.734508333333332</v>
      </c>
    </row>
    <row r="1096" spans="1:11" ht="15">
      <c r="A1096" s="3">
        <v>2066</v>
      </c>
      <c r="B1096" s="63">
        <f t="shared" ca="1" si="47"/>
        <v>10.279825000000001</v>
      </c>
      <c r="C1096" s="63">
        <f t="shared" ca="1" si="47"/>
        <v>10.279825000000001</v>
      </c>
      <c r="D1096" s="63">
        <f t="shared" ca="1" si="47"/>
        <v>10.296200000000001</v>
      </c>
      <c r="E1096" s="63">
        <f t="shared" ca="1" si="47"/>
        <v>12.029158333333333</v>
      </c>
      <c r="F1096" s="63">
        <f t="shared" ca="1" si="47"/>
        <v>12.029158333333333</v>
      </c>
      <c r="G1096" s="63">
        <f t="shared" ca="1" si="47"/>
        <v>12.029874999999999</v>
      </c>
      <c r="H1096" s="63">
        <f t="shared" ca="1" si="47"/>
        <v>20.090816666666665</v>
      </c>
      <c r="I1096" s="63">
        <f t="shared" ca="1" si="47"/>
        <v>20.091549999999998</v>
      </c>
      <c r="J1096" s="63">
        <f t="shared" ca="1" si="47"/>
        <v>12.029158333333333</v>
      </c>
      <c r="K1096" s="63">
        <f t="shared" ca="1" si="47"/>
        <v>12.029874999999999</v>
      </c>
    </row>
    <row r="1097" spans="1:11" ht="15">
      <c r="A1097" s="3">
        <v>2067</v>
      </c>
      <c r="B1097" s="63">
        <f t="shared" ca="1" si="47"/>
        <v>10.527333333333333</v>
      </c>
      <c r="C1097" s="63">
        <f t="shared" ca="1" si="47"/>
        <v>10.527333333333333</v>
      </c>
      <c r="D1097" s="63">
        <f t="shared" ca="1" si="47"/>
        <v>10.543725000000002</v>
      </c>
      <c r="E1097" s="63">
        <f t="shared" ca="1" si="47"/>
        <v>12.324491666666667</v>
      </c>
      <c r="F1097" s="63">
        <f t="shared" ca="1" si="47"/>
        <v>12.324491666666667</v>
      </c>
      <c r="G1097" s="63">
        <f t="shared" ca="1" si="47"/>
        <v>12.325216666666664</v>
      </c>
      <c r="H1097" s="63">
        <f t="shared" ca="1" si="47"/>
        <v>20.541858333333334</v>
      </c>
      <c r="I1097" s="63">
        <f t="shared" ca="1" si="47"/>
        <v>20.542583333333333</v>
      </c>
      <c r="J1097" s="63">
        <f t="shared" ca="1" si="47"/>
        <v>12.324491666666667</v>
      </c>
      <c r="K1097" s="63">
        <f t="shared" ca="1" si="47"/>
        <v>12.325216666666664</v>
      </c>
    </row>
    <row r="1098" spans="1:11" ht="15">
      <c r="A1098" s="3">
        <v>2068</v>
      </c>
      <c r="B1098" s="63">
        <f t="shared" ca="1" si="47"/>
        <v>10.774883333333333</v>
      </c>
      <c r="C1098" s="63">
        <f t="shared" ca="1" si="47"/>
        <v>10.774883333333333</v>
      </c>
      <c r="D1098" s="63">
        <f t="shared" ca="1" si="47"/>
        <v>10.791241666666666</v>
      </c>
      <c r="E1098" s="63">
        <f t="shared" ca="1" si="47"/>
        <v>12.619816666666667</v>
      </c>
      <c r="F1098" s="63">
        <f t="shared" ca="1" si="47"/>
        <v>12.619816666666667</v>
      </c>
      <c r="G1098" s="63">
        <f t="shared" ca="1" si="47"/>
        <v>12.62055</v>
      </c>
      <c r="H1098" s="63">
        <f t="shared" ca="1" si="47"/>
        <v>20.992891666666669</v>
      </c>
      <c r="I1098" s="63">
        <f t="shared" ca="1" si="47"/>
        <v>20.993625000000005</v>
      </c>
      <c r="J1098" s="63">
        <f t="shared" ca="1" si="47"/>
        <v>12.619816666666667</v>
      </c>
      <c r="K1098" s="63">
        <f t="shared" ca="1" si="47"/>
        <v>12.62055</v>
      </c>
    </row>
    <row r="1099" spans="1:11" ht="15">
      <c r="A1099" s="3">
        <v>2069</v>
      </c>
      <c r="B1099" s="63">
        <f t="shared" ca="1" si="47"/>
        <v>11.022399999999999</v>
      </c>
      <c r="C1099" s="63">
        <f t="shared" ca="1" si="47"/>
        <v>11.022399999999999</v>
      </c>
      <c r="D1099" s="63">
        <f t="shared" ca="1" si="47"/>
        <v>11.038758333333334</v>
      </c>
      <c r="E1099" s="63">
        <f t="shared" ca="1" si="47"/>
        <v>12.915183333333333</v>
      </c>
      <c r="F1099" s="63">
        <f t="shared" ca="1" si="47"/>
        <v>12.915183333333333</v>
      </c>
      <c r="G1099" s="63">
        <f t="shared" ca="1" si="47"/>
        <v>12.915883333333333</v>
      </c>
      <c r="H1099" s="63">
        <f t="shared" ca="1" si="47"/>
        <v>21.443916666666667</v>
      </c>
      <c r="I1099" s="63">
        <f t="shared" ca="1" si="47"/>
        <v>21.444649999999999</v>
      </c>
      <c r="J1099" s="63">
        <f t="shared" ca="1" si="47"/>
        <v>12.915183333333333</v>
      </c>
      <c r="K1099" s="63">
        <f t="shared" ca="1" si="47"/>
        <v>12.915883333333333</v>
      </c>
    </row>
    <row r="1100" spans="1:11" ht="15">
      <c r="A1100" s="3">
        <v>2070</v>
      </c>
      <c r="B1100" s="63">
        <f t="shared" ca="1" si="47"/>
        <v>11.269908333333333</v>
      </c>
      <c r="C1100" s="63">
        <f t="shared" ca="1" si="47"/>
        <v>11.269908333333333</v>
      </c>
      <c r="D1100" s="63">
        <f t="shared" ca="1" si="47"/>
        <v>11.286283333333332</v>
      </c>
      <c r="E1100" s="63">
        <f t="shared" ca="1" si="47"/>
        <v>13.210500000000001</v>
      </c>
      <c r="F1100" s="63">
        <f t="shared" ca="1" si="47"/>
        <v>13.210500000000001</v>
      </c>
      <c r="G1100" s="63">
        <f t="shared" ca="1" si="47"/>
        <v>13.211241666666666</v>
      </c>
      <c r="H1100" s="63">
        <f t="shared" ca="1" si="47"/>
        <v>21.894974999999999</v>
      </c>
      <c r="I1100" s="63">
        <f t="shared" ca="1" si="47"/>
        <v>21.895691666666664</v>
      </c>
      <c r="J1100" s="63">
        <f t="shared" ca="1" si="47"/>
        <v>13.210500000000001</v>
      </c>
      <c r="K1100" s="63">
        <f t="shared" ca="1" si="47"/>
        <v>13.211241666666666</v>
      </c>
    </row>
    <row r="1101" spans="1:11" ht="15">
      <c r="A1101" s="3">
        <v>2071</v>
      </c>
      <c r="B1101" s="63">
        <f t="shared" ca="1" si="47"/>
        <v>11.517416666666669</v>
      </c>
      <c r="C1101" s="63">
        <f t="shared" ca="1" si="47"/>
        <v>11.517416666666669</v>
      </c>
      <c r="D1101" s="63">
        <f t="shared" ca="1" si="47"/>
        <v>11.533799999999999</v>
      </c>
      <c r="E1101" s="63">
        <f t="shared" ca="1" si="47"/>
        <v>13.505833333333333</v>
      </c>
      <c r="F1101" s="63">
        <f t="shared" ca="1" si="47"/>
        <v>13.505833333333333</v>
      </c>
      <c r="G1101" s="63">
        <f t="shared" ca="1" si="47"/>
        <v>13.506575</v>
      </c>
      <c r="H1101" s="63">
        <f t="shared" ca="1" si="47"/>
        <v>22.346016666666667</v>
      </c>
      <c r="I1101" s="63">
        <f t="shared" ca="1" si="47"/>
        <v>22.346733333333336</v>
      </c>
      <c r="J1101" s="63">
        <f t="shared" ca="1" si="47"/>
        <v>13.505833333333333</v>
      </c>
      <c r="K1101" s="63">
        <f t="shared" ca="1" si="47"/>
        <v>13.506575</v>
      </c>
    </row>
    <row r="1102" spans="1:11" ht="15">
      <c r="A1102" s="3">
        <v>2072</v>
      </c>
      <c r="B1102" s="63">
        <f t="shared" ref="B1102:K1111" ca="1" si="48">AVERAGE(OFFSET(B$576,($A1102-$A$1092)*12,0,12,1))</f>
        <v>11.764941666666667</v>
      </c>
      <c r="C1102" s="63">
        <f t="shared" ca="1" si="48"/>
        <v>11.764941666666667</v>
      </c>
      <c r="D1102" s="63">
        <f t="shared" ca="1" si="48"/>
        <v>11.781325000000001</v>
      </c>
      <c r="E1102" s="63">
        <f t="shared" ca="1" si="48"/>
        <v>13.801191666666668</v>
      </c>
      <c r="F1102" s="63">
        <f t="shared" ca="1" si="48"/>
        <v>13.801191666666668</v>
      </c>
      <c r="G1102" s="63">
        <f t="shared" ca="1" si="48"/>
        <v>13.801916666666669</v>
      </c>
      <c r="H1102" s="63">
        <f t="shared" ca="1" si="48"/>
        <v>22.797041666666669</v>
      </c>
      <c r="I1102" s="63">
        <f t="shared" ca="1" si="48"/>
        <v>22.797766666666671</v>
      </c>
      <c r="J1102" s="63">
        <f t="shared" ca="1" si="48"/>
        <v>13.801191666666668</v>
      </c>
      <c r="K1102" s="63">
        <f t="shared" ca="1" si="48"/>
        <v>13.801916666666669</v>
      </c>
    </row>
    <row r="1103" spans="1:11" ht="15">
      <c r="A1103" s="3">
        <v>2073</v>
      </c>
      <c r="B1103" s="63">
        <f t="shared" ca="1" si="48"/>
        <v>12.012483333333334</v>
      </c>
      <c r="C1103" s="63">
        <f t="shared" ca="1" si="48"/>
        <v>12.012483333333334</v>
      </c>
      <c r="D1103" s="63">
        <f t="shared" ca="1" si="48"/>
        <v>12.028849999999998</v>
      </c>
      <c r="E1103" s="63">
        <f t="shared" ca="1" si="48"/>
        <v>14.096541666666665</v>
      </c>
      <c r="F1103" s="63">
        <f t="shared" ca="1" si="48"/>
        <v>14.096541666666665</v>
      </c>
      <c r="G1103" s="63">
        <f t="shared" ca="1" si="48"/>
        <v>14.097274999999998</v>
      </c>
      <c r="H1103" s="63">
        <f t="shared" ca="1" si="48"/>
        <v>23.248075000000004</v>
      </c>
      <c r="I1103" s="63">
        <f t="shared" ca="1" si="48"/>
        <v>23.248808333333333</v>
      </c>
      <c r="J1103" s="63">
        <f t="shared" ca="1" si="48"/>
        <v>14.096541666666665</v>
      </c>
      <c r="K1103" s="63">
        <f t="shared" ca="1" si="48"/>
        <v>14.097274999999998</v>
      </c>
    </row>
    <row r="1104" spans="1:11" ht="15">
      <c r="A1104" s="3">
        <v>2074</v>
      </c>
      <c r="B1104" s="63">
        <f t="shared" ca="1" si="48"/>
        <v>12.259991666666666</v>
      </c>
      <c r="C1104" s="63">
        <f t="shared" ca="1" si="48"/>
        <v>12.259991666666666</v>
      </c>
      <c r="D1104" s="63">
        <f t="shared" ca="1" si="48"/>
        <v>12.276349999999999</v>
      </c>
      <c r="E1104" s="63">
        <f t="shared" ca="1" si="48"/>
        <v>14.391883333333332</v>
      </c>
      <c r="F1104" s="63">
        <f t="shared" ca="1" si="48"/>
        <v>14.391883333333332</v>
      </c>
      <c r="G1104" s="63">
        <f t="shared" ca="1" si="48"/>
        <v>14.392608333333333</v>
      </c>
      <c r="H1104" s="63">
        <f t="shared" ca="1" si="48"/>
        <v>23.699116666666665</v>
      </c>
      <c r="I1104" s="63">
        <f t="shared" ca="1" si="48"/>
        <v>23.699841666666668</v>
      </c>
      <c r="J1104" s="63">
        <f t="shared" ca="1" si="48"/>
        <v>14.391883333333332</v>
      </c>
      <c r="K1104" s="63">
        <f t="shared" ca="1" si="48"/>
        <v>14.392608333333333</v>
      </c>
    </row>
    <row r="1105" spans="1:11" ht="15">
      <c r="A1105" s="3">
        <v>2075</v>
      </c>
      <c r="B1105" s="63">
        <f t="shared" ca="1" si="48"/>
        <v>12.5075</v>
      </c>
      <c r="C1105" s="63">
        <f t="shared" ca="1" si="48"/>
        <v>12.5075</v>
      </c>
      <c r="D1105" s="63">
        <f t="shared" ca="1" si="48"/>
        <v>12.523866666666665</v>
      </c>
      <c r="E1105" s="63">
        <f t="shared" ca="1" si="48"/>
        <v>14.687225000000003</v>
      </c>
      <c r="F1105" s="63">
        <f t="shared" ca="1" si="48"/>
        <v>14.687225000000003</v>
      </c>
      <c r="G1105" s="63">
        <f t="shared" ca="1" si="48"/>
        <v>14.687941666666667</v>
      </c>
      <c r="H1105" s="63">
        <f t="shared" ca="1" si="48"/>
        <v>24.150158333333334</v>
      </c>
      <c r="I1105" s="63">
        <f t="shared" ca="1" si="48"/>
        <v>24.150874999999999</v>
      </c>
      <c r="J1105" s="63">
        <f t="shared" ca="1" si="48"/>
        <v>14.687225000000003</v>
      </c>
      <c r="K1105" s="63">
        <f t="shared" ca="1" si="48"/>
        <v>14.687941666666667</v>
      </c>
    </row>
    <row r="1106" spans="1:11" ht="15">
      <c r="A1106" s="3">
        <v>2076</v>
      </c>
      <c r="B1106" s="63">
        <f t="shared" ca="1" si="48"/>
        <v>12.755041666666669</v>
      </c>
      <c r="C1106" s="63">
        <f t="shared" ca="1" si="48"/>
        <v>12.755041666666669</v>
      </c>
      <c r="D1106" s="63">
        <f t="shared" ca="1" si="48"/>
        <v>12.771408333333333</v>
      </c>
      <c r="E1106" s="63">
        <f t="shared" ca="1" si="48"/>
        <v>14.982583333333332</v>
      </c>
      <c r="F1106" s="63">
        <f t="shared" ca="1" si="48"/>
        <v>14.982583333333332</v>
      </c>
      <c r="G1106" s="63">
        <f t="shared" ca="1" si="48"/>
        <v>14.9833</v>
      </c>
      <c r="H1106" s="63">
        <f t="shared" ca="1" si="48"/>
        <v>24.601200000000002</v>
      </c>
      <c r="I1106" s="63">
        <f t="shared" ca="1" si="48"/>
        <v>24.601924999999998</v>
      </c>
      <c r="J1106" s="63">
        <f t="shared" ca="1" si="48"/>
        <v>14.982583333333332</v>
      </c>
      <c r="K1106" s="63">
        <f t="shared" ca="1" si="48"/>
        <v>14.9833</v>
      </c>
    </row>
    <row r="1107" spans="1:11" ht="15">
      <c r="A1107" s="3">
        <v>2077</v>
      </c>
      <c r="B1107" s="63">
        <f t="shared" ca="1" si="48"/>
        <v>13.002541666666668</v>
      </c>
      <c r="C1107" s="63">
        <f t="shared" ca="1" si="48"/>
        <v>13.002541666666668</v>
      </c>
      <c r="D1107" s="63">
        <f t="shared" ca="1" si="48"/>
        <v>13.018916666666664</v>
      </c>
      <c r="E1107" s="63">
        <f t="shared" ca="1" si="48"/>
        <v>15.277916666666664</v>
      </c>
      <c r="F1107" s="63">
        <f t="shared" ca="1" si="48"/>
        <v>15.277916666666664</v>
      </c>
      <c r="G1107" s="63">
        <f t="shared" ca="1" si="48"/>
        <v>15.278650000000001</v>
      </c>
      <c r="H1107" s="63">
        <f t="shared" ca="1" si="48"/>
        <v>25.052241666666664</v>
      </c>
      <c r="I1107" s="63">
        <f t="shared" ca="1" si="48"/>
        <v>25.052925000000002</v>
      </c>
      <c r="J1107" s="63">
        <f t="shared" ca="1" si="48"/>
        <v>15.277916666666664</v>
      </c>
      <c r="K1107" s="63">
        <f t="shared" ca="1" si="48"/>
        <v>15.278650000000001</v>
      </c>
    </row>
    <row r="1108" spans="1:11" ht="15">
      <c r="A1108" s="3">
        <v>2078</v>
      </c>
      <c r="B1108" s="63">
        <f t="shared" ca="1" si="48"/>
        <v>13.250050000000002</v>
      </c>
      <c r="C1108" s="63">
        <f t="shared" ca="1" si="48"/>
        <v>13.250050000000002</v>
      </c>
      <c r="D1108" s="63">
        <f t="shared" ca="1" si="48"/>
        <v>13.266433333333334</v>
      </c>
      <c r="E1108" s="63">
        <f t="shared" ca="1" si="48"/>
        <v>15.573258333333335</v>
      </c>
      <c r="F1108" s="63">
        <f t="shared" ca="1" si="48"/>
        <v>15.573258333333335</v>
      </c>
      <c r="G1108" s="63">
        <f t="shared" ca="1" si="48"/>
        <v>15.573983333333333</v>
      </c>
      <c r="H1108" s="63">
        <f t="shared" ca="1" si="48"/>
        <v>25.503249999999998</v>
      </c>
      <c r="I1108" s="63">
        <f t="shared" ca="1" si="48"/>
        <v>25.503975000000001</v>
      </c>
      <c r="J1108" s="63">
        <f t="shared" ca="1" si="48"/>
        <v>15.573258333333335</v>
      </c>
      <c r="K1108" s="63">
        <f t="shared" ca="1" si="48"/>
        <v>15.573983333333333</v>
      </c>
    </row>
    <row r="1109" spans="1:11" ht="15">
      <c r="A1109" s="3">
        <v>2079</v>
      </c>
      <c r="B1109" s="63">
        <f t="shared" ca="1" si="48"/>
        <v>13.497583333333333</v>
      </c>
      <c r="C1109" s="63">
        <f t="shared" ca="1" si="48"/>
        <v>13.497583333333333</v>
      </c>
      <c r="D1109" s="63">
        <f t="shared" ca="1" si="48"/>
        <v>13.513949999999999</v>
      </c>
      <c r="E1109" s="63">
        <f t="shared" ca="1" si="48"/>
        <v>15.868608333333333</v>
      </c>
      <c r="F1109" s="63">
        <f t="shared" ca="1" si="48"/>
        <v>15.868608333333333</v>
      </c>
      <c r="G1109" s="63">
        <f t="shared" ca="1" si="48"/>
        <v>15.869316666666668</v>
      </c>
      <c r="H1109" s="63">
        <f t="shared" ca="1" si="48"/>
        <v>25.954283333333333</v>
      </c>
      <c r="I1109" s="63">
        <f t="shared" ca="1" si="48"/>
        <v>25.955008333333335</v>
      </c>
      <c r="J1109" s="63">
        <f t="shared" ca="1" si="48"/>
        <v>15.868608333333333</v>
      </c>
      <c r="K1109" s="63">
        <f t="shared" ca="1" si="48"/>
        <v>15.869316666666668</v>
      </c>
    </row>
    <row r="1110" spans="1:11" ht="15">
      <c r="A1110" s="3">
        <v>2080</v>
      </c>
      <c r="B1110" s="63">
        <f t="shared" ca="1" si="48"/>
        <v>13.745116666666668</v>
      </c>
      <c r="C1110" s="63">
        <f t="shared" ca="1" si="48"/>
        <v>13.745116666666668</v>
      </c>
      <c r="D1110" s="63">
        <f t="shared" ca="1" si="48"/>
        <v>13.761466666666665</v>
      </c>
      <c r="E1110" s="63">
        <f t="shared" ca="1" si="48"/>
        <v>16.163950000000003</v>
      </c>
      <c r="F1110" s="63">
        <f t="shared" ca="1" si="48"/>
        <v>16.163950000000003</v>
      </c>
      <c r="G1110" s="63">
        <f t="shared" ca="1" si="48"/>
        <v>16.164658333333332</v>
      </c>
      <c r="H1110" s="63">
        <f t="shared" ca="1" si="48"/>
        <v>26.405316666666661</v>
      </c>
      <c r="I1110" s="63">
        <f t="shared" ca="1" si="48"/>
        <v>26.406058333333334</v>
      </c>
      <c r="J1110" s="63">
        <f t="shared" ca="1" si="48"/>
        <v>16.163950000000003</v>
      </c>
      <c r="K1110" s="63">
        <f t="shared" ca="1" si="48"/>
        <v>16.164658333333332</v>
      </c>
    </row>
    <row r="1111" spans="1:11" ht="15">
      <c r="A1111" s="3">
        <v>2081</v>
      </c>
      <c r="B1111" s="63">
        <f t="shared" ca="1" si="48"/>
        <v>13.992633333333336</v>
      </c>
      <c r="C1111" s="63">
        <f t="shared" ca="1" si="48"/>
        <v>13.992633333333336</v>
      </c>
      <c r="D1111" s="63">
        <f t="shared" ca="1" si="48"/>
        <v>14.009</v>
      </c>
      <c r="E1111" s="63">
        <f t="shared" ca="1" si="48"/>
        <v>16.459275000000002</v>
      </c>
      <c r="F1111" s="63">
        <f t="shared" ca="1" si="48"/>
        <v>16.459275000000002</v>
      </c>
      <c r="G1111" s="63">
        <f t="shared" ca="1" si="48"/>
        <v>16.459999999999997</v>
      </c>
      <c r="H1111" s="63">
        <f t="shared" ca="1" si="48"/>
        <v>26.856358333333333</v>
      </c>
      <c r="I1111" s="63">
        <f t="shared" ca="1" si="48"/>
        <v>26.857083333333335</v>
      </c>
      <c r="J1111" s="63">
        <f t="shared" ca="1" si="48"/>
        <v>16.459275000000002</v>
      </c>
      <c r="K1111" s="63">
        <f t="shared" ca="1" si="48"/>
        <v>16.459999999999997</v>
      </c>
    </row>
    <row r="1112" spans="1:11" ht="15">
      <c r="A1112" s="3">
        <v>2082</v>
      </c>
      <c r="B1112" s="63">
        <f t="shared" ref="B1112:K1121" ca="1" si="49">AVERAGE(OFFSET(B$576,($A1112-$A$1092)*12,0,12,1))</f>
        <v>14.240133333333334</v>
      </c>
      <c r="C1112" s="63">
        <f t="shared" ca="1" si="49"/>
        <v>14.240133333333334</v>
      </c>
      <c r="D1112" s="63">
        <f t="shared" ca="1" si="49"/>
        <v>14.256516666666668</v>
      </c>
      <c r="E1112" s="63">
        <f t="shared" ca="1" si="49"/>
        <v>16.754633333333334</v>
      </c>
      <c r="F1112" s="63">
        <f t="shared" ca="1" si="49"/>
        <v>16.754633333333334</v>
      </c>
      <c r="G1112" s="63">
        <f t="shared" ca="1" si="49"/>
        <v>16.755350000000004</v>
      </c>
      <c r="H1112" s="63">
        <f t="shared" ca="1" si="49"/>
        <v>27.307400000000001</v>
      </c>
      <c r="I1112" s="63">
        <f t="shared" ca="1" si="49"/>
        <v>27.308125</v>
      </c>
      <c r="J1112" s="63">
        <f t="shared" ca="1" si="49"/>
        <v>16.754633333333334</v>
      </c>
      <c r="K1112" s="63">
        <f t="shared" ca="1" si="49"/>
        <v>16.755350000000004</v>
      </c>
    </row>
    <row r="1113" spans="1:11" ht="15">
      <c r="A1113" s="3">
        <v>2083</v>
      </c>
      <c r="B1113" s="63">
        <f t="shared" ca="1" si="49"/>
        <v>14.487650000000002</v>
      </c>
      <c r="C1113" s="63">
        <f t="shared" ca="1" si="49"/>
        <v>14.487650000000002</v>
      </c>
      <c r="D1113" s="63">
        <f t="shared" ca="1" si="49"/>
        <v>14.504025</v>
      </c>
      <c r="E1113" s="63">
        <f t="shared" ca="1" si="49"/>
        <v>17.049966666666666</v>
      </c>
      <c r="F1113" s="63">
        <f t="shared" ca="1" si="49"/>
        <v>17.049966666666666</v>
      </c>
      <c r="G1113" s="63">
        <f t="shared" ca="1" si="49"/>
        <v>17.050699999999999</v>
      </c>
      <c r="H1113" s="63">
        <f t="shared" ca="1" si="49"/>
        <v>27.758433333333329</v>
      </c>
      <c r="I1113" s="63">
        <f t="shared" ca="1" si="49"/>
        <v>27.759150000000002</v>
      </c>
      <c r="J1113" s="63">
        <f t="shared" ca="1" si="49"/>
        <v>17.049966666666666</v>
      </c>
      <c r="K1113" s="63">
        <f t="shared" ca="1" si="49"/>
        <v>17.050699999999999</v>
      </c>
    </row>
    <row r="1114" spans="1:11" ht="15">
      <c r="A1114" s="3">
        <v>2084</v>
      </c>
      <c r="B1114" s="63">
        <f t="shared" ca="1" si="49"/>
        <v>14.735199999999997</v>
      </c>
      <c r="C1114" s="63">
        <f t="shared" ca="1" si="49"/>
        <v>14.735199999999997</v>
      </c>
      <c r="D1114" s="63">
        <f t="shared" ca="1" si="49"/>
        <v>14.75155</v>
      </c>
      <c r="E1114" s="63">
        <f t="shared" ca="1" si="49"/>
        <v>17.345324999999999</v>
      </c>
      <c r="F1114" s="63">
        <f t="shared" ca="1" si="49"/>
        <v>17.345324999999999</v>
      </c>
      <c r="G1114" s="63">
        <f t="shared" ca="1" si="49"/>
        <v>17.346033333333331</v>
      </c>
      <c r="H1114" s="63">
        <f t="shared" ca="1" si="49"/>
        <v>28.209475000000001</v>
      </c>
      <c r="I1114" s="63">
        <f t="shared" ca="1" si="49"/>
        <v>28.21019166666667</v>
      </c>
      <c r="J1114" s="63">
        <f t="shared" ca="1" si="49"/>
        <v>17.345324999999999</v>
      </c>
      <c r="K1114" s="63">
        <f t="shared" ca="1" si="49"/>
        <v>17.346033333333331</v>
      </c>
    </row>
    <row r="1115" spans="1:11" ht="15">
      <c r="A1115" s="3">
        <v>2085</v>
      </c>
      <c r="B1115" s="63">
        <f t="shared" ca="1" si="49"/>
        <v>14.982699999999999</v>
      </c>
      <c r="C1115" s="63">
        <f t="shared" ca="1" si="49"/>
        <v>14.982699999999999</v>
      </c>
      <c r="D1115" s="63">
        <f t="shared" ca="1" si="49"/>
        <v>14.999058333333332</v>
      </c>
      <c r="E1115" s="63">
        <f t="shared" ca="1" si="49"/>
        <v>17.640658333333334</v>
      </c>
      <c r="F1115" s="63">
        <f t="shared" ca="1" si="49"/>
        <v>17.640658333333334</v>
      </c>
      <c r="G1115" s="63">
        <f t="shared" ca="1" si="49"/>
        <v>17.641391666666667</v>
      </c>
      <c r="H1115" s="63">
        <f t="shared" ca="1" si="49"/>
        <v>28.660508333333336</v>
      </c>
      <c r="I1115" s="63">
        <f t="shared" ca="1" si="49"/>
        <v>28.661233333333332</v>
      </c>
      <c r="J1115" s="63">
        <f t="shared" ca="1" si="49"/>
        <v>17.640658333333334</v>
      </c>
      <c r="K1115" s="63">
        <f t="shared" ca="1" si="49"/>
        <v>17.641391666666667</v>
      </c>
    </row>
    <row r="1116" spans="1:11" ht="15">
      <c r="A1116" s="3">
        <v>2086</v>
      </c>
      <c r="B1116" s="63">
        <f t="shared" ca="1" si="49"/>
        <v>15.230216666666664</v>
      </c>
      <c r="C1116" s="63">
        <f t="shared" ca="1" si="49"/>
        <v>15.230216666666664</v>
      </c>
      <c r="D1116" s="63">
        <f t="shared" ca="1" si="49"/>
        <v>15.246583333333334</v>
      </c>
      <c r="E1116" s="63">
        <f t="shared" ca="1" si="49"/>
        <v>17.936008333333334</v>
      </c>
      <c r="F1116" s="63">
        <f t="shared" ca="1" si="49"/>
        <v>17.936008333333334</v>
      </c>
      <c r="G1116" s="63">
        <f t="shared" ca="1" si="49"/>
        <v>17.936716666666666</v>
      </c>
      <c r="H1116" s="63">
        <f t="shared" ca="1" si="49"/>
        <v>29.11153333333333</v>
      </c>
      <c r="I1116" s="63">
        <f t="shared" ca="1" si="49"/>
        <v>29.112266666666667</v>
      </c>
      <c r="J1116" s="63">
        <f t="shared" ca="1" si="49"/>
        <v>17.936008333333334</v>
      </c>
      <c r="K1116" s="63">
        <f t="shared" ca="1" si="49"/>
        <v>17.936716666666666</v>
      </c>
    </row>
    <row r="1117" spans="1:11" ht="15">
      <c r="A1117" s="3">
        <v>2087</v>
      </c>
      <c r="B1117" s="63">
        <f t="shared" ca="1" si="49"/>
        <v>15.477733333333333</v>
      </c>
      <c r="C1117" s="63">
        <f t="shared" ca="1" si="49"/>
        <v>15.477733333333333</v>
      </c>
      <c r="D1117" s="63">
        <f t="shared" ca="1" si="49"/>
        <v>15.494108333333335</v>
      </c>
      <c r="E1117" s="63">
        <f t="shared" ca="1" si="49"/>
        <v>18.231333333333335</v>
      </c>
      <c r="F1117" s="63">
        <f t="shared" ca="1" si="49"/>
        <v>18.231333333333335</v>
      </c>
      <c r="G1117" s="63">
        <f t="shared" ca="1" si="49"/>
        <v>18.232066666666665</v>
      </c>
      <c r="H1117" s="63">
        <f t="shared" ca="1" si="49"/>
        <v>29.562583333333333</v>
      </c>
      <c r="I1117" s="63">
        <f t="shared" ca="1" si="49"/>
        <v>29.563291666666672</v>
      </c>
      <c r="J1117" s="63">
        <f t="shared" ca="1" si="49"/>
        <v>18.231333333333335</v>
      </c>
      <c r="K1117" s="63">
        <f t="shared" ca="1" si="49"/>
        <v>18.232066666666665</v>
      </c>
    </row>
    <row r="1118" spans="1:11" ht="15">
      <c r="A1118" s="3">
        <v>2088</v>
      </c>
      <c r="B1118" s="63">
        <f t="shared" ca="1" si="49"/>
        <v>15.725258333333331</v>
      </c>
      <c r="C1118" s="63">
        <f t="shared" ca="1" si="49"/>
        <v>15.725258333333331</v>
      </c>
      <c r="D1118" s="63">
        <f t="shared" ca="1" si="49"/>
        <v>15.741625000000004</v>
      </c>
      <c r="E1118" s="63">
        <f t="shared" ca="1" si="49"/>
        <v>18.526683333333335</v>
      </c>
      <c r="F1118" s="63">
        <f t="shared" ca="1" si="49"/>
        <v>18.526683333333335</v>
      </c>
      <c r="G1118" s="63">
        <f t="shared" ca="1" si="49"/>
        <v>18.527408333333337</v>
      </c>
      <c r="H1118" s="63">
        <f t="shared" ca="1" si="49"/>
        <v>30.013625000000005</v>
      </c>
      <c r="I1118" s="63">
        <f t="shared" ca="1" si="49"/>
        <v>30.01434166666667</v>
      </c>
      <c r="J1118" s="63">
        <f t="shared" ca="1" si="49"/>
        <v>18.526683333333335</v>
      </c>
      <c r="K1118" s="63">
        <f t="shared" ca="1" si="49"/>
        <v>18.527408333333337</v>
      </c>
    </row>
    <row r="1119" spans="1:11" ht="15">
      <c r="A1119" s="3">
        <v>2089</v>
      </c>
      <c r="B1119" s="63">
        <f t="shared" ca="1" si="49"/>
        <v>15.972775000000004</v>
      </c>
      <c r="C1119" s="63">
        <f t="shared" ca="1" si="49"/>
        <v>15.972775000000004</v>
      </c>
      <c r="D1119" s="63">
        <f t="shared" ca="1" si="49"/>
        <v>15.98915</v>
      </c>
      <c r="E1119" s="63">
        <f t="shared" ca="1" si="49"/>
        <v>18.822033333333334</v>
      </c>
      <c r="F1119" s="63">
        <f t="shared" ca="1" si="49"/>
        <v>18.822033333333334</v>
      </c>
      <c r="G1119" s="63">
        <f t="shared" ca="1" si="49"/>
        <v>18.822758333333336</v>
      </c>
      <c r="H1119" s="63">
        <f t="shared" ca="1" si="49"/>
        <v>30.464666666666663</v>
      </c>
      <c r="I1119" s="63">
        <f t="shared" ca="1" si="49"/>
        <v>30.465383333333332</v>
      </c>
      <c r="J1119" s="63">
        <f t="shared" ca="1" si="49"/>
        <v>18.822033333333334</v>
      </c>
      <c r="K1119" s="63">
        <f t="shared" ca="1" si="49"/>
        <v>18.822758333333336</v>
      </c>
    </row>
    <row r="1120" spans="1:11" ht="15">
      <c r="A1120" s="3">
        <v>2090</v>
      </c>
      <c r="B1120" s="63">
        <f t="shared" ca="1" si="49"/>
        <v>16.220299999999998</v>
      </c>
      <c r="C1120" s="63">
        <f t="shared" ca="1" si="49"/>
        <v>16.220299999999998</v>
      </c>
      <c r="D1120" s="63">
        <f t="shared" ca="1" si="49"/>
        <v>16.236658333333331</v>
      </c>
      <c r="E1120" s="63">
        <f t="shared" ca="1" si="49"/>
        <v>19.117366666666669</v>
      </c>
      <c r="F1120" s="63">
        <f t="shared" ca="1" si="49"/>
        <v>19.117366666666669</v>
      </c>
      <c r="G1120" s="63">
        <f t="shared" ca="1" si="49"/>
        <v>19.118091666666661</v>
      </c>
      <c r="H1120" s="63">
        <f t="shared" ca="1" si="49"/>
        <v>30.915683333333337</v>
      </c>
      <c r="I1120" s="63">
        <f t="shared" ca="1" si="49"/>
        <v>30.916408333333337</v>
      </c>
      <c r="J1120" s="63">
        <f t="shared" ca="1" si="49"/>
        <v>19.117366666666669</v>
      </c>
      <c r="K1120" s="63">
        <f t="shared" ca="1" si="49"/>
        <v>19.118091666666661</v>
      </c>
    </row>
    <row r="1121" spans="1:11" ht="15">
      <c r="A1121" s="3">
        <v>2091</v>
      </c>
      <c r="B1121" s="63">
        <f t="shared" ca="1" si="49"/>
        <v>16.467799999999997</v>
      </c>
      <c r="C1121" s="63">
        <f t="shared" ca="1" si="49"/>
        <v>16.467799999999997</v>
      </c>
      <c r="D1121" s="63">
        <f t="shared" ca="1" si="49"/>
        <v>16.484166666666663</v>
      </c>
      <c r="E1121" s="63">
        <f t="shared" ca="1" si="49"/>
        <v>19.412708333333331</v>
      </c>
      <c r="F1121" s="63">
        <f t="shared" ca="1" si="49"/>
        <v>19.412708333333331</v>
      </c>
      <c r="G1121" s="63">
        <f t="shared" ca="1" si="49"/>
        <v>19.413441666666667</v>
      </c>
      <c r="H1121" s="63">
        <f t="shared" ca="1" si="49"/>
        <v>31.366708333333332</v>
      </c>
      <c r="I1121" s="63">
        <f t="shared" ca="1" si="49"/>
        <v>31.367441666666664</v>
      </c>
      <c r="J1121" s="63">
        <f t="shared" ca="1" si="49"/>
        <v>19.412708333333331</v>
      </c>
      <c r="K1121" s="63">
        <f t="shared" ca="1" si="49"/>
        <v>19.413441666666667</v>
      </c>
    </row>
    <row r="1122" spans="1:11" ht="15">
      <c r="A1122" s="3">
        <v>2092</v>
      </c>
      <c r="B1122" s="63">
        <f t="shared" ref="B1122:K1130" ca="1" si="50">AVERAGE(OFFSET(B$576,($A1122-$A$1092)*12,0,12,1))</f>
        <v>16.715349999999997</v>
      </c>
      <c r="C1122" s="63">
        <f t="shared" ca="1" si="50"/>
        <v>16.715349999999997</v>
      </c>
      <c r="D1122" s="63">
        <f t="shared" ca="1" si="50"/>
        <v>16.7317</v>
      </c>
      <c r="E1122" s="63">
        <f t="shared" ca="1" si="50"/>
        <v>19.708050000000004</v>
      </c>
      <c r="F1122" s="63">
        <f t="shared" ca="1" si="50"/>
        <v>19.708050000000004</v>
      </c>
      <c r="G1122" s="63">
        <f t="shared" ca="1" si="50"/>
        <v>19.708766666666666</v>
      </c>
      <c r="H1122" s="63">
        <f t="shared" ca="1" si="50"/>
        <v>31.817750000000007</v>
      </c>
      <c r="I1122" s="63">
        <f t="shared" ca="1" si="50"/>
        <v>31.818483333333329</v>
      </c>
      <c r="J1122" s="63">
        <f t="shared" ca="1" si="50"/>
        <v>19.708050000000004</v>
      </c>
      <c r="K1122" s="63">
        <f t="shared" ca="1" si="50"/>
        <v>19.708766666666666</v>
      </c>
    </row>
    <row r="1123" spans="1:11" ht="15">
      <c r="A1123" s="3">
        <v>2093</v>
      </c>
      <c r="B1123" s="63">
        <f t="shared" ca="1" si="50"/>
        <v>16.962858333333333</v>
      </c>
      <c r="C1123" s="63">
        <f t="shared" ca="1" si="50"/>
        <v>16.962858333333333</v>
      </c>
      <c r="D1123" s="63">
        <f t="shared" ca="1" si="50"/>
        <v>16.979225</v>
      </c>
      <c r="E1123" s="63">
        <f t="shared" ca="1" si="50"/>
        <v>20.003391666666669</v>
      </c>
      <c r="F1123" s="63">
        <f t="shared" ca="1" si="50"/>
        <v>20.003391666666669</v>
      </c>
      <c r="G1123" s="63">
        <f t="shared" ca="1" si="50"/>
        <v>20.004124999999995</v>
      </c>
      <c r="H1123" s="63">
        <f t="shared" ca="1" si="50"/>
        <v>32.268808333333332</v>
      </c>
      <c r="I1123" s="63">
        <f t="shared" ca="1" si="50"/>
        <v>32.269524999999994</v>
      </c>
      <c r="J1123" s="63">
        <f t="shared" ca="1" si="50"/>
        <v>20.003391666666669</v>
      </c>
      <c r="K1123" s="63">
        <f t="shared" ca="1" si="50"/>
        <v>20.004124999999995</v>
      </c>
    </row>
    <row r="1124" spans="1:11" ht="15">
      <c r="A1124" s="3">
        <v>2094</v>
      </c>
      <c r="B1124" s="63">
        <f t="shared" ca="1" si="50"/>
        <v>17.210366666666665</v>
      </c>
      <c r="C1124" s="63">
        <f t="shared" ca="1" si="50"/>
        <v>17.210366666666665</v>
      </c>
      <c r="D1124" s="63">
        <f t="shared" ca="1" si="50"/>
        <v>17.226741666666666</v>
      </c>
      <c r="E1124" s="63">
        <f t="shared" ca="1" si="50"/>
        <v>20.298733333333335</v>
      </c>
      <c r="F1124" s="63">
        <f t="shared" ca="1" si="50"/>
        <v>20.298733333333335</v>
      </c>
      <c r="G1124" s="63">
        <f t="shared" ca="1" si="50"/>
        <v>20.299466666666664</v>
      </c>
      <c r="H1124" s="63">
        <f t="shared" ca="1" si="50"/>
        <v>32.719841666666667</v>
      </c>
      <c r="I1124" s="63">
        <f t="shared" ca="1" si="50"/>
        <v>32.720558333333337</v>
      </c>
      <c r="J1124" s="63">
        <f t="shared" ca="1" si="50"/>
        <v>20.298733333333335</v>
      </c>
      <c r="K1124" s="63">
        <f t="shared" ca="1" si="50"/>
        <v>20.299466666666664</v>
      </c>
    </row>
    <row r="1125" spans="1:11" ht="15">
      <c r="A1125" s="3">
        <v>2095</v>
      </c>
      <c r="B1125" s="63">
        <f t="shared" ca="1" si="50"/>
        <v>17.457874999999998</v>
      </c>
      <c r="C1125" s="63">
        <f t="shared" ca="1" si="50"/>
        <v>17.457874999999998</v>
      </c>
      <c r="D1125" s="63">
        <f t="shared" ca="1" si="50"/>
        <v>17.474258333333335</v>
      </c>
      <c r="E1125" s="63">
        <f t="shared" ca="1" si="50"/>
        <v>20.594083333333334</v>
      </c>
      <c r="F1125" s="63">
        <f t="shared" ca="1" si="50"/>
        <v>20.594083333333334</v>
      </c>
      <c r="G1125" s="63">
        <f t="shared" ca="1" si="50"/>
        <v>20.594800000000003</v>
      </c>
      <c r="H1125" s="63">
        <f t="shared" ca="1" si="50"/>
        <v>33.170858333333335</v>
      </c>
      <c r="I1125" s="63">
        <f t="shared" ca="1" si="50"/>
        <v>33.171591666666671</v>
      </c>
      <c r="J1125" s="63">
        <f t="shared" ca="1" si="50"/>
        <v>20.594083333333334</v>
      </c>
      <c r="K1125" s="63">
        <f t="shared" ca="1" si="50"/>
        <v>20.594800000000003</v>
      </c>
    </row>
    <row r="1126" spans="1:11" ht="15">
      <c r="A1126" s="3">
        <v>2096</v>
      </c>
      <c r="B1126" s="63">
        <f t="shared" ca="1" si="50"/>
        <v>17.705416666666668</v>
      </c>
      <c r="C1126" s="63">
        <f t="shared" ca="1" si="50"/>
        <v>17.705416666666668</v>
      </c>
      <c r="D1126" s="63">
        <f t="shared" ca="1" si="50"/>
        <v>17.721783333333335</v>
      </c>
      <c r="E1126" s="63">
        <f t="shared" ca="1" si="50"/>
        <v>20.889433333333333</v>
      </c>
      <c r="F1126" s="63">
        <f t="shared" ca="1" si="50"/>
        <v>20.889433333333333</v>
      </c>
      <c r="G1126" s="63">
        <f t="shared" ca="1" si="50"/>
        <v>20.890149999999998</v>
      </c>
      <c r="H1126" s="63">
        <f t="shared" ca="1" si="50"/>
        <v>33.621900000000004</v>
      </c>
      <c r="I1126" s="63">
        <f t="shared" ca="1" si="50"/>
        <v>33.622625000000006</v>
      </c>
      <c r="J1126" s="63">
        <f t="shared" ca="1" si="50"/>
        <v>20.889433333333333</v>
      </c>
      <c r="K1126" s="63">
        <f t="shared" ca="1" si="50"/>
        <v>20.890149999999998</v>
      </c>
    </row>
    <row r="1127" spans="1:11" ht="15">
      <c r="A1127" s="3">
        <v>2097</v>
      </c>
      <c r="B1127" s="63">
        <f t="shared" ca="1" si="50"/>
        <v>17.952933333333334</v>
      </c>
      <c r="C1127" s="63">
        <f t="shared" ca="1" si="50"/>
        <v>17.952933333333334</v>
      </c>
      <c r="D1127" s="63">
        <f t="shared" ca="1" si="50"/>
        <v>17.969291666666667</v>
      </c>
      <c r="E1127" s="63">
        <f t="shared" ca="1" si="50"/>
        <v>21.184783333333336</v>
      </c>
      <c r="F1127" s="63">
        <f t="shared" ca="1" si="50"/>
        <v>21.184783333333336</v>
      </c>
      <c r="G1127" s="63">
        <f t="shared" ca="1" si="50"/>
        <v>21.185508333333331</v>
      </c>
      <c r="H1127" s="63">
        <f t="shared" ca="1" si="50"/>
        <v>34.072941666666665</v>
      </c>
      <c r="I1127" s="63">
        <f t="shared" ca="1" si="50"/>
        <v>34.073658333333334</v>
      </c>
      <c r="J1127" s="63">
        <f t="shared" ca="1" si="50"/>
        <v>21.184783333333336</v>
      </c>
      <c r="K1127" s="63">
        <f t="shared" ca="1" si="50"/>
        <v>21.185508333333331</v>
      </c>
    </row>
    <row r="1128" spans="1:11" ht="15">
      <c r="A1128" s="3">
        <v>2098</v>
      </c>
      <c r="B1128" s="63">
        <f t="shared" ca="1" si="50"/>
        <v>18.200441666666666</v>
      </c>
      <c r="C1128" s="63">
        <f t="shared" ca="1" si="50"/>
        <v>18.200441666666666</v>
      </c>
      <c r="D1128" s="63">
        <f t="shared" ca="1" si="50"/>
        <v>18.21681666666667</v>
      </c>
      <c r="E1128" s="63">
        <f t="shared" ca="1" si="50"/>
        <v>21.480099999999997</v>
      </c>
      <c r="F1128" s="63">
        <f t="shared" ca="1" si="50"/>
        <v>21.480099999999997</v>
      </c>
      <c r="G1128" s="63">
        <f t="shared" ca="1" si="50"/>
        <v>21.480824999999999</v>
      </c>
      <c r="H1128" s="63">
        <f t="shared" ca="1" si="50"/>
        <v>34.523975</v>
      </c>
      <c r="I1128" s="63">
        <f t="shared" ca="1" si="50"/>
        <v>34.524700000000003</v>
      </c>
      <c r="J1128" s="63">
        <f t="shared" ca="1" si="50"/>
        <v>21.480099999999997</v>
      </c>
      <c r="K1128" s="63">
        <f t="shared" ca="1" si="50"/>
        <v>21.480824999999999</v>
      </c>
    </row>
    <row r="1129" spans="1:11" ht="15">
      <c r="A1129" s="3">
        <v>2099</v>
      </c>
      <c r="B1129" s="63">
        <f t="shared" ca="1" si="50"/>
        <v>18.447958333333332</v>
      </c>
      <c r="C1129" s="63">
        <f t="shared" ca="1" si="50"/>
        <v>18.447958333333332</v>
      </c>
      <c r="D1129" s="63">
        <f t="shared" ca="1" si="50"/>
        <v>18.464341666666666</v>
      </c>
      <c r="E1129" s="63">
        <f t="shared" ca="1" si="50"/>
        <v>21.77546666666667</v>
      </c>
      <c r="F1129" s="63">
        <f t="shared" ca="1" si="50"/>
        <v>21.77546666666667</v>
      </c>
      <c r="G1129" s="63">
        <f t="shared" ca="1" si="50"/>
        <v>21.776183333333336</v>
      </c>
      <c r="H1129" s="63">
        <f t="shared" ca="1" si="50"/>
        <v>34.975008333333335</v>
      </c>
      <c r="I1129" s="63">
        <f t="shared" ca="1" si="50"/>
        <v>34.975733333333331</v>
      </c>
      <c r="J1129" s="63">
        <f t="shared" ca="1" si="50"/>
        <v>21.77546666666667</v>
      </c>
      <c r="K1129" s="63">
        <f t="shared" ca="1" si="50"/>
        <v>21.776183333333336</v>
      </c>
    </row>
    <row r="1130" spans="1:11" ht="15">
      <c r="A1130" s="3">
        <v>2100</v>
      </c>
      <c r="B1130" s="63">
        <f t="shared" ca="1" si="50"/>
        <v>18.695491666666666</v>
      </c>
      <c r="C1130" s="63">
        <f t="shared" ca="1" si="50"/>
        <v>18.695491666666666</v>
      </c>
      <c r="D1130" s="63">
        <f t="shared" ca="1" si="50"/>
        <v>18.711866666666669</v>
      </c>
      <c r="E1130" s="63">
        <f t="shared" ca="1" si="50"/>
        <v>22.070808333333336</v>
      </c>
      <c r="F1130" s="63">
        <f t="shared" ca="1" si="50"/>
        <v>22.070808333333336</v>
      </c>
      <c r="G1130" s="63">
        <f t="shared" ca="1" si="50"/>
        <v>22.071533333333331</v>
      </c>
      <c r="H1130" s="63">
        <f t="shared" ca="1" si="50"/>
        <v>35.426049999999996</v>
      </c>
      <c r="I1130" s="63">
        <f t="shared" ca="1" si="50"/>
        <v>35.426766666666673</v>
      </c>
      <c r="J1130" s="63">
        <f t="shared" ca="1" si="50"/>
        <v>22.070808333333336</v>
      </c>
      <c r="K1130" s="63">
        <f t="shared" ca="1" si="50"/>
        <v>22.071533333333331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zoomScale="70" zoomScaleNormal="70" workbookViewId="0">
      <selection activeCell="A7" sqref="A7"/>
    </sheetView>
  </sheetViews>
  <sheetFormatPr defaultColWidth="8.88671875" defaultRowHeight="15.75"/>
  <cols>
    <col min="1" max="1" width="8.88671875" style="76"/>
    <col min="2" max="2" width="15.5546875" style="76" bestFit="1" customWidth="1"/>
    <col min="3" max="3" width="9.5546875" style="76" bestFit="1" customWidth="1"/>
    <col min="4" max="16384" width="8.88671875" style="76"/>
  </cols>
  <sheetData>
    <row r="1" spans="1:3">
      <c r="A1" s="84" t="s">
        <v>64</v>
      </c>
    </row>
    <row r="2" spans="1:3">
      <c r="A2" s="84" t="s">
        <v>65</v>
      </c>
    </row>
    <row r="3" spans="1:3">
      <c r="A3" s="84" t="s">
        <v>66</v>
      </c>
    </row>
    <row r="4" spans="1:3">
      <c r="A4" s="84" t="s">
        <v>67</v>
      </c>
    </row>
    <row r="5" spans="1:3">
      <c r="A5" s="84" t="s">
        <v>69</v>
      </c>
    </row>
    <row r="6" spans="1:3">
      <c r="A6" s="84" t="s">
        <v>73</v>
      </c>
    </row>
    <row r="8" spans="1:3">
      <c r="B8" s="81" t="s">
        <v>63</v>
      </c>
      <c r="C8" s="81" t="s">
        <v>54</v>
      </c>
    </row>
    <row r="9" spans="1:3">
      <c r="B9" s="83" t="s">
        <v>61</v>
      </c>
      <c r="C9" s="93">
        <v>2</v>
      </c>
    </row>
    <row r="10" spans="1:3">
      <c r="B10" s="83" t="s">
        <v>60</v>
      </c>
      <c r="C10" s="95"/>
    </row>
    <row r="11" spans="1:3">
      <c r="B11" s="82" t="s">
        <v>59</v>
      </c>
      <c r="C11" s="94"/>
    </row>
    <row r="14" spans="1:3">
      <c r="B14" s="81" t="s">
        <v>55</v>
      </c>
      <c r="C14" s="81" t="s">
        <v>54</v>
      </c>
    </row>
    <row r="15" spans="1:3">
      <c r="B15" s="83" t="s">
        <v>61</v>
      </c>
      <c r="C15" s="93">
        <v>2</v>
      </c>
    </row>
    <row r="16" spans="1:3">
      <c r="B16" s="83" t="s">
        <v>60</v>
      </c>
      <c r="C16" s="95"/>
    </row>
    <row r="17" spans="2:3">
      <c r="B17" s="82" t="s">
        <v>59</v>
      </c>
      <c r="C17" s="94"/>
    </row>
    <row r="21" spans="2:3">
      <c r="B21" s="81" t="s">
        <v>62</v>
      </c>
      <c r="C21" s="81" t="s">
        <v>54</v>
      </c>
    </row>
    <row r="22" spans="2:3">
      <c r="B22" s="83" t="s">
        <v>61</v>
      </c>
      <c r="C22" s="93">
        <v>2</v>
      </c>
    </row>
    <row r="23" spans="2:3">
      <c r="B23" s="83" t="s">
        <v>60</v>
      </c>
      <c r="C23" s="95"/>
    </row>
    <row r="24" spans="2:3">
      <c r="B24" s="82" t="s">
        <v>59</v>
      </c>
      <c r="C24" s="94"/>
    </row>
    <row r="27" spans="2:3">
      <c r="B27" s="81" t="s">
        <v>58</v>
      </c>
      <c r="C27" s="81" t="s">
        <v>54</v>
      </c>
    </row>
    <row r="28" spans="2:3">
      <c r="B28" s="80" t="s">
        <v>57</v>
      </c>
      <c r="C28" s="93">
        <v>1</v>
      </c>
    </row>
    <row r="29" spans="2:3">
      <c r="B29" s="79" t="s">
        <v>56</v>
      </c>
      <c r="C29" s="94"/>
    </row>
    <row r="31" spans="2:3">
      <c r="B31" s="81" t="s">
        <v>55</v>
      </c>
      <c r="C31" s="81" t="s">
        <v>54</v>
      </c>
    </row>
    <row r="32" spans="2:3">
      <c r="B32" s="80" t="s">
        <v>53</v>
      </c>
      <c r="C32" s="93">
        <v>1</v>
      </c>
    </row>
    <row r="33" spans="2:5">
      <c r="B33" s="79" t="s">
        <v>52</v>
      </c>
      <c r="C33" s="94"/>
    </row>
    <row r="37" spans="2:5">
      <c r="C37" s="78"/>
      <c r="E37" s="77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orientation="portrait" horizontalDpi="1200" verticalDpi="1200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2016-07-29T16:28:39Z</dcterms:created>
  <dcterms:modified xsi:type="dcterms:W3CDTF">2016-07-29T16:28:43Z</dcterms:modified>
</cp:coreProperties>
</file>